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defaultThemeVersion="124226"/>
  <mc:AlternateContent xmlns:mc="http://schemas.openxmlformats.org/markup-compatibility/2006">
    <mc:Choice Requires="x15">
      <x15ac:absPath xmlns:x15ac="http://schemas.microsoft.com/office/spreadsheetml/2010/11/ac" url="C:\Users\1067075\Desktop\"/>
    </mc:Choice>
  </mc:AlternateContent>
  <xr:revisionPtr revIDLastSave="0" documentId="13_ncr:1_{48CA8C9B-14B5-4A04-B593-D75DA9B25850}" xr6:coauthVersionLast="47" xr6:coauthVersionMax="47" xr10:uidLastSave="{00000000-0000-0000-0000-000000000000}"/>
  <bookViews>
    <workbookView xWindow="5148" yWindow="1728" windowWidth="23040" windowHeight="12120" tabRatio="867" firstSheet="18" activeTab="18" xr2:uid="{00000000-000D-0000-FFFF-FFFF00000000}"/>
  </bookViews>
  <sheets>
    <sheet name="Amendments to version 1" sheetId="48" state="hidden" r:id="rId1"/>
    <sheet name="Version control to V1" sheetId="60" r:id="rId2"/>
    <sheet name="Standing Data" sheetId="12" r:id="rId3"/>
    <sheet name="Guidance Notes" sheetId="24" r:id="rId4"/>
    <sheet name="Input -CIES" sheetId="1" r:id="rId5"/>
    <sheet name="Input - BS" sheetId="29" r:id="rId6"/>
    <sheet name="Input - EFA" sheetId="55" r:id="rId7"/>
    <sheet name="Non TB - Note 1" sheetId="23" r:id="rId8"/>
    <sheet name="Non TB - Note 2" sheetId="59" r:id="rId9"/>
    <sheet name="Non TB - Note 3 - 9" sheetId="40" r:id="rId10"/>
    <sheet name="Non TB - Note 11" sheetId="42" r:id="rId11"/>
    <sheet name="Non TB - Note 12 to 24" sheetId="43" r:id="rId12"/>
    <sheet name="Non TB - Note 25 to end" sheetId="41" r:id="rId13"/>
    <sheet name="GROUP Non TB - Group Acc notes" sheetId="47" r:id="rId14"/>
    <sheet name="RSG Input" sheetId="38" state="hidden" r:id="rId15"/>
    <sheet name="Det CIES" sheetId="14" r:id="rId16"/>
    <sheet name="Det BS " sheetId="13" r:id="rId17"/>
    <sheet name="Cover Page" sheetId="39" r:id="rId18"/>
    <sheet name="Contents Page" sheetId="45" r:id="rId19"/>
    <sheet name="Checklist" sheetId="9" r:id="rId20"/>
    <sheet name="Text" sheetId="19" r:id="rId21"/>
    <sheet name="Prime" sheetId="49" r:id="rId22"/>
    <sheet name="Note1" sheetId="18" r:id="rId23"/>
    <sheet name="Note 2a" sheetId="58" r:id="rId24"/>
    <sheet name="Note 2b" sheetId="57" r:id="rId25"/>
    <sheet name="Note 2c" sheetId="56" r:id="rId26"/>
    <sheet name="Notes 3 to 10" sheetId="7" r:id="rId27"/>
    <sheet name="Note 11" sheetId="6" r:id="rId28"/>
    <sheet name="Notes 11c to 24" sheetId="5" r:id="rId29"/>
    <sheet name="Note 25 to end" sheetId="31" r:id="rId30"/>
    <sheet name="GROUP Det Group CIES" sheetId="51" r:id="rId31"/>
    <sheet name="GROUP Det Group BS" sheetId="50" r:id="rId32"/>
    <sheet name="GROUP Prime" sheetId="8" r:id="rId33"/>
    <sheet name="GROUP Account notes" sheetId="46" r:id="rId34"/>
    <sheet name="GROUP Account Fixed Assets" sheetId="52" r:id="rId35"/>
    <sheet name="GROUP Account Notes FA&amp;Reserves" sheetId="53" r:id="rId36"/>
    <sheet name="RSG CYR" sheetId="17" state="hidden" r:id="rId37"/>
    <sheet name="RSG PYR" sheetId="35" state="hidden" r:id="rId38"/>
  </sheets>
  <externalReferences>
    <externalReference r:id="rId39"/>
  </externalReferences>
  <definedNames>
    <definedName name="_FAR1">'[1]Detailed BS'!$M$6:$W$237</definedName>
    <definedName name="_xlnm._FilterDatabase" localSheetId="16" hidden="1">'Det BS '!$A$5:$C$558</definedName>
    <definedName name="_xlnm._FilterDatabase" localSheetId="15" hidden="1">'Det CIES'!$A$6:$K$61</definedName>
    <definedName name="_xlnm._FilterDatabase" localSheetId="34" hidden="1">'GROUP Account Fixed Assets'!$A$1:$Q$1</definedName>
    <definedName name="_xlnm._FilterDatabase" localSheetId="33" hidden="1">'GROUP Account notes'!$A$4:$S$4</definedName>
    <definedName name="_xlnm._FilterDatabase" localSheetId="35" hidden="1">'GROUP Account Notes FA&amp;Reserves'!$A$4:$S$433</definedName>
    <definedName name="_xlnm._FilterDatabase" localSheetId="31" hidden="1">'GROUP Det Group BS'!$A$5:$L$558</definedName>
    <definedName name="_xlnm._FilterDatabase" localSheetId="32" hidden="1">'GROUP Prime'!$A$3:$B$188</definedName>
    <definedName name="_xlnm._FilterDatabase" localSheetId="5" hidden="1">'Input - BS'!$A$5:$AI$438</definedName>
    <definedName name="_xlnm._FilterDatabase" localSheetId="4" hidden="1">'Input -CIES'!$A$6:$AD$120</definedName>
    <definedName name="_xlnm._FilterDatabase" localSheetId="7" hidden="1">'Non TB - Note 1'!$A$1:$I$693</definedName>
    <definedName name="_xlnm._FilterDatabase" localSheetId="11" hidden="1">'Non TB - Note 12 to 24'!$A$1:$J$1</definedName>
    <definedName name="_xlnm._FilterDatabase" localSheetId="27" hidden="1">'Note 11'!$A$1:$P$78</definedName>
    <definedName name="_xlnm._FilterDatabase" localSheetId="29" hidden="1">'Note 25 to end'!$A$4:$W$582</definedName>
    <definedName name="_xlnm._FilterDatabase" localSheetId="23" hidden="1">'Note 2a'!$A$3:$X$67</definedName>
    <definedName name="_xlnm._FilterDatabase" localSheetId="24" hidden="1">'Note 2b'!$A$3:$J$142</definedName>
    <definedName name="_xlnm._FilterDatabase" localSheetId="25" hidden="1">'Note 2c'!$A$3:$U$3</definedName>
    <definedName name="_xlnm._FilterDatabase" localSheetId="22" hidden="1">Note1!$A$2:$U$439</definedName>
    <definedName name="_xlnm._FilterDatabase" localSheetId="28" hidden="1">'Notes 11c to 24'!$A$5:$AB$1320</definedName>
    <definedName name="_xlnm._FilterDatabase" localSheetId="26" hidden="1">'Notes 3 to 10'!$A$3:$U$556</definedName>
    <definedName name="_xlnm._FilterDatabase" localSheetId="21" hidden="1">Prime!$A$2:$N$207</definedName>
    <definedName name="_TB1">'Input -CIES'!$H$7:$U$119</definedName>
    <definedName name="_TB2">'Input -CIES'!$H$42:$U$61</definedName>
    <definedName name="ACFR">'Input - BS'!$G$423:$AA$423</definedName>
    <definedName name="ACGU">'Input - BS'!$G$422:$AA$422</definedName>
    <definedName name="ACRR">'Input - BS'!$G$421:$AJ$421</definedName>
    <definedName name="AGNF">'Input - BS'!$G$426:$AA$426</definedName>
    <definedName name="AOTR">'Input - BS'!$G$425:$AA$425</definedName>
    <definedName name="AOUR">'Input - BS'!$G$427:$AA$427</definedName>
    <definedName name="APN">#REF!</definedName>
    <definedName name="APV">[1]Memo!$B$74:$E$80</definedName>
    <definedName name="ARRR">'Input - BS'!$G$424:$AA$424</definedName>
    <definedName name="BAAA">'Input - BS'!$G$435:$AA$435</definedName>
    <definedName name="BAOD">'Input - BS'!$H$323:$AA$323</definedName>
    <definedName name="BASS">'Input - BS'!$H$28:$AA$49</definedName>
    <definedName name="BCAA">'Input - BS'!$G$428:$AA$428</definedName>
    <definedName name="BCRD">'Input - BS'!$G$434:$AA$434</definedName>
    <definedName name="BFIA">'Input - BS'!$G$429:$AA$429</definedName>
    <definedName name="BFIR">'Input - BS'!$G$431:$U$431</definedName>
    <definedName name="BFIRR">'Input - BS'!$G$432:$U$432</definedName>
    <definedName name="BLRR">'Input - BS'!$G$436:$AA$436</definedName>
    <definedName name="BPDR">'Input - BS'!$G$437:$AA$437</definedName>
    <definedName name="BPER">'Input - BS'!$G$433:$AA$433</definedName>
    <definedName name="BRVR">'Input - BS'!$G$430:$AA$430</definedName>
    <definedName name="CAA">'Input -CIES'!#REF!</definedName>
    <definedName name="CACE">'Input - BS'!$H$304:$AA$305</definedName>
    <definedName name="CASS">'Input - BS'!$H$116:$AA$137</definedName>
    <definedName name="CASSCA">'Input - BS'!$H$321:$AA$321</definedName>
    <definedName name="CASSCC">'Input - BS'!$H$322:$AA$322</definedName>
    <definedName name="CCAP">#REF!</definedName>
    <definedName name="CDEP">#REF!</definedName>
    <definedName name="CFR">'Input -CIES'!#REF!</definedName>
    <definedName name="COOE">#REF!</definedName>
    <definedName name="CPAD">#REF!</definedName>
    <definedName name="CRN">#REF!</definedName>
    <definedName name="CRR">'Input -CIES'!#REF!</definedName>
    <definedName name="CRV">[1]Memo!$B$60:$E$66</definedName>
    <definedName name="CSASS">'Input - BS'!$H$310:$AA$320</definedName>
    <definedName name="EASS">'Input - BS'!$H$160:$AA$181</definedName>
    <definedName name="FA">'Input -CIES'!#REF!</definedName>
    <definedName name="GFR">'Input -CIES'!#REF!</definedName>
    <definedName name="Group_Accounting">Checklist!#REF!</definedName>
    <definedName name="HASS">'Input - BS'!$H$182:$AA$203</definedName>
    <definedName name="IASS">'Input - BS'!$H$50:$AA$71</definedName>
    <definedName name="IJVA">'Input - BS'!$H$259:$AA$262</definedName>
    <definedName name="IP">'Input -CIES'!$H$80:$U$84</definedName>
    <definedName name="IPAS">'Input - BS'!$H$204:$AA$210</definedName>
    <definedName name="IR">'Input -CIES'!$H$85:$U$92</definedName>
    <definedName name="ITAS">'Input - BS'!$H$211:$AA$232</definedName>
    <definedName name="LASS">'Input - BS'!$H$6:$AA$27</definedName>
    <definedName name="LNFS">'Input - BS'!$H$72:$AA$93</definedName>
    <definedName name="LTA">#REF!</definedName>
    <definedName name="LTCA">'Input - BS'!$H$279:$AA$279</definedName>
    <definedName name="LTCC">'Input - BS'!$H$280:$AA$280</definedName>
    <definedName name="LTCG">'Input - BS'!$H$420:$AA$420</definedName>
    <definedName name="LTCL">'Input - BS'!$H$375:$AA$375</definedName>
    <definedName name="LTCRS">'Input - BS'!$H$364:$AA$374</definedName>
    <definedName name="LTDAA">'Input - BS'!$H$419:$AA$419</definedName>
    <definedName name="LTDR">'Input - BS'!$H$263:$AA$278</definedName>
    <definedName name="LTIN">'Input - BS'!$H$255:$AA$258</definedName>
    <definedName name="LTLN">'Input - BS'!$H$325:$AA$328</definedName>
    <definedName name="LTPA">'Input - BS'!$H$410:$AA$418</definedName>
    <definedName name="LTPE">'Input -CIES'!#REF!</definedName>
    <definedName name="LTPL">'Input - BS'!$H$396:$AA$409</definedName>
    <definedName name="LTPVL">'Input - BS'!$H$376:$AA$380</definedName>
    <definedName name="LTPVO1">'Input - BS'!$H$381:$AA$385</definedName>
    <definedName name="LTPVO2">'Input - BS'!$H$386:$AA$390</definedName>
    <definedName name="LTPVO3">'Input - BS'!$H$391:$AA$395</definedName>
    <definedName name="LTPVS">'Input -CIES'!#REF!</definedName>
    <definedName name="MI">#REF!</definedName>
    <definedName name="OCEIAJV">'Input -CIES'!$H$117:$U$118</definedName>
    <definedName name="OE">'Input -CIES'!$H$77:$U$79</definedName>
    <definedName name="ORAJV">'Input -CIES'!$H$99:$U$103</definedName>
    <definedName name="OSF">'Input -CIES'!#REF!</definedName>
    <definedName name="PC">'Input -CIES'!#REF!</definedName>
    <definedName name="PI">'Input -CIES'!$H$95:$U$97</definedName>
    <definedName name="_xlnm.Print_Area" localSheetId="0">'Amendments to version 1'!$A$1:$F$63</definedName>
    <definedName name="_xlnm.Print_Area" localSheetId="19">Checklist!$A$1:$E$215</definedName>
    <definedName name="_xlnm.Print_Area" localSheetId="18">'Contents Page'!$A$1:$D$45</definedName>
    <definedName name="_xlnm.Print_Area" localSheetId="17">'Cover Page'!$A$1:$M$47</definedName>
    <definedName name="_xlnm.Print_Area" localSheetId="16">'Det BS '!$C$1:$H$559</definedName>
    <definedName name="_xlnm.Print_Area" localSheetId="15">'Det CIES'!$C$6:$K$158</definedName>
    <definedName name="_xlnm.Print_Area" localSheetId="32">'GROUP Prime'!$B$4:$I$184</definedName>
    <definedName name="_xlnm.Print_Area" localSheetId="5">'Input - BS'!$G$5:$J$438</definedName>
    <definedName name="_xlnm.Print_Area" localSheetId="4">'Input -CIES'!$G$6:$J$119</definedName>
    <definedName name="_xlnm.Print_Area" localSheetId="27">'Note 11'!$B$2:$P$76</definedName>
    <definedName name="_xlnm.Print_Area" localSheetId="23">'Note 2a'!$B$4:$L$67</definedName>
    <definedName name="_xlnm.Print_Area" localSheetId="24">'Note 2b'!$B$4:$K$103</definedName>
    <definedName name="_xlnm.Print_Area" localSheetId="25">'Note 2c'!$B$4:$M$97</definedName>
    <definedName name="_xlnm.Print_Area" localSheetId="22">Note1!$B$3:$L$426</definedName>
    <definedName name="_xlnm.Print_Area" localSheetId="28">'Notes 11c to 24'!$B$6:$M$1319</definedName>
    <definedName name="_xlnm.Print_Area" localSheetId="26">'Notes 3 to 10'!$B$4:$K$554</definedName>
    <definedName name="_xlnm.Print_Area" localSheetId="21">Prime!$B$4:$I$206</definedName>
    <definedName name="_xlnm.Print_Area" localSheetId="36">'RSG CYR'!$A$1:$E$30</definedName>
    <definedName name="_xlnm.Print_Area" localSheetId="20">Text!$C$5:$L$583</definedName>
    <definedName name="_xlnm.Print_Titles" localSheetId="0">'Amendments to version 1'!$1:$1</definedName>
    <definedName name="_xlnm.Print_Titles" localSheetId="16">'Det BS '!$1:$5</definedName>
    <definedName name="_xlnm.Print_Titles" localSheetId="15">'Det CIES'!$1:$6</definedName>
    <definedName name="RECON">'Input -CIES'!#REF!</definedName>
    <definedName name="RRF">'Input -CIES'!#REF!</definedName>
    <definedName name="RVR">'Input -CIES'!#REF!</definedName>
    <definedName name="SASS">'Input - BS'!$H$233:$AA$254</definedName>
    <definedName name="SD">'Standing Data'!$B$71:$F$106</definedName>
    <definedName name="SDPR">[1]Input!$F$361:$J$361</definedName>
    <definedName name="SDRR">[1]Input!$F$343:$J$343</definedName>
    <definedName name="SE">'Input -CIES'!$E$7:$U$41</definedName>
    <definedName name="SI">'Input -CIES'!$E$42:$U$76</definedName>
    <definedName name="STCK">'Input - BS'!$H$281:$AA$286</definedName>
    <definedName name="STCL">'Input - BS'!$H$363:$AA$363</definedName>
    <definedName name="STCR">'Input - BS'!$H$329:$AA$342</definedName>
    <definedName name="STDRS">'Input - BS'!$H$287:$AA$303</definedName>
    <definedName name="STIN">'Input - BS'!$H$306:$AA$309</definedName>
    <definedName name="STLN">'Input - BS'!$H$324:$AA$324</definedName>
    <definedName name="STPV">'Input - BS'!#REF!</definedName>
    <definedName name="STPVL">'Input - BS'!$H$343:$AA$347</definedName>
    <definedName name="STPVO1">'Input - BS'!$H$348:$AA$352</definedName>
    <definedName name="STPVO2">'Input - BS'!$H$353:$AA$357</definedName>
    <definedName name="STPVO3">'Input - BS'!$H$358:$AA$362</definedName>
    <definedName name="TB">'Input -CIES'!$B$6:$U$119</definedName>
    <definedName name="Test">'Input -CIES'!$A$6:$U$119</definedName>
    <definedName name="TI">'Input -CIES'!$H$104:$U$116</definedName>
    <definedName name="TO">'Input -CIES'!$H$93:$U$94</definedName>
    <definedName name="URES">'Input -CIES'!#REF!</definedName>
    <definedName name="UURES">'Input -CIES'!#REF!</definedName>
    <definedName name="VASS">'Input - BS'!$H$94:$AA$115</definedName>
    <definedName name="WASS">'Input - BS'!$H$138:$AA$159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9" i="5" l="1"/>
  <c r="C523" i="19"/>
  <c r="D92" i="46" l="1"/>
  <c r="E574" i="31"/>
  <c r="D172" i="53" l="1"/>
  <c r="D22" i="53"/>
  <c r="D14" i="53"/>
  <c r="D22" i="46"/>
  <c r="D512" i="31"/>
  <c r="D500" i="31"/>
  <c r="D319" i="31"/>
  <c r="D999" i="5"/>
  <c r="D731" i="5"/>
  <c r="D346" i="5"/>
  <c r="D134" i="5"/>
  <c r="D122" i="5"/>
  <c r="D34" i="5"/>
  <c r="D14" i="5"/>
  <c r="D192" i="7"/>
  <c r="D47" i="7"/>
  <c r="E334" i="18"/>
  <c r="E292" i="18"/>
  <c r="E150" i="18"/>
  <c r="E130" i="18"/>
  <c r="E86" i="18"/>
  <c r="E80" i="18"/>
  <c r="E78" i="18"/>
  <c r="E74" i="18"/>
  <c r="E60" i="18"/>
  <c r="D5" i="18"/>
  <c r="B112" i="49"/>
  <c r="B82" i="49"/>
  <c r="C545" i="19"/>
  <c r="C123" i="19"/>
  <c r="C117" i="19"/>
  <c r="C119" i="19"/>
  <c r="D805" i="5"/>
  <c r="B96" i="49"/>
  <c r="D485" i="31" l="1"/>
  <c r="D268" i="31"/>
  <c r="C370" i="18"/>
  <c r="D290" i="7" l="1"/>
  <c r="D542" i="31" l="1"/>
  <c r="D544" i="31"/>
  <c r="J514" i="31"/>
  <c r="D347" i="31"/>
  <c r="E430" i="18"/>
  <c r="E196" i="18"/>
  <c r="E12" i="18"/>
  <c r="B86" i="49"/>
  <c r="B80" i="49"/>
  <c r="C571" i="19"/>
  <c r="D299" i="5" l="1"/>
  <c r="N32" i="7" l="1"/>
  <c r="M32" i="7"/>
  <c r="M59" i="58"/>
  <c r="N59" i="58"/>
  <c r="A41" i="39" l="1"/>
  <c r="E10" i="18" l="1"/>
  <c r="J1" i="40" l="1"/>
  <c r="H148" i="8" l="1"/>
  <c r="J298" i="53"/>
  <c r="J336" i="53"/>
  <c r="J337" i="53"/>
  <c r="G126" i="51" s="1"/>
  <c r="G549" i="50" l="1"/>
  <c r="K549" i="50" s="1"/>
  <c r="K335" i="53" s="1"/>
  <c r="K339" i="53" s="1"/>
  <c r="J335" i="53" s="1"/>
  <c r="A335" i="53" s="1"/>
  <c r="F549" i="50"/>
  <c r="A337" i="53"/>
  <c r="A338" i="53" s="1"/>
  <c r="A336" i="53"/>
  <c r="A307" i="31"/>
  <c r="A308" i="31" s="1"/>
  <c r="A303" i="31"/>
  <c r="A301" i="31"/>
  <c r="A302" i="31" s="1"/>
  <c r="H170" i="49"/>
  <c r="E170" i="49"/>
  <c r="E169" i="49"/>
  <c r="J263" i="31"/>
  <c r="K307" i="31"/>
  <c r="J305" i="31"/>
  <c r="A305" i="31" s="1"/>
  <c r="A306" i="31" s="1"/>
  <c r="J304" i="31"/>
  <c r="A304" i="31" s="1"/>
  <c r="G549" i="13"/>
  <c r="K549" i="13" s="1"/>
  <c r="R432" i="29"/>
  <c r="U432" i="29" s="1"/>
  <c r="AH432" i="29" s="1"/>
  <c r="J432" i="29"/>
  <c r="L432" i="29" s="1"/>
  <c r="O432" i="29" s="1"/>
  <c r="J307" i="31" l="1"/>
  <c r="G170" i="49" s="1"/>
  <c r="A170" i="49" s="1"/>
  <c r="A333" i="53"/>
  <c r="A334" i="53" s="1"/>
  <c r="J339" i="53"/>
  <c r="A549" i="50"/>
  <c r="J549" i="50"/>
  <c r="G142" i="14"/>
  <c r="F549" i="13"/>
  <c r="AG432" i="29"/>
  <c r="D432" i="29"/>
  <c r="AD432" i="29"/>
  <c r="AE432" i="29"/>
  <c r="G148" i="8" l="1"/>
  <c r="A148" i="8" s="1"/>
  <c r="A339" i="53"/>
  <c r="M52" i="58"/>
  <c r="L465" i="55"/>
  <c r="L464" i="55"/>
  <c r="L463" i="55"/>
  <c r="L462" i="55"/>
  <c r="L461" i="55"/>
  <c r="L460" i="55"/>
  <c r="L459" i="55"/>
  <c r="L458" i="55"/>
  <c r="L457" i="55"/>
  <c r="L456" i="55"/>
  <c r="L455" i="55"/>
  <c r="L454" i="55"/>
  <c r="L453" i="55"/>
  <c r="L452" i="55"/>
  <c r="L451" i="55"/>
  <c r="L450" i="55"/>
  <c r="L449" i="55"/>
  <c r="L448" i="55"/>
  <c r="L447" i="55"/>
  <c r="L446" i="55"/>
  <c r="L445" i="55"/>
  <c r="L444" i="55"/>
  <c r="L443"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5" i="55"/>
  <c r="L414" i="55"/>
  <c r="L413" i="55"/>
  <c r="L412" i="55"/>
  <c r="L411" i="55"/>
  <c r="L410" i="55"/>
  <c r="L409" i="55"/>
  <c r="L408" i="55"/>
  <c r="L407" i="55"/>
  <c r="L406" i="55"/>
  <c r="L405" i="55"/>
  <c r="L404" i="55"/>
  <c r="L403" i="55"/>
  <c r="L402" i="55"/>
  <c r="L401" i="55"/>
  <c r="L400" i="55"/>
  <c r="L399" i="55"/>
  <c r="L398"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70" i="55"/>
  <c r="L369" i="55"/>
  <c r="L368" i="55"/>
  <c r="L367" i="55"/>
  <c r="L366" i="55"/>
  <c r="L365" i="55"/>
  <c r="L364" i="55"/>
  <c r="L363" i="55"/>
  <c r="L362" i="55"/>
  <c r="L361" i="55"/>
  <c r="L360" i="55"/>
  <c r="L359" i="55"/>
  <c r="L358" i="55"/>
  <c r="L357" i="55"/>
  <c r="L356" i="55"/>
  <c r="L355" i="55"/>
  <c r="L354" i="55"/>
  <c r="L353" i="55"/>
  <c r="L352" i="55"/>
  <c r="L351" i="55"/>
  <c r="L350" i="55"/>
  <c r="L349" i="55"/>
  <c r="L348" i="55"/>
  <c r="L347" i="55"/>
  <c r="L346" i="55"/>
  <c r="L345" i="55"/>
  <c r="L344" i="55"/>
  <c r="L343" i="55"/>
  <c r="L342" i="55"/>
  <c r="L341" i="55"/>
  <c r="L340" i="55"/>
  <c r="L339" i="55"/>
  <c r="L338" i="55"/>
  <c r="L337" i="55"/>
  <c r="L336" i="55"/>
  <c r="L335" i="55"/>
  <c r="L334" i="55"/>
  <c r="L333" i="55"/>
  <c r="L332" i="55"/>
  <c r="L331" i="55"/>
  <c r="O146" i="55"/>
  <c r="L146" i="55"/>
  <c r="O145" i="55"/>
  <c r="L145" i="55"/>
  <c r="O144" i="55"/>
  <c r="L144" i="55"/>
  <c r="O143" i="55"/>
  <c r="L143" i="55"/>
  <c r="O142" i="55"/>
  <c r="L142" i="55"/>
  <c r="O141" i="55"/>
  <c r="L141" i="55"/>
  <c r="O140" i="55"/>
  <c r="L140" i="55"/>
  <c r="O139" i="55"/>
  <c r="L139" i="55"/>
  <c r="O138" i="55"/>
  <c r="L138" i="55"/>
  <c r="O137" i="55"/>
  <c r="L137" i="55"/>
  <c r="O136" i="55"/>
  <c r="L136" i="55"/>
  <c r="O135" i="55"/>
  <c r="L135" i="55"/>
  <c r="O134" i="55"/>
  <c r="L134" i="55"/>
  <c r="O133" i="55"/>
  <c r="L133" i="55"/>
  <c r="O132" i="55"/>
  <c r="L132" i="55"/>
  <c r="O131" i="55"/>
  <c r="L131" i="55"/>
  <c r="O130" i="55"/>
  <c r="L130" i="55"/>
  <c r="O129" i="55"/>
  <c r="L129" i="55"/>
  <c r="O128" i="55"/>
  <c r="L128" i="55"/>
  <c r="O127" i="55"/>
  <c r="L127" i="55"/>
  <c r="O126" i="55"/>
  <c r="L126" i="55"/>
  <c r="O125" i="55"/>
  <c r="L125" i="55"/>
  <c r="O124" i="55"/>
  <c r="L124" i="55"/>
  <c r="O123" i="55"/>
  <c r="L123" i="55"/>
  <c r="O122" i="55"/>
  <c r="L122" i="55"/>
  <c r="O121" i="55"/>
  <c r="L121" i="55"/>
  <c r="O120" i="55"/>
  <c r="L120" i="55"/>
  <c r="O119" i="55"/>
  <c r="L119" i="55"/>
  <c r="O118" i="55"/>
  <c r="L118" i="55"/>
  <c r="O117" i="55"/>
  <c r="L117" i="55"/>
  <c r="O116" i="55"/>
  <c r="L116" i="55"/>
  <c r="O115" i="55"/>
  <c r="L115" i="55"/>
  <c r="O114" i="55"/>
  <c r="L114" i="55"/>
  <c r="O113" i="55"/>
  <c r="L113" i="55"/>
  <c r="O112" i="55"/>
  <c r="L112" i="55"/>
  <c r="O111" i="55"/>
  <c r="L111" i="55"/>
  <c r="O110" i="55"/>
  <c r="L110" i="55"/>
  <c r="O109" i="55"/>
  <c r="L109" i="55"/>
  <c r="O108" i="55"/>
  <c r="L108" i="55"/>
  <c r="O107" i="55"/>
  <c r="L107" i="55"/>
  <c r="O106" i="55"/>
  <c r="L106" i="55"/>
  <c r="O105" i="55"/>
  <c r="L105" i="55"/>
  <c r="O104" i="55"/>
  <c r="L104" i="55"/>
  <c r="O103" i="55"/>
  <c r="L103" i="55"/>
  <c r="O102" i="55"/>
  <c r="L102" i="55"/>
  <c r="O101" i="55"/>
  <c r="L101" i="55"/>
  <c r="O100" i="55"/>
  <c r="L100" i="55"/>
  <c r="O99" i="55"/>
  <c r="L99" i="55"/>
  <c r="O98" i="55"/>
  <c r="L98" i="55"/>
  <c r="O97" i="55"/>
  <c r="L97" i="55"/>
  <c r="O96" i="55"/>
  <c r="L96" i="55"/>
  <c r="O95" i="55"/>
  <c r="L95" i="55"/>
  <c r="O94" i="55"/>
  <c r="L94" i="55"/>
  <c r="O93" i="55"/>
  <c r="L93" i="55"/>
  <c r="O92" i="55"/>
  <c r="L92" i="55"/>
  <c r="O91" i="55"/>
  <c r="L91" i="55"/>
  <c r="O90" i="55"/>
  <c r="L90" i="55"/>
  <c r="O89" i="55"/>
  <c r="L89" i="55"/>
  <c r="O88" i="55"/>
  <c r="L88" i="55"/>
  <c r="O87" i="55"/>
  <c r="L87" i="55"/>
  <c r="C66" i="49"/>
  <c r="H43" i="14"/>
  <c r="O154" i="55" l="1"/>
  <c r="O158" i="55"/>
  <c r="O159" i="55"/>
  <c r="O161" i="55"/>
  <c r="O162" i="55"/>
  <c r="O166" i="55"/>
  <c r="O170" i="55"/>
  <c r="O171" i="55"/>
  <c r="O174" i="55"/>
  <c r="O179" i="55"/>
  <c r="O181" i="55"/>
  <c r="O182" i="55"/>
  <c r="O186" i="55"/>
  <c r="O190" i="55"/>
  <c r="O194" i="55"/>
  <c r="O199" i="55"/>
  <c r="O202" i="55"/>
  <c r="O205" i="55"/>
  <c r="O206" i="55"/>
  <c r="O210" i="55"/>
  <c r="O214" i="55"/>
  <c r="O217" i="55"/>
  <c r="O222" i="55"/>
  <c r="O223" i="55"/>
  <c r="O225" i="55"/>
  <c r="O226" i="55"/>
  <c r="O230" i="55"/>
  <c r="O234" i="55"/>
  <c r="O235" i="55"/>
  <c r="O238" i="55"/>
  <c r="O242" i="55"/>
  <c r="O243" i="55"/>
  <c r="O245" i="55"/>
  <c r="O250" i="55"/>
  <c r="O254" i="55"/>
  <c r="O258" i="55"/>
  <c r="O262" i="55"/>
  <c r="O263" i="55"/>
  <c r="O269" i="55"/>
  <c r="O270" i="55"/>
  <c r="O278" i="55"/>
  <c r="O281" i="55"/>
  <c r="O286" i="55"/>
  <c r="O287" i="55"/>
  <c r="O289" i="55"/>
  <c r="O290" i="55"/>
  <c r="O294" i="55"/>
  <c r="O299" i="55"/>
  <c r="O302" i="55"/>
  <c r="O306" i="55"/>
  <c r="O307" i="55"/>
  <c r="O309" i="55"/>
  <c r="O310" i="55"/>
  <c r="O314" i="55"/>
  <c r="O318" i="55"/>
  <c r="O322" i="55"/>
  <c r="O327" i="55"/>
  <c r="O330" i="55"/>
  <c r="O333" i="55"/>
  <c r="O334" i="55"/>
  <c r="O338" i="55"/>
  <c r="O342" i="55"/>
  <c r="O345" i="55"/>
  <c r="O346" i="55"/>
  <c r="O350" i="55"/>
  <c r="O351" i="55"/>
  <c r="O353" i="55"/>
  <c r="O354" i="55"/>
  <c r="O362" i="55"/>
  <c r="O363" i="55"/>
  <c r="O366" i="55"/>
  <c r="O370" i="55"/>
  <c r="O371" i="55"/>
  <c r="O373" i="55"/>
  <c r="O374" i="55"/>
  <c r="O378" i="55"/>
  <c r="O382" i="55"/>
  <c r="O386" i="55"/>
  <c r="O390" i="55"/>
  <c r="O391" i="55"/>
  <c r="O397" i="55"/>
  <c r="O398" i="55"/>
  <c r="O406" i="55"/>
  <c r="O409" i="55"/>
  <c r="O414" i="55"/>
  <c r="O415" i="55"/>
  <c r="O417" i="55"/>
  <c r="O418" i="55"/>
  <c r="O422" i="55"/>
  <c r="O427" i="55"/>
  <c r="O430" i="55"/>
  <c r="O434" i="55"/>
  <c r="O435" i="55"/>
  <c r="O437" i="55"/>
  <c r="O438" i="55"/>
  <c r="O442" i="55"/>
  <c r="O446" i="55"/>
  <c r="O450" i="55"/>
  <c r="O455" i="55"/>
  <c r="O458" i="55"/>
  <c r="O461" i="55"/>
  <c r="O462" i="55"/>
  <c r="O152" i="55"/>
  <c r="O155" i="55"/>
  <c r="O156" i="55"/>
  <c r="O160" i="55"/>
  <c r="O163" i="55"/>
  <c r="O164" i="55"/>
  <c r="O168" i="55"/>
  <c r="O175" i="55"/>
  <c r="O176" i="55"/>
  <c r="O178" i="55"/>
  <c r="O180" i="55"/>
  <c r="O184" i="55"/>
  <c r="O191" i="55"/>
  <c r="O192" i="55"/>
  <c r="O195" i="55"/>
  <c r="O196" i="55"/>
  <c r="O198" i="55"/>
  <c r="O200" i="55"/>
  <c r="O207" i="55"/>
  <c r="O208" i="55"/>
  <c r="O211" i="55"/>
  <c r="O212" i="55"/>
  <c r="O216" i="55"/>
  <c r="O218" i="55"/>
  <c r="O224" i="55"/>
  <c r="O227" i="55"/>
  <c r="O228" i="55"/>
  <c r="O232" i="55"/>
  <c r="O239" i="55"/>
  <c r="O240" i="55"/>
  <c r="O244" i="55"/>
  <c r="O246" i="55"/>
  <c r="O248" i="55"/>
  <c r="O255" i="55"/>
  <c r="O256" i="55"/>
  <c r="O259" i="55"/>
  <c r="O260" i="55"/>
  <c r="O264" i="55"/>
  <c r="O266" i="55"/>
  <c r="O271" i="55"/>
  <c r="O272" i="55"/>
  <c r="O274" i="55"/>
  <c r="O275" i="55"/>
  <c r="O276" i="55"/>
  <c r="O280" i="55"/>
  <c r="O282" i="55"/>
  <c r="O288" i="55"/>
  <c r="O291" i="55"/>
  <c r="O292" i="55"/>
  <c r="O296" i="55"/>
  <c r="O298" i="55"/>
  <c r="O303" i="55"/>
  <c r="O304" i="55"/>
  <c r="O308" i="55"/>
  <c r="O312" i="55"/>
  <c r="O319" i="55"/>
  <c r="O320" i="55"/>
  <c r="O323" i="55"/>
  <c r="O324" i="55"/>
  <c r="O326" i="55"/>
  <c r="O328" i="55"/>
  <c r="O335" i="55"/>
  <c r="O336" i="55"/>
  <c r="O339" i="55"/>
  <c r="O340" i="55"/>
  <c r="O344" i="55"/>
  <c r="O352" i="55"/>
  <c r="O355" i="55"/>
  <c r="O356" i="55"/>
  <c r="O358" i="55"/>
  <c r="O360" i="55"/>
  <c r="O367" i="55"/>
  <c r="O368" i="55"/>
  <c r="O372" i="55"/>
  <c r="O376" i="55"/>
  <c r="O383" i="55"/>
  <c r="O384" i="55"/>
  <c r="O387" i="55"/>
  <c r="O388" i="55"/>
  <c r="O392" i="55"/>
  <c r="O394" i="55"/>
  <c r="O399" i="55"/>
  <c r="O400" i="55"/>
  <c r="O402" i="55"/>
  <c r="O403" i="55"/>
  <c r="O404" i="55"/>
  <c r="O408" i="55"/>
  <c r="O410" i="55"/>
  <c r="O416" i="55"/>
  <c r="O419" i="55"/>
  <c r="O420" i="55"/>
  <c r="O424" i="55"/>
  <c r="O426" i="55"/>
  <c r="O431" i="55"/>
  <c r="O432" i="55"/>
  <c r="O436" i="55"/>
  <c r="O440" i="55"/>
  <c r="O447" i="55"/>
  <c r="O448" i="55"/>
  <c r="O451" i="55"/>
  <c r="O452" i="55"/>
  <c r="O454" i="55"/>
  <c r="O456" i="55"/>
  <c r="O463" i="55"/>
  <c r="O464" i="55"/>
  <c r="O151" i="55"/>
  <c r="O153" i="55"/>
  <c r="O157" i="55"/>
  <c r="O165" i="55"/>
  <c r="O167" i="55"/>
  <c r="O169" i="55"/>
  <c r="O172" i="55"/>
  <c r="O173" i="55"/>
  <c r="O177" i="55"/>
  <c r="O183" i="55"/>
  <c r="O185" i="55"/>
  <c r="O187" i="55"/>
  <c r="O188" i="55"/>
  <c r="O189" i="55"/>
  <c r="O193" i="55"/>
  <c r="O197" i="55"/>
  <c r="O201" i="55"/>
  <c r="O203" i="55"/>
  <c r="O204" i="55"/>
  <c r="O209" i="55"/>
  <c r="O213" i="55"/>
  <c r="O215" i="55"/>
  <c r="O219" i="55"/>
  <c r="O220" i="55"/>
  <c r="O221" i="55"/>
  <c r="O229" i="55"/>
  <c r="O231" i="55"/>
  <c r="O233" i="55"/>
  <c r="O236" i="55"/>
  <c r="O237" i="55"/>
  <c r="O241" i="55"/>
  <c r="O247" i="55"/>
  <c r="O249" i="55"/>
  <c r="O251" i="55"/>
  <c r="O252" i="55"/>
  <c r="O253" i="55"/>
  <c r="O257" i="55"/>
  <c r="O261" i="55"/>
  <c r="O265" i="55"/>
  <c r="O267" i="55"/>
  <c r="O268" i="55"/>
  <c r="O273" i="55"/>
  <c r="O277" i="55"/>
  <c r="O279" i="55"/>
  <c r="O283" i="55"/>
  <c r="O284" i="55"/>
  <c r="O285" i="55"/>
  <c r="O293" i="55"/>
  <c r="O295" i="55"/>
  <c r="O297" i="55"/>
  <c r="O300" i="55"/>
  <c r="O301" i="55"/>
  <c r="O305" i="55"/>
  <c r="O311" i="55"/>
  <c r="O313" i="55"/>
  <c r="O315" i="55"/>
  <c r="O316" i="55"/>
  <c r="O317" i="55"/>
  <c r="O321" i="55"/>
  <c r="O325" i="55"/>
  <c r="O329" i="55"/>
  <c r="O331" i="55"/>
  <c r="O332" i="55"/>
  <c r="O337" i="55"/>
  <c r="O341" i="55"/>
  <c r="O343" i="55"/>
  <c r="O347" i="55"/>
  <c r="O348" i="55"/>
  <c r="O349" i="55"/>
  <c r="O357" i="55"/>
  <c r="O359" i="55"/>
  <c r="O361" i="55"/>
  <c r="O364" i="55"/>
  <c r="O365" i="55"/>
  <c r="O369" i="55"/>
  <c r="O375" i="55"/>
  <c r="O377" i="55"/>
  <c r="O379" i="55"/>
  <c r="O380" i="55"/>
  <c r="O381" i="55"/>
  <c r="O385" i="55"/>
  <c r="O389" i="55"/>
  <c r="O393" i="55"/>
  <c r="O395" i="55"/>
  <c r="O396" i="55"/>
  <c r="O401" i="55"/>
  <c r="O405" i="55"/>
  <c r="O407" i="55"/>
  <c r="O411" i="55"/>
  <c r="O412" i="55"/>
  <c r="O413" i="55"/>
  <c r="O421" i="55"/>
  <c r="O423" i="55"/>
  <c r="O425" i="55"/>
  <c r="O428" i="55"/>
  <c r="O429" i="55"/>
  <c r="O433" i="55"/>
  <c r="O439" i="55"/>
  <c r="O441" i="55"/>
  <c r="O443" i="55"/>
  <c r="O444" i="55"/>
  <c r="O445" i="55"/>
  <c r="O449" i="55"/>
  <c r="O453" i="55"/>
  <c r="O457" i="55"/>
  <c r="O459" i="55"/>
  <c r="O460" i="55"/>
  <c r="O465" i="55"/>
  <c r="U64" i="56"/>
  <c r="U65" i="56"/>
  <c r="U66" i="56"/>
  <c r="U67" i="56"/>
  <c r="U68" i="56"/>
  <c r="U69" i="56"/>
  <c r="U70" i="56"/>
  <c r="U71" i="56"/>
  <c r="U72" i="56"/>
  <c r="U73" i="56"/>
  <c r="U74" i="56"/>
  <c r="U63" i="56"/>
  <c r="J244" i="29" l="1"/>
  <c r="J222" i="29"/>
  <c r="J171" i="29"/>
  <c r="J149" i="29"/>
  <c r="J127" i="29"/>
  <c r="J83" i="29"/>
  <c r="J61" i="29"/>
  <c r="J39" i="29"/>
  <c r="J17" i="29"/>
  <c r="J105" i="29"/>
  <c r="J193" i="29"/>
  <c r="J182" i="29"/>
  <c r="I29" i="7" l="1"/>
  <c r="I25" i="7"/>
  <c r="G25" i="7"/>
  <c r="I54" i="7"/>
  <c r="I55" i="7"/>
  <c r="A114" i="53" l="1"/>
  <c r="A115" i="53" s="1"/>
  <c r="A116" i="53"/>
  <c r="A117" i="53" s="1"/>
  <c r="D114" i="53"/>
  <c r="D120" i="53"/>
  <c r="A166" i="53"/>
  <c r="A167" i="53" s="1"/>
  <c r="A165" i="53"/>
  <c r="A158" i="53"/>
  <c r="A159" i="53" s="1"/>
  <c r="A172" i="53"/>
  <c r="A170" i="53"/>
  <c r="A171" i="53" s="1"/>
  <c r="A168" i="53"/>
  <c r="A169" i="53" s="1"/>
  <c r="A160" i="53"/>
  <c r="A161" i="53" s="1"/>
  <c r="A156" i="53"/>
  <c r="A157" i="53" s="1"/>
  <c r="A144" i="53"/>
  <c r="A145" i="53" s="1"/>
  <c r="A142" i="53"/>
  <c r="A143" i="53" s="1"/>
  <c r="A140" i="53"/>
  <c r="A141" i="53" s="1"/>
  <c r="A138" i="53"/>
  <c r="A139" i="53" s="1"/>
  <c r="A136" i="53"/>
  <c r="A137" i="53" s="1"/>
  <c r="A134" i="53"/>
  <c r="A135" i="53" s="1"/>
  <c r="A132" i="53"/>
  <c r="A133" i="53" s="1"/>
  <c r="A130" i="53"/>
  <c r="A131" i="53" s="1"/>
  <c r="A128" i="53"/>
  <c r="A129" i="53" s="1"/>
  <c r="A126" i="53"/>
  <c r="A127" i="53" s="1"/>
  <c r="A124" i="53"/>
  <c r="A125" i="53" s="1"/>
  <c r="A122" i="53"/>
  <c r="A123" i="53" s="1"/>
  <c r="A120" i="53"/>
  <c r="A121" i="53" s="1"/>
  <c r="A118" i="53"/>
  <c r="A119" i="53" s="1"/>
  <c r="A98" i="53"/>
  <c r="A99" i="53" s="1"/>
  <c r="A83" i="53"/>
  <c r="A84" i="53" s="1"/>
  <c r="A81" i="53"/>
  <c r="A82" i="53" s="1"/>
  <c r="A73" i="53"/>
  <c r="A74" i="53" s="1"/>
  <c r="A60" i="53"/>
  <c r="A61" i="53" s="1"/>
  <c r="A38" i="53"/>
  <c r="A39" i="53" s="1"/>
  <c r="A36" i="53"/>
  <c r="A37" i="53" s="1"/>
  <c r="A34" i="53"/>
  <c r="A35" i="53" s="1"/>
  <c r="A32" i="53"/>
  <c r="A33" i="53" s="1"/>
  <c r="A28" i="53"/>
  <c r="A29" i="53" s="1"/>
  <c r="A26" i="53"/>
  <c r="A27" i="53" s="1"/>
  <c r="A24" i="53"/>
  <c r="A25" i="53" s="1"/>
  <c r="A22" i="53"/>
  <c r="A23" i="53" s="1"/>
  <c r="A20" i="53"/>
  <c r="A21" i="53" s="1"/>
  <c r="A18" i="53"/>
  <c r="A19" i="53" s="1"/>
  <c r="A16" i="53"/>
  <c r="A17" i="53" s="1"/>
  <c r="A14" i="53"/>
  <c r="A12" i="53" s="1"/>
  <c r="A13" i="53" s="1"/>
  <c r="D170" i="53"/>
  <c r="D158" i="53"/>
  <c r="D168" i="53"/>
  <c r="D160" i="53"/>
  <c r="D166" i="5"/>
  <c r="K166" i="53"/>
  <c r="J166" i="53"/>
  <c r="I166" i="53"/>
  <c r="G166" i="53"/>
  <c r="F166" i="53"/>
  <c r="K165" i="53"/>
  <c r="J165" i="53"/>
  <c r="I165" i="53"/>
  <c r="G165" i="53"/>
  <c r="F165" i="53"/>
  <c r="D166" i="53"/>
  <c r="D165" i="53"/>
  <c r="D142" i="53"/>
  <c r="D156" i="53"/>
  <c r="D144" i="53"/>
  <c r="J148" i="53"/>
  <c r="J149" i="53"/>
  <c r="J150" i="53"/>
  <c r="J151" i="53"/>
  <c r="J152" i="53"/>
  <c r="J153" i="53"/>
  <c r="I149" i="53"/>
  <c r="I150" i="53"/>
  <c r="I151" i="53"/>
  <c r="I152" i="53"/>
  <c r="I153" i="53"/>
  <c r="I148" i="53"/>
  <c r="D140" i="53"/>
  <c r="D140" i="5"/>
  <c r="D136" i="53"/>
  <c r="D138" i="53"/>
  <c r="D132" i="53"/>
  <c r="D134" i="53"/>
  <c r="D130" i="53"/>
  <c r="D126" i="53"/>
  <c r="D128" i="53"/>
  <c r="D124" i="53"/>
  <c r="D122" i="53"/>
  <c r="D118" i="53"/>
  <c r="D26" i="53"/>
  <c r="D116" i="53"/>
  <c r="D98" i="53"/>
  <c r="J111" i="53"/>
  <c r="I111" i="53"/>
  <c r="H111" i="53"/>
  <c r="F111" i="53"/>
  <c r="J110" i="53"/>
  <c r="I110" i="53"/>
  <c r="H110" i="53"/>
  <c r="F110" i="53"/>
  <c r="J109" i="53"/>
  <c r="I109" i="53"/>
  <c r="I112" i="53" s="1"/>
  <c r="H109" i="53"/>
  <c r="H112" i="53" s="1"/>
  <c r="F109" i="53"/>
  <c r="F102" i="53"/>
  <c r="J104" i="53"/>
  <c r="I104" i="53"/>
  <c r="H104" i="53"/>
  <c r="F104" i="53"/>
  <c r="J103" i="53"/>
  <c r="I103" i="53"/>
  <c r="H103" i="53"/>
  <c r="F103" i="53"/>
  <c r="J102" i="53"/>
  <c r="I102" i="53"/>
  <c r="H102" i="53"/>
  <c r="F112" i="53"/>
  <c r="D111" i="53"/>
  <c r="D110" i="53"/>
  <c r="D109" i="53"/>
  <c r="F105" i="53"/>
  <c r="D83" i="53"/>
  <c r="D81" i="53"/>
  <c r="D73" i="53"/>
  <c r="K62" i="53"/>
  <c r="J146" i="53" s="1"/>
  <c r="K60" i="5"/>
  <c r="J62" i="53"/>
  <c r="J75" i="53" s="1"/>
  <c r="J60" i="5"/>
  <c r="D60" i="53"/>
  <c r="K64" i="53"/>
  <c r="K65" i="53"/>
  <c r="K66" i="53"/>
  <c r="K67" i="53"/>
  <c r="J65" i="53"/>
  <c r="J66" i="53"/>
  <c r="J67" i="53"/>
  <c r="J64" i="53"/>
  <c r="E65" i="53"/>
  <c r="E66" i="53"/>
  <c r="E67" i="53"/>
  <c r="E64" i="53"/>
  <c r="K40" i="53"/>
  <c r="K85" i="53" s="1"/>
  <c r="J40" i="53"/>
  <c r="J85" i="53" s="1"/>
  <c r="D38" i="53"/>
  <c r="D36" i="53"/>
  <c r="D34" i="53"/>
  <c r="D32" i="53"/>
  <c r="D28" i="53"/>
  <c r="D24" i="53"/>
  <c r="D20" i="53"/>
  <c r="D18" i="53"/>
  <c r="D16" i="53"/>
  <c r="D12" i="53"/>
  <c r="D12" i="5"/>
  <c r="H105" i="53" l="1"/>
  <c r="I105" i="53"/>
  <c r="J105" i="53"/>
  <c r="A150" i="53"/>
  <c r="A65" i="53"/>
  <c r="A162" i="53"/>
  <c r="A164" i="53" s="1"/>
  <c r="A67" i="53"/>
  <c r="A151" i="53"/>
  <c r="A66" i="53"/>
  <c r="A104" i="53"/>
  <c r="A111" i="53" s="1"/>
  <c r="A152" i="53"/>
  <c r="A103" i="53"/>
  <c r="A110" i="53" s="1"/>
  <c r="A102" i="53"/>
  <c r="A109" i="53" s="1"/>
  <c r="A148" i="53"/>
  <c r="A64" i="53"/>
  <c r="A153" i="53"/>
  <c r="A149" i="53"/>
  <c r="A15" i="53"/>
  <c r="A105" i="53"/>
  <c r="A112" i="53" s="1"/>
  <c r="A113" i="53" s="1"/>
  <c r="A163" i="53"/>
  <c r="A10" i="53"/>
  <c r="A11" i="53" s="1"/>
  <c r="K75" i="53"/>
  <c r="J69" i="53"/>
  <c r="J112" i="53"/>
  <c r="F163" i="53"/>
  <c r="K69" i="53"/>
  <c r="I146" i="53"/>
  <c r="J154" i="53"/>
  <c r="I154" i="53"/>
  <c r="A30" i="52"/>
  <c r="J489" i="46"/>
  <c r="J490" i="46"/>
  <c r="J491" i="46"/>
  <c r="J492" i="46"/>
  <c r="I490" i="46"/>
  <c r="I491" i="46"/>
  <c r="I492" i="46"/>
  <c r="I489" i="46"/>
  <c r="A315" i="50"/>
  <c r="A318" i="50"/>
  <c r="A321" i="50"/>
  <c r="G514" i="50"/>
  <c r="G515" i="50" s="1"/>
  <c r="F514" i="50"/>
  <c r="F515" i="50" s="1"/>
  <c r="A513" i="50"/>
  <c r="A516" i="50"/>
  <c r="F457" i="50"/>
  <c r="G457" i="50"/>
  <c r="K457" i="50" s="1"/>
  <c r="J205" i="46" s="1"/>
  <c r="H457" i="50"/>
  <c r="L457" i="50" s="1"/>
  <c r="G433" i="50"/>
  <c r="G434" i="50" s="1"/>
  <c r="F433" i="50"/>
  <c r="J433" i="50" s="1"/>
  <c r="J434" i="50" s="1"/>
  <c r="G118" i="8" s="1"/>
  <c r="A435" i="50"/>
  <c r="F407" i="50"/>
  <c r="J407" i="50" s="1"/>
  <c r="G407" i="50"/>
  <c r="K407" i="50" s="1"/>
  <c r="H407" i="50"/>
  <c r="L407" i="50" s="1"/>
  <c r="G383" i="50"/>
  <c r="G384" i="50" s="1"/>
  <c r="G380" i="50"/>
  <c r="G381" i="50" s="1"/>
  <c r="F383" i="50"/>
  <c r="F384" i="50" s="1"/>
  <c r="F380" i="50"/>
  <c r="J380" i="50" s="1"/>
  <c r="J381" i="50" s="1"/>
  <c r="G109" i="8" s="1"/>
  <c r="A379" i="50"/>
  <c r="A382" i="50"/>
  <c r="A385" i="50"/>
  <c r="F358" i="50"/>
  <c r="G358" i="50"/>
  <c r="K358" i="50" s="1"/>
  <c r="J167" i="46" s="1"/>
  <c r="H358" i="50"/>
  <c r="L358" i="50" s="1"/>
  <c r="F319" i="50"/>
  <c r="J319" i="50" s="1"/>
  <c r="J320" i="50" s="1"/>
  <c r="G100" i="8" s="1"/>
  <c r="F316" i="50"/>
  <c r="F317" i="50" s="1"/>
  <c r="G319" i="50"/>
  <c r="K319" i="50" s="1"/>
  <c r="K320" i="50" s="1"/>
  <c r="H100" i="8" s="1"/>
  <c r="G316" i="50"/>
  <c r="K316" i="50" s="1"/>
  <c r="K317" i="50" s="1"/>
  <c r="H99" i="8" s="1"/>
  <c r="G313" i="50"/>
  <c r="K313" i="50" s="1"/>
  <c r="J145" i="46" s="1"/>
  <c r="F313" i="50"/>
  <c r="J30" i="31"/>
  <c r="K30" i="31"/>
  <c r="J31" i="31"/>
  <c r="K31" i="31"/>
  <c r="J32" i="31"/>
  <c r="K32" i="31"/>
  <c r="K29" i="31"/>
  <c r="J29" i="31"/>
  <c r="J26" i="31"/>
  <c r="A441" i="31"/>
  <c r="A442" i="31" s="1"/>
  <c r="A376" i="31"/>
  <c r="A377" i="31" s="1"/>
  <c r="D376" i="31"/>
  <c r="J411" i="31"/>
  <c r="I411" i="31"/>
  <c r="I407" i="31"/>
  <c r="J410" i="31"/>
  <c r="J409" i="31"/>
  <c r="G433" i="13"/>
  <c r="K433" i="13" s="1"/>
  <c r="F433" i="13"/>
  <c r="F434" i="13" s="1"/>
  <c r="D375" i="29"/>
  <c r="F457" i="13"/>
  <c r="J457" i="13" s="1"/>
  <c r="G457" i="13"/>
  <c r="K457" i="13" s="1"/>
  <c r="J586" i="5" s="1"/>
  <c r="H457" i="13"/>
  <c r="L457" i="13" s="1"/>
  <c r="G514" i="13"/>
  <c r="K514" i="13" s="1"/>
  <c r="H147" i="49" s="1"/>
  <c r="F514" i="13"/>
  <c r="J514" i="13" s="1"/>
  <c r="G147" i="49" s="1"/>
  <c r="A513" i="13"/>
  <c r="A516" i="13"/>
  <c r="F407" i="13"/>
  <c r="G407" i="13"/>
  <c r="K407" i="13" s="1"/>
  <c r="J566" i="5" s="1"/>
  <c r="H407" i="13"/>
  <c r="L407" i="13" s="1"/>
  <c r="A385" i="13"/>
  <c r="G383" i="13"/>
  <c r="K383" i="13" s="1"/>
  <c r="K384" i="13" s="1"/>
  <c r="G380" i="13"/>
  <c r="K380" i="13" s="1"/>
  <c r="K381" i="13" s="1"/>
  <c r="F380" i="13"/>
  <c r="J380" i="13" s="1"/>
  <c r="J381" i="13" s="1"/>
  <c r="F383" i="13"/>
  <c r="J383" i="13" s="1"/>
  <c r="J384" i="13" s="1"/>
  <c r="A379" i="13"/>
  <c r="A382" i="13"/>
  <c r="F358" i="13"/>
  <c r="G358" i="13"/>
  <c r="K358" i="13" s="1"/>
  <c r="J480" i="5" s="1"/>
  <c r="H358" i="13"/>
  <c r="L358" i="13" s="1"/>
  <c r="I53" i="7" s="1"/>
  <c r="G319" i="13"/>
  <c r="K319" i="13" s="1"/>
  <c r="K320" i="13" s="1"/>
  <c r="G316" i="13"/>
  <c r="G317" i="13" s="1"/>
  <c r="F319" i="13"/>
  <c r="F316" i="13"/>
  <c r="J316" i="13" s="1"/>
  <c r="J317" i="13" s="1"/>
  <c r="G313" i="13"/>
  <c r="K313" i="13" s="1"/>
  <c r="J458" i="5" s="1"/>
  <c r="F313" i="13"/>
  <c r="J313" i="13" s="1"/>
  <c r="I458" i="5" s="1"/>
  <c r="D342" i="29"/>
  <c r="D374" i="29"/>
  <c r="D363" i="29"/>
  <c r="D321" i="29"/>
  <c r="D322" i="29"/>
  <c r="D278" i="29"/>
  <c r="D303" i="29"/>
  <c r="D279" i="29"/>
  <c r="D280" i="29"/>
  <c r="A62" i="53" l="1"/>
  <c r="A63" i="53" s="1"/>
  <c r="A489" i="46"/>
  <c r="A491" i="46"/>
  <c r="A490" i="46"/>
  <c r="A100" i="8"/>
  <c r="A154" i="53"/>
  <c r="A146" i="53" s="1"/>
  <c r="A147" i="53" s="1"/>
  <c r="A96" i="53"/>
  <c r="A97" i="53" s="1"/>
  <c r="A69" i="53"/>
  <c r="A70" i="53" s="1"/>
  <c r="A107" i="53"/>
  <c r="A108" i="53" s="1"/>
  <c r="H130" i="49"/>
  <c r="A31" i="31"/>
  <c r="A30" i="31"/>
  <c r="A32" i="31"/>
  <c r="H139" i="49"/>
  <c r="K434" i="13"/>
  <c r="A458" i="5"/>
  <c r="I56" i="7"/>
  <c r="I57" i="7" s="1"/>
  <c r="J433" i="13"/>
  <c r="G131" i="49"/>
  <c r="I404" i="31" s="1"/>
  <c r="K514" i="50"/>
  <c r="K515" i="50" s="1"/>
  <c r="H126" i="8" s="1"/>
  <c r="A316" i="50"/>
  <c r="H121" i="49"/>
  <c r="H131" i="49"/>
  <c r="A319" i="50"/>
  <c r="J514" i="50"/>
  <c r="J515" i="50" s="1"/>
  <c r="G126" i="8" s="1"/>
  <c r="A457" i="13"/>
  <c r="G434" i="13"/>
  <c r="A434" i="13" s="1"/>
  <c r="G120" i="49"/>
  <c r="G130" i="49"/>
  <c r="I406" i="31" s="1"/>
  <c r="I586" i="5"/>
  <c r="A586" i="5" s="1"/>
  <c r="A514" i="50"/>
  <c r="A100" i="53"/>
  <c r="A101" i="53" s="1"/>
  <c r="A106" i="53"/>
  <c r="A492" i="46"/>
  <c r="A515" i="50"/>
  <c r="A457" i="50"/>
  <c r="F434" i="50"/>
  <c r="A434" i="50" s="1"/>
  <c r="J457" i="50"/>
  <c r="I205" i="46" s="1"/>
  <c r="A205" i="46" s="1"/>
  <c r="K433" i="50"/>
  <c r="K434" i="50" s="1"/>
  <c r="H118" i="8" s="1"/>
  <c r="A118" i="8" s="1"/>
  <c r="A433" i="50"/>
  <c r="A384" i="50"/>
  <c r="A407" i="50"/>
  <c r="F381" i="50"/>
  <c r="A381" i="50" s="1"/>
  <c r="J383" i="50"/>
  <c r="J384" i="50" s="1"/>
  <c r="G110" i="8" s="1"/>
  <c r="K380" i="50"/>
  <c r="K381" i="50" s="1"/>
  <c r="H109" i="8" s="1"/>
  <c r="A109" i="8" s="1"/>
  <c r="K383" i="50"/>
  <c r="K384" i="50" s="1"/>
  <c r="H110" i="8" s="1"/>
  <c r="A380" i="50"/>
  <c r="A383" i="50"/>
  <c r="A358" i="50"/>
  <c r="J358" i="50"/>
  <c r="I167" i="46" s="1"/>
  <c r="A167" i="46" s="1"/>
  <c r="F320" i="50"/>
  <c r="G320" i="50"/>
  <c r="J313" i="50"/>
  <c r="I145" i="46" s="1"/>
  <c r="A145" i="46" s="1"/>
  <c r="G317" i="50"/>
  <c r="A317" i="50" s="1"/>
  <c r="J316" i="50"/>
  <c r="J317" i="50" s="1"/>
  <c r="G99" i="8" s="1"/>
  <c r="A99" i="8" s="1"/>
  <c r="A313" i="50"/>
  <c r="A29" i="31"/>
  <c r="A374" i="31"/>
  <c r="A375" i="31" s="1"/>
  <c r="A147" i="49"/>
  <c r="A433" i="13"/>
  <c r="F515" i="13"/>
  <c r="G515" i="13"/>
  <c r="K515" i="13" s="1"/>
  <c r="A514" i="13"/>
  <c r="A407" i="13"/>
  <c r="J407" i="13"/>
  <c r="I566" i="5" s="1"/>
  <c r="A566" i="5" s="1"/>
  <c r="F381" i="13"/>
  <c r="G381" i="13"/>
  <c r="F384" i="13"/>
  <c r="G384" i="13"/>
  <c r="A383" i="13"/>
  <c r="A380" i="13"/>
  <c r="A358" i="13"/>
  <c r="J358" i="13"/>
  <c r="G320" i="13"/>
  <c r="A319" i="13"/>
  <c r="F320" i="13"/>
  <c r="J319" i="13"/>
  <c r="K316" i="13"/>
  <c r="A316" i="13"/>
  <c r="F317" i="13"/>
  <c r="A317" i="13" s="1"/>
  <c r="A313" i="13"/>
  <c r="A155" i="53" l="1"/>
  <c r="A126" i="8"/>
  <c r="A110" i="8"/>
  <c r="A68" i="53"/>
  <c r="A131" i="49"/>
  <c r="A130" i="49"/>
  <c r="J320" i="13"/>
  <c r="G54" i="7" s="1"/>
  <c r="G121" i="49"/>
  <c r="A121" i="49" s="1"/>
  <c r="K317" i="13"/>
  <c r="H120" i="49"/>
  <c r="A120" i="49" s="1"/>
  <c r="G139" i="49"/>
  <c r="J434" i="13"/>
  <c r="G53" i="7"/>
  <c r="I480" i="5"/>
  <c r="A480" i="5" s="1"/>
  <c r="A320" i="50"/>
  <c r="G56" i="7"/>
  <c r="A515" i="13"/>
  <c r="J515" i="13"/>
  <c r="G55" i="7" s="1"/>
  <c r="A381" i="13"/>
  <c r="A384" i="13"/>
  <c r="A320" i="13"/>
  <c r="G57" i="7" l="1"/>
  <c r="I410" i="31"/>
  <c r="K410" i="31" s="1"/>
  <c r="A139" i="49"/>
  <c r="I431" i="31"/>
  <c r="I430" i="31"/>
  <c r="I427" i="31"/>
  <c r="I426" i="31"/>
  <c r="J439" i="31"/>
  <c r="J438" i="31"/>
  <c r="J436" i="31"/>
  <c r="J435" i="31"/>
  <c r="J433" i="31"/>
  <c r="J426" i="31"/>
  <c r="J427" i="31"/>
  <c r="K427" i="31" s="1"/>
  <c r="J428" i="31"/>
  <c r="J429" i="31"/>
  <c r="J430" i="31"/>
  <c r="J431" i="31"/>
  <c r="J432" i="31"/>
  <c r="J425" i="31"/>
  <c r="J423" i="31"/>
  <c r="J422" i="31"/>
  <c r="J416" i="31"/>
  <c r="J415" i="31"/>
  <c r="J413" i="31"/>
  <c r="J412" i="31"/>
  <c r="J407" i="31"/>
  <c r="K407" i="31" s="1"/>
  <c r="J406" i="31"/>
  <c r="K406" i="31" s="1"/>
  <c r="J404" i="31"/>
  <c r="K404" i="31" s="1"/>
  <c r="J405" i="31"/>
  <c r="J403" i="31"/>
  <c r="J396" i="31"/>
  <c r="J389" i="31"/>
  <c r="J385" i="31"/>
  <c r="J386" i="31"/>
  <c r="J387" i="31"/>
  <c r="J384" i="31"/>
  <c r="J382" i="31"/>
  <c r="I382" i="31"/>
  <c r="J381" i="31"/>
  <c r="I381" i="31"/>
  <c r="D441" i="31"/>
  <c r="D445" i="31"/>
  <c r="K411" i="31"/>
  <c r="D365" i="31"/>
  <c r="B374" i="31"/>
  <c r="K430" i="31" l="1"/>
  <c r="K431" i="31"/>
  <c r="J417" i="31"/>
  <c r="K426" i="31"/>
  <c r="J434" i="31"/>
  <c r="J437" i="31" s="1"/>
  <c r="K382" i="31"/>
  <c r="J383" i="31"/>
  <c r="J388" i="31" s="1"/>
  <c r="J390" i="31" s="1"/>
  <c r="J395" i="31" s="1"/>
  <c r="J397" i="31" s="1"/>
  <c r="J408" i="31"/>
  <c r="I383" i="31"/>
  <c r="K381" i="31"/>
  <c r="C69" i="5"/>
  <c r="C30" i="5"/>
  <c r="C10" i="5"/>
  <c r="D416" i="18"/>
  <c r="D412" i="18"/>
  <c r="C366" i="18"/>
  <c r="C278" i="18"/>
  <c r="C36" i="7"/>
  <c r="C10" i="7"/>
  <c r="C39" i="6"/>
  <c r="I155" i="7"/>
  <c r="I154" i="7"/>
  <c r="A163" i="5"/>
  <c r="A162" i="5" s="1"/>
  <c r="A164" i="5"/>
  <c r="G163" i="5"/>
  <c r="A174" i="5"/>
  <c r="J146" i="5"/>
  <c r="J147" i="5"/>
  <c r="J148" i="5"/>
  <c r="J149" i="5"/>
  <c r="J150" i="5"/>
  <c r="J151" i="5"/>
  <c r="I147" i="5"/>
  <c r="I148" i="5"/>
  <c r="I149" i="5"/>
  <c r="I150" i="5"/>
  <c r="I151" i="5"/>
  <c r="I146" i="5"/>
  <c r="J204" i="29"/>
  <c r="K383" i="31" l="1"/>
  <c r="J414" i="31"/>
  <c r="J398" i="31"/>
  <c r="A160" i="5"/>
  <c r="A161" i="5"/>
  <c r="J152" i="5"/>
  <c r="I152" i="5"/>
  <c r="A165" i="5"/>
  <c r="A153" i="5"/>
  <c r="A111" i="5"/>
  <c r="A104" i="5"/>
  <c r="A97" i="5"/>
  <c r="A93" i="5"/>
  <c r="A170" i="5"/>
  <c r="A171" i="5" s="1"/>
  <c r="A168" i="5"/>
  <c r="A169" i="5" s="1"/>
  <c r="A166" i="5"/>
  <c r="A167" i="5" s="1"/>
  <c r="A158" i="5"/>
  <c r="A159" i="5" s="1"/>
  <c r="A156" i="5"/>
  <c r="A157" i="5" s="1"/>
  <c r="A154" i="5"/>
  <c r="A155" i="5" s="1"/>
  <c r="A142" i="5"/>
  <c r="A143" i="5" s="1"/>
  <c r="A140" i="5"/>
  <c r="A141" i="5" s="1"/>
  <c r="A138" i="5"/>
  <c r="A139" i="5" s="1"/>
  <c r="A136" i="5"/>
  <c r="A137" i="5" s="1"/>
  <c r="A134" i="5"/>
  <c r="A135" i="5" s="1"/>
  <c r="A132" i="5"/>
  <c r="A133" i="5" s="1"/>
  <c r="A130" i="5"/>
  <c r="A131" i="5" s="1"/>
  <c r="A128" i="5"/>
  <c r="A129" i="5" s="1"/>
  <c r="A126" i="5"/>
  <c r="A127" i="5" s="1"/>
  <c r="A124" i="5"/>
  <c r="A125" i="5" s="1"/>
  <c r="A122" i="5"/>
  <c r="A123" i="5" s="1"/>
  <c r="A120" i="5"/>
  <c r="A121" i="5" s="1"/>
  <c r="A118" i="5"/>
  <c r="A119" i="5" s="1"/>
  <c r="A116" i="5"/>
  <c r="A114" i="5"/>
  <c r="A115" i="5" s="1"/>
  <c r="A112" i="5"/>
  <c r="A113" i="5" s="1"/>
  <c r="A81" i="5"/>
  <c r="A82" i="5" s="1"/>
  <c r="A79" i="5"/>
  <c r="A80" i="5" s="1"/>
  <c r="A71" i="5"/>
  <c r="A72" i="5" s="1"/>
  <c r="A58" i="5"/>
  <c r="A59" i="5" s="1"/>
  <c r="A28" i="5"/>
  <c r="A26" i="5"/>
  <c r="A24" i="5"/>
  <c r="A22" i="5"/>
  <c r="A20" i="5"/>
  <c r="A18" i="5"/>
  <c r="A16" i="5"/>
  <c r="A14" i="5"/>
  <c r="A12" i="5"/>
  <c r="D170" i="5"/>
  <c r="D168" i="5"/>
  <c r="D156" i="5"/>
  <c r="K164" i="5"/>
  <c r="J164" i="5"/>
  <c r="I164" i="5"/>
  <c r="K163" i="5"/>
  <c r="J163" i="5"/>
  <c r="I163" i="5"/>
  <c r="G164" i="5"/>
  <c r="F164" i="5"/>
  <c r="F163" i="5"/>
  <c r="D164" i="5"/>
  <c r="D163" i="5"/>
  <c r="D158" i="5"/>
  <c r="D154" i="5"/>
  <c r="D142" i="5"/>
  <c r="D118" i="5"/>
  <c r="D138" i="5"/>
  <c r="D136" i="5"/>
  <c r="D130" i="5"/>
  <c r="D132" i="5"/>
  <c r="D128" i="5"/>
  <c r="D124" i="5"/>
  <c r="D126" i="5"/>
  <c r="D120" i="5"/>
  <c r="D116" i="5"/>
  <c r="D114" i="5"/>
  <c r="D112" i="5"/>
  <c r="F110" i="5"/>
  <c r="J109" i="5"/>
  <c r="I109" i="5"/>
  <c r="H109" i="5"/>
  <c r="F109" i="5"/>
  <c r="J108" i="5"/>
  <c r="I108" i="5"/>
  <c r="H108" i="5"/>
  <c r="F108" i="5"/>
  <c r="J107" i="5"/>
  <c r="I107" i="5"/>
  <c r="I110" i="5" s="1"/>
  <c r="H107" i="5"/>
  <c r="F107" i="5"/>
  <c r="F100" i="5"/>
  <c r="D108" i="5"/>
  <c r="D109" i="5"/>
  <c r="D107" i="5"/>
  <c r="F103" i="5"/>
  <c r="J102" i="5"/>
  <c r="I102" i="5"/>
  <c r="H102" i="5"/>
  <c r="F102" i="5"/>
  <c r="J101" i="5"/>
  <c r="I101" i="5"/>
  <c r="H101" i="5"/>
  <c r="F101" i="5"/>
  <c r="J100" i="5"/>
  <c r="I100" i="5"/>
  <c r="H100" i="5"/>
  <c r="J110" i="5"/>
  <c r="H110" i="5"/>
  <c r="D96" i="5"/>
  <c r="J65" i="5"/>
  <c r="K65" i="5"/>
  <c r="E65" i="5"/>
  <c r="K38" i="5"/>
  <c r="K83" i="5" s="1"/>
  <c r="J38" i="5"/>
  <c r="J83" i="5" s="1"/>
  <c r="D28" i="5"/>
  <c r="D24" i="5"/>
  <c r="D26" i="5"/>
  <c r="D20" i="5"/>
  <c r="D22" i="5"/>
  <c r="D16" i="5"/>
  <c r="D18" i="5"/>
  <c r="D32" i="5"/>
  <c r="D55" i="6"/>
  <c r="D1173" i="5"/>
  <c r="D1105" i="5"/>
  <c r="J282" i="7"/>
  <c r="I282" i="7"/>
  <c r="A271" i="7"/>
  <c r="A272" i="7" s="1"/>
  <c r="A269" i="7"/>
  <c r="A270" i="7" s="1"/>
  <c r="A254" i="7"/>
  <c r="A255" i="7" s="1"/>
  <c r="A252" i="7"/>
  <c r="A253" i="7" s="1"/>
  <c r="A242" i="7"/>
  <c r="A243" i="7" s="1"/>
  <c r="A182" i="7"/>
  <c r="A183" i="7" s="1"/>
  <c r="A170" i="7"/>
  <c r="I273" i="7"/>
  <c r="G273" i="7"/>
  <c r="D271" i="7"/>
  <c r="D269" i="7"/>
  <c r="D260" i="7"/>
  <c r="I264" i="7"/>
  <c r="I265" i="7"/>
  <c r="I266" i="7"/>
  <c r="G265" i="7"/>
  <c r="G266" i="7"/>
  <c r="G264" i="7"/>
  <c r="D254" i="7"/>
  <c r="D252" i="7"/>
  <c r="D242" i="7"/>
  <c r="J247" i="7"/>
  <c r="J248" i="7"/>
  <c r="J249" i="7"/>
  <c r="I248" i="7"/>
  <c r="I249" i="7"/>
  <c r="I247" i="7"/>
  <c r="G248" i="7"/>
  <c r="H248" i="7"/>
  <c r="G249" i="7"/>
  <c r="H249" i="7"/>
  <c r="H247" i="7"/>
  <c r="G247" i="7"/>
  <c r="D232" i="7"/>
  <c r="I237" i="7"/>
  <c r="I238" i="7"/>
  <c r="I239" i="7"/>
  <c r="G238" i="7"/>
  <c r="G239" i="7"/>
  <c r="G237" i="7"/>
  <c r="I228" i="7"/>
  <c r="I229" i="7"/>
  <c r="G229" i="7"/>
  <c r="G228" i="7"/>
  <c r="A228" i="7" s="1"/>
  <c r="D194" i="7"/>
  <c r="H188" i="7"/>
  <c r="H189" i="7"/>
  <c r="H187" i="7"/>
  <c r="J187" i="7"/>
  <c r="J188" i="7"/>
  <c r="J189" i="7"/>
  <c r="I188" i="7"/>
  <c r="I189" i="7"/>
  <c r="I187" i="7"/>
  <c r="G187" i="7"/>
  <c r="G188" i="7"/>
  <c r="G189" i="7"/>
  <c r="I262" i="7"/>
  <c r="G262" i="7"/>
  <c r="J245" i="7"/>
  <c r="I245" i="7"/>
  <c r="H245" i="7"/>
  <c r="G245" i="7"/>
  <c r="I234" i="7"/>
  <c r="G234" i="7"/>
  <c r="I230" i="7"/>
  <c r="I226" i="7"/>
  <c r="G226" i="7"/>
  <c r="I209" i="7"/>
  <c r="G209" i="7"/>
  <c r="G185" i="7"/>
  <c r="J185" i="7"/>
  <c r="H185" i="7"/>
  <c r="I185" i="7"/>
  <c r="I172" i="7"/>
  <c r="D182" i="7"/>
  <c r="I179" i="7"/>
  <c r="J179" i="7"/>
  <c r="J172" i="7"/>
  <c r="A321" i="31"/>
  <c r="A322" i="31" s="1"/>
  <c r="A319" i="31"/>
  <c r="A320" i="31" s="1"/>
  <c r="A291" i="31"/>
  <c r="A292" i="31" s="1"/>
  <c r="D321" i="31"/>
  <c r="D291" i="31"/>
  <c r="E44" i="43"/>
  <c r="E43" i="43"/>
  <c r="E42" i="43"/>
  <c r="E41" i="43"/>
  <c r="A940" i="5"/>
  <c r="A941" i="5"/>
  <c r="A942" i="5" s="1"/>
  <c r="A943" i="5"/>
  <c r="A944" i="5" s="1"/>
  <c r="D941" i="5"/>
  <c r="D905" i="5"/>
  <c r="H103" i="5" l="1"/>
  <c r="A229" i="7"/>
  <c r="I250" i="7"/>
  <c r="J103" i="5"/>
  <c r="A65" i="5"/>
  <c r="A239" i="7"/>
  <c r="A264" i="7"/>
  <c r="A265" i="7"/>
  <c r="A189" i="7"/>
  <c r="A188" i="7"/>
  <c r="A187" i="7"/>
  <c r="A237" i="7"/>
  <c r="A248" i="7"/>
  <c r="I240" i="7"/>
  <c r="J250" i="7"/>
  <c r="A238" i="7"/>
  <c r="A249" i="7"/>
  <c r="A247" i="7"/>
  <c r="A266" i="7"/>
  <c r="I103" i="5"/>
  <c r="G240" i="7"/>
  <c r="A240" i="7" s="1"/>
  <c r="H250" i="7"/>
  <c r="G250" i="7"/>
  <c r="J190" i="7"/>
  <c r="G230" i="7"/>
  <c r="A230" i="7" s="1"/>
  <c r="I190" i="7"/>
  <c r="G190" i="7"/>
  <c r="H190" i="7"/>
  <c r="G267" i="7"/>
  <c r="I267" i="7"/>
  <c r="A1006" i="5"/>
  <c r="A1007" i="5" s="1"/>
  <c r="A1008" i="5" s="1"/>
  <c r="A1005" i="5"/>
  <c r="A1004" i="5"/>
  <c r="D1004" i="5"/>
  <c r="A999" i="5"/>
  <c r="A1000" i="5" s="1"/>
  <c r="A1001" i="5" s="1"/>
  <c r="A964" i="5"/>
  <c r="A965" i="5" s="1"/>
  <c r="D964" i="5"/>
  <c r="A962" i="5"/>
  <c r="A963" i="5" s="1"/>
  <c r="D962" i="5"/>
  <c r="A953" i="5"/>
  <c r="A954" i="5" s="1"/>
  <c r="D953" i="5"/>
  <c r="A939" i="5"/>
  <c r="A937" i="5"/>
  <c r="A938" i="5" s="1"/>
  <c r="D937" i="5"/>
  <c r="A905" i="5"/>
  <c r="A906" i="5" s="1"/>
  <c r="A907" i="5" s="1"/>
  <c r="A903" i="5"/>
  <c r="A904" i="5" s="1"/>
  <c r="A901" i="5"/>
  <c r="A902" i="5" s="1"/>
  <c r="D901" i="5"/>
  <c r="A899" i="5"/>
  <c r="A900" i="5" s="1"/>
  <c r="A897" i="5"/>
  <c r="A898" i="5" s="1"/>
  <c r="D897" i="5"/>
  <c r="A895" i="5"/>
  <c r="A896" i="5" s="1"/>
  <c r="A893" i="5"/>
  <c r="A894" i="5" s="1"/>
  <c r="D893" i="5"/>
  <c r="A891" i="5"/>
  <c r="A892" i="5" s="1"/>
  <c r="A889" i="5"/>
  <c r="A890" i="5" s="1"/>
  <c r="D889" i="5"/>
  <c r="A878" i="5"/>
  <c r="A879" i="5" s="1"/>
  <c r="D878" i="5"/>
  <c r="A807" i="5"/>
  <c r="A808" i="5" s="1"/>
  <c r="A805" i="5"/>
  <c r="A806" i="5" s="1"/>
  <c r="A803" i="5"/>
  <c r="A804" i="5" s="1"/>
  <c r="A801" i="5"/>
  <c r="A802" i="5" s="1"/>
  <c r="A799" i="5"/>
  <c r="A800" i="5" s="1"/>
  <c r="A797" i="5"/>
  <c r="A798" i="5" s="1"/>
  <c r="A795" i="5"/>
  <c r="A796" i="5" s="1"/>
  <c r="D795" i="5"/>
  <c r="A781" i="5"/>
  <c r="A782" i="5" s="1"/>
  <c r="A779" i="5"/>
  <c r="A780" i="5" s="1"/>
  <c r="D779" i="5"/>
  <c r="A764" i="5"/>
  <c r="A765" i="5" s="1"/>
  <c r="A762" i="5"/>
  <c r="A763" i="5" s="1"/>
  <c r="A760" i="5"/>
  <c r="A761" i="5" s="1"/>
  <c r="D760" i="5"/>
  <c r="A758" i="5"/>
  <c r="A759" i="5" s="1"/>
  <c r="A756" i="5"/>
  <c r="A757" i="5" s="1"/>
  <c r="A754" i="5"/>
  <c r="A755" i="5" s="1"/>
  <c r="A752" i="5"/>
  <c r="A753" i="5" s="1"/>
  <c r="A750" i="5"/>
  <c r="A751" i="5" s="1"/>
  <c r="D750" i="5"/>
  <c r="A733" i="5"/>
  <c r="A734" i="5" s="1"/>
  <c r="A731" i="5"/>
  <c r="A732" i="5" s="1"/>
  <c r="A729" i="5"/>
  <c r="A730" i="5" s="1"/>
  <c r="A727" i="5"/>
  <c r="A728" i="5" s="1"/>
  <c r="A725" i="5"/>
  <c r="A726" i="5" s="1"/>
  <c r="D725" i="5"/>
  <c r="A709" i="5"/>
  <c r="A710" i="5" s="1"/>
  <c r="A707" i="5"/>
  <c r="A708" i="5" s="1"/>
  <c r="A705" i="5"/>
  <c r="A706" i="5" s="1"/>
  <c r="D705" i="5"/>
  <c r="A876" i="5"/>
  <c r="A877" i="5" s="1"/>
  <c r="A874" i="5"/>
  <c r="A875" i="5" s="1"/>
  <c r="A872" i="5"/>
  <c r="A873" i="5" s="1"/>
  <c r="A870" i="5"/>
  <c r="A871" i="5" s="1"/>
  <c r="A868" i="5"/>
  <c r="A869" i="5" s="1"/>
  <c r="D868" i="5"/>
  <c r="A656" i="5"/>
  <c r="A657" i="5" s="1"/>
  <c r="A655" i="5"/>
  <c r="G1005" i="5"/>
  <c r="G1004" i="5"/>
  <c r="D1006" i="5"/>
  <c r="D1005" i="5"/>
  <c r="H996" i="5"/>
  <c r="H995" i="5"/>
  <c r="G996" i="5"/>
  <c r="G995" i="5"/>
  <c r="F996" i="5"/>
  <c r="F995" i="5"/>
  <c r="F978" i="5"/>
  <c r="H990" i="5"/>
  <c r="H989" i="5"/>
  <c r="H988" i="5"/>
  <c r="H971" i="5"/>
  <c r="G990" i="5"/>
  <c r="G989" i="5"/>
  <c r="G988" i="5"/>
  <c r="F990" i="5"/>
  <c r="F989" i="5"/>
  <c r="F972" i="5"/>
  <c r="F988" i="5"/>
  <c r="I988" i="5" s="1"/>
  <c r="F971" i="5"/>
  <c r="F983" i="5"/>
  <c r="H979" i="5"/>
  <c r="G979" i="5"/>
  <c r="G978" i="5"/>
  <c r="F979" i="5"/>
  <c r="H978" i="5"/>
  <c r="H980" i="5" s="1"/>
  <c r="H973" i="5"/>
  <c r="H972" i="5"/>
  <c r="G973" i="5"/>
  <c r="G972" i="5"/>
  <c r="G971" i="5"/>
  <c r="F973" i="5"/>
  <c r="F966" i="5"/>
  <c r="I959" i="5"/>
  <c r="I958" i="5"/>
  <c r="H959" i="5"/>
  <c r="H958" i="5"/>
  <c r="G959" i="5"/>
  <c r="G958" i="5"/>
  <c r="F959" i="5"/>
  <c r="F958" i="5"/>
  <c r="H955" i="5"/>
  <c r="F955" i="5"/>
  <c r="F945" i="5"/>
  <c r="I950" i="5"/>
  <c r="I949" i="5"/>
  <c r="I948" i="5"/>
  <c r="H950" i="5"/>
  <c r="H949" i="5"/>
  <c r="H948" i="5"/>
  <c r="F948" i="5"/>
  <c r="G950" i="5"/>
  <c r="G949" i="5"/>
  <c r="F950" i="5"/>
  <c r="F949" i="5"/>
  <c r="G948" i="5"/>
  <c r="H945" i="5"/>
  <c r="D923" i="5"/>
  <c r="D908" i="5"/>
  <c r="D943" i="5"/>
  <c r="D939" i="5"/>
  <c r="H934" i="5"/>
  <c r="H933" i="5"/>
  <c r="H931" i="5"/>
  <c r="H930" i="5"/>
  <c r="H928" i="5"/>
  <c r="H927" i="5"/>
  <c r="H926" i="5"/>
  <c r="F934" i="5"/>
  <c r="F933" i="5"/>
  <c r="F931" i="5"/>
  <c r="F930" i="5"/>
  <c r="F928" i="5"/>
  <c r="F926" i="5"/>
  <c r="F927" i="5"/>
  <c r="J927" i="5" s="1"/>
  <c r="J929" i="5"/>
  <c r="H919" i="5"/>
  <c r="H918" i="5"/>
  <c r="H916" i="5"/>
  <c r="H915" i="5"/>
  <c r="H913" i="5"/>
  <c r="H912" i="5"/>
  <c r="H911" i="5"/>
  <c r="F919" i="5"/>
  <c r="F918" i="5"/>
  <c r="F916" i="5"/>
  <c r="F915" i="5"/>
  <c r="F912" i="5"/>
  <c r="F913" i="5"/>
  <c r="D903" i="5"/>
  <c r="D899" i="5"/>
  <c r="D895" i="5"/>
  <c r="D891" i="5"/>
  <c r="K886" i="5"/>
  <c r="J886" i="5"/>
  <c r="H886" i="5"/>
  <c r="F886" i="5"/>
  <c r="K885" i="5"/>
  <c r="J885" i="5"/>
  <c r="H885" i="5"/>
  <c r="F885" i="5"/>
  <c r="K884" i="5"/>
  <c r="J884" i="5"/>
  <c r="H884" i="5"/>
  <c r="F884" i="5"/>
  <c r="D886" i="5"/>
  <c r="D885" i="5"/>
  <c r="D884" i="5"/>
  <c r="D876" i="5"/>
  <c r="D874" i="5"/>
  <c r="D872" i="5"/>
  <c r="D870" i="5"/>
  <c r="H865" i="5"/>
  <c r="H864" i="5"/>
  <c r="F865" i="5"/>
  <c r="F864" i="5"/>
  <c r="H860" i="5"/>
  <c r="H859" i="5"/>
  <c r="F860" i="5"/>
  <c r="F859" i="5"/>
  <c r="H856" i="5"/>
  <c r="F856" i="5"/>
  <c r="H853" i="5"/>
  <c r="H852" i="5"/>
  <c r="F853" i="5"/>
  <c r="F852" i="5"/>
  <c r="H848" i="5"/>
  <c r="H847" i="5"/>
  <c r="H844" i="5"/>
  <c r="H845" i="5"/>
  <c r="H846" i="5"/>
  <c r="H843" i="5"/>
  <c r="F848" i="5"/>
  <c r="F847" i="5"/>
  <c r="F846" i="5"/>
  <c r="F845" i="5"/>
  <c r="F844" i="5"/>
  <c r="F843" i="5"/>
  <c r="H835" i="5"/>
  <c r="H834" i="5"/>
  <c r="F835" i="5"/>
  <c r="F834" i="5"/>
  <c r="H830" i="5"/>
  <c r="H829" i="5"/>
  <c r="F830" i="5"/>
  <c r="F829" i="5"/>
  <c r="H826" i="5"/>
  <c r="F826" i="5"/>
  <c r="H823" i="5"/>
  <c r="H822" i="5"/>
  <c r="F823" i="5"/>
  <c r="F822" i="5"/>
  <c r="H818" i="5"/>
  <c r="H817" i="5"/>
  <c r="H814" i="5"/>
  <c r="H815" i="5"/>
  <c r="H816" i="5"/>
  <c r="H813" i="5"/>
  <c r="F818" i="5"/>
  <c r="F817" i="5"/>
  <c r="F814" i="5"/>
  <c r="F815" i="5"/>
  <c r="F816" i="5"/>
  <c r="F813" i="5"/>
  <c r="D807" i="5"/>
  <c r="D803" i="5"/>
  <c r="D801" i="5"/>
  <c r="D799" i="5"/>
  <c r="D797" i="5"/>
  <c r="F792" i="5"/>
  <c r="H792" i="5"/>
  <c r="H791" i="5"/>
  <c r="F791" i="5"/>
  <c r="H788" i="5"/>
  <c r="F788" i="5"/>
  <c r="F787" i="5"/>
  <c r="H787" i="5"/>
  <c r="D781" i="5"/>
  <c r="H776" i="5"/>
  <c r="H772" i="5"/>
  <c r="H775" i="5"/>
  <c r="H771" i="5"/>
  <c r="H770" i="5"/>
  <c r="F770" i="5"/>
  <c r="F776" i="5"/>
  <c r="F775" i="5"/>
  <c r="F772" i="5"/>
  <c r="F771" i="5"/>
  <c r="D764" i="5"/>
  <c r="D762" i="5"/>
  <c r="D758" i="5"/>
  <c r="D756" i="5"/>
  <c r="D754" i="5"/>
  <c r="D752" i="5"/>
  <c r="H748" i="5"/>
  <c r="I745" i="5"/>
  <c r="I744" i="5"/>
  <c r="I743" i="5"/>
  <c r="I742" i="5"/>
  <c r="G742" i="5"/>
  <c r="H740" i="5"/>
  <c r="H739" i="5"/>
  <c r="F739" i="5"/>
  <c r="I738" i="5"/>
  <c r="G738" i="5"/>
  <c r="F748" i="5"/>
  <c r="G745" i="5"/>
  <c r="G744" i="5"/>
  <c r="G743" i="5"/>
  <c r="F740" i="5"/>
  <c r="D733" i="5"/>
  <c r="D729" i="5"/>
  <c r="D727" i="5"/>
  <c r="H723" i="5"/>
  <c r="F723" i="5"/>
  <c r="H715" i="5"/>
  <c r="H716" i="5"/>
  <c r="H717" i="5"/>
  <c r="H718" i="5"/>
  <c r="H719" i="5"/>
  <c r="H720" i="5"/>
  <c r="H714" i="5"/>
  <c r="F715" i="5"/>
  <c r="F716" i="5"/>
  <c r="F717" i="5"/>
  <c r="F718" i="5"/>
  <c r="F719" i="5"/>
  <c r="F720" i="5"/>
  <c r="F714" i="5"/>
  <c r="D709" i="5"/>
  <c r="D707" i="5"/>
  <c r="I702" i="5"/>
  <c r="I700" i="5"/>
  <c r="I699" i="5"/>
  <c r="H702" i="5"/>
  <c r="H700" i="5"/>
  <c r="H699" i="5"/>
  <c r="G702" i="5"/>
  <c r="G700" i="5"/>
  <c r="G699" i="5"/>
  <c r="F702" i="5"/>
  <c r="F700" i="5"/>
  <c r="F699" i="5"/>
  <c r="I691" i="5"/>
  <c r="I689" i="5"/>
  <c r="I688" i="5"/>
  <c r="H691" i="5"/>
  <c r="H689" i="5"/>
  <c r="H688" i="5"/>
  <c r="G691" i="5"/>
  <c r="G689" i="5"/>
  <c r="G688" i="5"/>
  <c r="F691" i="5"/>
  <c r="F689" i="5"/>
  <c r="F688" i="5"/>
  <c r="I701" i="5"/>
  <c r="H701" i="5"/>
  <c r="G701" i="5"/>
  <c r="F701" i="5"/>
  <c r="I690" i="5"/>
  <c r="H690" i="5"/>
  <c r="G690" i="5"/>
  <c r="G692" i="5" s="1"/>
  <c r="F690" i="5"/>
  <c r="I680" i="5"/>
  <c r="I678" i="5"/>
  <c r="I676" i="5"/>
  <c r="I677" i="5"/>
  <c r="I675" i="5"/>
  <c r="I663" i="5"/>
  <c r="H680" i="5"/>
  <c r="H678" i="5"/>
  <c r="H677" i="5"/>
  <c r="H676" i="5"/>
  <c r="H675" i="5"/>
  <c r="H663" i="5"/>
  <c r="G680" i="5"/>
  <c r="G678" i="5"/>
  <c r="G666" i="5"/>
  <c r="G676" i="5"/>
  <c r="G677" i="5"/>
  <c r="G675" i="5"/>
  <c r="G663" i="5"/>
  <c r="F680" i="5"/>
  <c r="F678" i="5"/>
  <c r="F676" i="5"/>
  <c r="F677" i="5"/>
  <c r="F675" i="5"/>
  <c r="F663" i="5"/>
  <c r="I668" i="5"/>
  <c r="I666" i="5"/>
  <c r="I664" i="5"/>
  <c r="I665" i="5"/>
  <c r="H668" i="5"/>
  <c r="H666" i="5"/>
  <c r="H664" i="5"/>
  <c r="H665" i="5"/>
  <c r="G668" i="5"/>
  <c r="G665" i="5"/>
  <c r="G664" i="5"/>
  <c r="F668" i="5"/>
  <c r="F666" i="5"/>
  <c r="F665" i="5"/>
  <c r="F664" i="5"/>
  <c r="D656" i="5"/>
  <c r="A85" i="7"/>
  <c r="A86" i="7" s="1"/>
  <c r="A83" i="7"/>
  <c r="A84" i="7" s="1"/>
  <c r="A81" i="7"/>
  <c r="A82" i="7" s="1"/>
  <c r="A72" i="7"/>
  <c r="A73" i="7" s="1"/>
  <c r="A59" i="7"/>
  <c r="A60" i="7" s="1"/>
  <c r="A49" i="7"/>
  <c r="A50" i="7" s="1"/>
  <c r="A47" i="7"/>
  <c r="A48" i="7" s="1"/>
  <c r="A38" i="7"/>
  <c r="A39" i="7" s="1"/>
  <c r="A36" i="7"/>
  <c r="A37" i="7" s="1"/>
  <c r="D36" i="7"/>
  <c r="D85" i="7"/>
  <c r="D83" i="7"/>
  <c r="D81" i="7"/>
  <c r="I76" i="7"/>
  <c r="I77" i="7"/>
  <c r="G77" i="7"/>
  <c r="G76" i="7"/>
  <c r="D72" i="7"/>
  <c r="J68" i="7"/>
  <c r="J66" i="7"/>
  <c r="J64" i="7"/>
  <c r="H68" i="7"/>
  <c r="H66" i="7"/>
  <c r="H64" i="7"/>
  <c r="I68" i="7"/>
  <c r="I66" i="7"/>
  <c r="I64" i="7"/>
  <c r="G68" i="7"/>
  <c r="G66" i="7"/>
  <c r="G64" i="7"/>
  <c r="D59" i="7"/>
  <c r="D49" i="7"/>
  <c r="I43" i="7"/>
  <c r="I42" i="7"/>
  <c r="G43" i="7"/>
  <c r="G42" i="7"/>
  <c r="D38" i="7"/>
  <c r="G703" i="5" l="1"/>
  <c r="A267" i="7"/>
  <c r="J664" i="5"/>
  <c r="A788" i="5"/>
  <c r="A719" i="5"/>
  <c r="A715" i="5"/>
  <c r="A744" i="5"/>
  <c r="A813" i="5"/>
  <c r="A817" i="5"/>
  <c r="A822" i="5"/>
  <c r="A958" i="5"/>
  <c r="A739" i="5"/>
  <c r="A826" i="5"/>
  <c r="A827" i="5" s="1"/>
  <c r="A771" i="5"/>
  <c r="I989" i="5"/>
  <c r="A740" i="5"/>
  <c r="A775" i="5"/>
  <c r="A884" i="5"/>
  <c r="A885" i="5"/>
  <c r="A886" i="5"/>
  <c r="A948" i="5"/>
  <c r="A959" i="5"/>
  <c r="A250" i="7"/>
  <c r="A244" i="7" s="1"/>
  <c r="A190" i="7"/>
  <c r="A262" i="7"/>
  <c r="A263" i="7" s="1"/>
  <c r="A268" i="7"/>
  <c r="A226" i="7"/>
  <c r="A227" i="7" s="1"/>
  <c r="A234" i="7"/>
  <c r="A236" i="7"/>
  <c r="A53" i="7"/>
  <c r="A76" i="7"/>
  <c r="A77" i="7"/>
  <c r="A43" i="7"/>
  <c r="A55" i="7"/>
  <c r="A66" i="7"/>
  <c r="A42" i="7"/>
  <c r="A54" i="7"/>
  <c r="A64" i="7"/>
  <c r="A65" i="7" s="1"/>
  <c r="A68" i="7"/>
  <c r="A69" i="7" s="1"/>
  <c r="I67" i="7"/>
  <c r="I70" i="7" s="1"/>
  <c r="I79" i="7"/>
  <c r="I45" i="7"/>
  <c r="H67" i="7"/>
  <c r="H70" i="7" s="1"/>
  <c r="A949" i="5"/>
  <c r="A723" i="5"/>
  <c r="A724" i="5" s="1"/>
  <c r="A742" i="5"/>
  <c r="A770" i="5"/>
  <c r="A787" i="5"/>
  <c r="A814" i="5"/>
  <c r="A830" i="5"/>
  <c r="A835" i="5"/>
  <c r="A950" i="5"/>
  <c r="A1002" i="5"/>
  <c r="A718" i="5"/>
  <c r="A745" i="5"/>
  <c r="A772" i="5"/>
  <c r="A714" i="5"/>
  <c r="A717" i="5"/>
  <c r="A748" i="5"/>
  <c r="A749" i="5" s="1"/>
  <c r="A792" i="5"/>
  <c r="A816" i="5"/>
  <c r="A818" i="5"/>
  <c r="A823" i="5"/>
  <c r="A720" i="5"/>
  <c r="A716" i="5"/>
  <c r="A743" i="5"/>
  <c r="A738" i="5"/>
  <c r="A776" i="5"/>
  <c r="A791" i="5"/>
  <c r="A815" i="5"/>
  <c r="A829" i="5"/>
  <c r="A834" i="5"/>
  <c r="J934" i="5"/>
  <c r="J916" i="5"/>
  <c r="A916" i="5" s="1"/>
  <c r="A664" i="5"/>
  <c r="H974" i="5"/>
  <c r="I971" i="5"/>
  <c r="A971" i="5" s="1"/>
  <c r="I990" i="5"/>
  <c r="I960" i="5"/>
  <c r="G974" i="5"/>
  <c r="I995" i="5"/>
  <c r="G960" i="5"/>
  <c r="I973" i="5"/>
  <c r="A973" i="5" s="1"/>
  <c r="H960" i="5"/>
  <c r="I979" i="5"/>
  <c r="A979" i="5" s="1"/>
  <c r="G991" i="5"/>
  <c r="I996" i="5"/>
  <c r="F980" i="5"/>
  <c r="H997" i="5"/>
  <c r="F974" i="5"/>
  <c r="I972" i="5"/>
  <c r="A972" i="5" s="1"/>
  <c r="I978" i="5"/>
  <c r="A978" i="5" s="1"/>
  <c r="G997" i="5"/>
  <c r="H991" i="5"/>
  <c r="F991" i="5"/>
  <c r="F997" i="5"/>
  <c r="G980" i="5"/>
  <c r="I951" i="5"/>
  <c r="G951" i="5"/>
  <c r="F960" i="5"/>
  <c r="H951" i="5"/>
  <c r="F951" i="5"/>
  <c r="J919" i="5"/>
  <c r="A919" i="5" s="1"/>
  <c r="J913" i="5"/>
  <c r="A913" i="5" s="1"/>
  <c r="J918" i="5"/>
  <c r="A918" i="5" s="1"/>
  <c r="J931" i="5"/>
  <c r="J933" i="5"/>
  <c r="J915" i="5"/>
  <c r="A915" i="5" s="1"/>
  <c r="J930" i="5"/>
  <c r="F866" i="5"/>
  <c r="F854" i="5"/>
  <c r="H861" i="5"/>
  <c r="H866" i="5"/>
  <c r="J928" i="5"/>
  <c r="J926" i="5"/>
  <c r="F935" i="5"/>
  <c r="H935" i="5"/>
  <c r="H920" i="5"/>
  <c r="J912" i="5"/>
  <c r="A912" i="5" s="1"/>
  <c r="F849" i="5"/>
  <c r="H831" i="5"/>
  <c r="H836" i="5"/>
  <c r="H854" i="5"/>
  <c r="F861" i="5"/>
  <c r="H824" i="5"/>
  <c r="F831" i="5"/>
  <c r="F836" i="5"/>
  <c r="H849" i="5"/>
  <c r="F789" i="5"/>
  <c r="F824" i="5"/>
  <c r="J887" i="5"/>
  <c r="F819" i="5"/>
  <c r="H819" i="5"/>
  <c r="H789" i="5"/>
  <c r="F773" i="5"/>
  <c r="H773" i="5"/>
  <c r="H777" i="5"/>
  <c r="F793" i="5"/>
  <c r="H793" i="5"/>
  <c r="F777" i="5"/>
  <c r="G741" i="5"/>
  <c r="I741" i="5"/>
  <c r="H721" i="5"/>
  <c r="F721" i="5"/>
  <c r="J702" i="5"/>
  <c r="F703" i="5"/>
  <c r="J700" i="5"/>
  <c r="F692" i="5"/>
  <c r="J688" i="5"/>
  <c r="A688" i="5" s="1"/>
  <c r="I692" i="5"/>
  <c r="H692" i="5"/>
  <c r="H703" i="5"/>
  <c r="I703" i="5"/>
  <c r="J699" i="5"/>
  <c r="J701" i="5"/>
  <c r="J668" i="5"/>
  <c r="A668" i="5" s="1"/>
  <c r="F679" i="5"/>
  <c r="F681" i="5" s="1"/>
  <c r="J680" i="5"/>
  <c r="J676" i="5"/>
  <c r="J689" i="5"/>
  <c r="A689" i="5" s="1"/>
  <c r="J690" i="5"/>
  <c r="A690" i="5" s="1"/>
  <c r="J691" i="5"/>
  <c r="A691" i="5" s="1"/>
  <c r="H667" i="5"/>
  <c r="H669" i="5" s="1"/>
  <c r="F667" i="5"/>
  <c r="J665" i="5"/>
  <c r="A665" i="5" s="1"/>
  <c r="H679" i="5"/>
  <c r="H681" i="5" s="1"/>
  <c r="G667" i="5"/>
  <c r="G669" i="5" s="1"/>
  <c r="J666" i="5"/>
  <c r="A666" i="5" s="1"/>
  <c r="I667" i="5"/>
  <c r="I669" i="5" s="1"/>
  <c r="I679" i="5"/>
  <c r="I681" i="5" s="1"/>
  <c r="G679" i="5"/>
  <c r="G681" i="5" s="1"/>
  <c r="J675" i="5"/>
  <c r="J663" i="5"/>
  <c r="A663" i="5" s="1"/>
  <c r="J678" i="5"/>
  <c r="J677" i="5"/>
  <c r="G45" i="7"/>
  <c r="G67" i="7"/>
  <c r="J67" i="7"/>
  <c r="J70" i="7" s="1"/>
  <c r="G79" i="7"/>
  <c r="D81" i="5"/>
  <c r="D79" i="5"/>
  <c r="D71" i="5"/>
  <c r="D58" i="5"/>
  <c r="D36" i="5"/>
  <c r="A251" i="7" l="1"/>
  <c r="I991" i="5"/>
  <c r="A245" i="7"/>
  <c r="A246" i="7"/>
  <c r="A191" i="7"/>
  <c r="A184" i="7"/>
  <c r="A78" i="7"/>
  <c r="A56" i="7"/>
  <c r="A44" i="7"/>
  <c r="A45" i="7"/>
  <c r="A40" i="7" s="1"/>
  <c r="A41" i="7" s="1"/>
  <c r="A79" i="7"/>
  <c r="A80" i="7" s="1"/>
  <c r="A57" i="7"/>
  <c r="A51" i="7" s="1"/>
  <c r="A52" i="7" s="1"/>
  <c r="A824" i="5"/>
  <c r="A825" i="5" s="1"/>
  <c r="A831" i="5"/>
  <c r="A828" i="5" s="1"/>
  <c r="A914" i="5"/>
  <c r="A777" i="5"/>
  <c r="A778" i="5" s="1"/>
  <c r="A819" i="5"/>
  <c r="A820" i="5" s="1"/>
  <c r="A793" i="5"/>
  <c r="A794" i="5" s="1"/>
  <c r="A960" i="5"/>
  <c r="A721" i="5"/>
  <c r="A713" i="5" s="1"/>
  <c r="A951" i="5"/>
  <c r="A952" i="5" s="1"/>
  <c r="A945" i="5"/>
  <c r="I980" i="5"/>
  <c r="A980" i="5" s="1"/>
  <c r="I974" i="5"/>
  <c r="A974" i="5" s="1"/>
  <c r="I997" i="5"/>
  <c r="A836" i="5"/>
  <c r="A833" i="5" s="1"/>
  <c r="G746" i="5"/>
  <c r="A746" i="5" s="1"/>
  <c r="A741" i="5"/>
  <c r="A789" i="5"/>
  <c r="A773" i="5"/>
  <c r="K887" i="5"/>
  <c r="A887" i="5" s="1"/>
  <c r="J681" i="5"/>
  <c r="F669" i="5"/>
  <c r="J669" i="5" s="1"/>
  <c r="J935" i="5"/>
  <c r="J692" i="5"/>
  <c r="A692" i="5" s="1"/>
  <c r="J703" i="5"/>
  <c r="J667" i="5"/>
  <c r="A667" i="5" s="1"/>
  <c r="J679" i="5"/>
  <c r="G70" i="7"/>
  <c r="A70" i="7" s="1"/>
  <c r="A67" i="7"/>
  <c r="A178" i="5"/>
  <c r="A179" i="5" s="1"/>
  <c r="A176" i="5"/>
  <c r="A177" i="5" s="1"/>
  <c r="D178" i="5"/>
  <c r="D176" i="5"/>
  <c r="A774" i="5" l="1"/>
  <c r="A832" i="5"/>
  <c r="A821" i="5"/>
  <c r="A812" i="5"/>
  <c r="A186" i="7"/>
  <c r="A185" i="7"/>
  <c r="A74" i="7"/>
  <c r="A75" i="7" s="1"/>
  <c r="A58" i="7"/>
  <c r="A46" i="7"/>
  <c r="A722" i="5"/>
  <c r="A711" i="5"/>
  <c r="A712" i="5" s="1"/>
  <c r="A790" i="5"/>
  <c r="A975" i="5"/>
  <c r="A969" i="5"/>
  <c r="A966" i="5"/>
  <c r="A970" i="5"/>
  <c r="A976" i="5"/>
  <c r="A977" i="5"/>
  <c r="A981" i="5"/>
  <c r="A982" i="5"/>
  <c r="A961" i="5"/>
  <c r="A955" i="5"/>
  <c r="A947" i="5"/>
  <c r="A946" i="5"/>
  <c r="A809" i="5"/>
  <c r="A839" i="5" s="1"/>
  <c r="A684" i="5"/>
  <c r="A703" i="5"/>
  <c r="A704" i="5" s="1"/>
  <c r="A699" i="5"/>
  <c r="A695" i="5"/>
  <c r="A694" i="5"/>
  <c r="A702" i="5"/>
  <c r="A698" i="5"/>
  <c r="A693" i="5"/>
  <c r="A701" i="5"/>
  <c r="A697" i="5"/>
  <c r="A700" i="5"/>
  <c r="A696" i="5"/>
  <c r="A685" i="5"/>
  <c r="A686" i="5"/>
  <c r="A687" i="5"/>
  <c r="A880" i="5"/>
  <c r="A888" i="5"/>
  <c r="A883" i="5"/>
  <c r="A769" i="5"/>
  <c r="A768" i="5"/>
  <c r="A737" i="5"/>
  <c r="A747" i="5"/>
  <c r="A735" i="5"/>
  <c r="A736" i="5" s="1"/>
  <c r="A766" i="5"/>
  <c r="A767" i="5" s="1"/>
  <c r="A785" i="5"/>
  <c r="A783" i="5"/>
  <c r="A784" i="5" s="1"/>
  <c r="A786" i="5"/>
  <c r="A669" i="5"/>
  <c r="A61" i="7"/>
  <c r="A71" i="7"/>
  <c r="I74" i="7"/>
  <c r="G74" i="7"/>
  <c r="I61" i="7"/>
  <c r="G61" i="7"/>
  <c r="I51" i="7"/>
  <c r="G51" i="7"/>
  <c r="I40" i="7"/>
  <c r="G40" i="7"/>
  <c r="A131" i="57"/>
  <c r="A132" i="57" s="1"/>
  <c r="A133" i="57"/>
  <c r="A134" i="57" s="1"/>
  <c r="A123" i="57"/>
  <c r="A124" i="57" s="1"/>
  <c r="A125" i="57"/>
  <c r="A115" i="57"/>
  <c r="A117" i="57"/>
  <c r="A105" i="57"/>
  <c r="A107" i="57"/>
  <c r="A106" i="57"/>
  <c r="A116" i="57"/>
  <c r="A122" i="57"/>
  <c r="A128" i="57"/>
  <c r="A130" i="57"/>
  <c r="A139" i="57"/>
  <c r="A140" i="57" s="1"/>
  <c r="A137" i="57"/>
  <c r="A138" i="57" s="1"/>
  <c r="A135" i="57"/>
  <c r="A136" i="57" s="1"/>
  <c r="A129" i="57"/>
  <c r="A127" i="57"/>
  <c r="A121" i="57"/>
  <c r="A119" i="57"/>
  <c r="A120" i="57" s="1"/>
  <c r="A113" i="57"/>
  <c r="A114" i="57" s="1"/>
  <c r="A111" i="57"/>
  <c r="A112" i="57" s="1"/>
  <c r="A109" i="57"/>
  <c r="A110" i="57" s="1"/>
  <c r="D139" i="57"/>
  <c r="D137" i="57"/>
  <c r="D135" i="57"/>
  <c r="D133" i="57"/>
  <c r="D129" i="57"/>
  <c r="D131" i="57"/>
  <c r="D123" i="57"/>
  <c r="D127" i="57"/>
  <c r="D125" i="57"/>
  <c r="D115" i="57"/>
  <c r="D121" i="57"/>
  <c r="D119" i="57"/>
  <c r="D117" i="57"/>
  <c r="D105" i="57"/>
  <c r="D113" i="57"/>
  <c r="D111" i="57"/>
  <c r="D109" i="57"/>
  <c r="D107" i="57"/>
  <c r="E412" i="18"/>
  <c r="A418" i="18"/>
  <c r="A419" i="18" s="1"/>
  <c r="A416" i="18"/>
  <c r="A417" i="18" s="1"/>
  <c r="A412" i="18"/>
  <c r="E418" i="18"/>
  <c r="E414" i="18"/>
  <c r="E416" i="18"/>
  <c r="A384" i="18"/>
  <c r="A385" i="18" s="1"/>
  <c r="A382" i="18"/>
  <c r="A383" i="18" s="1"/>
  <c r="A380" i="18"/>
  <c r="A381" i="18" s="1"/>
  <c r="A378" i="18"/>
  <c r="A379" i="18" s="1"/>
  <c r="A370" i="18"/>
  <c r="E384" i="18"/>
  <c r="E380" i="18"/>
  <c r="E376" i="18"/>
  <c r="E382" i="18"/>
  <c r="E378" i="18"/>
  <c r="E370" i="18"/>
  <c r="A334" i="18"/>
  <c r="A335" i="18" s="1"/>
  <c r="A332" i="18"/>
  <c r="A333" i="18" s="1"/>
  <c r="E332" i="18"/>
  <c r="A318" i="18"/>
  <c r="E318" i="18"/>
  <c r="A206" i="18"/>
  <c r="A204" i="18"/>
  <c r="A205" i="18" s="1"/>
  <c r="A207" i="18" s="1"/>
  <c r="E206" i="18"/>
  <c r="E204" i="18"/>
  <c r="A170" i="18"/>
  <c r="A166" i="18"/>
  <c r="A168" i="18"/>
  <c r="A164" i="18"/>
  <c r="A162" i="18"/>
  <c r="A160" i="18"/>
  <c r="A158" i="18"/>
  <c r="A156" i="18"/>
  <c r="A154" i="18"/>
  <c r="A152" i="18"/>
  <c r="A150" i="18"/>
  <c r="A148" i="18"/>
  <c r="A146" i="18"/>
  <c r="A147" i="18" s="1"/>
  <c r="A144" i="18"/>
  <c r="A145" i="18" s="1"/>
  <c r="E170" i="18"/>
  <c r="E166" i="18"/>
  <c r="E168" i="18"/>
  <c r="E154" i="18"/>
  <c r="E164" i="18"/>
  <c r="E162" i="18"/>
  <c r="E160" i="18"/>
  <c r="E158" i="18"/>
  <c r="E156" i="18"/>
  <c r="E152" i="18"/>
  <c r="E142" i="18"/>
  <c r="E148" i="18"/>
  <c r="E146" i="18"/>
  <c r="E144" i="18"/>
  <c r="A140" i="18"/>
  <c r="A141" i="18" s="1"/>
  <c r="A138" i="18"/>
  <c r="A139" i="18" s="1"/>
  <c r="A136" i="18"/>
  <c r="A137" i="18" s="1"/>
  <c r="A134" i="18"/>
  <c r="A135" i="18" s="1"/>
  <c r="E140" i="18"/>
  <c r="E138" i="18"/>
  <c r="E136" i="18"/>
  <c r="E134" i="18"/>
  <c r="A132" i="18"/>
  <c r="A133" i="18" s="1"/>
  <c r="A130" i="18"/>
  <c r="A131" i="18" s="1"/>
  <c r="A126" i="18"/>
  <c r="E132" i="18"/>
  <c r="A128" i="18"/>
  <c r="A129" i="18" s="1"/>
  <c r="E128" i="18"/>
  <c r="A100" i="18"/>
  <c r="A98" i="18"/>
  <c r="E100" i="18"/>
  <c r="E98" i="18"/>
  <c r="E34" i="18"/>
  <c r="E32" i="18"/>
  <c r="A34" i="18"/>
  <c r="A35" i="18" s="1"/>
  <c r="A32" i="18"/>
  <c r="A33" i="18" s="1"/>
  <c r="E20" i="18"/>
  <c r="E18" i="18"/>
  <c r="A20" i="18"/>
  <c r="A21" i="18" s="1"/>
  <c r="A18" i="18"/>
  <c r="A19" i="18" s="1"/>
  <c r="E16" i="18"/>
  <c r="B186" i="49"/>
  <c r="B7" i="49"/>
  <c r="A849" i="5" l="1"/>
  <c r="A848" i="5"/>
  <c r="A846" i="5"/>
  <c r="A859" i="5"/>
  <c r="A837" i="5"/>
  <c r="A843" i="5"/>
  <c r="A863" i="5"/>
  <c r="A810" i="5"/>
  <c r="A811" i="5" s="1"/>
  <c r="A841" i="5"/>
  <c r="A866" i="5"/>
  <c r="A867" i="5" s="1"/>
  <c r="A853" i="5"/>
  <c r="A842" i="5"/>
  <c r="A862" i="5"/>
  <c r="A850" i="5"/>
  <c r="A840" i="5"/>
  <c r="A838" i="5"/>
  <c r="A847" i="5"/>
  <c r="A855" i="5"/>
  <c r="A854" i="5"/>
  <c r="A861" i="5"/>
  <c r="A844" i="5"/>
  <c r="A845" i="5"/>
  <c r="A967" i="5"/>
  <c r="A995" i="5"/>
  <c r="A991" i="5"/>
  <c r="A987" i="5"/>
  <c r="A983" i="5"/>
  <c r="A997" i="5"/>
  <c r="A998" i="5" s="1"/>
  <c r="A985" i="5"/>
  <c r="A996" i="5"/>
  <c r="A984" i="5"/>
  <c r="A994" i="5"/>
  <c r="A990" i="5"/>
  <c r="A986" i="5"/>
  <c r="A993" i="5"/>
  <c r="A989" i="5"/>
  <c r="A992" i="5"/>
  <c r="A988" i="5"/>
  <c r="A968" i="5"/>
  <c r="A956" i="5"/>
  <c r="A957" i="5"/>
  <c r="A865" i="5"/>
  <c r="A857" i="5"/>
  <c r="A860" i="5"/>
  <c r="A852" i="5"/>
  <c r="A864" i="5"/>
  <c r="A858" i="5"/>
  <c r="A856" i="5"/>
  <c r="A851" i="5"/>
  <c r="A882" i="5"/>
  <c r="A881" i="5"/>
  <c r="A678" i="5"/>
  <c r="A674" i="5"/>
  <c r="A670" i="5"/>
  <c r="A681" i="5"/>
  <c r="A677" i="5"/>
  <c r="A673" i="5"/>
  <c r="A680" i="5"/>
  <c r="A676" i="5"/>
  <c r="A672" i="5"/>
  <c r="A679" i="5"/>
  <c r="A675" i="5"/>
  <c r="A671" i="5"/>
  <c r="A659" i="5"/>
  <c r="A661" i="5"/>
  <c r="A660" i="5"/>
  <c r="A662" i="5"/>
  <c r="A63" i="7"/>
  <c r="A62" i="7"/>
  <c r="E7" i="55"/>
  <c r="E8" i="55" s="1"/>
  <c r="J398" i="5"/>
  <c r="G131" i="7"/>
  <c r="D84" i="57"/>
  <c r="D85" i="57"/>
  <c r="J97" i="57"/>
  <c r="A683" i="5" l="1"/>
  <c r="A682" i="5"/>
  <c r="G20" i="7"/>
  <c r="I30" i="7"/>
  <c r="G30" i="7"/>
  <c r="G29" i="7"/>
  <c r="I20" i="7"/>
  <c r="H133" i="7"/>
  <c r="A30" i="7" l="1"/>
  <c r="J253" i="31"/>
  <c r="J391" i="29"/>
  <c r="E114" i="18" l="1"/>
  <c r="D1248" i="5"/>
  <c r="I156" i="7" l="1"/>
  <c r="I158" i="7" s="1"/>
  <c r="H112" i="7" l="1"/>
  <c r="I397" i="5"/>
  <c r="J397" i="5"/>
  <c r="J112" i="7" l="1"/>
  <c r="H111" i="7" l="1"/>
  <c r="J247" i="31"/>
  <c r="J187" i="31" s="1"/>
  <c r="J41" i="31" l="1"/>
  <c r="J285" i="31" l="1"/>
  <c r="H109" i="7" l="1"/>
  <c r="J354" i="31" s="1"/>
  <c r="G9" i="49" l="1"/>
  <c r="G12" i="1" l="1"/>
  <c r="G121" i="7" l="1"/>
  <c r="C485" i="19" l="1"/>
  <c r="C484" i="19"/>
  <c r="C483" i="19"/>
  <c r="C482" i="19"/>
  <c r="C481" i="19"/>
  <c r="C480" i="19"/>
  <c r="C479" i="19"/>
  <c r="J526" i="31"/>
  <c r="J525" i="31"/>
  <c r="J522" i="31"/>
  <c r="J521" i="31"/>
  <c r="J518" i="31"/>
  <c r="J516" i="31"/>
  <c r="J517" i="31"/>
  <c r="J507" i="31"/>
  <c r="J508" i="31"/>
  <c r="J509" i="31"/>
  <c r="J506" i="31"/>
  <c r="H188" i="49" l="1"/>
  <c r="H114" i="49"/>
  <c r="M16" i="58" l="1"/>
  <c r="E14" i="58"/>
  <c r="A66" i="58"/>
  <c r="D66" i="58"/>
  <c r="A12" i="58"/>
  <c r="D12" i="58"/>
  <c r="A141" i="57" l="1"/>
  <c r="A142" i="57" s="1"/>
  <c r="A126" i="57"/>
  <c r="A118" i="57"/>
  <c r="A108" i="57"/>
  <c r="A12" i="57"/>
  <c r="A13" i="57" s="1"/>
  <c r="D141" i="57"/>
  <c r="D12" i="57"/>
  <c r="A20" i="7" l="1"/>
  <c r="I16" i="7"/>
  <c r="I15" i="7"/>
  <c r="G16" i="7"/>
  <c r="G15" i="7"/>
  <c r="A29" i="7"/>
  <c r="C9" i="19"/>
  <c r="L431" i="19"/>
  <c r="K431" i="19"/>
  <c r="J431" i="19"/>
  <c r="H431" i="19"/>
  <c r="F431" i="19"/>
  <c r="E431" i="19"/>
  <c r="I431" i="19"/>
  <c r="A15" i="7" l="1"/>
  <c r="A25" i="7"/>
  <c r="A16" i="7"/>
  <c r="D94" i="56"/>
  <c r="D80" i="56"/>
  <c r="D81" i="56"/>
  <c r="D82" i="56"/>
  <c r="D83" i="56"/>
  <c r="D84" i="56"/>
  <c r="D85" i="56"/>
  <c r="D86" i="56"/>
  <c r="D87" i="56"/>
  <c r="D88" i="56"/>
  <c r="D89" i="56"/>
  <c r="D90" i="56"/>
  <c r="D91" i="56"/>
  <c r="D92" i="56"/>
  <c r="D93" i="56"/>
  <c r="I23" i="7" l="1"/>
  <c r="G23" i="7"/>
  <c r="I12" i="7"/>
  <c r="I90" i="7"/>
  <c r="G12" i="7"/>
  <c r="G90" i="7"/>
  <c r="B10" i="7"/>
  <c r="D10" i="7"/>
  <c r="C121" i="19" l="1"/>
  <c r="C13" i="35" l="1"/>
  <c r="C14" i="35"/>
  <c r="C15" i="35"/>
  <c r="C16" i="35"/>
  <c r="C12" i="35"/>
  <c r="C14" i="17"/>
  <c r="C13" i="17"/>
  <c r="C12" i="17"/>
  <c r="C11" i="17"/>
  <c r="C10" i="17"/>
  <c r="D10" i="17"/>
  <c r="C18" i="38"/>
  <c r="C17" i="38"/>
  <c r="C16" i="38"/>
  <c r="C15" i="38"/>
  <c r="C14" i="38"/>
  <c r="C19" i="38"/>
  <c r="B18" i="38"/>
  <c r="B17" i="38"/>
  <c r="B16" i="38"/>
  <c r="B15" i="38"/>
  <c r="B14" i="38"/>
  <c r="B13" i="38"/>
  <c r="C8" i="38"/>
  <c r="C7" i="38"/>
  <c r="C6" i="38"/>
  <c r="C5" i="38"/>
  <c r="C4" i="38"/>
  <c r="C9" i="38"/>
  <c r="B8" i="38"/>
  <c r="B7" i="38"/>
  <c r="B6" i="38"/>
  <c r="B4" i="38"/>
  <c r="B5" i="38"/>
  <c r="B85" i="8"/>
  <c r="B75" i="8"/>
  <c r="B65" i="8"/>
  <c r="B61" i="8"/>
  <c r="B60" i="8"/>
  <c r="F79" i="8"/>
  <c r="E79" i="8"/>
  <c r="G78" i="8"/>
  <c r="F69" i="8"/>
  <c r="E69" i="8"/>
  <c r="G68" i="8"/>
  <c r="J22" i="31"/>
  <c r="K22" i="31"/>
  <c r="B79" i="49"/>
  <c r="A77" i="49"/>
  <c r="B106" i="49"/>
  <c r="F100" i="49"/>
  <c r="E100" i="49"/>
  <c r="G99" i="49"/>
  <c r="F90" i="49"/>
  <c r="E90" i="49"/>
  <c r="G89" i="49"/>
  <c r="A530" i="31" l="1"/>
  <c r="A531" i="31" s="1"/>
  <c r="A512" i="31"/>
  <c r="A502" i="31"/>
  <c r="A500" i="31"/>
  <c r="A498" i="31"/>
  <c r="A496" i="31"/>
  <c r="A491" i="31"/>
  <c r="D530" i="31"/>
  <c r="H526" i="31"/>
  <c r="H525" i="31"/>
  <c r="H522" i="31"/>
  <c r="H521" i="31"/>
  <c r="H518" i="31"/>
  <c r="D502" i="31"/>
  <c r="H517" i="31"/>
  <c r="H516" i="31"/>
  <c r="H507" i="31"/>
  <c r="H508" i="31"/>
  <c r="H509" i="31"/>
  <c r="H506" i="31"/>
  <c r="D498" i="31"/>
  <c r="D496" i="31"/>
  <c r="D491" i="31"/>
  <c r="R62" i="1" l="1"/>
  <c r="U62" i="1" s="1"/>
  <c r="R63" i="1"/>
  <c r="U63" i="1" s="1"/>
  <c r="R64" i="1"/>
  <c r="U64" i="1" s="1"/>
  <c r="R65" i="1"/>
  <c r="U65" i="1" s="1"/>
  <c r="R66" i="1"/>
  <c r="U66" i="1" s="1"/>
  <c r="R67" i="1"/>
  <c r="U67" i="1" s="1"/>
  <c r="R68" i="1"/>
  <c r="U68" i="1" s="1"/>
  <c r="R69" i="1"/>
  <c r="U69" i="1" s="1"/>
  <c r="R70" i="1"/>
  <c r="U70" i="1" s="1"/>
  <c r="R71" i="1"/>
  <c r="U71" i="1" s="1"/>
  <c r="R72" i="1"/>
  <c r="U72" i="1" s="1"/>
  <c r="R73" i="1"/>
  <c r="U73" i="1" s="1"/>
  <c r="R74" i="1"/>
  <c r="U74" i="1" s="1"/>
  <c r="R75" i="1"/>
  <c r="U75" i="1" s="1"/>
  <c r="R76" i="1"/>
  <c r="U76" i="1" s="1"/>
  <c r="L62" i="1"/>
  <c r="O62" i="1" s="1"/>
  <c r="L63" i="1"/>
  <c r="O63" i="1" s="1"/>
  <c r="L64" i="1"/>
  <c r="O64" i="1" s="1"/>
  <c r="L65" i="1"/>
  <c r="O65" i="1" s="1"/>
  <c r="L66" i="1"/>
  <c r="O66" i="1" s="1"/>
  <c r="L67" i="1"/>
  <c r="O67" i="1" s="1"/>
  <c r="L68" i="1"/>
  <c r="O68" i="1" s="1"/>
  <c r="L69" i="1"/>
  <c r="O69" i="1" s="1"/>
  <c r="L70" i="1"/>
  <c r="O70" i="1" s="1"/>
  <c r="L71" i="1"/>
  <c r="O71" i="1" s="1"/>
  <c r="L72" i="1"/>
  <c r="O72" i="1" s="1"/>
  <c r="L73" i="1"/>
  <c r="O73" i="1" s="1"/>
  <c r="L74" i="1"/>
  <c r="O74" i="1" s="1"/>
  <c r="L75" i="1"/>
  <c r="O75" i="1" s="1"/>
  <c r="L76" i="1"/>
  <c r="O76" i="1" s="1"/>
  <c r="R27" i="1"/>
  <c r="U27" i="1" s="1"/>
  <c r="R28" i="1"/>
  <c r="U28" i="1" s="1"/>
  <c r="R29" i="1"/>
  <c r="U29" i="1" s="1"/>
  <c r="R30" i="1"/>
  <c r="U30" i="1" s="1"/>
  <c r="R31" i="1"/>
  <c r="U31" i="1" s="1"/>
  <c r="R32" i="1"/>
  <c r="U32" i="1" s="1"/>
  <c r="R33" i="1"/>
  <c r="U33" i="1" s="1"/>
  <c r="R34" i="1"/>
  <c r="U34" i="1" s="1"/>
  <c r="R35" i="1"/>
  <c r="U35" i="1" s="1"/>
  <c r="R36" i="1"/>
  <c r="U36" i="1" s="1"/>
  <c r="R37" i="1"/>
  <c r="U37" i="1" s="1"/>
  <c r="R38" i="1"/>
  <c r="U38" i="1" s="1"/>
  <c r="R39" i="1"/>
  <c r="U39" i="1" s="1"/>
  <c r="R40" i="1"/>
  <c r="U40" i="1" s="1"/>
  <c r="R41" i="1"/>
  <c r="U41" i="1" s="1"/>
  <c r="L27" i="1"/>
  <c r="O27" i="1" s="1"/>
  <c r="L28" i="1"/>
  <c r="O28" i="1" s="1"/>
  <c r="L29" i="1"/>
  <c r="O29" i="1" s="1"/>
  <c r="L30" i="1"/>
  <c r="O30" i="1" s="1"/>
  <c r="L31" i="1"/>
  <c r="O31" i="1" s="1"/>
  <c r="L32" i="1"/>
  <c r="O32" i="1" s="1"/>
  <c r="L33" i="1"/>
  <c r="O33" i="1" s="1"/>
  <c r="L34" i="1"/>
  <c r="O34" i="1" s="1"/>
  <c r="L35" i="1"/>
  <c r="O35" i="1" s="1"/>
  <c r="L36" i="1"/>
  <c r="O36" i="1" s="1"/>
  <c r="L37" i="1"/>
  <c r="O37" i="1" s="1"/>
  <c r="L38" i="1"/>
  <c r="O38" i="1" s="1"/>
  <c r="L39" i="1"/>
  <c r="O39" i="1" s="1"/>
  <c r="L40" i="1"/>
  <c r="O40" i="1" s="1"/>
  <c r="L41" i="1"/>
  <c r="O41" i="1" s="1"/>
  <c r="J471" i="31"/>
  <c r="K280" i="31"/>
  <c r="K242" i="31"/>
  <c r="K83" i="31"/>
  <c r="K68" i="31"/>
  <c r="K61" i="31"/>
  <c r="J50" i="31"/>
  <c r="K36" i="31"/>
  <c r="K13" i="31"/>
  <c r="J167" i="31" l="1"/>
  <c r="J150" i="31"/>
  <c r="J131" i="31"/>
  <c r="J118" i="31"/>
  <c r="J101" i="31"/>
  <c r="I131" i="7"/>
  <c r="K26" i="31"/>
  <c r="J301" i="31" l="1"/>
  <c r="J293" i="3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7" i="1"/>
  <c r="A512" i="7" l="1"/>
  <c r="A513" i="7" s="1"/>
  <c r="A386" i="7"/>
  <c r="D512" i="7"/>
  <c r="D386" i="7"/>
  <c r="E508" i="7"/>
  <c r="F508" i="7"/>
  <c r="F507" i="7"/>
  <c r="E507" i="7"/>
  <c r="C503" i="7"/>
  <c r="I320" i="7"/>
  <c r="J320" i="7"/>
  <c r="I321" i="7"/>
  <c r="J321" i="7"/>
  <c r="I322" i="7"/>
  <c r="J322" i="7"/>
  <c r="I323" i="7"/>
  <c r="J323" i="7"/>
  <c r="I324" i="7"/>
  <c r="J324" i="7"/>
  <c r="I325" i="7"/>
  <c r="J325" i="7"/>
  <c r="I326" i="7"/>
  <c r="J326" i="7"/>
  <c r="I327" i="7"/>
  <c r="J327" i="7"/>
  <c r="I328" i="7"/>
  <c r="J328" i="7"/>
  <c r="I329" i="7"/>
  <c r="J329" i="7"/>
  <c r="E127" i="40"/>
  <c r="E128" i="40"/>
  <c r="E129" i="40"/>
  <c r="E130" i="40"/>
  <c r="E131" i="40"/>
  <c r="E132" i="40"/>
  <c r="E133" i="40"/>
  <c r="E134" i="40"/>
  <c r="E135" i="40"/>
  <c r="E136" i="40"/>
  <c r="D320" i="7"/>
  <c r="D321" i="7"/>
  <c r="D322" i="7"/>
  <c r="D323" i="7"/>
  <c r="D324" i="7"/>
  <c r="D325" i="7"/>
  <c r="D326" i="7"/>
  <c r="D327" i="7"/>
  <c r="D328" i="7"/>
  <c r="D329" i="7"/>
  <c r="A329" i="7" l="1"/>
  <c r="A327" i="7"/>
  <c r="A323" i="7"/>
  <c r="A321" i="7"/>
  <c r="F510" i="7"/>
  <c r="A508" i="7"/>
  <c r="A509" i="7" s="1"/>
  <c r="A325" i="7"/>
  <c r="A328" i="7"/>
  <c r="A324" i="7"/>
  <c r="A320" i="7"/>
  <c r="A507" i="7"/>
  <c r="E510" i="7"/>
  <c r="A326" i="7"/>
  <c r="A322" i="7"/>
  <c r="D37" i="56"/>
  <c r="D38" i="56"/>
  <c r="D39" i="56"/>
  <c r="D40" i="56"/>
  <c r="D41" i="56"/>
  <c r="D42" i="56"/>
  <c r="D43" i="56"/>
  <c r="D44" i="56"/>
  <c r="D45" i="56"/>
  <c r="D46" i="56"/>
  <c r="D47" i="56"/>
  <c r="D48" i="56"/>
  <c r="D49" i="56"/>
  <c r="D50" i="56"/>
  <c r="D51" i="56"/>
  <c r="D82" i="57"/>
  <c r="D83" i="57"/>
  <c r="D86" i="57"/>
  <c r="D87" i="57"/>
  <c r="D88" i="57"/>
  <c r="D89" i="57"/>
  <c r="D90" i="57"/>
  <c r="D91" i="57"/>
  <c r="D92" i="57"/>
  <c r="D93" i="57"/>
  <c r="D94" i="57"/>
  <c r="D95" i="57"/>
  <c r="D96" i="57"/>
  <c r="D36" i="57"/>
  <c r="D37" i="57"/>
  <c r="D38" i="57"/>
  <c r="D39" i="57"/>
  <c r="D40" i="57"/>
  <c r="D41" i="57"/>
  <c r="D42" i="57"/>
  <c r="D43" i="57"/>
  <c r="D44" i="57"/>
  <c r="D45" i="57"/>
  <c r="D46" i="57"/>
  <c r="D47" i="57"/>
  <c r="D48" i="57"/>
  <c r="D49" i="57"/>
  <c r="D50" i="57"/>
  <c r="D38" i="58"/>
  <c r="D39" i="58"/>
  <c r="D40" i="58"/>
  <c r="D41" i="58"/>
  <c r="D42" i="58"/>
  <c r="D43" i="58"/>
  <c r="D44" i="58"/>
  <c r="D45" i="58"/>
  <c r="D46" i="58"/>
  <c r="D47" i="58"/>
  <c r="D48" i="58"/>
  <c r="D49" i="58"/>
  <c r="D50" i="58"/>
  <c r="D51" i="58"/>
  <c r="D52" i="58"/>
  <c r="C46" i="49"/>
  <c r="C45" i="49"/>
  <c r="C44" i="49"/>
  <c r="C43" i="49"/>
  <c r="C42" i="49"/>
  <c r="C41" i="49"/>
  <c r="C40" i="49"/>
  <c r="C39" i="49"/>
  <c r="C38" i="49"/>
  <c r="C37" i="49"/>
  <c r="C36" i="49"/>
  <c r="C35" i="49"/>
  <c r="C34" i="49"/>
  <c r="C33" i="49"/>
  <c r="C32" i="49"/>
  <c r="C31" i="49"/>
  <c r="B32" i="49"/>
  <c r="B33" i="49"/>
  <c r="B34" i="49"/>
  <c r="B35" i="49"/>
  <c r="B36" i="49"/>
  <c r="B37" i="49"/>
  <c r="B38" i="49"/>
  <c r="B39" i="49"/>
  <c r="B40" i="49"/>
  <c r="B41" i="49"/>
  <c r="B42" i="49"/>
  <c r="B43" i="49"/>
  <c r="B44" i="49"/>
  <c r="B45" i="49"/>
  <c r="B46" i="49"/>
  <c r="C27" i="14"/>
  <c r="E27" i="14" s="1"/>
  <c r="C28" i="14"/>
  <c r="I28" i="14" s="1"/>
  <c r="C29" i="14"/>
  <c r="I29" i="14" s="1"/>
  <c r="C30" i="14"/>
  <c r="I30" i="14" s="1"/>
  <c r="C31" i="14"/>
  <c r="E31" i="14" s="1"/>
  <c r="C32" i="14"/>
  <c r="I32" i="14" s="1"/>
  <c r="C33" i="14"/>
  <c r="E33" i="14" s="1"/>
  <c r="C34" i="14"/>
  <c r="I34" i="14" s="1"/>
  <c r="C35" i="14"/>
  <c r="E35" i="14" s="1"/>
  <c r="C36" i="14"/>
  <c r="I36" i="14" s="1"/>
  <c r="C37" i="14"/>
  <c r="I37" i="14" s="1"/>
  <c r="C38" i="14"/>
  <c r="I38" i="14" s="1"/>
  <c r="C39" i="14"/>
  <c r="E39" i="14" s="1"/>
  <c r="C40" i="14"/>
  <c r="I40" i="14" s="1"/>
  <c r="C41" i="14"/>
  <c r="E41" i="14" s="1"/>
  <c r="K507" i="55"/>
  <c r="I96" i="57" s="1"/>
  <c r="J507" i="55"/>
  <c r="H96" i="57" s="1"/>
  <c r="I507" i="55"/>
  <c r="G96" i="57" s="1"/>
  <c r="H507" i="55"/>
  <c r="K506" i="55"/>
  <c r="I95" i="57" s="1"/>
  <c r="J506" i="55"/>
  <c r="H95" i="57" s="1"/>
  <c r="I506" i="55"/>
  <c r="G95" i="57" s="1"/>
  <c r="H506" i="55"/>
  <c r="K505" i="55"/>
  <c r="I94" i="57" s="1"/>
  <c r="J505" i="55"/>
  <c r="I505" i="55"/>
  <c r="G94" i="57" s="1"/>
  <c r="H505" i="55"/>
  <c r="F94" i="57" s="1"/>
  <c r="K504" i="55"/>
  <c r="I93" i="57" s="1"/>
  <c r="J504" i="55"/>
  <c r="I504" i="55"/>
  <c r="G93" i="57" s="1"/>
  <c r="H504" i="55"/>
  <c r="F93" i="57" s="1"/>
  <c r="K503" i="55"/>
  <c r="I92" i="57" s="1"/>
  <c r="J503" i="55"/>
  <c r="H92" i="57" s="1"/>
  <c r="I503" i="55"/>
  <c r="G92" i="57" s="1"/>
  <c r="H503" i="55"/>
  <c r="K502" i="55"/>
  <c r="I91" i="57" s="1"/>
  <c r="J502" i="55"/>
  <c r="H91" i="57" s="1"/>
  <c r="I502" i="55"/>
  <c r="G91" i="57" s="1"/>
  <c r="H502" i="55"/>
  <c r="K501" i="55"/>
  <c r="I90" i="57" s="1"/>
  <c r="J501" i="55"/>
  <c r="I501" i="55"/>
  <c r="G90" i="57" s="1"/>
  <c r="H501" i="55"/>
  <c r="F90" i="57" s="1"/>
  <c r="K500" i="55"/>
  <c r="I89" i="57" s="1"/>
  <c r="J500" i="55"/>
  <c r="I500" i="55"/>
  <c r="G89" i="57" s="1"/>
  <c r="H500" i="55"/>
  <c r="F89" i="57" s="1"/>
  <c r="K499" i="55"/>
  <c r="I88" i="57" s="1"/>
  <c r="J499" i="55"/>
  <c r="H88" i="57" s="1"/>
  <c r="I499" i="55"/>
  <c r="G88" i="57" s="1"/>
  <c r="H499" i="55"/>
  <c r="K498" i="55"/>
  <c r="I87" i="57" s="1"/>
  <c r="J498" i="55"/>
  <c r="H87" i="57" s="1"/>
  <c r="I498" i="55"/>
  <c r="G87" i="57" s="1"/>
  <c r="H498" i="55"/>
  <c r="K497" i="55"/>
  <c r="I86" i="57" s="1"/>
  <c r="J497" i="55"/>
  <c r="I497" i="55"/>
  <c r="G86" i="57" s="1"/>
  <c r="H497" i="55"/>
  <c r="F86" i="57" s="1"/>
  <c r="K496" i="55"/>
  <c r="I85" i="57" s="1"/>
  <c r="J496" i="55"/>
  <c r="I496" i="55"/>
  <c r="G85" i="57" s="1"/>
  <c r="H496" i="55"/>
  <c r="F85" i="57" s="1"/>
  <c r="K495" i="55"/>
  <c r="I84" i="57" s="1"/>
  <c r="J495" i="55"/>
  <c r="H84" i="57" s="1"/>
  <c r="I495" i="55"/>
  <c r="G84" i="57" s="1"/>
  <c r="H495" i="55"/>
  <c r="F84" i="57" s="1"/>
  <c r="K494" i="55"/>
  <c r="I83" i="57" s="1"/>
  <c r="J494" i="55"/>
  <c r="H83" i="57" s="1"/>
  <c r="I494" i="55"/>
  <c r="G83" i="57" s="1"/>
  <c r="H494" i="55"/>
  <c r="F83" i="57" s="1"/>
  <c r="K493" i="55"/>
  <c r="I82" i="57" s="1"/>
  <c r="J493" i="55"/>
  <c r="I493" i="55"/>
  <c r="G82" i="57" s="1"/>
  <c r="H493" i="55"/>
  <c r="F82" i="57" s="1"/>
  <c r="F507" i="55"/>
  <c r="I50" i="57" s="1"/>
  <c r="E507" i="55"/>
  <c r="H50" i="57" s="1"/>
  <c r="D507" i="55"/>
  <c r="G50" i="57" s="1"/>
  <c r="C507" i="55"/>
  <c r="F506" i="55"/>
  <c r="I49" i="57" s="1"/>
  <c r="E506" i="55"/>
  <c r="H49" i="57" s="1"/>
  <c r="D506" i="55"/>
  <c r="G49" i="57" s="1"/>
  <c r="C506" i="55"/>
  <c r="F49" i="57" s="1"/>
  <c r="F505" i="55"/>
  <c r="I48" i="57" s="1"/>
  <c r="E505" i="55"/>
  <c r="H48" i="57" s="1"/>
  <c r="D505" i="55"/>
  <c r="G48" i="57" s="1"/>
  <c r="C505" i="55"/>
  <c r="F48" i="57" s="1"/>
  <c r="F504" i="55"/>
  <c r="I47" i="57" s="1"/>
  <c r="E504" i="55"/>
  <c r="H47" i="57" s="1"/>
  <c r="D504" i="55"/>
  <c r="G47" i="57" s="1"/>
  <c r="C504" i="55"/>
  <c r="F503" i="55"/>
  <c r="I46" i="57" s="1"/>
  <c r="E503" i="55"/>
  <c r="H46" i="57" s="1"/>
  <c r="D503" i="55"/>
  <c r="G46" i="57" s="1"/>
  <c r="C503" i="55"/>
  <c r="F502" i="55"/>
  <c r="I45" i="57" s="1"/>
  <c r="E502" i="55"/>
  <c r="H45" i="57" s="1"/>
  <c r="D502" i="55"/>
  <c r="G45" i="57" s="1"/>
  <c r="C502" i="55"/>
  <c r="F45" i="57" s="1"/>
  <c r="F501" i="55"/>
  <c r="I44" i="57" s="1"/>
  <c r="E501" i="55"/>
  <c r="H44" i="57" s="1"/>
  <c r="D501" i="55"/>
  <c r="G44" i="57" s="1"/>
  <c r="C501" i="55"/>
  <c r="F44" i="57" s="1"/>
  <c r="F500" i="55"/>
  <c r="I43" i="57" s="1"/>
  <c r="E500" i="55"/>
  <c r="H43" i="57" s="1"/>
  <c r="D500" i="55"/>
  <c r="G43" i="57" s="1"/>
  <c r="C500" i="55"/>
  <c r="F499" i="55"/>
  <c r="I42" i="57" s="1"/>
  <c r="E499" i="55"/>
  <c r="H42" i="57" s="1"/>
  <c r="D499" i="55"/>
  <c r="G42" i="57" s="1"/>
  <c r="C499" i="55"/>
  <c r="F498" i="55"/>
  <c r="I41" i="57" s="1"/>
  <c r="E498" i="55"/>
  <c r="H41" i="57" s="1"/>
  <c r="D498" i="55"/>
  <c r="G41" i="57" s="1"/>
  <c r="C498" i="55"/>
  <c r="F41" i="57" s="1"/>
  <c r="F497" i="55"/>
  <c r="I40" i="57" s="1"/>
  <c r="E497" i="55"/>
  <c r="H40" i="57" s="1"/>
  <c r="D497" i="55"/>
  <c r="G40" i="57" s="1"/>
  <c r="C497" i="55"/>
  <c r="F40" i="57" s="1"/>
  <c r="F496" i="55"/>
  <c r="I39" i="57" s="1"/>
  <c r="E496" i="55"/>
  <c r="H39" i="57" s="1"/>
  <c r="D496" i="55"/>
  <c r="G39" i="57" s="1"/>
  <c r="C496" i="55"/>
  <c r="F495" i="55"/>
  <c r="I38" i="57" s="1"/>
  <c r="E495" i="55"/>
  <c r="H38" i="57" s="1"/>
  <c r="D495" i="55"/>
  <c r="G38" i="57" s="1"/>
  <c r="C495" i="55"/>
  <c r="F494" i="55"/>
  <c r="I37" i="57" s="1"/>
  <c r="E494" i="55"/>
  <c r="H37" i="57" s="1"/>
  <c r="D494" i="55"/>
  <c r="G37" i="57" s="1"/>
  <c r="C494" i="55"/>
  <c r="F37" i="57" s="1"/>
  <c r="F493" i="55"/>
  <c r="I36" i="57" s="1"/>
  <c r="E493" i="55"/>
  <c r="H36" i="57" s="1"/>
  <c r="D493" i="55"/>
  <c r="G36" i="57" s="1"/>
  <c r="C493" i="55"/>
  <c r="F36" i="57" s="1"/>
  <c r="D443" i="55"/>
  <c r="D444" i="55"/>
  <c r="D445" i="55"/>
  <c r="D446" i="55"/>
  <c r="D447" i="55"/>
  <c r="D448" i="55"/>
  <c r="D449" i="55"/>
  <c r="D450" i="55"/>
  <c r="D451" i="55"/>
  <c r="D452" i="55"/>
  <c r="D453" i="55"/>
  <c r="D454" i="55"/>
  <c r="D455" i="55"/>
  <c r="D456" i="55"/>
  <c r="D457" i="55"/>
  <c r="D458" i="55"/>
  <c r="D459" i="55"/>
  <c r="D460" i="55"/>
  <c r="D461" i="55"/>
  <c r="D462" i="55"/>
  <c r="D463" i="55"/>
  <c r="D464" i="55"/>
  <c r="D465" i="55"/>
  <c r="D434" i="55"/>
  <c r="D435" i="55"/>
  <c r="D436" i="55"/>
  <c r="D437" i="55"/>
  <c r="D438" i="55"/>
  <c r="D425" i="55"/>
  <c r="D426" i="55"/>
  <c r="D427" i="55"/>
  <c r="D428" i="55"/>
  <c r="D429" i="55"/>
  <c r="D416" i="55"/>
  <c r="D417" i="55"/>
  <c r="D418" i="55"/>
  <c r="D419" i="55"/>
  <c r="D420" i="55"/>
  <c r="D407" i="55"/>
  <c r="D408" i="55"/>
  <c r="D409" i="55"/>
  <c r="D410" i="55"/>
  <c r="D411" i="55"/>
  <c r="D398" i="55"/>
  <c r="D399" i="55"/>
  <c r="D400" i="55"/>
  <c r="D401" i="55"/>
  <c r="D402" i="55"/>
  <c r="D389" i="55"/>
  <c r="D390" i="55"/>
  <c r="D391" i="55"/>
  <c r="D392" i="55"/>
  <c r="D393" i="55"/>
  <c r="D380" i="55"/>
  <c r="D381" i="55"/>
  <c r="D382" i="55"/>
  <c r="D383" i="55"/>
  <c r="D384" i="55"/>
  <c r="D371" i="55"/>
  <c r="D372" i="55"/>
  <c r="D373" i="55"/>
  <c r="D374" i="55"/>
  <c r="D375" i="55"/>
  <c r="D362" i="55"/>
  <c r="D363" i="55"/>
  <c r="D364" i="55"/>
  <c r="D365" i="55"/>
  <c r="D366" i="55"/>
  <c r="D353" i="55"/>
  <c r="D354" i="55"/>
  <c r="D355" i="55"/>
  <c r="D356" i="55"/>
  <c r="D357" i="55"/>
  <c r="D344" i="55"/>
  <c r="D345" i="55"/>
  <c r="D346" i="55"/>
  <c r="D347" i="55"/>
  <c r="D348" i="55"/>
  <c r="D335" i="55"/>
  <c r="D336" i="55"/>
  <c r="D337" i="55"/>
  <c r="D338" i="55"/>
  <c r="D339" i="55"/>
  <c r="D331" i="55"/>
  <c r="D332" i="55"/>
  <c r="D333" i="55"/>
  <c r="D334" i="55"/>
  <c r="D340" i="55"/>
  <c r="D341" i="55"/>
  <c r="D342" i="55"/>
  <c r="D343" i="55"/>
  <c r="D349" i="55"/>
  <c r="D350" i="55"/>
  <c r="D351" i="55"/>
  <c r="D352" i="55"/>
  <c r="D358" i="55"/>
  <c r="D359" i="55"/>
  <c r="D360" i="55"/>
  <c r="D361" i="55"/>
  <c r="D367" i="55"/>
  <c r="D368" i="55"/>
  <c r="D369" i="55"/>
  <c r="D370" i="55"/>
  <c r="D376" i="55"/>
  <c r="D377" i="55"/>
  <c r="D378" i="55"/>
  <c r="D379" i="55"/>
  <c r="D385" i="55"/>
  <c r="D386" i="55"/>
  <c r="D387" i="55"/>
  <c r="D388" i="55"/>
  <c r="D394" i="55"/>
  <c r="D395" i="55"/>
  <c r="D396" i="55"/>
  <c r="D397" i="55"/>
  <c r="D403" i="55"/>
  <c r="D404" i="55"/>
  <c r="D405" i="55"/>
  <c r="D406" i="55"/>
  <c r="D412" i="55"/>
  <c r="D413" i="55"/>
  <c r="D414" i="55"/>
  <c r="D415" i="55"/>
  <c r="D421" i="55"/>
  <c r="D422" i="55"/>
  <c r="D423" i="55"/>
  <c r="D424" i="55"/>
  <c r="D430" i="55"/>
  <c r="D431" i="55"/>
  <c r="D432" i="55"/>
  <c r="D433" i="55"/>
  <c r="D439" i="55"/>
  <c r="D440" i="55"/>
  <c r="D441" i="55"/>
  <c r="D442" i="55"/>
  <c r="E143" i="55"/>
  <c r="E465" i="55" s="1"/>
  <c r="E139" i="55"/>
  <c r="E453" i="55" s="1"/>
  <c r="E135" i="55"/>
  <c r="E445" i="55" s="1"/>
  <c r="E131" i="55"/>
  <c r="B504" i="55" s="1"/>
  <c r="E127" i="55"/>
  <c r="E429" i="55" s="1"/>
  <c r="E123" i="55"/>
  <c r="E417" i="55" s="1"/>
  <c r="E119" i="55"/>
  <c r="E409" i="55" s="1"/>
  <c r="E115" i="55"/>
  <c r="B500" i="55" s="1"/>
  <c r="E111" i="55"/>
  <c r="E393" i="55" s="1"/>
  <c r="E107" i="55"/>
  <c r="E381" i="55" s="1"/>
  <c r="E103" i="55"/>
  <c r="E373" i="55" s="1"/>
  <c r="E99" i="55"/>
  <c r="B496" i="55" s="1"/>
  <c r="E95" i="55"/>
  <c r="E357" i="55" s="1"/>
  <c r="E91" i="55"/>
  <c r="E345" i="55" s="1"/>
  <c r="E87" i="55"/>
  <c r="E337" i="55" s="1"/>
  <c r="E83" i="55"/>
  <c r="D87" i="55"/>
  <c r="D88" i="55"/>
  <c r="D89" i="55"/>
  <c r="D90" i="55"/>
  <c r="D91" i="55"/>
  <c r="D92" i="55"/>
  <c r="D93" i="55"/>
  <c r="D94" i="55"/>
  <c r="D95" i="55"/>
  <c r="D96" i="55"/>
  <c r="D97" i="55"/>
  <c r="D98" i="55"/>
  <c r="D99" i="55"/>
  <c r="D100" i="55"/>
  <c r="D101" i="55"/>
  <c r="D102" i="55"/>
  <c r="D103" i="55"/>
  <c r="D104" i="55"/>
  <c r="D105" i="55"/>
  <c r="D106" i="55"/>
  <c r="D107" i="55"/>
  <c r="D108" i="55"/>
  <c r="D109" i="55"/>
  <c r="D110" i="55"/>
  <c r="D111" i="55"/>
  <c r="D112" i="55"/>
  <c r="D113" i="55"/>
  <c r="D114" i="55"/>
  <c r="D115" i="55"/>
  <c r="D116" i="55"/>
  <c r="D117" i="55"/>
  <c r="D118" i="55"/>
  <c r="D119" i="55"/>
  <c r="D120" i="55"/>
  <c r="D121" i="55"/>
  <c r="D122" i="55"/>
  <c r="D123" i="55"/>
  <c r="D124" i="55"/>
  <c r="D125" i="55"/>
  <c r="D126" i="55"/>
  <c r="D127" i="55"/>
  <c r="D128" i="55"/>
  <c r="D129" i="55"/>
  <c r="D130" i="55"/>
  <c r="D131" i="55"/>
  <c r="D132" i="55"/>
  <c r="D133" i="55"/>
  <c r="D134" i="55"/>
  <c r="D135" i="55"/>
  <c r="D136" i="55"/>
  <c r="D137" i="55"/>
  <c r="D138" i="55"/>
  <c r="D139" i="55"/>
  <c r="D140" i="55"/>
  <c r="D141" i="55"/>
  <c r="D142" i="55"/>
  <c r="D143" i="55"/>
  <c r="D144" i="55"/>
  <c r="D145" i="55"/>
  <c r="D146" i="55"/>
  <c r="E64" i="1"/>
  <c r="W64" i="1" s="1"/>
  <c r="E65" i="1"/>
  <c r="W65" i="1" s="1"/>
  <c r="E66" i="1"/>
  <c r="W66" i="1" s="1"/>
  <c r="E67" i="1"/>
  <c r="W67" i="1" s="1"/>
  <c r="E68" i="1"/>
  <c r="W68" i="1" s="1"/>
  <c r="E69" i="1"/>
  <c r="W69" i="1" s="1"/>
  <c r="E70" i="1"/>
  <c r="W70" i="1" s="1"/>
  <c r="E71" i="1"/>
  <c r="W71" i="1" s="1"/>
  <c r="E72" i="1"/>
  <c r="W72" i="1" s="1"/>
  <c r="E73" i="1"/>
  <c r="W73" i="1" s="1"/>
  <c r="E74" i="1"/>
  <c r="W74" i="1" s="1"/>
  <c r="E75" i="1"/>
  <c r="W75" i="1" s="1"/>
  <c r="E76" i="1"/>
  <c r="W76" i="1" s="1"/>
  <c r="E63" i="1"/>
  <c r="W63" i="1" s="1"/>
  <c r="D76" i="1"/>
  <c r="D75" i="1"/>
  <c r="D74" i="1"/>
  <c r="D73" i="1"/>
  <c r="D72" i="1"/>
  <c r="D71" i="1"/>
  <c r="D70" i="1"/>
  <c r="D69" i="1"/>
  <c r="D68" i="1"/>
  <c r="D67" i="1"/>
  <c r="D66" i="1"/>
  <c r="D65" i="1"/>
  <c r="D64" i="1"/>
  <c r="D63" i="1"/>
  <c r="E62" i="1"/>
  <c r="W62" i="1" s="1"/>
  <c r="D62" i="1"/>
  <c r="G41" i="1"/>
  <c r="G76" i="1" s="1"/>
  <c r="G40" i="1"/>
  <c r="G75" i="1" s="1"/>
  <c r="G39" i="1"/>
  <c r="G74" i="1" s="1"/>
  <c r="G38" i="1"/>
  <c r="G73" i="1" s="1"/>
  <c r="G37" i="1"/>
  <c r="G72" i="1" s="1"/>
  <c r="G36" i="1"/>
  <c r="G71" i="1" s="1"/>
  <c r="G35" i="1"/>
  <c r="G70" i="1" s="1"/>
  <c r="G34" i="1"/>
  <c r="G69" i="1" s="1"/>
  <c r="G33" i="1"/>
  <c r="G68" i="1" s="1"/>
  <c r="G32" i="1"/>
  <c r="G67" i="1" s="1"/>
  <c r="G31" i="1"/>
  <c r="G66" i="1" s="1"/>
  <c r="G30" i="1"/>
  <c r="G65" i="1" s="1"/>
  <c r="G29" i="1"/>
  <c r="G64" i="1" s="1"/>
  <c r="G28" i="1"/>
  <c r="G63" i="1" s="1"/>
  <c r="G27" i="1"/>
  <c r="G62" i="1" s="1"/>
  <c r="F41" i="1"/>
  <c r="F76" i="1" s="1"/>
  <c r="F40" i="1"/>
  <c r="F75" i="1" s="1"/>
  <c r="F39" i="1"/>
  <c r="F74" i="1" s="1"/>
  <c r="F38" i="1"/>
  <c r="F73" i="1" s="1"/>
  <c r="F37" i="1"/>
  <c r="F72" i="1" s="1"/>
  <c r="F36" i="1"/>
  <c r="F71" i="1" s="1"/>
  <c r="F35" i="1"/>
  <c r="F70" i="1" s="1"/>
  <c r="F34" i="1"/>
  <c r="F69" i="1" s="1"/>
  <c r="F33" i="1"/>
  <c r="F68" i="1" s="1"/>
  <c r="F32" i="1"/>
  <c r="F67" i="1" s="1"/>
  <c r="F31" i="1"/>
  <c r="F66" i="1" s="1"/>
  <c r="F30" i="1"/>
  <c r="F65" i="1" s="1"/>
  <c r="F29" i="1"/>
  <c r="F64" i="1" s="1"/>
  <c r="F28" i="1"/>
  <c r="F63" i="1" s="1"/>
  <c r="F27" i="1"/>
  <c r="F62" i="1" s="1"/>
  <c r="D27" i="1"/>
  <c r="D28" i="1"/>
  <c r="D29" i="1"/>
  <c r="D30" i="1"/>
  <c r="D31" i="1"/>
  <c r="D32" i="1"/>
  <c r="D33" i="1"/>
  <c r="D34" i="1"/>
  <c r="D35" i="1"/>
  <c r="D36" i="1"/>
  <c r="D37" i="1"/>
  <c r="D38" i="1"/>
  <c r="D39" i="1"/>
  <c r="D40" i="1"/>
  <c r="D41" i="1"/>
  <c r="L493" i="55" l="1"/>
  <c r="I38" i="58" s="1"/>
  <c r="L497" i="55"/>
  <c r="I42" i="58" s="1"/>
  <c r="L501" i="55"/>
  <c r="I46" i="58" s="1"/>
  <c r="L505" i="55"/>
  <c r="I50" i="58" s="1"/>
  <c r="L500" i="55"/>
  <c r="I45" i="58" s="1"/>
  <c r="L504" i="55"/>
  <c r="I49" i="58" s="1"/>
  <c r="L496" i="55"/>
  <c r="I41" i="58" s="1"/>
  <c r="H85" i="57"/>
  <c r="J85" i="57" s="1"/>
  <c r="J83" i="57"/>
  <c r="J84" i="57"/>
  <c r="E32" i="14"/>
  <c r="N32" i="14" s="1"/>
  <c r="D37" i="49" s="1"/>
  <c r="E40" i="14"/>
  <c r="I41" i="14"/>
  <c r="Q41" i="14" s="1"/>
  <c r="G46" i="49" s="1"/>
  <c r="E37" i="14"/>
  <c r="N37" i="14" s="1"/>
  <c r="D42" i="49" s="1"/>
  <c r="I33" i="14"/>
  <c r="E90" i="55"/>
  <c r="E34" i="14"/>
  <c r="N34" i="14" s="1"/>
  <c r="D39" i="49" s="1"/>
  <c r="E98" i="55"/>
  <c r="E338" i="55"/>
  <c r="E462" i="55"/>
  <c r="E36" i="14"/>
  <c r="N36" i="14" s="1"/>
  <c r="D41" i="49" s="1"/>
  <c r="E30" i="14"/>
  <c r="N30" i="14" s="1"/>
  <c r="D35" i="49" s="1"/>
  <c r="H94" i="57"/>
  <c r="A94" i="57" s="1"/>
  <c r="H93" i="57"/>
  <c r="J93" i="57" s="1"/>
  <c r="H90" i="57"/>
  <c r="A90" i="57" s="1"/>
  <c r="H89" i="57"/>
  <c r="J89" i="57" s="1"/>
  <c r="H86" i="57"/>
  <c r="J86" i="57" s="1"/>
  <c r="E354" i="55"/>
  <c r="G495" i="55"/>
  <c r="F40" i="58" s="1"/>
  <c r="G496" i="55"/>
  <c r="F41" i="58" s="1"/>
  <c r="G499" i="55"/>
  <c r="F44" i="58" s="1"/>
  <c r="G500" i="55"/>
  <c r="F45" i="58" s="1"/>
  <c r="G503" i="55"/>
  <c r="F48" i="58" s="1"/>
  <c r="G504" i="55"/>
  <c r="F49" i="58" s="1"/>
  <c r="G507" i="55"/>
  <c r="F52" i="58" s="1"/>
  <c r="L494" i="55"/>
  <c r="I39" i="58" s="1"/>
  <c r="L495" i="55"/>
  <c r="I40" i="58" s="1"/>
  <c r="L498" i="55"/>
  <c r="I43" i="58" s="1"/>
  <c r="L499" i="55"/>
  <c r="I44" i="58" s="1"/>
  <c r="L502" i="55"/>
  <c r="I47" i="58" s="1"/>
  <c r="L503" i="55"/>
  <c r="I48" i="58" s="1"/>
  <c r="L506" i="55"/>
  <c r="I51" i="58" s="1"/>
  <c r="L507" i="55"/>
  <c r="I52" i="58" s="1"/>
  <c r="E29" i="14"/>
  <c r="N29" i="14" s="1"/>
  <c r="D34" i="49" s="1"/>
  <c r="F50" i="57"/>
  <c r="J50" i="57" s="1"/>
  <c r="F47" i="57"/>
  <c r="J47" i="57" s="1"/>
  <c r="O48" i="58" s="1"/>
  <c r="F46" i="57"/>
  <c r="J46" i="57" s="1"/>
  <c r="F43" i="57"/>
  <c r="J43" i="57" s="1"/>
  <c r="F42" i="57"/>
  <c r="J42" i="57" s="1"/>
  <c r="F39" i="57"/>
  <c r="A39" i="57" s="1"/>
  <c r="F38" i="57"/>
  <c r="A38" i="57" s="1"/>
  <c r="E114" i="55"/>
  <c r="E130" i="55"/>
  <c r="E390" i="55"/>
  <c r="G493" i="55"/>
  <c r="F38" i="58" s="1"/>
  <c r="G494" i="55"/>
  <c r="F39" i="58" s="1"/>
  <c r="G497" i="55"/>
  <c r="F42" i="58" s="1"/>
  <c r="G498" i="55"/>
  <c r="F43" i="58" s="1"/>
  <c r="G501" i="55"/>
  <c r="F46" i="58" s="1"/>
  <c r="G502" i="55"/>
  <c r="F47" i="58" s="1"/>
  <c r="G505" i="55"/>
  <c r="F50" i="58" s="1"/>
  <c r="G506" i="55"/>
  <c r="F51" i="58" s="1"/>
  <c r="E38" i="14"/>
  <c r="E28" i="14"/>
  <c r="N28" i="14" s="1"/>
  <c r="D33" i="49" s="1"/>
  <c r="F96" i="57"/>
  <c r="J96" i="57" s="1"/>
  <c r="F95" i="57"/>
  <c r="F92" i="57"/>
  <c r="F91" i="57"/>
  <c r="J91" i="57" s="1"/>
  <c r="F88" i="57"/>
  <c r="J88" i="57" s="1"/>
  <c r="F87" i="57"/>
  <c r="H82" i="57"/>
  <c r="A82" i="57" s="1"/>
  <c r="E146" i="55"/>
  <c r="E334" i="55"/>
  <c r="E426" i="55"/>
  <c r="E346" i="55"/>
  <c r="E418" i="55"/>
  <c r="E454" i="55"/>
  <c r="B502" i="55"/>
  <c r="E108" i="55"/>
  <c r="E140" i="55"/>
  <c r="E347" i="55"/>
  <c r="E383" i="55"/>
  <c r="E419" i="55"/>
  <c r="E455" i="55"/>
  <c r="B506" i="55"/>
  <c r="E92" i="55"/>
  <c r="E141" i="55"/>
  <c r="E342" i="55"/>
  <c r="E386" i="55"/>
  <c r="E422" i="55"/>
  <c r="E458" i="55"/>
  <c r="I39" i="14"/>
  <c r="Q39" i="14" s="1"/>
  <c r="G44" i="49" s="1"/>
  <c r="I35" i="14"/>
  <c r="Q35" i="14" s="1"/>
  <c r="G40" i="49" s="1"/>
  <c r="I31" i="14"/>
  <c r="Q31" i="14" s="1"/>
  <c r="G36" i="49" s="1"/>
  <c r="I27" i="14"/>
  <c r="Q27" i="14" s="1"/>
  <c r="G32" i="49" s="1"/>
  <c r="E382" i="55"/>
  <c r="E124" i="55"/>
  <c r="E355" i="55"/>
  <c r="E391" i="55"/>
  <c r="E427" i="55"/>
  <c r="E463" i="55"/>
  <c r="E109" i="55"/>
  <c r="E125" i="55"/>
  <c r="E350" i="55"/>
  <c r="E378" i="55"/>
  <c r="E414" i="55"/>
  <c r="E450" i="55"/>
  <c r="B494" i="55"/>
  <c r="E93" i="55"/>
  <c r="E113" i="55"/>
  <c r="E129" i="55"/>
  <c r="E145" i="55"/>
  <c r="E343" i="55"/>
  <c r="E351" i="55"/>
  <c r="E379" i="55"/>
  <c r="E387" i="55"/>
  <c r="E415" i="55"/>
  <c r="E423" i="55"/>
  <c r="E451" i="55"/>
  <c r="E459" i="55"/>
  <c r="B498" i="55"/>
  <c r="A44" i="57"/>
  <c r="A36" i="57"/>
  <c r="A84" i="57"/>
  <c r="A83" i="57"/>
  <c r="A40" i="57"/>
  <c r="N33" i="14"/>
  <c r="D38" i="49" s="1"/>
  <c r="N41" i="14"/>
  <c r="D46" i="49" s="1"/>
  <c r="Q33" i="14"/>
  <c r="G38" i="49" s="1"/>
  <c r="Q29" i="14"/>
  <c r="G34" i="49" s="1"/>
  <c r="N35" i="14"/>
  <c r="D40" i="49" s="1"/>
  <c r="N39" i="14"/>
  <c r="D44" i="49" s="1"/>
  <c r="N38" i="14"/>
  <c r="D43" i="49" s="1"/>
  <c r="N31" i="14"/>
  <c r="D36" i="49" s="1"/>
  <c r="N27" i="14"/>
  <c r="D32" i="49" s="1"/>
  <c r="Q40" i="14"/>
  <c r="G45" i="49" s="1"/>
  <c r="Q38" i="14"/>
  <c r="G43" i="49" s="1"/>
  <c r="Q36" i="14"/>
  <c r="G41" i="49" s="1"/>
  <c r="Q34" i="14"/>
  <c r="G39" i="49" s="1"/>
  <c r="Q32" i="14"/>
  <c r="G37" i="49" s="1"/>
  <c r="Q30" i="14"/>
  <c r="G35" i="49" s="1"/>
  <c r="Q28" i="14"/>
  <c r="G33" i="49" s="1"/>
  <c r="A49" i="57"/>
  <c r="J48" i="57"/>
  <c r="A45" i="57"/>
  <c r="J44" i="57"/>
  <c r="A41" i="57"/>
  <c r="J40" i="57"/>
  <c r="A37" i="57"/>
  <c r="J36" i="57"/>
  <c r="A48" i="57"/>
  <c r="J49" i="57"/>
  <c r="J45" i="57"/>
  <c r="J41" i="57"/>
  <c r="O42" i="58" s="1"/>
  <c r="J37" i="57"/>
  <c r="Q37" i="14"/>
  <c r="G42" i="49" s="1"/>
  <c r="N40" i="14"/>
  <c r="D45" i="49" s="1"/>
  <c r="E118" i="55"/>
  <c r="E358" i="55"/>
  <c r="E362" i="55"/>
  <c r="E366" i="55"/>
  <c r="E370" i="55"/>
  <c r="E374" i="55"/>
  <c r="E394" i="55"/>
  <c r="E398" i="55"/>
  <c r="E402" i="55"/>
  <c r="E406" i="55"/>
  <c r="E410" i="55"/>
  <c r="E430" i="55"/>
  <c r="E434" i="55"/>
  <c r="E438" i="55"/>
  <c r="E442" i="55"/>
  <c r="E446" i="55"/>
  <c r="B493" i="55"/>
  <c r="B497" i="55"/>
  <c r="B501" i="55"/>
  <c r="B505" i="55"/>
  <c r="E104" i="55"/>
  <c r="E120" i="55"/>
  <c r="E136" i="55"/>
  <c r="E331" i="55"/>
  <c r="E339" i="55"/>
  <c r="E359" i="55"/>
  <c r="E367" i="55"/>
  <c r="E375" i="55"/>
  <c r="E395" i="55"/>
  <c r="E403" i="55"/>
  <c r="E431" i="55"/>
  <c r="E439" i="55"/>
  <c r="E447" i="55"/>
  <c r="E88" i="55"/>
  <c r="E94" i="55"/>
  <c r="E100" i="55"/>
  <c r="E105" i="55"/>
  <c r="E110" i="55"/>
  <c r="E116" i="55"/>
  <c r="E121" i="55"/>
  <c r="E126" i="55"/>
  <c r="E132" i="55"/>
  <c r="E137" i="55"/>
  <c r="E142" i="55"/>
  <c r="E332" i="55"/>
  <c r="E336" i="55"/>
  <c r="E340" i="55"/>
  <c r="E344" i="55"/>
  <c r="E348" i="55"/>
  <c r="E352" i="55"/>
  <c r="E356" i="55"/>
  <c r="E360" i="55"/>
  <c r="E364" i="55"/>
  <c r="E368" i="55"/>
  <c r="E372" i="55"/>
  <c r="E376" i="55"/>
  <c r="E380" i="55"/>
  <c r="E384" i="55"/>
  <c r="E388" i="55"/>
  <c r="E392" i="55"/>
  <c r="E396" i="55"/>
  <c r="E400" i="55"/>
  <c r="E404" i="55"/>
  <c r="E408" i="55"/>
  <c r="E412" i="55"/>
  <c r="E416" i="55"/>
  <c r="E420" i="55"/>
  <c r="E424" i="55"/>
  <c r="E428" i="55"/>
  <c r="E432" i="55"/>
  <c r="E436" i="55"/>
  <c r="E440" i="55"/>
  <c r="E444" i="55"/>
  <c r="E448" i="55"/>
  <c r="E452" i="55"/>
  <c r="E456" i="55"/>
  <c r="E460" i="55"/>
  <c r="E464" i="55"/>
  <c r="B495" i="55"/>
  <c r="B499" i="55"/>
  <c r="B503" i="55"/>
  <c r="B507" i="55"/>
  <c r="E102" i="55"/>
  <c r="E134" i="55"/>
  <c r="E335" i="55"/>
  <c r="E363" i="55"/>
  <c r="E371" i="55"/>
  <c r="E399" i="55"/>
  <c r="E407" i="55"/>
  <c r="E411" i="55"/>
  <c r="E435" i="55"/>
  <c r="E443" i="55"/>
  <c r="E89" i="55"/>
  <c r="E96" i="55"/>
  <c r="E97" i="55" s="1"/>
  <c r="E101" i="55"/>
  <c r="E106" i="55"/>
  <c r="E112" i="55"/>
  <c r="E117" i="55"/>
  <c r="E122" i="55"/>
  <c r="E128" i="55"/>
  <c r="E133" i="55"/>
  <c r="E138" i="55"/>
  <c r="E144" i="55"/>
  <c r="E333" i="55"/>
  <c r="E341" i="55"/>
  <c r="E349" i="55"/>
  <c r="E353" i="55"/>
  <c r="E361" i="55"/>
  <c r="E365" i="55"/>
  <c r="E369" i="55"/>
  <c r="E377" i="55"/>
  <c r="E385" i="55"/>
  <c r="E389" i="55"/>
  <c r="E397" i="55"/>
  <c r="E401" i="55"/>
  <c r="E405" i="55"/>
  <c r="E413" i="55"/>
  <c r="E421" i="55"/>
  <c r="E425" i="55"/>
  <c r="E433" i="55"/>
  <c r="E437" i="55"/>
  <c r="E441" i="55"/>
  <c r="E449" i="55"/>
  <c r="E457" i="55"/>
  <c r="E461" i="55"/>
  <c r="I301" i="7"/>
  <c r="J301" i="7"/>
  <c r="I302" i="7"/>
  <c r="J302" i="7"/>
  <c r="I303" i="7"/>
  <c r="J303" i="7"/>
  <c r="I304" i="7"/>
  <c r="J304" i="7"/>
  <c r="I305" i="7"/>
  <c r="J305" i="7"/>
  <c r="I306" i="7"/>
  <c r="J306" i="7"/>
  <c r="I307" i="7"/>
  <c r="J307" i="7"/>
  <c r="I308" i="7"/>
  <c r="J308" i="7"/>
  <c r="I309" i="7"/>
  <c r="J309" i="7"/>
  <c r="I310" i="7"/>
  <c r="J310" i="7"/>
  <c r="I311" i="7"/>
  <c r="J311" i="7"/>
  <c r="I312" i="7"/>
  <c r="J312" i="7"/>
  <c r="I313" i="7"/>
  <c r="J313" i="7"/>
  <c r="I314" i="7"/>
  <c r="J314" i="7"/>
  <c r="I315" i="7"/>
  <c r="J315" i="7"/>
  <c r="I316" i="7"/>
  <c r="J316" i="7"/>
  <c r="I317" i="7"/>
  <c r="J317" i="7"/>
  <c r="I318" i="7"/>
  <c r="J318" i="7"/>
  <c r="I319" i="7"/>
  <c r="J319" i="7"/>
  <c r="J300" i="7"/>
  <c r="I300" i="7"/>
  <c r="E123" i="40"/>
  <c r="E124" i="40"/>
  <c r="E125" i="40"/>
  <c r="E126" i="40"/>
  <c r="E108" i="40"/>
  <c r="E109" i="40"/>
  <c r="E110" i="40"/>
  <c r="E111" i="40"/>
  <c r="E112" i="40"/>
  <c r="E113" i="40"/>
  <c r="E114" i="40"/>
  <c r="E115" i="40"/>
  <c r="E116" i="40"/>
  <c r="E117" i="40"/>
  <c r="E118" i="40"/>
  <c r="E119" i="40"/>
  <c r="E120" i="40"/>
  <c r="E121" i="40"/>
  <c r="E122" i="40"/>
  <c r="E107" i="40"/>
  <c r="D18" i="58"/>
  <c r="D301" i="7"/>
  <c r="D302" i="7"/>
  <c r="D303" i="7"/>
  <c r="D304" i="7"/>
  <c r="D305" i="7"/>
  <c r="D306" i="7"/>
  <c r="D307" i="7"/>
  <c r="D308" i="7"/>
  <c r="D309" i="7"/>
  <c r="D310" i="7"/>
  <c r="D311" i="7"/>
  <c r="D312" i="7"/>
  <c r="D313" i="7"/>
  <c r="D314" i="7"/>
  <c r="D315" i="7"/>
  <c r="D316" i="7"/>
  <c r="D317" i="7"/>
  <c r="D318" i="7"/>
  <c r="D319" i="7"/>
  <c r="D300" i="7"/>
  <c r="O50" i="58" l="1"/>
  <c r="O45" i="58"/>
  <c r="O43" i="58"/>
  <c r="O51" i="58"/>
  <c r="A85" i="57"/>
  <c r="N52" i="58"/>
  <c r="J38" i="57"/>
  <c r="M38" i="57" s="1"/>
  <c r="A89" i="57"/>
  <c r="A50" i="57"/>
  <c r="A42" i="57"/>
  <c r="A93" i="57"/>
  <c r="J82" i="57"/>
  <c r="S38" i="58" s="1"/>
  <c r="J94" i="57"/>
  <c r="M94" i="57" s="1"/>
  <c r="A43" i="57"/>
  <c r="A92" i="57"/>
  <c r="J92" i="57"/>
  <c r="M92" i="57" s="1"/>
  <c r="J90" i="57"/>
  <c r="S46" i="58" s="1"/>
  <c r="A87" i="57"/>
  <c r="J87" i="57"/>
  <c r="S43" i="58" s="1"/>
  <c r="A95" i="57"/>
  <c r="J95" i="57"/>
  <c r="S51" i="58" s="1"/>
  <c r="A91" i="57"/>
  <c r="A47" i="57"/>
  <c r="J39" i="57"/>
  <c r="O40" i="58" s="1"/>
  <c r="A96" i="57"/>
  <c r="A88" i="57"/>
  <c r="A46" i="57"/>
  <c r="O52" i="58"/>
  <c r="A86" i="57"/>
  <c r="M45" i="57"/>
  <c r="M46" i="58"/>
  <c r="N46" i="58" s="1"/>
  <c r="M47" i="57"/>
  <c r="M48" i="58"/>
  <c r="N48" i="58" s="1"/>
  <c r="S39" i="58"/>
  <c r="M83" i="57"/>
  <c r="M84" i="57"/>
  <c r="S40" i="58"/>
  <c r="M42" i="57"/>
  <c r="M43" i="58"/>
  <c r="N43" i="58" s="1"/>
  <c r="M46" i="57"/>
  <c r="M47" i="58"/>
  <c r="N47" i="58" s="1"/>
  <c r="M43" i="57"/>
  <c r="M44" i="58"/>
  <c r="N44" i="58" s="1"/>
  <c r="M49" i="57"/>
  <c r="M50" i="58"/>
  <c r="N50" i="58" s="1"/>
  <c r="M50" i="57"/>
  <c r="M51" i="58"/>
  <c r="N51" i="58" s="1"/>
  <c r="M36" i="57"/>
  <c r="M37" i="58"/>
  <c r="M40" i="57"/>
  <c r="M41" i="58"/>
  <c r="N41" i="58" s="1"/>
  <c r="M44" i="57"/>
  <c r="M45" i="58"/>
  <c r="N45" i="58" s="1"/>
  <c r="M48" i="57"/>
  <c r="M49" i="58"/>
  <c r="N49" i="58" s="1"/>
  <c r="M88" i="57"/>
  <c r="S44" i="58"/>
  <c r="M89" i="57"/>
  <c r="S45" i="58"/>
  <c r="S49" i="58"/>
  <c r="M93" i="57"/>
  <c r="O47" i="58"/>
  <c r="O44" i="58"/>
  <c r="M41" i="57"/>
  <c r="M42" i="58"/>
  <c r="N42" i="58" s="1"/>
  <c r="M96" i="57"/>
  <c r="S52" i="58"/>
  <c r="M37" i="57"/>
  <c r="M38" i="58"/>
  <c r="N38" i="58" s="1"/>
  <c r="S47" i="58"/>
  <c r="M91" i="57"/>
  <c r="M85" i="57"/>
  <c r="S41" i="58"/>
  <c r="M82" i="57"/>
  <c r="S42" i="58"/>
  <c r="M86" i="57"/>
  <c r="S50" i="58"/>
  <c r="O38" i="58"/>
  <c r="O46" i="58"/>
  <c r="O49" i="58"/>
  <c r="O41" i="58"/>
  <c r="I331" i="7"/>
  <c r="A316" i="7"/>
  <c r="A312" i="7"/>
  <c r="A308" i="7"/>
  <c r="A304" i="7"/>
  <c r="J331" i="7"/>
  <c r="A319" i="7"/>
  <c r="A317" i="7"/>
  <c r="A315" i="7"/>
  <c r="A313" i="7"/>
  <c r="A311" i="7"/>
  <c r="A309" i="7"/>
  <c r="A307" i="7"/>
  <c r="A305" i="7"/>
  <c r="A303" i="7"/>
  <c r="A318" i="7"/>
  <c r="A314" i="7"/>
  <c r="A310" i="7"/>
  <c r="A306" i="7"/>
  <c r="A300" i="7"/>
  <c r="M391" i="29"/>
  <c r="M386" i="29"/>
  <c r="J386" i="29"/>
  <c r="M381" i="29"/>
  <c r="J381" i="29"/>
  <c r="J358" i="29"/>
  <c r="M353" i="29"/>
  <c r="J353" i="29"/>
  <c r="M348" i="29"/>
  <c r="J348" i="29"/>
  <c r="J343" i="29"/>
  <c r="K202" i="53"/>
  <c r="J202" i="53"/>
  <c r="K203" i="53"/>
  <c r="K281" i="53" s="1"/>
  <c r="J203" i="53"/>
  <c r="J281" i="53" s="1"/>
  <c r="K255" i="53"/>
  <c r="D72" i="8" s="1"/>
  <c r="J255" i="53"/>
  <c r="D82" i="8" s="1"/>
  <c r="K234" i="53"/>
  <c r="J234" i="53"/>
  <c r="J235" i="53"/>
  <c r="K224" i="53"/>
  <c r="J224" i="53"/>
  <c r="J225" i="53"/>
  <c r="K213" i="53"/>
  <c r="J213" i="53"/>
  <c r="J214" i="53"/>
  <c r="K187" i="53"/>
  <c r="K287" i="53" s="1"/>
  <c r="J187" i="53"/>
  <c r="J287" i="53" s="1"/>
  <c r="K185" i="53"/>
  <c r="J185" i="53"/>
  <c r="A179" i="53"/>
  <c r="D179" i="53"/>
  <c r="A177" i="53"/>
  <c r="D177" i="53"/>
  <c r="D570" i="31"/>
  <c r="D568" i="31"/>
  <c r="D566" i="31"/>
  <c r="D564" i="31"/>
  <c r="D562" i="31"/>
  <c r="D558" i="31"/>
  <c r="E580" i="31"/>
  <c r="D428" i="53"/>
  <c r="D422" i="53"/>
  <c r="D420" i="53"/>
  <c r="A424" i="53"/>
  <c r="A422" i="53"/>
  <c r="A423" i="53" s="1"/>
  <c r="A420" i="53"/>
  <c r="A421" i="53" s="1"/>
  <c r="A418" i="53"/>
  <c r="A416" i="53"/>
  <c r="A414" i="53"/>
  <c r="A413" i="53"/>
  <c r="A412" i="53"/>
  <c r="A410" i="53"/>
  <c r="A409" i="53"/>
  <c r="A408" i="53"/>
  <c r="A406" i="53"/>
  <c r="A404" i="53"/>
  <c r="A393" i="53"/>
  <c r="A391" i="53"/>
  <c r="A389" i="53"/>
  <c r="A377" i="53"/>
  <c r="A375" i="53"/>
  <c r="A364" i="53"/>
  <c r="A353" i="53"/>
  <c r="A323" i="53"/>
  <c r="A311" i="53"/>
  <c r="A309" i="53"/>
  <c r="A307" i="53"/>
  <c r="A305" i="53"/>
  <c r="A275" i="53"/>
  <c r="A273" i="53"/>
  <c r="A271" i="53"/>
  <c r="A269" i="53"/>
  <c r="A267" i="53"/>
  <c r="A243" i="53"/>
  <c r="A239" i="53"/>
  <c r="A219" i="53"/>
  <c r="A208" i="53"/>
  <c r="A196" i="53"/>
  <c r="A194" i="53"/>
  <c r="D194" i="53"/>
  <c r="D196" i="53"/>
  <c r="D432" i="53"/>
  <c r="A432" i="53"/>
  <c r="A431" i="53"/>
  <c r="A430" i="53"/>
  <c r="A428" i="53"/>
  <c r="A427" i="53"/>
  <c r="A426" i="53"/>
  <c r="B16" i="46"/>
  <c r="B10" i="46"/>
  <c r="A14" i="46"/>
  <c r="A15" i="46" s="1"/>
  <c r="A12" i="46"/>
  <c r="A13" i="46" s="1"/>
  <c r="A18" i="46"/>
  <c r="A19" i="46" s="1"/>
  <c r="D14" i="46"/>
  <c r="D12" i="46"/>
  <c r="D18" i="46"/>
  <c r="M90" i="57" l="1"/>
  <c r="M40" i="58"/>
  <c r="N40" i="58" s="1"/>
  <c r="S48" i="58"/>
  <c r="O39" i="58"/>
  <c r="M39" i="58"/>
  <c r="N39" i="58" s="1"/>
  <c r="E72" i="8"/>
  <c r="M87" i="57"/>
  <c r="M95" i="57"/>
  <c r="M39" i="57"/>
  <c r="E80" i="8"/>
  <c r="E81" i="8" s="1"/>
  <c r="E82" i="8"/>
  <c r="U45" i="58"/>
  <c r="T45" i="58"/>
  <c r="U46" i="58"/>
  <c r="T46" i="58"/>
  <c r="T38" i="58"/>
  <c r="U38" i="58"/>
  <c r="U51" i="58"/>
  <c r="T51" i="58"/>
  <c r="U39" i="58"/>
  <c r="T39" i="58"/>
  <c r="U48" i="58"/>
  <c r="T48" i="58"/>
  <c r="U41" i="58"/>
  <c r="T41" i="58"/>
  <c r="T52" i="58"/>
  <c r="U52" i="58"/>
  <c r="U44" i="58"/>
  <c r="T44" i="58"/>
  <c r="U40" i="58"/>
  <c r="T40" i="58"/>
  <c r="U43" i="58"/>
  <c r="T43" i="58"/>
  <c r="T50" i="58"/>
  <c r="U50" i="58"/>
  <c r="T42" i="58"/>
  <c r="U42" i="58"/>
  <c r="U47" i="58"/>
  <c r="T47" i="58"/>
  <c r="T49" i="58"/>
  <c r="U49" i="58"/>
  <c r="D17" i="8"/>
  <c r="E17" i="8"/>
  <c r="F17" i="8"/>
  <c r="D19" i="8"/>
  <c r="E19" i="8"/>
  <c r="F19" i="8"/>
  <c r="D28" i="8"/>
  <c r="E28" i="8"/>
  <c r="F28" i="8"/>
  <c r="D30" i="8"/>
  <c r="E30" i="8"/>
  <c r="F30" i="8"/>
  <c r="C31" i="8"/>
  <c r="C30" i="8"/>
  <c r="C29" i="8"/>
  <c r="C28" i="8"/>
  <c r="C27" i="8"/>
  <c r="C26" i="8"/>
  <c r="C25" i="8"/>
  <c r="C24" i="8"/>
  <c r="C23" i="8"/>
  <c r="C22" i="8"/>
  <c r="C21" i="8"/>
  <c r="C20" i="8"/>
  <c r="C19" i="8"/>
  <c r="C18" i="8"/>
  <c r="C17" i="8"/>
  <c r="E83" i="8" l="1"/>
  <c r="C8" i="51"/>
  <c r="B13" i="8" s="1"/>
  <c r="C9" i="51"/>
  <c r="B14" i="8" s="1"/>
  <c r="C10" i="51"/>
  <c r="B15" i="8" s="1"/>
  <c r="C11" i="51"/>
  <c r="B16" i="8" s="1"/>
  <c r="C12" i="51"/>
  <c r="B17" i="8" s="1"/>
  <c r="C13" i="51"/>
  <c r="B18" i="8" s="1"/>
  <c r="C14" i="51"/>
  <c r="B19" i="8" s="1"/>
  <c r="C15" i="51"/>
  <c r="B20" i="8" s="1"/>
  <c r="C16" i="51"/>
  <c r="B21" i="8" s="1"/>
  <c r="C17" i="51"/>
  <c r="B22" i="8" s="1"/>
  <c r="C18" i="51"/>
  <c r="B23" i="8" s="1"/>
  <c r="C19" i="51"/>
  <c r="B24" i="8" s="1"/>
  <c r="C20" i="51"/>
  <c r="B25" i="8" s="1"/>
  <c r="C21" i="51"/>
  <c r="B26" i="8" s="1"/>
  <c r="C22" i="51"/>
  <c r="B27" i="8" s="1"/>
  <c r="C23" i="51"/>
  <c r="B28" i="8" s="1"/>
  <c r="C24" i="51"/>
  <c r="B29" i="8" s="1"/>
  <c r="C25" i="51"/>
  <c r="B30" i="8" s="1"/>
  <c r="C26" i="51"/>
  <c r="B31" i="8" s="1"/>
  <c r="C7" i="51"/>
  <c r="B12" i="8" s="1"/>
  <c r="C8" i="14"/>
  <c r="C9" i="14"/>
  <c r="C10" i="14"/>
  <c r="C11" i="14"/>
  <c r="C12" i="14"/>
  <c r="C13" i="14"/>
  <c r="C14" i="14"/>
  <c r="C15" i="14"/>
  <c r="C16" i="14"/>
  <c r="C17" i="14"/>
  <c r="C18" i="14"/>
  <c r="C19" i="14"/>
  <c r="C20" i="14"/>
  <c r="C21" i="14"/>
  <c r="C22" i="14"/>
  <c r="C23" i="14"/>
  <c r="C24" i="14"/>
  <c r="C25" i="14"/>
  <c r="C26" i="14"/>
  <c r="C7" i="14"/>
  <c r="K21" i="31"/>
  <c r="J21" i="31"/>
  <c r="I429" i="31" s="1"/>
  <c r="K429" i="31" s="1"/>
  <c r="K20" i="31"/>
  <c r="J20" i="31"/>
  <c r="K19" i="31"/>
  <c r="J19" i="31"/>
  <c r="I428" i="31" s="1"/>
  <c r="K428" i="31" s="1"/>
  <c r="J1051" i="5"/>
  <c r="C10" i="56"/>
  <c r="B9" i="56"/>
  <c r="B9" i="58"/>
  <c r="A12" i="56"/>
  <c r="D12" i="56"/>
  <c r="E14" i="56" l="1"/>
  <c r="E57" i="56"/>
  <c r="D61" i="56"/>
  <c r="D62" i="56"/>
  <c r="D63" i="56"/>
  <c r="D64" i="56"/>
  <c r="D65" i="56"/>
  <c r="D66" i="56"/>
  <c r="D67" i="56"/>
  <c r="D68" i="56"/>
  <c r="D69" i="56"/>
  <c r="D70" i="56"/>
  <c r="D71" i="56"/>
  <c r="D72" i="56"/>
  <c r="D73" i="56"/>
  <c r="D74" i="56"/>
  <c r="D75" i="56"/>
  <c r="D76" i="56"/>
  <c r="D77" i="56"/>
  <c r="D78" i="56"/>
  <c r="D79" i="56"/>
  <c r="D60" i="56"/>
  <c r="D17" i="56"/>
  <c r="A13" i="58"/>
  <c r="I152" i="7"/>
  <c r="H14" i="58"/>
  <c r="S16" i="58" s="1"/>
  <c r="D18" i="56"/>
  <c r="D19" i="56"/>
  <c r="D20" i="56"/>
  <c r="D21" i="56"/>
  <c r="D22" i="56"/>
  <c r="D23" i="56"/>
  <c r="D24" i="56"/>
  <c r="D25" i="56"/>
  <c r="D26" i="56"/>
  <c r="D27" i="56"/>
  <c r="D28" i="56"/>
  <c r="D29" i="56"/>
  <c r="D30" i="56"/>
  <c r="D31" i="56"/>
  <c r="D32" i="56"/>
  <c r="D33" i="56"/>
  <c r="D34" i="56"/>
  <c r="D35" i="56"/>
  <c r="D36" i="56"/>
  <c r="K392" i="56"/>
  <c r="B6" i="56"/>
  <c r="B5" i="56"/>
  <c r="B4" i="56"/>
  <c r="K257" i="57"/>
  <c r="D81" i="57"/>
  <c r="D80" i="57"/>
  <c r="D79" i="57"/>
  <c r="D78" i="57"/>
  <c r="D77" i="57"/>
  <c r="D76" i="57"/>
  <c r="D75" i="57"/>
  <c r="D74" i="57"/>
  <c r="D73" i="57"/>
  <c r="D72" i="57"/>
  <c r="D71" i="57"/>
  <c r="D70" i="57"/>
  <c r="D69" i="57"/>
  <c r="D68" i="57"/>
  <c r="D67" i="57"/>
  <c r="D66" i="57"/>
  <c r="D65" i="57"/>
  <c r="D64" i="57"/>
  <c r="D63" i="57"/>
  <c r="D62" i="57"/>
  <c r="D35" i="57"/>
  <c r="D34" i="57"/>
  <c r="D33" i="57"/>
  <c r="D32" i="57"/>
  <c r="D31" i="57"/>
  <c r="D30" i="57"/>
  <c r="D29" i="57"/>
  <c r="D28" i="57"/>
  <c r="D27" i="57"/>
  <c r="D26" i="57"/>
  <c r="D25" i="57"/>
  <c r="D24" i="57"/>
  <c r="D23" i="57"/>
  <c r="D22" i="57"/>
  <c r="D21" i="57"/>
  <c r="D20" i="57"/>
  <c r="D19" i="57"/>
  <c r="D18" i="57"/>
  <c r="D17" i="57"/>
  <c r="C10" i="57"/>
  <c r="B9" i="57"/>
  <c r="B6" i="57"/>
  <c r="B5" i="57"/>
  <c r="B4" i="57"/>
  <c r="A57" i="58"/>
  <c r="D37" i="58"/>
  <c r="D36" i="58"/>
  <c r="D35" i="58"/>
  <c r="D34" i="58"/>
  <c r="D33" i="58"/>
  <c r="D32" i="58"/>
  <c r="D31" i="58"/>
  <c r="D30" i="58"/>
  <c r="D29" i="58"/>
  <c r="D28" i="58"/>
  <c r="D27" i="58"/>
  <c r="D26" i="58"/>
  <c r="D25" i="58"/>
  <c r="D24" i="58"/>
  <c r="D23" i="58"/>
  <c r="D22" i="58"/>
  <c r="D21" i="58"/>
  <c r="D20" i="58"/>
  <c r="D19" i="58"/>
  <c r="D10" i="58"/>
  <c r="C10" i="58"/>
  <c r="B6" i="58"/>
  <c r="B5" i="58"/>
  <c r="B4" i="58"/>
  <c r="J1" i="59"/>
  <c r="I1" i="59"/>
  <c r="H1" i="59"/>
  <c r="C30" i="49" l="1"/>
  <c r="C29" i="49"/>
  <c r="C28" i="49"/>
  <c r="C27" i="49"/>
  <c r="C26" i="49"/>
  <c r="C25" i="49"/>
  <c r="C24" i="49"/>
  <c r="C23" i="49"/>
  <c r="C22" i="49"/>
  <c r="C21" i="49"/>
  <c r="C20" i="49"/>
  <c r="C19" i="49"/>
  <c r="C18" i="49"/>
  <c r="C17" i="49"/>
  <c r="B13" i="49"/>
  <c r="B14" i="49"/>
  <c r="B15" i="49"/>
  <c r="B16" i="49"/>
  <c r="B17" i="49"/>
  <c r="B18" i="49"/>
  <c r="B19" i="49"/>
  <c r="B20" i="49"/>
  <c r="B21" i="49"/>
  <c r="B22" i="49"/>
  <c r="B23" i="49"/>
  <c r="B24" i="49"/>
  <c r="B25" i="49"/>
  <c r="B26" i="49"/>
  <c r="B27" i="49"/>
  <c r="B28" i="49"/>
  <c r="B29" i="49"/>
  <c r="B30" i="49"/>
  <c r="B31" i="49"/>
  <c r="B12" i="49"/>
  <c r="L8" i="55"/>
  <c r="O8" i="55"/>
  <c r="I473" i="55" s="1"/>
  <c r="G62" i="57" s="1"/>
  <c r="L9" i="55"/>
  <c r="E473" i="55" s="1"/>
  <c r="H17" i="57" s="1"/>
  <c r="O9" i="55"/>
  <c r="J473" i="55" s="1"/>
  <c r="H62" i="57" s="1"/>
  <c r="L10" i="55"/>
  <c r="F473" i="55" s="1"/>
  <c r="I17" i="57" s="1"/>
  <c r="O10" i="55"/>
  <c r="K473" i="55" s="1"/>
  <c r="I62" i="57" s="1"/>
  <c r="L11" i="55"/>
  <c r="C474" i="55" s="1"/>
  <c r="F18" i="57" s="1"/>
  <c r="O11" i="55"/>
  <c r="H474" i="55" s="1"/>
  <c r="F63" i="57" s="1"/>
  <c r="L12" i="55"/>
  <c r="O12" i="55"/>
  <c r="I474" i="55" s="1"/>
  <c r="G63" i="57" s="1"/>
  <c r="L13" i="55"/>
  <c r="E474" i="55" s="1"/>
  <c r="H18" i="57" s="1"/>
  <c r="O13" i="55"/>
  <c r="J474" i="55" s="1"/>
  <c r="H63" i="57" s="1"/>
  <c r="L14" i="55"/>
  <c r="F474" i="55" s="1"/>
  <c r="I18" i="57" s="1"/>
  <c r="O14" i="55"/>
  <c r="K474" i="55" s="1"/>
  <c r="I63" i="57" s="1"/>
  <c r="L15" i="55"/>
  <c r="C475" i="55" s="1"/>
  <c r="F19" i="57" s="1"/>
  <c r="O15" i="55"/>
  <c r="H475" i="55" s="1"/>
  <c r="F64" i="57" s="1"/>
  <c r="L16" i="55"/>
  <c r="O16" i="55"/>
  <c r="I475" i="55" s="1"/>
  <c r="G64" i="57" s="1"/>
  <c r="L17" i="55"/>
  <c r="E475" i="55" s="1"/>
  <c r="H19" i="57" s="1"/>
  <c r="O17" i="55"/>
  <c r="J475" i="55" s="1"/>
  <c r="H64" i="57" s="1"/>
  <c r="L18" i="55"/>
  <c r="F475" i="55" s="1"/>
  <c r="I19" i="57" s="1"/>
  <c r="O18" i="55"/>
  <c r="K475" i="55" s="1"/>
  <c r="I64" i="57" s="1"/>
  <c r="L19" i="55"/>
  <c r="C476" i="55" s="1"/>
  <c r="F20" i="57" s="1"/>
  <c r="O19" i="55"/>
  <c r="H476" i="55" s="1"/>
  <c r="F65" i="57" s="1"/>
  <c r="L20" i="55"/>
  <c r="O20" i="55"/>
  <c r="I476" i="55" s="1"/>
  <c r="G65" i="57" s="1"/>
  <c r="L21" i="55"/>
  <c r="E476" i="55" s="1"/>
  <c r="H20" i="57" s="1"/>
  <c r="O21" i="55"/>
  <c r="J476" i="55" s="1"/>
  <c r="H65" i="57" s="1"/>
  <c r="L22" i="55"/>
  <c r="F476" i="55" s="1"/>
  <c r="I20" i="57" s="1"/>
  <c r="O22" i="55"/>
  <c r="K476" i="55" s="1"/>
  <c r="I65" i="57" s="1"/>
  <c r="L23" i="55"/>
  <c r="C477" i="55" s="1"/>
  <c r="F21" i="57" s="1"/>
  <c r="O23" i="55"/>
  <c r="H477" i="55" s="1"/>
  <c r="F66" i="57" s="1"/>
  <c r="L24" i="55"/>
  <c r="O24" i="55"/>
  <c r="I477" i="55" s="1"/>
  <c r="G66" i="57" s="1"/>
  <c r="L25" i="55"/>
  <c r="E477" i="55" s="1"/>
  <c r="H21" i="57" s="1"/>
  <c r="O25" i="55"/>
  <c r="J477" i="55" s="1"/>
  <c r="H66" i="57" s="1"/>
  <c r="L26" i="55"/>
  <c r="F477" i="55" s="1"/>
  <c r="I21" i="57" s="1"/>
  <c r="O26" i="55"/>
  <c r="K477" i="55" s="1"/>
  <c r="I66" i="57" s="1"/>
  <c r="L27" i="55"/>
  <c r="C478" i="55" s="1"/>
  <c r="F22" i="57" s="1"/>
  <c r="O27" i="55"/>
  <c r="H478" i="55" s="1"/>
  <c r="F67" i="57" s="1"/>
  <c r="L28" i="55"/>
  <c r="O28" i="55"/>
  <c r="I478" i="55" s="1"/>
  <c r="G67" i="57" s="1"/>
  <c r="L29" i="55"/>
  <c r="E478" i="55" s="1"/>
  <c r="H22" i="57" s="1"/>
  <c r="O29" i="55"/>
  <c r="J478" i="55" s="1"/>
  <c r="H67" i="57" s="1"/>
  <c r="L30" i="55"/>
  <c r="F478" i="55" s="1"/>
  <c r="I22" i="57" s="1"/>
  <c r="O30" i="55"/>
  <c r="K478" i="55" s="1"/>
  <c r="I67" i="57" s="1"/>
  <c r="L31" i="55"/>
  <c r="C479" i="55" s="1"/>
  <c r="F23" i="57" s="1"/>
  <c r="O31" i="55"/>
  <c r="H479" i="55" s="1"/>
  <c r="F68" i="57" s="1"/>
  <c r="L32" i="55"/>
  <c r="O32" i="55"/>
  <c r="I479" i="55" s="1"/>
  <c r="G68" i="57" s="1"/>
  <c r="L33" i="55"/>
  <c r="E479" i="55" s="1"/>
  <c r="H23" i="57" s="1"/>
  <c r="O33" i="55"/>
  <c r="J479" i="55" s="1"/>
  <c r="H68" i="57" s="1"/>
  <c r="L34" i="55"/>
  <c r="F479" i="55" s="1"/>
  <c r="I23" i="57" s="1"/>
  <c r="O34" i="55"/>
  <c r="K479" i="55" s="1"/>
  <c r="I68" i="57" s="1"/>
  <c r="L35" i="55"/>
  <c r="C480" i="55" s="1"/>
  <c r="F24" i="57" s="1"/>
  <c r="O35" i="55"/>
  <c r="H480" i="55" s="1"/>
  <c r="F69" i="57" s="1"/>
  <c r="L36" i="55"/>
  <c r="O36" i="55"/>
  <c r="I480" i="55" s="1"/>
  <c r="G69" i="57" s="1"/>
  <c r="L37" i="55"/>
  <c r="E480" i="55" s="1"/>
  <c r="H24" i="57" s="1"/>
  <c r="O37" i="55"/>
  <c r="J480" i="55" s="1"/>
  <c r="H69" i="57" s="1"/>
  <c r="L38" i="55"/>
  <c r="F480" i="55" s="1"/>
  <c r="I24" i="57" s="1"/>
  <c r="O38" i="55"/>
  <c r="K480" i="55" s="1"/>
  <c r="I69" i="57" s="1"/>
  <c r="L39" i="55"/>
  <c r="C481" i="55" s="1"/>
  <c r="F25" i="57" s="1"/>
  <c r="O39" i="55"/>
  <c r="H481" i="55" s="1"/>
  <c r="F70" i="57" s="1"/>
  <c r="L40" i="55"/>
  <c r="O40" i="55"/>
  <c r="I481" i="55" s="1"/>
  <c r="G70" i="57" s="1"/>
  <c r="L41" i="55"/>
  <c r="E481" i="55" s="1"/>
  <c r="H25" i="57" s="1"/>
  <c r="O41" i="55"/>
  <c r="J481" i="55" s="1"/>
  <c r="H70" i="57" s="1"/>
  <c r="L42" i="55"/>
  <c r="O42" i="55"/>
  <c r="K481" i="55" s="1"/>
  <c r="I70" i="57" s="1"/>
  <c r="L43" i="55"/>
  <c r="C482" i="55" s="1"/>
  <c r="F26" i="57" s="1"/>
  <c r="O43" i="55"/>
  <c r="H482" i="55" s="1"/>
  <c r="F71" i="57" s="1"/>
  <c r="L44" i="55"/>
  <c r="O44" i="55"/>
  <c r="I482" i="55" s="1"/>
  <c r="G71" i="57" s="1"/>
  <c r="L45" i="55"/>
  <c r="E482" i="55" s="1"/>
  <c r="H26" i="57" s="1"/>
  <c r="O45" i="55"/>
  <c r="J482" i="55" s="1"/>
  <c r="H71" i="57" s="1"/>
  <c r="L46" i="55"/>
  <c r="F482" i="55" s="1"/>
  <c r="I26" i="57" s="1"/>
  <c r="O46" i="55"/>
  <c r="K482" i="55" s="1"/>
  <c r="I71" i="57" s="1"/>
  <c r="L47" i="55"/>
  <c r="C483" i="55" s="1"/>
  <c r="F27" i="57" s="1"/>
  <c r="O47" i="55"/>
  <c r="H483" i="55" s="1"/>
  <c r="F72" i="57" s="1"/>
  <c r="L48" i="55"/>
  <c r="O48" i="55"/>
  <c r="I483" i="55" s="1"/>
  <c r="G72" i="57" s="1"/>
  <c r="L49" i="55"/>
  <c r="E483" i="55" s="1"/>
  <c r="H27" i="57" s="1"/>
  <c r="O49" i="55"/>
  <c r="J483" i="55" s="1"/>
  <c r="H72" i="57" s="1"/>
  <c r="L50" i="55"/>
  <c r="O50" i="55"/>
  <c r="K483" i="55" s="1"/>
  <c r="I72" i="57" s="1"/>
  <c r="L51" i="55"/>
  <c r="C484" i="55" s="1"/>
  <c r="F28" i="57" s="1"/>
  <c r="O51" i="55"/>
  <c r="H484" i="55" s="1"/>
  <c r="F73" i="57" s="1"/>
  <c r="L52" i="55"/>
  <c r="O52" i="55"/>
  <c r="I484" i="55" s="1"/>
  <c r="G73" i="57" s="1"/>
  <c r="L53" i="55"/>
  <c r="E484" i="55" s="1"/>
  <c r="H28" i="57" s="1"/>
  <c r="O53" i="55"/>
  <c r="J484" i="55" s="1"/>
  <c r="H73" i="57" s="1"/>
  <c r="L54" i="55"/>
  <c r="F484" i="55" s="1"/>
  <c r="I28" i="57" s="1"/>
  <c r="O54" i="55"/>
  <c r="K484" i="55" s="1"/>
  <c r="I73" i="57" s="1"/>
  <c r="L55" i="55"/>
  <c r="C485" i="55" s="1"/>
  <c r="F29" i="57" s="1"/>
  <c r="O55" i="55"/>
  <c r="H485" i="55" s="1"/>
  <c r="F74" i="57" s="1"/>
  <c r="L56" i="55"/>
  <c r="O56" i="55"/>
  <c r="I485" i="55" s="1"/>
  <c r="G74" i="57" s="1"/>
  <c r="L57" i="55"/>
  <c r="E485" i="55" s="1"/>
  <c r="H29" i="57" s="1"/>
  <c r="O57" i="55"/>
  <c r="J485" i="55" s="1"/>
  <c r="H74" i="57" s="1"/>
  <c r="L58" i="55"/>
  <c r="O58" i="55"/>
  <c r="K485" i="55" s="1"/>
  <c r="I74" i="57" s="1"/>
  <c r="L59" i="55"/>
  <c r="C486" i="55" s="1"/>
  <c r="F30" i="57" s="1"/>
  <c r="O59" i="55"/>
  <c r="H486" i="55" s="1"/>
  <c r="F75" i="57" s="1"/>
  <c r="L60" i="55"/>
  <c r="O60" i="55"/>
  <c r="I486" i="55" s="1"/>
  <c r="G75" i="57" s="1"/>
  <c r="L61" i="55"/>
  <c r="E486" i="55" s="1"/>
  <c r="H30" i="57" s="1"/>
  <c r="O61" i="55"/>
  <c r="J486" i="55" s="1"/>
  <c r="H75" i="57" s="1"/>
  <c r="L62" i="55"/>
  <c r="F486" i="55" s="1"/>
  <c r="I30" i="57" s="1"/>
  <c r="O62" i="55"/>
  <c r="K486" i="55" s="1"/>
  <c r="I75" i="57" s="1"/>
  <c r="L63" i="55"/>
  <c r="C487" i="55" s="1"/>
  <c r="O63" i="55"/>
  <c r="H487" i="55" s="1"/>
  <c r="F76" i="57" s="1"/>
  <c r="L64" i="55"/>
  <c r="O64" i="55"/>
  <c r="I487" i="55" s="1"/>
  <c r="G76" i="57" s="1"/>
  <c r="L65" i="55"/>
  <c r="E487" i="55" s="1"/>
  <c r="O65" i="55"/>
  <c r="J487" i="55" s="1"/>
  <c r="H76" i="57" s="1"/>
  <c r="L66" i="55"/>
  <c r="O66" i="55"/>
  <c r="K487" i="55" s="1"/>
  <c r="I76" i="57" s="1"/>
  <c r="L67" i="55"/>
  <c r="C488" i="55" s="1"/>
  <c r="F31" i="57" s="1"/>
  <c r="O67" i="55"/>
  <c r="H488" i="55" s="1"/>
  <c r="F77" i="57" s="1"/>
  <c r="L68" i="55"/>
  <c r="O68" i="55"/>
  <c r="I488" i="55" s="1"/>
  <c r="G77" i="57" s="1"/>
  <c r="L69" i="55"/>
  <c r="E488" i="55" s="1"/>
  <c r="H31" i="57" s="1"/>
  <c r="O69" i="55"/>
  <c r="J488" i="55" s="1"/>
  <c r="H77" i="57" s="1"/>
  <c r="L70" i="55"/>
  <c r="F488" i="55" s="1"/>
  <c r="I31" i="57" s="1"/>
  <c r="O70" i="55"/>
  <c r="K488" i="55" s="1"/>
  <c r="I77" i="57" s="1"/>
  <c r="L71" i="55"/>
  <c r="C489" i="55" s="1"/>
  <c r="F32" i="57" s="1"/>
  <c r="O71" i="55"/>
  <c r="H489" i="55" s="1"/>
  <c r="F78" i="57" s="1"/>
  <c r="L72" i="55"/>
  <c r="O72" i="55"/>
  <c r="I489" i="55" s="1"/>
  <c r="G78" i="57" s="1"/>
  <c r="L73" i="55"/>
  <c r="E489" i="55" s="1"/>
  <c r="H32" i="57" s="1"/>
  <c r="O73" i="55"/>
  <c r="J489" i="55" s="1"/>
  <c r="H78" i="57" s="1"/>
  <c r="L74" i="55"/>
  <c r="O74" i="55"/>
  <c r="K489" i="55" s="1"/>
  <c r="I78" i="57" s="1"/>
  <c r="L75" i="55"/>
  <c r="C490" i="55" s="1"/>
  <c r="F33" i="57" s="1"/>
  <c r="O75" i="55"/>
  <c r="H490" i="55" s="1"/>
  <c r="F79" i="57" s="1"/>
  <c r="L76" i="55"/>
  <c r="O76" i="55"/>
  <c r="I490" i="55" s="1"/>
  <c r="G79" i="57" s="1"/>
  <c r="L77" i="55"/>
  <c r="E490" i="55" s="1"/>
  <c r="H33" i="57" s="1"/>
  <c r="O77" i="55"/>
  <c r="J490" i="55" s="1"/>
  <c r="H79" i="57" s="1"/>
  <c r="L78" i="55"/>
  <c r="F490" i="55" s="1"/>
  <c r="I33" i="57" s="1"/>
  <c r="O78" i="55"/>
  <c r="K490" i="55" s="1"/>
  <c r="I79" i="57" s="1"/>
  <c r="L79" i="55"/>
  <c r="C491" i="55" s="1"/>
  <c r="F34" i="57" s="1"/>
  <c r="O79" i="55"/>
  <c r="H491" i="55" s="1"/>
  <c r="F80" i="57" s="1"/>
  <c r="L80" i="55"/>
  <c r="O80" i="55"/>
  <c r="I491" i="55" s="1"/>
  <c r="G80" i="57" s="1"/>
  <c r="L81" i="55"/>
  <c r="E491" i="55" s="1"/>
  <c r="H34" i="57" s="1"/>
  <c r="O81" i="55"/>
  <c r="J491" i="55" s="1"/>
  <c r="H80" i="57" s="1"/>
  <c r="L82" i="55"/>
  <c r="O82" i="55"/>
  <c r="K491" i="55" s="1"/>
  <c r="I80" i="57" s="1"/>
  <c r="L83" i="55"/>
  <c r="C492" i="55" s="1"/>
  <c r="F35" i="57" s="1"/>
  <c r="O83" i="55"/>
  <c r="H492" i="55" s="1"/>
  <c r="F81" i="57" s="1"/>
  <c r="L84" i="55"/>
  <c r="O84" i="55"/>
  <c r="I492" i="55" s="1"/>
  <c r="G81" i="57" s="1"/>
  <c r="L85" i="55"/>
  <c r="E492" i="55" s="1"/>
  <c r="H35" i="57" s="1"/>
  <c r="O85" i="55"/>
  <c r="J492" i="55" s="1"/>
  <c r="H81" i="57" s="1"/>
  <c r="L86" i="55"/>
  <c r="F492" i="55" s="1"/>
  <c r="I35" i="57" s="1"/>
  <c r="O86" i="55"/>
  <c r="K492" i="55" s="1"/>
  <c r="I81" i="57" s="1"/>
  <c r="L147" i="55"/>
  <c r="F54" i="57" s="1"/>
  <c r="O147" i="55"/>
  <c r="F100" i="57" s="1"/>
  <c r="L148" i="55"/>
  <c r="G54" i="57" s="1"/>
  <c r="O148" i="55"/>
  <c r="G100" i="57" s="1"/>
  <c r="L149" i="55"/>
  <c r="H54" i="57" s="1"/>
  <c r="O149" i="55"/>
  <c r="H100" i="57" s="1"/>
  <c r="L150" i="55"/>
  <c r="I54" i="57" s="1"/>
  <c r="O150" i="55"/>
  <c r="I100" i="57" s="1"/>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258" i="55"/>
  <c r="L259" i="55"/>
  <c r="L260" i="55"/>
  <c r="L261" i="55"/>
  <c r="L262" i="55"/>
  <c r="L263" i="55"/>
  <c r="L264" i="55"/>
  <c r="L265" i="55"/>
  <c r="L266" i="55"/>
  <c r="L267" i="55"/>
  <c r="L268" i="55"/>
  <c r="L269" i="55"/>
  <c r="L270" i="55"/>
  <c r="L271" i="55"/>
  <c r="L272" i="55"/>
  <c r="L273" i="55"/>
  <c r="L274" i="55"/>
  <c r="L275" i="55"/>
  <c r="L276" i="55"/>
  <c r="L277" i="55"/>
  <c r="L278" i="55"/>
  <c r="L279" i="55"/>
  <c r="L280" i="55"/>
  <c r="L281" i="55"/>
  <c r="L282" i="55"/>
  <c r="L283" i="55"/>
  <c r="L284" i="55"/>
  <c r="L285" i="55"/>
  <c r="L286" i="55"/>
  <c r="L287" i="55"/>
  <c r="L288" i="55"/>
  <c r="L289" i="55"/>
  <c r="L290" i="55"/>
  <c r="L291" i="55"/>
  <c r="L292" i="55"/>
  <c r="L293" i="55"/>
  <c r="L294" i="55"/>
  <c r="L295" i="55"/>
  <c r="L296" i="55"/>
  <c r="L297" i="55"/>
  <c r="L298" i="55"/>
  <c r="L299" i="55"/>
  <c r="L300" i="55"/>
  <c r="L301" i="55"/>
  <c r="L302" i="55"/>
  <c r="L303" i="55"/>
  <c r="L304" i="55"/>
  <c r="L305" i="55"/>
  <c r="L306" i="55"/>
  <c r="L307" i="55"/>
  <c r="L308" i="55"/>
  <c r="L309" i="55"/>
  <c r="L310" i="55"/>
  <c r="L311" i="55"/>
  <c r="L312" i="55"/>
  <c r="L313" i="55"/>
  <c r="L314" i="55"/>
  <c r="L315" i="55"/>
  <c r="L316" i="55"/>
  <c r="L317" i="55"/>
  <c r="L318" i="55"/>
  <c r="L319" i="55"/>
  <c r="L320" i="55"/>
  <c r="L321" i="55"/>
  <c r="L322" i="55"/>
  <c r="L323" i="55"/>
  <c r="L324" i="55"/>
  <c r="L325" i="55"/>
  <c r="L326" i="55"/>
  <c r="L327" i="55"/>
  <c r="L328" i="55"/>
  <c r="L329" i="55"/>
  <c r="L330" i="55"/>
  <c r="E150" i="55"/>
  <c r="E149" i="55"/>
  <c r="E148" i="55"/>
  <c r="E11" i="55"/>
  <c r="E12" i="55" s="1"/>
  <c r="E15" i="55"/>
  <c r="E17" i="55" s="1"/>
  <c r="E19" i="55"/>
  <c r="E22" i="55" s="1"/>
  <c r="E23" i="55"/>
  <c r="E26" i="55" s="1"/>
  <c r="E27" i="55"/>
  <c r="E28" i="55" s="1"/>
  <c r="E31" i="55"/>
  <c r="E33" i="55" s="1"/>
  <c r="E35" i="55"/>
  <c r="E38" i="55" s="1"/>
  <c r="E39" i="55"/>
  <c r="E42" i="55" s="1"/>
  <c r="E43" i="55"/>
  <c r="E44" i="55" s="1"/>
  <c r="E47" i="55"/>
  <c r="E49" i="55" s="1"/>
  <c r="E51" i="55"/>
  <c r="E54" i="55" s="1"/>
  <c r="E55" i="55"/>
  <c r="E266" i="55" s="1"/>
  <c r="E59" i="55"/>
  <c r="E273" i="55" s="1"/>
  <c r="E63" i="55"/>
  <c r="E282" i="55" s="1"/>
  <c r="E67" i="55"/>
  <c r="E286" i="55" s="1"/>
  <c r="E71" i="55"/>
  <c r="E300" i="55" s="1"/>
  <c r="E75" i="55"/>
  <c r="E310" i="55" s="1"/>
  <c r="E79" i="55"/>
  <c r="E320" i="55" s="1"/>
  <c r="E329" i="55"/>
  <c r="O7" i="55"/>
  <c r="H473" i="55" s="1"/>
  <c r="F62" i="57" s="1"/>
  <c r="L7" i="55"/>
  <c r="C473" i="55" s="1"/>
  <c r="F17" i="57" s="1"/>
  <c r="F52" i="57" s="1"/>
  <c r="O6" i="55"/>
  <c r="L6" i="55"/>
  <c r="M5" i="55"/>
  <c r="J5" i="55"/>
  <c r="G47" i="1"/>
  <c r="E43" i="1"/>
  <c r="W43" i="1" s="1"/>
  <c r="E44" i="1"/>
  <c r="W44" i="1" s="1"/>
  <c r="E45" i="1"/>
  <c r="W45" i="1" s="1"/>
  <c r="E46" i="1"/>
  <c r="W46" i="1" s="1"/>
  <c r="E47" i="1"/>
  <c r="W47" i="1" s="1"/>
  <c r="E48" i="1"/>
  <c r="W48" i="1" s="1"/>
  <c r="E49" i="1"/>
  <c r="W49" i="1" s="1"/>
  <c r="E50" i="1"/>
  <c r="W50" i="1" s="1"/>
  <c r="E51" i="1"/>
  <c r="W51" i="1" s="1"/>
  <c r="E52" i="1"/>
  <c r="W52" i="1" s="1"/>
  <c r="E53" i="1"/>
  <c r="W53" i="1" s="1"/>
  <c r="E54" i="1"/>
  <c r="W54" i="1" s="1"/>
  <c r="E55" i="1"/>
  <c r="W55" i="1" s="1"/>
  <c r="E56" i="1"/>
  <c r="W56" i="1" s="1"/>
  <c r="E57" i="1"/>
  <c r="W57" i="1" s="1"/>
  <c r="E58" i="1"/>
  <c r="W58" i="1" s="1"/>
  <c r="E59" i="1"/>
  <c r="W59" i="1" s="1"/>
  <c r="E60" i="1"/>
  <c r="W60" i="1" s="1"/>
  <c r="E61" i="1"/>
  <c r="W61" i="1" s="1"/>
  <c r="E42" i="1"/>
  <c r="F21" i="1"/>
  <c r="F56" i="1" s="1"/>
  <c r="G21" i="1"/>
  <c r="G56" i="1" s="1"/>
  <c r="F22" i="1"/>
  <c r="F57" i="1" s="1"/>
  <c r="G22" i="1"/>
  <c r="G57" i="1" s="1"/>
  <c r="F23" i="1"/>
  <c r="F58" i="1" s="1"/>
  <c r="G23" i="1"/>
  <c r="G58" i="1" s="1"/>
  <c r="F24" i="1"/>
  <c r="F59" i="1" s="1"/>
  <c r="G24" i="1"/>
  <c r="G59" i="1" s="1"/>
  <c r="F25" i="1"/>
  <c r="F60" i="1" s="1"/>
  <c r="G25" i="1"/>
  <c r="G60" i="1" s="1"/>
  <c r="F26" i="1"/>
  <c r="F61" i="1" s="1"/>
  <c r="G26" i="1"/>
  <c r="G61" i="1" s="1"/>
  <c r="G20" i="1"/>
  <c r="G55" i="1" s="1"/>
  <c r="F20" i="1"/>
  <c r="F55" i="1" s="1"/>
  <c r="G19" i="1"/>
  <c r="G54" i="1" s="1"/>
  <c r="F19" i="1"/>
  <c r="F54" i="1" s="1"/>
  <c r="G18" i="1"/>
  <c r="G53" i="1" s="1"/>
  <c r="F18" i="1"/>
  <c r="F53" i="1" s="1"/>
  <c r="G17" i="1"/>
  <c r="G52" i="1" s="1"/>
  <c r="F17" i="1"/>
  <c r="F52" i="1" s="1"/>
  <c r="H98" i="57" l="1"/>
  <c r="H52" i="57"/>
  <c r="G98" i="57"/>
  <c r="F98" i="57"/>
  <c r="I98" i="57"/>
  <c r="J62" i="57"/>
  <c r="J100" i="57"/>
  <c r="I56" i="58" s="1"/>
  <c r="J81" i="57"/>
  <c r="S37" i="58" s="1"/>
  <c r="J80" i="57"/>
  <c r="S36" i="58" s="1"/>
  <c r="J79" i="57"/>
  <c r="S35" i="58" s="1"/>
  <c r="J78" i="57"/>
  <c r="J77" i="57"/>
  <c r="S33" i="58" s="1"/>
  <c r="J76" i="57"/>
  <c r="S32" i="58" s="1"/>
  <c r="J75" i="57"/>
  <c r="J74" i="57"/>
  <c r="S30" i="58" s="1"/>
  <c r="J73" i="57"/>
  <c r="S29" i="58" s="1"/>
  <c r="J72" i="57"/>
  <c r="S28" i="58" s="1"/>
  <c r="J71" i="57"/>
  <c r="S27" i="58" s="1"/>
  <c r="J70" i="57"/>
  <c r="S26" i="58" s="1"/>
  <c r="J69" i="57"/>
  <c r="S25" i="58" s="1"/>
  <c r="J68" i="57"/>
  <c r="I24" i="58" s="1"/>
  <c r="J67" i="57"/>
  <c r="I23" i="58" s="1"/>
  <c r="J66" i="57"/>
  <c r="I22" i="58" s="1"/>
  <c r="J65" i="57"/>
  <c r="I21" i="58" s="1"/>
  <c r="J64" i="57"/>
  <c r="I20" i="58" s="1"/>
  <c r="J63" i="57"/>
  <c r="I19" i="58" s="1"/>
  <c r="I18" i="58"/>
  <c r="S34" i="58"/>
  <c r="S31" i="58"/>
  <c r="J54" i="57"/>
  <c r="F56" i="58" s="1"/>
  <c r="A54" i="57"/>
  <c r="H56" i="57"/>
  <c r="O21" i="57" s="1"/>
  <c r="A81" i="57"/>
  <c r="A80" i="57"/>
  <c r="A79" i="57"/>
  <c r="A71" i="57"/>
  <c r="A70" i="57"/>
  <c r="A69" i="57"/>
  <c r="A100" i="57"/>
  <c r="H102" i="57"/>
  <c r="O66" i="57" s="1"/>
  <c r="I102" i="57"/>
  <c r="A67" i="57"/>
  <c r="A76" i="57"/>
  <c r="A72" i="57"/>
  <c r="A74" i="57"/>
  <c r="A77" i="57"/>
  <c r="A73" i="57"/>
  <c r="A75" i="57"/>
  <c r="A78" i="57"/>
  <c r="A68" i="57"/>
  <c r="A66" i="57"/>
  <c r="A65" i="57"/>
  <c r="A64" i="57"/>
  <c r="G102" i="57"/>
  <c r="O64" i="57" s="1"/>
  <c r="F102" i="57"/>
  <c r="O62" i="57" s="1"/>
  <c r="A63" i="57"/>
  <c r="A62" i="57"/>
  <c r="F30" i="14"/>
  <c r="F34" i="14"/>
  <c r="F38" i="14"/>
  <c r="J27" i="14"/>
  <c r="J31" i="14"/>
  <c r="J35" i="14"/>
  <c r="J39" i="14"/>
  <c r="F32" i="14"/>
  <c r="J29" i="14"/>
  <c r="J41" i="14"/>
  <c r="F27" i="14"/>
  <c r="F31" i="14"/>
  <c r="F35" i="14"/>
  <c r="F39" i="14"/>
  <c r="J28" i="14"/>
  <c r="J32" i="14"/>
  <c r="J36" i="14"/>
  <c r="J40" i="14"/>
  <c r="F36" i="14"/>
  <c r="J37" i="14"/>
  <c r="F29" i="14"/>
  <c r="F33" i="14"/>
  <c r="F37" i="14"/>
  <c r="F41" i="14"/>
  <c r="J30" i="14"/>
  <c r="J34" i="14"/>
  <c r="J38" i="14"/>
  <c r="F28" i="14"/>
  <c r="F40" i="14"/>
  <c r="J33" i="14"/>
  <c r="W42" i="1"/>
  <c r="L489" i="55"/>
  <c r="L485" i="55"/>
  <c r="L476" i="55"/>
  <c r="L490" i="55"/>
  <c r="L486" i="55"/>
  <c r="L482" i="55"/>
  <c r="L475" i="55"/>
  <c r="L481" i="55"/>
  <c r="L473" i="55"/>
  <c r="L478" i="55"/>
  <c r="D330" i="55"/>
  <c r="D326" i="55"/>
  <c r="D322" i="55"/>
  <c r="D318" i="55"/>
  <c r="D316" i="55"/>
  <c r="D314" i="55"/>
  <c r="D310" i="55"/>
  <c r="D308" i="55"/>
  <c r="D306" i="55"/>
  <c r="D304" i="55"/>
  <c r="D302" i="55"/>
  <c r="D300" i="55"/>
  <c r="D298" i="55"/>
  <c r="D296" i="55"/>
  <c r="D294" i="55"/>
  <c r="D292" i="55"/>
  <c r="D290" i="55"/>
  <c r="D288" i="55"/>
  <c r="D286" i="55"/>
  <c r="D284" i="55"/>
  <c r="D282" i="55"/>
  <c r="D280" i="55"/>
  <c r="D278" i="55"/>
  <c r="D276" i="55"/>
  <c r="D274" i="55"/>
  <c r="D272" i="55"/>
  <c r="D270" i="55"/>
  <c r="D268" i="55"/>
  <c r="D266" i="55"/>
  <c r="D264" i="55"/>
  <c r="D262" i="55"/>
  <c r="D260" i="55"/>
  <c r="D258" i="55"/>
  <c r="D256" i="55"/>
  <c r="D254" i="55"/>
  <c r="D252" i="55"/>
  <c r="D250" i="55"/>
  <c r="D248" i="55"/>
  <c r="D246" i="55"/>
  <c r="D244" i="55"/>
  <c r="D242" i="55"/>
  <c r="D240" i="55"/>
  <c r="D238" i="55"/>
  <c r="D236" i="55"/>
  <c r="D234" i="55"/>
  <c r="D232" i="55"/>
  <c r="D230" i="55"/>
  <c r="D228" i="55"/>
  <c r="D226" i="55"/>
  <c r="D224" i="55"/>
  <c r="D222" i="55"/>
  <c r="D220" i="55"/>
  <c r="D218" i="55"/>
  <c r="D216" i="55"/>
  <c r="D214" i="55"/>
  <c r="D212" i="55"/>
  <c r="D210" i="55"/>
  <c r="D208" i="55"/>
  <c r="D206" i="55"/>
  <c r="D204" i="55"/>
  <c r="D202" i="55"/>
  <c r="D200" i="55"/>
  <c r="D198" i="55"/>
  <c r="D196" i="55"/>
  <c r="D194" i="55"/>
  <c r="D192" i="55"/>
  <c r="D190" i="55"/>
  <c r="D188" i="55"/>
  <c r="D186" i="55"/>
  <c r="D184" i="55"/>
  <c r="D182" i="55"/>
  <c r="D180" i="55"/>
  <c r="D178" i="55"/>
  <c r="D176" i="55"/>
  <c r="D174" i="55"/>
  <c r="D172" i="55"/>
  <c r="D170" i="55"/>
  <c r="D168" i="55"/>
  <c r="D166" i="55"/>
  <c r="D164" i="55"/>
  <c r="D162" i="55"/>
  <c r="D160" i="55"/>
  <c r="D158" i="55"/>
  <c r="D156" i="55"/>
  <c r="D154" i="55"/>
  <c r="D152" i="55"/>
  <c r="D150" i="55"/>
  <c r="D148" i="55"/>
  <c r="D86" i="55"/>
  <c r="D84" i="55"/>
  <c r="D492" i="55"/>
  <c r="G35" i="57" s="1"/>
  <c r="A35" i="57" s="1"/>
  <c r="D82" i="55"/>
  <c r="D80" i="55"/>
  <c r="D491" i="55"/>
  <c r="G34" i="57" s="1"/>
  <c r="D78" i="55"/>
  <c r="D76" i="55"/>
  <c r="D490" i="55"/>
  <c r="G33" i="57" s="1"/>
  <c r="A33" i="57" s="1"/>
  <c r="D74" i="55"/>
  <c r="D72" i="55"/>
  <c r="D489" i="55"/>
  <c r="G32" i="57" s="1"/>
  <c r="D70" i="55"/>
  <c r="D68" i="55"/>
  <c r="D488" i="55"/>
  <c r="G31" i="57" s="1"/>
  <c r="J31" i="57" s="1"/>
  <c r="D66" i="55"/>
  <c r="D64" i="55"/>
  <c r="D487" i="55"/>
  <c r="D62" i="55"/>
  <c r="D60" i="55"/>
  <c r="D486" i="55"/>
  <c r="G30" i="57" s="1"/>
  <c r="J30" i="57" s="1"/>
  <c r="D58" i="55"/>
  <c r="D56" i="55"/>
  <c r="D485" i="55"/>
  <c r="G29" i="57" s="1"/>
  <c r="D54" i="55"/>
  <c r="D52" i="55"/>
  <c r="D484" i="55"/>
  <c r="G28" i="57" s="1"/>
  <c r="A28" i="57" s="1"/>
  <c r="D50" i="55"/>
  <c r="D48" i="55"/>
  <c r="D483" i="55"/>
  <c r="G27" i="57" s="1"/>
  <c r="D46" i="55"/>
  <c r="D44" i="55"/>
  <c r="D482" i="55"/>
  <c r="G26" i="57" s="1"/>
  <c r="J26" i="57" s="1"/>
  <c r="D42" i="55"/>
  <c r="F481" i="55"/>
  <c r="I25" i="57" s="1"/>
  <c r="I52" i="57" s="1"/>
  <c r="F483" i="55"/>
  <c r="I27" i="57" s="1"/>
  <c r="F485" i="55"/>
  <c r="I29" i="57" s="1"/>
  <c r="F487" i="55"/>
  <c r="F489" i="55"/>
  <c r="I32" i="57" s="1"/>
  <c r="F491" i="55"/>
  <c r="I34" i="57" s="1"/>
  <c r="L483" i="55"/>
  <c r="L487" i="55"/>
  <c r="L491" i="55"/>
  <c r="L480" i="55"/>
  <c r="D328" i="55"/>
  <c r="D324" i="55"/>
  <c r="D320" i="55"/>
  <c r="D312" i="55"/>
  <c r="L474" i="55"/>
  <c r="L477" i="55"/>
  <c r="L484" i="55"/>
  <c r="L488" i="55"/>
  <c r="L492" i="55"/>
  <c r="D40" i="55"/>
  <c r="D38" i="55"/>
  <c r="D36" i="55"/>
  <c r="D34" i="55"/>
  <c r="D32" i="55"/>
  <c r="D30" i="55"/>
  <c r="D28" i="55"/>
  <c r="D26" i="55"/>
  <c r="D24" i="55"/>
  <c r="D22" i="55"/>
  <c r="D20" i="55"/>
  <c r="D18" i="55"/>
  <c r="D16" i="55"/>
  <c r="D14" i="55"/>
  <c r="D12" i="55"/>
  <c r="D10" i="55"/>
  <c r="D8" i="55"/>
  <c r="D473" i="55"/>
  <c r="G17" i="57" s="1"/>
  <c r="D474" i="55"/>
  <c r="G18" i="57" s="1"/>
  <c r="D475" i="55"/>
  <c r="G19" i="57" s="1"/>
  <c r="J19" i="57" s="1"/>
  <c r="D476" i="55"/>
  <c r="G20" i="57" s="1"/>
  <c r="J20" i="57" s="1"/>
  <c r="D477" i="55"/>
  <c r="G21" i="57" s="1"/>
  <c r="J21" i="57" s="1"/>
  <c r="F22" i="58" s="1"/>
  <c r="D478" i="55"/>
  <c r="G22" i="57" s="1"/>
  <c r="J22" i="57" s="1"/>
  <c r="F23" i="58" s="1"/>
  <c r="D479" i="55"/>
  <c r="G23" i="57" s="1"/>
  <c r="A23" i="57" s="1"/>
  <c r="D480" i="55"/>
  <c r="G24" i="57" s="1"/>
  <c r="A24" i="57" s="1"/>
  <c r="D481" i="55"/>
  <c r="G25" i="57" s="1"/>
  <c r="B477" i="55"/>
  <c r="B481" i="55"/>
  <c r="B492" i="55"/>
  <c r="L479" i="55"/>
  <c r="B485" i="55"/>
  <c r="B473" i="55"/>
  <c r="B489" i="55"/>
  <c r="B474" i="55"/>
  <c r="B478" i="55"/>
  <c r="B482" i="55"/>
  <c r="B486" i="55"/>
  <c r="B490" i="55"/>
  <c r="B475" i="55"/>
  <c r="B479" i="55"/>
  <c r="B483" i="55"/>
  <c r="B487" i="55"/>
  <c r="B491" i="55"/>
  <c r="B476" i="55"/>
  <c r="B480" i="55"/>
  <c r="B484" i="55"/>
  <c r="B488" i="55"/>
  <c r="D7" i="55"/>
  <c r="D323" i="55"/>
  <c r="D307" i="55"/>
  <c r="D291" i="55"/>
  <c r="D259" i="55"/>
  <c r="D243" i="55"/>
  <c r="D227" i="55"/>
  <c r="D327" i="55"/>
  <c r="D319" i="55"/>
  <c r="D315" i="55"/>
  <c r="D311" i="55"/>
  <c r="D303" i="55"/>
  <c r="D299" i="55"/>
  <c r="D295" i="55"/>
  <c r="D287" i="55"/>
  <c r="D283" i="55"/>
  <c r="D279" i="55"/>
  <c r="D275" i="55"/>
  <c r="D271" i="55"/>
  <c r="D267" i="55"/>
  <c r="D263" i="55"/>
  <c r="D255" i="55"/>
  <c r="D251" i="55"/>
  <c r="D247" i="55"/>
  <c r="D239" i="55"/>
  <c r="D235" i="55"/>
  <c r="D231" i="55"/>
  <c r="D223" i="55"/>
  <c r="D219" i="55"/>
  <c r="D215" i="55"/>
  <c r="D211" i="55"/>
  <c r="D207" i="55"/>
  <c r="D203" i="55"/>
  <c r="D199" i="55"/>
  <c r="D195" i="55"/>
  <c r="D191" i="55"/>
  <c r="D187" i="55"/>
  <c r="D183" i="55"/>
  <c r="D179" i="55"/>
  <c r="D175" i="55"/>
  <c r="D171" i="55"/>
  <c r="D167" i="55"/>
  <c r="D163" i="55"/>
  <c r="D159" i="55"/>
  <c r="D155" i="55"/>
  <c r="D151" i="55"/>
  <c r="D147" i="55"/>
  <c r="D83" i="55"/>
  <c r="D79" i="55"/>
  <c r="D75" i="55"/>
  <c r="D71" i="55"/>
  <c r="D67" i="55"/>
  <c r="D63" i="55"/>
  <c r="D59" i="55"/>
  <c r="D55" i="55"/>
  <c r="D51" i="55"/>
  <c r="D47" i="55"/>
  <c r="D43" i="55"/>
  <c r="D39" i="55"/>
  <c r="D35" i="55"/>
  <c r="D31" i="55"/>
  <c r="D27" i="55"/>
  <c r="D23" i="55"/>
  <c r="D19" i="55"/>
  <c r="D15" i="55"/>
  <c r="D11" i="55"/>
  <c r="D329" i="55"/>
  <c r="D325" i="55"/>
  <c r="D321" i="55"/>
  <c r="D317" i="55"/>
  <c r="D313" i="55"/>
  <c r="D309" i="55"/>
  <c r="D305" i="55"/>
  <c r="D301" i="55"/>
  <c r="D297" i="55"/>
  <c r="D293" i="55"/>
  <c r="D289" i="55"/>
  <c r="D285" i="55"/>
  <c r="D281" i="55"/>
  <c r="D277" i="55"/>
  <c r="D273" i="55"/>
  <c r="D269" i="55"/>
  <c r="D265" i="55"/>
  <c r="D261" i="55"/>
  <c r="D257" i="55"/>
  <c r="D253" i="55"/>
  <c r="D249" i="55"/>
  <c r="D245" i="55"/>
  <c r="D241" i="55"/>
  <c r="D237" i="55"/>
  <c r="D233" i="55"/>
  <c r="D229" i="55"/>
  <c r="D225" i="55"/>
  <c r="D221" i="55"/>
  <c r="D217" i="55"/>
  <c r="D213" i="55"/>
  <c r="D209" i="55"/>
  <c r="D205" i="55"/>
  <c r="D201" i="55"/>
  <c r="D197" i="55"/>
  <c r="D193" i="55"/>
  <c r="D189" i="55"/>
  <c r="D185" i="55"/>
  <c r="D181" i="55"/>
  <c r="D177" i="55"/>
  <c r="D173" i="55"/>
  <c r="D169" i="55"/>
  <c r="D165" i="55"/>
  <c r="D161" i="55"/>
  <c r="D157" i="55"/>
  <c r="D153" i="55"/>
  <c r="D149" i="55"/>
  <c r="D85" i="55"/>
  <c r="D81" i="55"/>
  <c r="D77" i="55"/>
  <c r="D73" i="55"/>
  <c r="D69" i="55"/>
  <c r="D65" i="55"/>
  <c r="D61" i="55"/>
  <c r="D57" i="55"/>
  <c r="D53" i="55"/>
  <c r="D49" i="55"/>
  <c r="D45" i="55"/>
  <c r="D41" i="55"/>
  <c r="D37" i="55"/>
  <c r="D33" i="55"/>
  <c r="D29" i="55"/>
  <c r="D25" i="55"/>
  <c r="D21" i="55"/>
  <c r="D17" i="55"/>
  <c r="D13" i="55"/>
  <c r="D9" i="55"/>
  <c r="E270" i="55"/>
  <c r="E304" i="55"/>
  <c r="E238" i="55"/>
  <c r="E162" i="55"/>
  <c r="E198" i="55"/>
  <c r="E217" i="55"/>
  <c r="E246" i="55"/>
  <c r="E281" i="55"/>
  <c r="E314" i="55"/>
  <c r="E161" i="55"/>
  <c r="E177" i="55"/>
  <c r="E209" i="55"/>
  <c r="E245" i="55"/>
  <c r="E277" i="55"/>
  <c r="E313" i="55"/>
  <c r="E169" i="55"/>
  <c r="E201" i="55"/>
  <c r="E237" i="55"/>
  <c r="E257" i="55"/>
  <c r="E292" i="55"/>
  <c r="E324" i="55"/>
  <c r="E170" i="55"/>
  <c r="E206" i="55"/>
  <c r="E181" i="55"/>
  <c r="E221" i="55"/>
  <c r="E165" i="55"/>
  <c r="E173" i="55"/>
  <c r="E185" i="55"/>
  <c r="E202" i="55"/>
  <c r="E210" i="55"/>
  <c r="E233" i="55"/>
  <c r="E241" i="55"/>
  <c r="E249" i="55"/>
  <c r="E272" i="55"/>
  <c r="E308" i="55"/>
  <c r="E318" i="55"/>
  <c r="E166" i="55"/>
  <c r="E174" i="55"/>
  <c r="E197" i="55"/>
  <c r="E205" i="55"/>
  <c r="E213" i="55"/>
  <c r="E234" i="55"/>
  <c r="E242" i="55"/>
  <c r="E253" i="55"/>
  <c r="E276" i="55"/>
  <c r="E309" i="55"/>
  <c r="E86" i="55"/>
  <c r="E327" i="55"/>
  <c r="E323" i="55"/>
  <c r="E70" i="55"/>
  <c r="E291" i="55"/>
  <c r="E287" i="55"/>
  <c r="E154" i="55"/>
  <c r="E158" i="55"/>
  <c r="E178" i="55"/>
  <c r="E182" i="55"/>
  <c r="E186" i="55"/>
  <c r="E190" i="55"/>
  <c r="E194" i="55"/>
  <c r="E214" i="55"/>
  <c r="E218" i="55"/>
  <c r="E222" i="55"/>
  <c r="E226" i="55"/>
  <c r="E250" i="55"/>
  <c r="E254" i="55"/>
  <c r="E258" i="55"/>
  <c r="E262" i="55"/>
  <c r="E288" i="55"/>
  <c r="E293" i="55"/>
  <c r="E298" i="55"/>
  <c r="E325" i="55"/>
  <c r="E330" i="55"/>
  <c r="E58" i="55"/>
  <c r="E267" i="55"/>
  <c r="E157" i="55"/>
  <c r="E189" i="55"/>
  <c r="E193" i="55"/>
  <c r="E225" i="55"/>
  <c r="E229" i="55"/>
  <c r="E297" i="55"/>
  <c r="E81" i="55"/>
  <c r="E319" i="55"/>
  <c r="E315" i="55"/>
  <c r="E65" i="55"/>
  <c r="E283" i="55"/>
  <c r="E279" i="55"/>
  <c r="E151" i="55"/>
  <c r="E155" i="55"/>
  <c r="E159" i="55"/>
  <c r="E163" i="55"/>
  <c r="E167" i="55"/>
  <c r="E171" i="55"/>
  <c r="E175" i="55"/>
  <c r="E179" i="55"/>
  <c r="E183" i="55"/>
  <c r="E187" i="55"/>
  <c r="E191" i="55"/>
  <c r="E195" i="55"/>
  <c r="E199" i="55"/>
  <c r="E203" i="55"/>
  <c r="E207" i="55"/>
  <c r="E211" i="55"/>
  <c r="E215" i="55"/>
  <c r="E219" i="55"/>
  <c r="E223" i="55"/>
  <c r="E227" i="55"/>
  <c r="E231" i="55"/>
  <c r="E235" i="55"/>
  <c r="E239" i="55"/>
  <c r="E243" i="55"/>
  <c r="E247" i="55"/>
  <c r="E251" i="55"/>
  <c r="E255" i="55"/>
  <c r="E259" i="55"/>
  <c r="E263" i="55"/>
  <c r="E268" i="55"/>
  <c r="E278" i="55"/>
  <c r="E284" i="55"/>
  <c r="E289" i="55"/>
  <c r="E294" i="55"/>
  <c r="E305" i="55"/>
  <c r="E316" i="55"/>
  <c r="E321" i="55"/>
  <c r="E326" i="55"/>
  <c r="E74" i="55"/>
  <c r="E303" i="55"/>
  <c r="E299" i="55"/>
  <c r="E295" i="55"/>
  <c r="E153" i="55"/>
  <c r="E261" i="55"/>
  <c r="E265" i="55"/>
  <c r="E302" i="55"/>
  <c r="E230" i="55"/>
  <c r="E76" i="55"/>
  <c r="E311" i="55"/>
  <c r="E307" i="55"/>
  <c r="E60" i="55"/>
  <c r="E275" i="55"/>
  <c r="E271" i="55"/>
  <c r="E152" i="55"/>
  <c r="E156" i="55"/>
  <c r="E160" i="55"/>
  <c r="E164" i="55"/>
  <c r="E168" i="55"/>
  <c r="E172" i="55"/>
  <c r="E176" i="55"/>
  <c r="E180" i="55"/>
  <c r="E184" i="55"/>
  <c r="E188" i="55"/>
  <c r="E192" i="55"/>
  <c r="E196" i="55"/>
  <c r="E200" i="55"/>
  <c r="E204" i="55"/>
  <c r="E208" i="55"/>
  <c r="E212" i="55"/>
  <c r="E216" i="55"/>
  <c r="E220" i="55"/>
  <c r="E224" i="55"/>
  <c r="E228" i="55"/>
  <c r="E232" i="55"/>
  <c r="E236" i="55"/>
  <c r="E240" i="55"/>
  <c r="E244" i="55"/>
  <c r="E248" i="55"/>
  <c r="E252" i="55"/>
  <c r="E256" i="55"/>
  <c r="E260" i="55"/>
  <c r="E264" i="55"/>
  <c r="E269" i="55"/>
  <c r="E274" i="55"/>
  <c r="E280" i="55"/>
  <c r="E285" i="55"/>
  <c r="E290" i="55"/>
  <c r="E296" i="55"/>
  <c r="E301" i="55"/>
  <c r="E306" i="55"/>
  <c r="E312" i="55"/>
  <c r="E317" i="55"/>
  <c r="E322" i="55"/>
  <c r="E328" i="55"/>
  <c r="E24" i="55"/>
  <c r="E56" i="55"/>
  <c r="E29" i="55"/>
  <c r="E61" i="55"/>
  <c r="E40" i="55"/>
  <c r="E72" i="55"/>
  <c r="E13" i="55"/>
  <c r="E45" i="55"/>
  <c r="E77" i="55"/>
  <c r="E18" i="55"/>
  <c r="E34" i="55"/>
  <c r="E66" i="55"/>
  <c r="E82" i="55"/>
  <c r="E14" i="55"/>
  <c r="E20" i="55"/>
  <c r="E25" i="55"/>
  <c r="E30" i="55"/>
  <c r="E36" i="55"/>
  <c r="E41" i="55"/>
  <c r="E46" i="55"/>
  <c r="E52" i="55"/>
  <c r="E57" i="55"/>
  <c r="E62" i="55"/>
  <c r="E68" i="55"/>
  <c r="E73" i="55"/>
  <c r="E78" i="55"/>
  <c r="E84" i="55"/>
  <c r="E50" i="55"/>
  <c r="E16" i="55"/>
  <c r="E21" i="55"/>
  <c r="E32" i="55"/>
  <c r="E37" i="55"/>
  <c r="E48" i="55"/>
  <c r="E53" i="55"/>
  <c r="E64" i="55"/>
  <c r="E69" i="55"/>
  <c r="E80" i="55"/>
  <c r="E85" i="55"/>
  <c r="E10" i="55"/>
  <c r="E9" i="55"/>
  <c r="G16" i="1"/>
  <c r="G51" i="1" s="1"/>
  <c r="F16" i="1"/>
  <c r="F51" i="1" s="1"/>
  <c r="G15" i="1"/>
  <c r="G50" i="1" s="1"/>
  <c r="F15" i="1"/>
  <c r="F50" i="1" s="1"/>
  <c r="G14" i="1"/>
  <c r="G49" i="1" s="1"/>
  <c r="F14" i="1"/>
  <c r="F49" i="1" s="1"/>
  <c r="G13" i="1"/>
  <c r="G48" i="1" s="1"/>
  <c r="F13" i="1"/>
  <c r="F48" i="1" s="1"/>
  <c r="F12" i="1"/>
  <c r="F47" i="1" s="1"/>
  <c r="G11" i="1"/>
  <c r="G46" i="1" s="1"/>
  <c r="F11" i="1"/>
  <c r="F46" i="1" s="1"/>
  <c r="G10" i="1"/>
  <c r="G45" i="1" s="1"/>
  <c r="F10" i="1"/>
  <c r="F45" i="1" s="1"/>
  <c r="G9" i="1"/>
  <c r="G44" i="1" s="1"/>
  <c r="F9" i="1"/>
  <c r="F44" i="1" s="1"/>
  <c r="G8" i="1"/>
  <c r="G43" i="1" s="1"/>
  <c r="F8" i="1"/>
  <c r="F43" i="1" s="1"/>
  <c r="G7" i="1"/>
  <c r="G42" i="1" s="1"/>
  <c r="F7" i="1"/>
  <c r="F42" i="1" s="1"/>
  <c r="J116" i="29"/>
  <c r="J98" i="57" l="1"/>
  <c r="G84" i="56"/>
  <c r="I84" i="56"/>
  <c r="E83" i="56"/>
  <c r="E82" i="56"/>
  <c r="E81" i="56"/>
  <c r="G88" i="56"/>
  <c r="K80" i="56"/>
  <c r="H91" i="56"/>
  <c r="I90" i="56"/>
  <c r="E89" i="56"/>
  <c r="J89" i="56"/>
  <c r="M87" i="56"/>
  <c r="F94" i="56"/>
  <c r="L92" i="56"/>
  <c r="H86" i="56"/>
  <c r="J93" i="56"/>
  <c r="M85" i="56"/>
  <c r="K92" i="56"/>
  <c r="I93" i="56"/>
  <c r="G93" i="56"/>
  <c r="L89" i="56"/>
  <c r="M86" i="56"/>
  <c r="F81" i="56"/>
  <c r="J91" i="56"/>
  <c r="M92" i="56"/>
  <c r="I91" i="56"/>
  <c r="G92" i="56"/>
  <c r="M84" i="56"/>
  <c r="I83" i="56"/>
  <c r="J83" i="56"/>
  <c r="F82" i="56"/>
  <c r="K81" i="56"/>
  <c r="K88" i="56"/>
  <c r="F80" i="56"/>
  <c r="L91" i="56"/>
  <c r="M90" i="56"/>
  <c r="I89" i="56"/>
  <c r="L87" i="56"/>
  <c r="J87" i="56"/>
  <c r="K94" i="56"/>
  <c r="K86" i="56"/>
  <c r="L85" i="56"/>
  <c r="G90" i="56"/>
  <c r="F93" i="56"/>
  <c r="I88" i="56"/>
  <c r="G89" i="56"/>
  <c r="H93" i="56"/>
  <c r="L88" i="56"/>
  <c r="K87" i="56"/>
  <c r="K84" i="56"/>
  <c r="M83" i="56"/>
  <c r="H82" i="56"/>
  <c r="I82" i="56"/>
  <c r="I81" i="56"/>
  <c r="F88" i="56"/>
  <c r="E80" i="56"/>
  <c r="M91" i="56"/>
  <c r="H90" i="56"/>
  <c r="K89" i="56"/>
  <c r="I87" i="56"/>
  <c r="E94" i="56"/>
  <c r="J94" i="56"/>
  <c r="H92" i="56"/>
  <c r="J86" i="56"/>
  <c r="F85" i="56"/>
  <c r="H94" i="56"/>
  <c r="J85" i="56"/>
  <c r="H80" i="56"/>
  <c r="F87" i="56"/>
  <c r="G85" i="56"/>
  <c r="J81" i="56"/>
  <c r="K90" i="56"/>
  <c r="M93" i="56"/>
  <c r="F84" i="56"/>
  <c r="H83" i="56"/>
  <c r="K82" i="56"/>
  <c r="L81" i="56"/>
  <c r="H81" i="56"/>
  <c r="E88" i="56"/>
  <c r="J80" i="56"/>
  <c r="G91" i="56"/>
  <c r="E90" i="56"/>
  <c r="H89" i="56"/>
  <c r="E87" i="56"/>
  <c r="I94" i="56"/>
  <c r="E92" i="56"/>
  <c r="F92" i="56"/>
  <c r="E86" i="56"/>
  <c r="L93" i="56"/>
  <c r="I85" i="56"/>
  <c r="M80" i="56"/>
  <c r="G87" i="56"/>
  <c r="E93" i="56"/>
  <c r="M82" i="56"/>
  <c r="E91" i="56"/>
  <c r="A91" i="56" s="1"/>
  <c r="G94" i="56"/>
  <c r="E85" i="56"/>
  <c r="G80" i="56"/>
  <c r="L94" i="56"/>
  <c r="L84" i="56"/>
  <c r="L83" i="56"/>
  <c r="G82" i="56"/>
  <c r="M81" i="56"/>
  <c r="H88" i="56"/>
  <c r="J88" i="56"/>
  <c r="I80" i="56"/>
  <c r="F91" i="56"/>
  <c r="J90" i="56"/>
  <c r="M89" i="56"/>
  <c r="H87" i="56"/>
  <c r="M94" i="56"/>
  <c r="I92" i="56"/>
  <c r="F86" i="56"/>
  <c r="I86" i="56"/>
  <c r="K93" i="56"/>
  <c r="K85" i="56"/>
  <c r="L80" i="56"/>
  <c r="K91" i="56"/>
  <c r="J92" i="56"/>
  <c r="F83" i="56"/>
  <c r="L90" i="56"/>
  <c r="G86" i="56"/>
  <c r="K83" i="56"/>
  <c r="F90" i="56"/>
  <c r="L86" i="56"/>
  <c r="E84" i="56"/>
  <c r="G83" i="56"/>
  <c r="L82" i="56"/>
  <c r="G81" i="56"/>
  <c r="M88" i="56"/>
  <c r="J82" i="56"/>
  <c r="F89" i="56"/>
  <c r="H85" i="56"/>
  <c r="J84" i="56"/>
  <c r="H84" i="56"/>
  <c r="H47" i="56"/>
  <c r="E47" i="56"/>
  <c r="L39" i="56"/>
  <c r="F46" i="56"/>
  <c r="J38" i="56"/>
  <c r="G40" i="56"/>
  <c r="F40" i="56"/>
  <c r="H45" i="56"/>
  <c r="H37" i="56"/>
  <c r="F44" i="56"/>
  <c r="L48" i="56"/>
  <c r="F51" i="56"/>
  <c r="M43" i="56"/>
  <c r="K50" i="56"/>
  <c r="I42" i="56"/>
  <c r="K49" i="56"/>
  <c r="H41" i="56"/>
  <c r="L45" i="56"/>
  <c r="J50" i="56"/>
  <c r="I47" i="56"/>
  <c r="H39" i="56"/>
  <c r="G39" i="56"/>
  <c r="J46" i="56"/>
  <c r="K38" i="56"/>
  <c r="K40" i="56"/>
  <c r="J45" i="56"/>
  <c r="I45" i="56"/>
  <c r="G37" i="56"/>
  <c r="I44" i="56"/>
  <c r="E48" i="56"/>
  <c r="I51" i="56"/>
  <c r="F43" i="56"/>
  <c r="E50" i="56"/>
  <c r="L50" i="56"/>
  <c r="L42" i="56"/>
  <c r="E49" i="56"/>
  <c r="I41" i="56"/>
  <c r="L38" i="56"/>
  <c r="J44" i="56"/>
  <c r="F49" i="56"/>
  <c r="L47" i="56"/>
  <c r="E39" i="56"/>
  <c r="K46" i="56"/>
  <c r="M38" i="56"/>
  <c r="H40" i="56"/>
  <c r="K45" i="56"/>
  <c r="J37" i="56"/>
  <c r="I37" i="56"/>
  <c r="H44" i="56"/>
  <c r="M48" i="56"/>
  <c r="G51" i="56"/>
  <c r="I43" i="56"/>
  <c r="M50" i="56"/>
  <c r="E42" i="56"/>
  <c r="J42" i="56"/>
  <c r="M49" i="56"/>
  <c r="L41" i="56"/>
  <c r="L40" i="56"/>
  <c r="H51" i="56"/>
  <c r="M47" i="56"/>
  <c r="I39" i="56"/>
  <c r="J47" i="56"/>
  <c r="J39" i="56"/>
  <c r="G46" i="56"/>
  <c r="G38" i="56"/>
  <c r="I40" i="56"/>
  <c r="E45" i="56"/>
  <c r="L37" i="56"/>
  <c r="L44" i="56"/>
  <c r="G48" i="56"/>
  <c r="F48" i="56"/>
  <c r="J51" i="56"/>
  <c r="J43" i="56"/>
  <c r="F50" i="56"/>
  <c r="F42" i="56"/>
  <c r="G49" i="56"/>
  <c r="F41" i="56"/>
  <c r="M41" i="56"/>
  <c r="K37" i="56"/>
  <c r="J49" i="56"/>
  <c r="K47" i="56"/>
  <c r="K39" i="56"/>
  <c r="E46" i="56"/>
  <c r="H38" i="56"/>
  <c r="J40" i="56"/>
  <c r="M45" i="56"/>
  <c r="E37" i="56"/>
  <c r="E44" i="56"/>
  <c r="A44" i="56" s="1"/>
  <c r="H48" i="56"/>
  <c r="L51" i="56"/>
  <c r="K51" i="56"/>
  <c r="K43" i="56"/>
  <c r="G50" i="56"/>
  <c r="G42" i="56"/>
  <c r="H49" i="56"/>
  <c r="K41" i="56"/>
  <c r="G41" i="56"/>
  <c r="K48" i="56"/>
  <c r="E41" i="56"/>
  <c r="F47" i="56"/>
  <c r="M39" i="56"/>
  <c r="I46" i="56"/>
  <c r="H46" i="56"/>
  <c r="E38" i="56"/>
  <c r="A38" i="56" s="1"/>
  <c r="E40" i="56"/>
  <c r="F45" i="56"/>
  <c r="M37" i="56"/>
  <c r="M44" i="56"/>
  <c r="I48" i="56"/>
  <c r="E51" i="56"/>
  <c r="L43" i="56"/>
  <c r="H43" i="56"/>
  <c r="I50" i="56"/>
  <c r="H42" i="56"/>
  <c r="I49" i="56"/>
  <c r="K44" i="56"/>
  <c r="M42" i="56"/>
  <c r="G47" i="56"/>
  <c r="F39" i="56"/>
  <c r="M46" i="56"/>
  <c r="I38" i="56"/>
  <c r="F38" i="56"/>
  <c r="M40" i="56"/>
  <c r="G45" i="56"/>
  <c r="F37" i="56"/>
  <c r="G44" i="56"/>
  <c r="J48" i="56"/>
  <c r="M51" i="56"/>
  <c r="E43" i="56"/>
  <c r="H50" i="56"/>
  <c r="K42" i="56"/>
  <c r="L49" i="56"/>
  <c r="J41" i="56"/>
  <c r="L46" i="56"/>
  <c r="G43" i="56"/>
  <c r="J65" i="56"/>
  <c r="F65" i="56"/>
  <c r="H29" i="56"/>
  <c r="F21" i="56"/>
  <c r="J60" i="56"/>
  <c r="E72" i="56"/>
  <c r="J64" i="56"/>
  <c r="I31" i="56"/>
  <c r="M23" i="56"/>
  <c r="F74" i="56"/>
  <c r="L74" i="56"/>
  <c r="L66" i="56"/>
  <c r="F30" i="56"/>
  <c r="I73" i="56"/>
  <c r="M36" i="56"/>
  <c r="E28" i="56"/>
  <c r="L20" i="56"/>
  <c r="L79" i="56"/>
  <c r="M71" i="56"/>
  <c r="L71" i="56"/>
  <c r="K63" i="56"/>
  <c r="G35" i="56"/>
  <c r="F27" i="56"/>
  <c r="I19" i="56"/>
  <c r="J78" i="56"/>
  <c r="F70" i="56"/>
  <c r="M62" i="56"/>
  <c r="I22" i="56"/>
  <c r="H22" i="56"/>
  <c r="K17" i="56"/>
  <c r="K34" i="56"/>
  <c r="H26" i="56"/>
  <c r="H18" i="56"/>
  <c r="K77" i="56"/>
  <c r="J69" i="56"/>
  <c r="E61" i="56"/>
  <c r="F33" i="56"/>
  <c r="M33" i="56"/>
  <c r="M25" i="56"/>
  <c r="J76" i="56"/>
  <c r="H68" i="56"/>
  <c r="J32" i="56"/>
  <c r="K24" i="56"/>
  <c r="G75" i="56"/>
  <c r="J67" i="56"/>
  <c r="I76" i="56"/>
  <c r="E32" i="56"/>
  <c r="J75" i="56"/>
  <c r="H19" i="56"/>
  <c r="G26" i="56"/>
  <c r="E25" i="56"/>
  <c r="I67" i="56"/>
  <c r="I65" i="56"/>
  <c r="J29" i="56"/>
  <c r="I29" i="56"/>
  <c r="I21" i="56"/>
  <c r="H60" i="56"/>
  <c r="J72" i="56"/>
  <c r="I64" i="56"/>
  <c r="J31" i="56"/>
  <c r="I23" i="56"/>
  <c r="G74" i="56"/>
  <c r="E66" i="56"/>
  <c r="K66" i="56"/>
  <c r="H30" i="56"/>
  <c r="H73" i="56"/>
  <c r="F36" i="56"/>
  <c r="M28" i="56"/>
  <c r="E20" i="56"/>
  <c r="E79" i="56"/>
  <c r="G71" i="56"/>
  <c r="J63" i="56"/>
  <c r="E63" i="56"/>
  <c r="J35" i="56"/>
  <c r="G27" i="56"/>
  <c r="F19" i="56"/>
  <c r="H78" i="56"/>
  <c r="M70" i="56"/>
  <c r="F62" i="56"/>
  <c r="F22" i="56"/>
  <c r="L17" i="56"/>
  <c r="I17" i="56"/>
  <c r="L34" i="56"/>
  <c r="K26" i="56"/>
  <c r="K18" i="56"/>
  <c r="J77" i="56"/>
  <c r="G69" i="56"/>
  <c r="H61" i="56"/>
  <c r="G33" i="56"/>
  <c r="F25" i="56"/>
  <c r="K25" i="56"/>
  <c r="M68" i="56"/>
  <c r="J24" i="56"/>
  <c r="F67" i="56"/>
  <c r="E62" i="56"/>
  <c r="F77" i="56"/>
  <c r="E65" i="56"/>
  <c r="K29" i="56"/>
  <c r="J21" i="56"/>
  <c r="G21" i="56"/>
  <c r="K60" i="56"/>
  <c r="I72" i="56"/>
  <c r="M64" i="56"/>
  <c r="K31" i="56"/>
  <c r="J23" i="56"/>
  <c r="K74" i="56"/>
  <c r="I66" i="56"/>
  <c r="I30" i="56"/>
  <c r="M30" i="56"/>
  <c r="M73" i="56"/>
  <c r="I36" i="56"/>
  <c r="H28" i="56"/>
  <c r="M20" i="56"/>
  <c r="K79" i="56"/>
  <c r="F71" i="56"/>
  <c r="I63" i="56"/>
  <c r="L35" i="56"/>
  <c r="K35" i="56"/>
  <c r="J27" i="56"/>
  <c r="G19" i="56"/>
  <c r="F78" i="56"/>
  <c r="K70" i="56"/>
  <c r="I62" i="56"/>
  <c r="J22" i="56"/>
  <c r="M17" i="56"/>
  <c r="E34" i="56"/>
  <c r="J34" i="56"/>
  <c r="I26" i="56"/>
  <c r="J18" i="56"/>
  <c r="E77" i="56"/>
  <c r="K69" i="56"/>
  <c r="I61" i="56"/>
  <c r="H33" i="56"/>
  <c r="G25" i="56"/>
  <c r="G76" i="56"/>
  <c r="M76" i="56"/>
  <c r="L68" i="56"/>
  <c r="M32" i="56"/>
  <c r="L24" i="56"/>
  <c r="F75" i="56"/>
  <c r="K67" i="56"/>
  <c r="M31" i="56"/>
  <c r="E73" i="56"/>
  <c r="M79" i="56"/>
  <c r="K78" i="56"/>
  <c r="G18" i="56"/>
  <c r="E76" i="56"/>
  <c r="G67" i="56"/>
  <c r="G65" i="56"/>
  <c r="L29" i="56"/>
  <c r="K21" i="56"/>
  <c r="E60" i="56"/>
  <c r="F60" i="56"/>
  <c r="M72" i="56"/>
  <c r="H64" i="56"/>
  <c r="F31" i="56"/>
  <c r="K23" i="56"/>
  <c r="J74" i="56"/>
  <c r="J66" i="56"/>
  <c r="J30" i="56"/>
  <c r="K73" i="56"/>
  <c r="L73" i="56"/>
  <c r="G36" i="56"/>
  <c r="F28" i="56"/>
  <c r="H20" i="56"/>
  <c r="G79" i="56"/>
  <c r="K71" i="56"/>
  <c r="H63" i="56"/>
  <c r="H35" i="56"/>
  <c r="L27" i="56"/>
  <c r="K27" i="56"/>
  <c r="J19" i="56"/>
  <c r="E78" i="56"/>
  <c r="J70" i="56"/>
  <c r="H62" i="56"/>
  <c r="K22" i="56"/>
  <c r="F17" i="56"/>
  <c r="M34" i="56"/>
  <c r="E26" i="56"/>
  <c r="L26" i="56"/>
  <c r="L18" i="56"/>
  <c r="I77" i="56"/>
  <c r="I69" i="56"/>
  <c r="M61" i="56"/>
  <c r="J33" i="56"/>
  <c r="H25" i="56"/>
  <c r="F76" i="56"/>
  <c r="K68" i="56"/>
  <c r="G68" i="56"/>
  <c r="K32" i="56"/>
  <c r="E24" i="56"/>
  <c r="K75" i="56"/>
  <c r="E67" i="56"/>
  <c r="A67" i="56" s="1"/>
  <c r="H23" i="56"/>
  <c r="G30" i="56"/>
  <c r="H79" i="56"/>
  <c r="M27" i="56"/>
  <c r="H34" i="56"/>
  <c r="E33" i="56"/>
  <c r="M75" i="56"/>
  <c r="H65" i="56"/>
  <c r="E29" i="56"/>
  <c r="L21" i="56"/>
  <c r="L60" i="56"/>
  <c r="K72" i="56"/>
  <c r="H72" i="56"/>
  <c r="G64" i="56"/>
  <c r="L31" i="56"/>
  <c r="E23" i="56"/>
  <c r="A23" i="56" s="1"/>
  <c r="E74" i="56"/>
  <c r="M66" i="56"/>
  <c r="K30" i="56"/>
  <c r="F73" i="56"/>
  <c r="K36" i="56"/>
  <c r="J36" i="56"/>
  <c r="I28" i="56"/>
  <c r="F20" i="56"/>
  <c r="I79" i="56"/>
  <c r="I71" i="56"/>
  <c r="L63" i="56"/>
  <c r="E35" i="56"/>
  <c r="H27" i="56"/>
  <c r="L19" i="56"/>
  <c r="K19" i="56"/>
  <c r="I78" i="56"/>
  <c r="H70" i="56"/>
  <c r="G62" i="56"/>
  <c r="M22" i="56"/>
  <c r="E17" i="56"/>
  <c r="F34" i="56"/>
  <c r="M26" i="56"/>
  <c r="E18" i="56"/>
  <c r="I18" i="56"/>
  <c r="H77" i="56"/>
  <c r="H69" i="56"/>
  <c r="J61" i="56"/>
  <c r="I33" i="56"/>
  <c r="J25" i="56"/>
  <c r="K76" i="56"/>
  <c r="F68" i="56"/>
  <c r="G32" i="56"/>
  <c r="F32" i="56"/>
  <c r="M24" i="56"/>
  <c r="I75" i="56"/>
  <c r="H67" i="56"/>
  <c r="G24" i="56"/>
  <c r="L75" i="56"/>
  <c r="L67" i="56"/>
  <c r="H21" i="56"/>
  <c r="M60" i="56"/>
  <c r="G23" i="56"/>
  <c r="E36" i="56"/>
  <c r="H71" i="56"/>
  <c r="I70" i="56"/>
  <c r="H17" i="56"/>
  <c r="F61" i="56"/>
  <c r="A61" i="56" s="1"/>
  <c r="I32" i="56"/>
  <c r="M65" i="56"/>
  <c r="M29" i="56"/>
  <c r="E21" i="56"/>
  <c r="I60" i="56"/>
  <c r="G72" i="56"/>
  <c r="F64" i="56"/>
  <c r="K64" i="56"/>
  <c r="G31" i="56"/>
  <c r="F23" i="56"/>
  <c r="I74" i="56"/>
  <c r="F66" i="56"/>
  <c r="E30" i="56"/>
  <c r="J73" i="56"/>
  <c r="H36" i="56"/>
  <c r="K28" i="56"/>
  <c r="J28" i="56"/>
  <c r="I20" i="56"/>
  <c r="F79" i="56"/>
  <c r="J71" i="56"/>
  <c r="M63" i="56"/>
  <c r="M35" i="56"/>
  <c r="I27" i="56"/>
  <c r="E19" i="56"/>
  <c r="G78" i="56"/>
  <c r="M78" i="56"/>
  <c r="G70" i="56"/>
  <c r="L62" i="56"/>
  <c r="L22" i="56"/>
  <c r="G17" i="56"/>
  <c r="I34" i="56"/>
  <c r="F26" i="56"/>
  <c r="M18" i="56"/>
  <c r="L77" i="56"/>
  <c r="M77" i="56"/>
  <c r="M69" i="56"/>
  <c r="L61" i="56"/>
  <c r="K33" i="56"/>
  <c r="I25" i="56"/>
  <c r="L76" i="56"/>
  <c r="I68" i="56"/>
  <c r="H32" i="56"/>
  <c r="F24" i="56"/>
  <c r="M67" i="56"/>
  <c r="K65" i="56"/>
  <c r="E64" i="56"/>
  <c r="H74" i="56"/>
  <c r="G28" i="56"/>
  <c r="F63" i="56"/>
  <c r="G22" i="56"/>
  <c r="K61" i="56"/>
  <c r="I24" i="56"/>
  <c r="L65" i="56"/>
  <c r="F29" i="56"/>
  <c r="M21" i="56"/>
  <c r="G60" i="56"/>
  <c r="L72" i="56"/>
  <c r="L64" i="56"/>
  <c r="H31" i="56"/>
  <c r="E31" i="56"/>
  <c r="L23" i="56"/>
  <c r="M74" i="56"/>
  <c r="H66" i="56"/>
  <c r="L30" i="56"/>
  <c r="G73" i="56"/>
  <c r="L36" i="56"/>
  <c r="L28" i="56"/>
  <c r="K20" i="56"/>
  <c r="J20" i="56"/>
  <c r="J79" i="56"/>
  <c r="E71" i="56"/>
  <c r="A71" i="56" s="1"/>
  <c r="G63" i="56"/>
  <c r="F35" i="56"/>
  <c r="E27" i="56"/>
  <c r="M19" i="56"/>
  <c r="L78" i="56"/>
  <c r="E70" i="56"/>
  <c r="L70" i="56"/>
  <c r="K62" i="56"/>
  <c r="E22" i="56"/>
  <c r="A22" i="56" s="1"/>
  <c r="J17" i="56"/>
  <c r="J53" i="56" s="1"/>
  <c r="G34" i="56"/>
  <c r="J26" i="56"/>
  <c r="F18" i="56"/>
  <c r="G77" i="56"/>
  <c r="F69" i="56"/>
  <c r="L69" i="56"/>
  <c r="G61" i="56"/>
  <c r="L33" i="56"/>
  <c r="L25" i="56"/>
  <c r="H76" i="56"/>
  <c r="E68" i="56"/>
  <c r="L32" i="56"/>
  <c r="H24" i="56"/>
  <c r="E75" i="56"/>
  <c r="H75" i="56"/>
  <c r="G29" i="56"/>
  <c r="F72" i="56"/>
  <c r="G66" i="56"/>
  <c r="G20" i="56"/>
  <c r="I35" i="56"/>
  <c r="J62" i="56"/>
  <c r="E69" i="56"/>
  <c r="A69" i="56" s="1"/>
  <c r="J68" i="56"/>
  <c r="J25" i="57"/>
  <c r="M26" i="58" s="1"/>
  <c r="J17" i="57"/>
  <c r="G52" i="57"/>
  <c r="G56" i="57" s="1"/>
  <c r="O19" i="57" s="1"/>
  <c r="J102" i="57"/>
  <c r="S18" i="58"/>
  <c r="A29" i="57"/>
  <c r="O56" i="58"/>
  <c r="I56" i="57"/>
  <c r="A27" i="57"/>
  <c r="A34" i="57"/>
  <c r="J32" i="57"/>
  <c r="M33" i="58" s="1"/>
  <c r="M31" i="58"/>
  <c r="M32" i="58"/>
  <c r="J35" i="57"/>
  <c r="J28" i="57"/>
  <c r="J24" i="57"/>
  <c r="A32" i="57"/>
  <c r="A25" i="57"/>
  <c r="J33" i="57"/>
  <c r="M27" i="58"/>
  <c r="A31" i="57"/>
  <c r="A30" i="57"/>
  <c r="A26" i="57"/>
  <c r="J34" i="57"/>
  <c r="J29" i="57"/>
  <c r="A20" i="57"/>
  <c r="J27" i="57"/>
  <c r="S22" i="58"/>
  <c r="M21" i="58"/>
  <c r="F21" i="58"/>
  <c r="S21" i="58"/>
  <c r="S20" i="58"/>
  <c r="S24" i="58"/>
  <c r="M56" i="58"/>
  <c r="N56" i="58" s="1"/>
  <c r="J18" i="57"/>
  <c r="M23" i="58"/>
  <c r="J23" i="57"/>
  <c r="F56" i="57"/>
  <c r="S19" i="58"/>
  <c r="S23" i="58"/>
  <c r="A22" i="57"/>
  <c r="A21" i="57"/>
  <c r="M73" i="57"/>
  <c r="I29" i="58"/>
  <c r="M76" i="57"/>
  <c r="I32" i="58"/>
  <c r="M70" i="57"/>
  <c r="I26" i="58"/>
  <c r="M79" i="57"/>
  <c r="I35" i="58"/>
  <c r="M80" i="57"/>
  <c r="I36" i="58"/>
  <c r="M81" i="57"/>
  <c r="I37" i="58"/>
  <c r="M72" i="57"/>
  <c r="I28" i="58"/>
  <c r="S56" i="58"/>
  <c r="M75" i="57"/>
  <c r="I31" i="58"/>
  <c r="M78" i="57"/>
  <c r="I34" i="58"/>
  <c r="M77" i="57"/>
  <c r="I33" i="58"/>
  <c r="M69" i="57"/>
  <c r="I25" i="58"/>
  <c r="I54" i="58" s="1"/>
  <c r="M71" i="57"/>
  <c r="I27" i="58"/>
  <c r="M74" i="57"/>
  <c r="I30" i="58"/>
  <c r="M68" i="57"/>
  <c r="M67" i="57"/>
  <c r="M66" i="57"/>
  <c r="M65" i="57"/>
  <c r="A98" i="57"/>
  <c r="M64" i="57"/>
  <c r="A102" i="57"/>
  <c r="M63" i="57"/>
  <c r="M62" i="57"/>
  <c r="A19" i="57"/>
  <c r="A18" i="57"/>
  <c r="A17" i="57"/>
  <c r="M22" i="58"/>
  <c r="O41" i="14"/>
  <c r="E46" i="49" s="1"/>
  <c r="G41" i="14"/>
  <c r="P41" i="14" s="1"/>
  <c r="O28" i="14"/>
  <c r="E33" i="49" s="1"/>
  <c r="G28" i="14"/>
  <c r="P28" i="14" s="1"/>
  <c r="R30" i="14"/>
  <c r="H35" i="49" s="1"/>
  <c r="K30" i="14"/>
  <c r="S30" i="14" s="1"/>
  <c r="O33" i="14"/>
  <c r="E38" i="49" s="1"/>
  <c r="G33" i="14"/>
  <c r="P33" i="14" s="1"/>
  <c r="R37" i="14"/>
  <c r="H42" i="49" s="1"/>
  <c r="K37" i="14"/>
  <c r="S37" i="14" s="1"/>
  <c r="R28" i="14"/>
  <c r="H33" i="49" s="1"/>
  <c r="K28" i="14"/>
  <c r="S28" i="14" s="1"/>
  <c r="O31" i="14"/>
  <c r="E36" i="49" s="1"/>
  <c r="G31" i="14"/>
  <c r="P31" i="14" s="1"/>
  <c r="R39" i="14"/>
  <c r="H44" i="49" s="1"/>
  <c r="K39" i="14"/>
  <c r="S39" i="14" s="1"/>
  <c r="O38" i="14"/>
  <c r="E43" i="49" s="1"/>
  <c r="G38" i="14"/>
  <c r="P38" i="14" s="1"/>
  <c r="R38" i="14"/>
  <c r="H43" i="49" s="1"/>
  <c r="K38" i="14"/>
  <c r="S38" i="14" s="1"/>
  <c r="R33" i="14"/>
  <c r="H38" i="49" s="1"/>
  <c r="K33" i="14"/>
  <c r="S33" i="14" s="1"/>
  <c r="O29" i="14"/>
  <c r="E34" i="49" s="1"/>
  <c r="G29" i="14"/>
  <c r="P29" i="14" s="1"/>
  <c r="R40" i="14"/>
  <c r="H45" i="49" s="1"/>
  <c r="K40" i="14"/>
  <c r="S40" i="14" s="1"/>
  <c r="O27" i="14"/>
  <c r="E32" i="49" s="1"/>
  <c r="G27" i="14"/>
  <c r="P27" i="14" s="1"/>
  <c r="R35" i="14"/>
  <c r="H40" i="49" s="1"/>
  <c r="K35" i="14"/>
  <c r="S35" i="14" s="1"/>
  <c r="O34" i="14"/>
  <c r="E39" i="49" s="1"/>
  <c r="G34" i="14"/>
  <c r="P34" i="14" s="1"/>
  <c r="R36" i="14"/>
  <c r="H41" i="49" s="1"/>
  <c r="K36" i="14"/>
  <c r="S36" i="14" s="1"/>
  <c r="O39" i="14"/>
  <c r="E44" i="49" s="1"/>
  <c r="G39" i="14"/>
  <c r="P39" i="14" s="1"/>
  <c r="R41" i="14"/>
  <c r="H46" i="49" s="1"/>
  <c r="K41" i="14"/>
  <c r="S41" i="14" s="1"/>
  <c r="O32" i="14"/>
  <c r="E37" i="49" s="1"/>
  <c r="G32" i="14"/>
  <c r="P32" i="14" s="1"/>
  <c r="R31" i="14"/>
  <c r="H36" i="49" s="1"/>
  <c r="K31" i="14"/>
  <c r="S31" i="14" s="1"/>
  <c r="O30" i="14"/>
  <c r="E35" i="49" s="1"/>
  <c r="G30" i="14"/>
  <c r="P30" i="14" s="1"/>
  <c r="O40" i="14"/>
  <c r="E45" i="49" s="1"/>
  <c r="G40" i="14"/>
  <c r="P40" i="14" s="1"/>
  <c r="R34" i="14"/>
  <c r="H39" i="49" s="1"/>
  <c r="K34" i="14"/>
  <c r="S34" i="14" s="1"/>
  <c r="O37" i="14"/>
  <c r="E42" i="49" s="1"/>
  <c r="G37" i="14"/>
  <c r="P37" i="14" s="1"/>
  <c r="G36" i="14"/>
  <c r="P36" i="14" s="1"/>
  <c r="O36" i="14"/>
  <c r="E41" i="49" s="1"/>
  <c r="R32" i="14"/>
  <c r="H37" i="49" s="1"/>
  <c r="K32" i="14"/>
  <c r="S32" i="14" s="1"/>
  <c r="O35" i="14"/>
  <c r="E40" i="49" s="1"/>
  <c r="G35" i="14"/>
  <c r="P35" i="14" s="1"/>
  <c r="R29" i="14"/>
  <c r="H34" i="49" s="1"/>
  <c r="K29" i="14"/>
  <c r="S29" i="14" s="1"/>
  <c r="R27" i="14"/>
  <c r="H32" i="49" s="1"/>
  <c r="K27" i="14"/>
  <c r="S27" i="14" s="1"/>
  <c r="G482" i="55"/>
  <c r="F27" i="58" s="1"/>
  <c r="O27" i="58" s="1"/>
  <c r="G487" i="55"/>
  <c r="F32" i="58" s="1"/>
  <c r="O32" i="58" s="1"/>
  <c r="G476" i="55"/>
  <c r="G490" i="55"/>
  <c r="F35" i="58" s="1"/>
  <c r="G479" i="55"/>
  <c r="G486" i="55"/>
  <c r="F31" i="58" s="1"/>
  <c r="O31" i="58" s="1"/>
  <c r="G474" i="55"/>
  <c r="G477" i="55"/>
  <c r="G483" i="55"/>
  <c r="F28" i="58" s="1"/>
  <c r="G480" i="55"/>
  <c r="F25" i="58" s="1"/>
  <c r="G485" i="55"/>
  <c r="F30" i="58" s="1"/>
  <c r="G488" i="55"/>
  <c r="F33" i="58" s="1"/>
  <c r="G491" i="55"/>
  <c r="F36" i="58" s="1"/>
  <c r="G489" i="55"/>
  <c r="F34" i="58" s="1"/>
  <c r="G473" i="55"/>
  <c r="G492" i="55"/>
  <c r="F37" i="58" s="1"/>
  <c r="G475" i="55"/>
  <c r="G478" i="55"/>
  <c r="G481" i="55"/>
  <c r="F26" i="58" s="1"/>
  <c r="G484" i="55"/>
  <c r="F29" i="58" s="1"/>
  <c r="D502" i="19"/>
  <c r="A92" i="56" l="1"/>
  <c r="H53" i="56"/>
  <c r="A33" i="56"/>
  <c r="A24" i="56"/>
  <c r="A73" i="56"/>
  <c r="A62" i="56"/>
  <c r="A66" i="56"/>
  <c r="A32" i="56"/>
  <c r="A51" i="56"/>
  <c r="A42" i="56"/>
  <c r="A48" i="56"/>
  <c r="A93" i="56"/>
  <c r="A94" i="56"/>
  <c r="A81" i="56"/>
  <c r="A34" i="56"/>
  <c r="A79" i="56"/>
  <c r="K53" i="56"/>
  <c r="A72" i="56"/>
  <c r="A87" i="56"/>
  <c r="A82" i="56"/>
  <c r="F96" i="56"/>
  <c r="A65" i="56"/>
  <c r="H96" i="56"/>
  <c r="A18" i="56"/>
  <c r="A75" i="56"/>
  <c r="A64" i="56"/>
  <c r="G53" i="56"/>
  <c r="A70" i="56"/>
  <c r="A30" i="56"/>
  <c r="I96" i="56"/>
  <c r="E53" i="56"/>
  <c r="A17" i="56"/>
  <c r="A35" i="56"/>
  <c r="A78" i="56"/>
  <c r="M53" i="56"/>
  <c r="K96" i="56"/>
  <c r="A20" i="56"/>
  <c r="J96" i="56"/>
  <c r="A49" i="56"/>
  <c r="A83" i="56"/>
  <c r="L53" i="56"/>
  <c r="A19" i="56"/>
  <c r="E96" i="56"/>
  <c r="O26" i="58"/>
  <c r="A31" i="56"/>
  <c r="A21" i="56"/>
  <c r="A36" i="56"/>
  <c r="L96" i="56"/>
  <c r="A41" i="56"/>
  <c r="A46" i="56"/>
  <c r="A45" i="56"/>
  <c r="A90" i="56"/>
  <c r="A89" i="56"/>
  <c r="A63" i="56"/>
  <c r="G96" i="56"/>
  <c r="A37" i="56"/>
  <c r="A84" i="56"/>
  <c r="A68" i="56"/>
  <c r="A26" i="56"/>
  <c r="A76" i="56"/>
  <c r="A25" i="56"/>
  <c r="A39" i="56"/>
  <c r="A47" i="56"/>
  <c r="A85" i="56"/>
  <c r="F53" i="56"/>
  <c r="A28" i="56"/>
  <c r="J52" i="57"/>
  <c r="F18" i="58"/>
  <c r="A27" i="56"/>
  <c r="M96" i="56"/>
  <c r="A74" i="56"/>
  <c r="A29" i="56"/>
  <c r="A77" i="56"/>
  <c r="I53" i="56"/>
  <c r="A43" i="56"/>
  <c r="A40" i="56"/>
  <c r="A50" i="56"/>
  <c r="A86" i="56"/>
  <c r="A80" i="56"/>
  <c r="A88" i="56"/>
  <c r="O30" i="58"/>
  <c r="O25" i="58"/>
  <c r="O33" i="58"/>
  <c r="O34" i="58"/>
  <c r="I58" i="58"/>
  <c r="M33" i="57"/>
  <c r="M34" i="58"/>
  <c r="N34" i="58" s="1"/>
  <c r="O29" i="58"/>
  <c r="M28" i="57"/>
  <c r="M29" i="58"/>
  <c r="N29" i="58" s="1"/>
  <c r="M32" i="57"/>
  <c r="M25" i="57"/>
  <c r="O36" i="58"/>
  <c r="M35" i="57"/>
  <c r="M36" i="58"/>
  <c r="N36" i="58" s="1"/>
  <c r="M31" i="57"/>
  <c r="N31" i="58"/>
  <c r="N37" i="58"/>
  <c r="O37" i="58"/>
  <c r="M29" i="57"/>
  <c r="M30" i="58"/>
  <c r="N30" i="58" s="1"/>
  <c r="N26" i="58"/>
  <c r="N32" i="58"/>
  <c r="M30" i="57"/>
  <c r="O28" i="58"/>
  <c r="M27" i="57"/>
  <c r="M28" i="58"/>
  <c r="N28" i="58" s="1"/>
  <c r="O35" i="58"/>
  <c r="M35" i="58"/>
  <c r="N35" i="58" s="1"/>
  <c r="M34" i="57"/>
  <c r="N27" i="58"/>
  <c r="M24" i="57"/>
  <c r="M25" i="58"/>
  <c r="N25" i="58" s="1"/>
  <c r="N33" i="58"/>
  <c r="M26" i="57"/>
  <c r="O17" i="57"/>
  <c r="J56" i="57"/>
  <c r="M58" i="58" s="1"/>
  <c r="S58" i="58"/>
  <c r="M19" i="58"/>
  <c r="F19" i="58"/>
  <c r="M24" i="58"/>
  <c r="F24" i="58"/>
  <c r="O24" i="58" s="1"/>
  <c r="M20" i="58"/>
  <c r="F20" i="58"/>
  <c r="M54" i="58"/>
  <c r="U35" i="58"/>
  <c r="T35" i="58"/>
  <c r="U32" i="58"/>
  <c r="T32" i="58"/>
  <c r="M18" i="58"/>
  <c r="N18" i="58" s="1"/>
  <c r="U27" i="58"/>
  <c r="T27" i="58"/>
  <c r="U33" i="58"/>
  <c r="T33" i="58"/>
  <c r="U31" i="58"/>
  <c r="T31" i="58"/>
  <c r="U28" i="58"/>
  <c r="T28" i="58"/>
  <c r="U36" i="58"/>
  <c r="T36" i="58"/>
  <c r="U56" i="58"/>
  <c r="T56" i="58"/>
  <c r="S54" i="58"/>
  <c r="U26" i="58"/>
  <c r="T26" i="58"/>
  <c r="U29" i="58"/>
  <c r="T29" i="58"/>
  <c r="U30" i="58"/>
  <c r="T30" i="58"/>
  <c r="U25" i="58"/>
  <c r="T25" i="58"/>
  <c r="U34" i="58"/>
  <c r="T34" i="58"/>
  <c r="U37" i="58"/>
  <c r="T37" i="58"/>
  <c r="A37" i="14"/>
  <c r="T24" i="58"/>
  <c r="U24" i="58"/>
  <c r="U23" i="58"/>
  <c r="T23" i="58"/>
  <c r="T22" i="58"/>
  <c r="U22" i="58"/>
  <c r="U21" i="58"/>
  <c r="T21" i="58"/>
  <c r="T20" i="58"/>
  <c r="U20" i="58"/>
  <c r="A56" i="57"/>
  <c r="A52" i="57"/>
  <c r="U19" i="58"/>
  <c r="T19" i="58"/>
  <c r="T18" i="58"/>
  <c r="U18" i="58"/>
  <c r="M23" i="57"/>
  <c r="M22" i="57"/>
  <c r="N22" i="58"/>
  <c r="O22" i="58"/>
  <c r="M21" i="57"/>
  <c r="M20" i="57"/>
  <c r="M19" i="57"/>
  <c r="M18" i="57"/>
  <c r="M17" i="57"/>
  <c r="O18" i="58"/>
  <c r="A35" i="14"/>
  <c r="A38" i="14"/>
  <c r="A34" i="14"/>
  <c r="J50" i="58"/>
  <c r="H50" i="58" s="1"/>
  <c r="I44" i="49"/>
  <c r="V50" i="58" s="1"/>
  <c r="J39" i="58"/>
  <c r="H39" i="58" s="1"/>
  <c r="I33" i="49"/>
  <c r="V39" i="58" s="1"/>
  <c r="A33" i="14"/>
  <c r="A41" i="14"/>
  <c r="J43" i="58"/>
  <c r="H43" i="58" s="1"/>
  <c r="I37" i="49"/>
  <c r="J45" i="58"/>
  <c r="H45" i="58" s="1"/>
  <c r="I39" i="49"/>
  <c r="J42" i="58"/>
  <c r="H42" i="58" s="1"/>
  <c r="I36" i="49"/>
  <c r="V42" i="58" s="1"/>
  <c r="A30" i="14"/>
  <c r="J52" i="58"/>
  <c r="H52" i="58" s="1"/>
  <c r="I46" i="49"/>
  <c r="V52" i="58" s="1"/>
  <c r="G45" i="58"/>
  <c r="E45" i="58" s="1"/>
  <c r="F39" i="49"/>
  <c r="P45" i="58" s="1"/>
  <c r="G46" i="58"/>
  <c r="E46" i="58" s="1"/>
  <c r="F40" i="49"/>
  <c r="A36" i="14"/>
  <c r="G48" i="58"/>
  <c r="E48" i="58" s="1"/>
  <c r="F42" i="49"/>
  <c r="A40" i="14"/>
  <c r="G41" i="58"/>
  <c r="E41" i="58" s="1"/>
  <c r="F35" i="49"/>
  <c r="P41" i="58" s="1"/>
  <c r="A32" i="14"/>
  <c r="J47" i="58"/>
  <c r="H47" i="58" s="1"/>
  <c r="I41" i="49"/>
  <c r="V47" i="58" s="1"/>
  <c r="G38" i="58"/>
  <c r="E38" i="58" s="1"/>
  <c r="F32" i="49"/>
  <c r="A29" i="14"/>
  <c r="G49" i="58"/>
  <c r="E49" i="58" s="1"/>
  <c r="F43" i="49"/>
  <c r="P49" i="58" s="1"/>
  <c r="A31" i="14"/>
  <c r="G44" i="58"/>
  <c r="E44" i="58" s="1"/>
  <c r="F38" i="49"/>
  <c r="A28" i="14"/>
  <c r="G52" i="58"/>
  <c r="E52" i="58" s="1"/>
  <c r="F46" i="49"/>
  <c r="G47" i="58"/>
  <c r="E47" i="58" s="1"/>
  <c r="F41" i="49"/>
  <c r="G50" i="58"/>
  <c r="E50" i="58" s="1"/>
  <c r="F44" i="49"/>
  <c r="J51" i="58"/>
  <c r="H51" i="58" s="1"/>
  <c r="I45" i="49"/>
  <c r="V51" i="58" s="1"/>
  <c r="J41" i="58"/>
  <c r="H41" i="58" s="1"/>
  <c r="I35" i="49"/>
  <c r="J38" i="58"/>
  <c r="H38" i="58" s="1"/>
  <c r="I32" i="49"/>
  <c r="V38" i="58" s="1"/>
  <c r="A27" i="14"/>
  <c r="J44" i="58"/>
  <c r="H44" i="58" s="1"/>
  <c r="I38" i="49"/>
  <c r="V44" i="58" s="1"/>
  <c r="J40" i="58"/>
  <c r="H40" i="58" s="1"/>
  <c r="I34" i="49"/>
  <c r="V40" i="58" s="1"/>
  <c r="G51" i="58"/>
  <c r="E51" i="58" s="1"/>
  <c r="F45" i="49"/>
  <c r="F37" i="49"/>
  <c r="P43" i="58" s="1"/>
  <c r="G43" i="58"/>
  <c r="E43" i="58" s="1"/>
  <c r="A39" i="14"/>
  <c r="J46" i="58"/>
  <c r="H46" i="58" s="1"/>
  <c r="I40" i="49"/>
  <c r="V46" i="58" s="1"/>
  <c r="G40" i="58"/>
  <c r="E40" i="58" s="1"/>
  <c r="F34" i="49"/>
  <c r="J49" i="58"/>
  <c r="H49" i="58" s="1"/>
  <c r="I43" i="49"/>
  <c r="G42" i="58"/>
  <c r="E42" i="58" s="1"/>
  <c r="F36" i="49"/>
  <c r="J48" i="58"/>
  <c r="H48" i="58" s="1"/>
  <c r="I42" i="49"/>
  <c r="V48" i="58" s="1"/>
  <c r="G39" i="58"/>
  <c r="E39" i="58" s="1"/>
  <c r="F33" i="49"/>
  <c r="C6" i="6"/>
  <c r="B6" i="6"/>
  <c r="D87" i="7"/>
  <c r="D549" i="19"/>
  <c r="F54" i="58" l="1"/>
  <c r="N24" i="58"/>
  <c r="N54" i="58"/>
  <c r="U54" i="58"/>
  <c r="T54" i="58"/>
  <c r="N23" i="58"/>
  <c r="O23" i="58"/>
  <c r="N21" i="58"/>
  <c r="O21" i="58"/>
  <c r="O20" i="58"/>
  <c r="N20" i="58"/>
  <c r="N19" i="58"/>
  <c r="O19" i="58"/>
  <c r="P40" i="58"/>
  <c r="R40" i="58" s="1"/>
  <c r="A34" i="49"/>
  <c r="P38" i="58"/>
  <c r="R38" i="58" s="1"/>
  <c r="A32" i="49"/>
  <c r="P48" i="58"/>
  <c r="Q48" i="58" s="1"/>
  <c r="A42" i="49"/>
  <c r="W52" i="58"/>
  <c r="X52" i="58"/>
  <c r="A39" i="49"/>
  <c r="V45" i="58"/>
  <c r="X45" i="58" s="1"/>
  <c r="P39" i="58"/>
  <c r="Q39" i="58" s="1"/>
  <c r="A33" i="49"/>
  <c r="A36" i="49"/>
  <c r="P42" i="58"/>
  <c r="Q42" i="58" s="1"/>
  <c r="A35" i="49"/>
  <c r="V41" i="58"/>
  <c r="W41" i="58" s="1"/>
  <c r="P52" i="58"/>
  <c r="R52" i="58" s="1"/>
  <c r="A46" i="49"/>
  <c r="P46" i="58"/>
  <c r="R46" i="58" s="1"/>
  <c r="A40" i="49"/>
  <c r="X42" i="58"/>
  <c r="W42" i="58"/>
  <c r="R43" i="58"/>
  <c r="Q43" i="58"/>
  <c r="W40" i="58"/>
  <c r="X40" i="58"/>
  <c r="P47" i="58"/>
  <c r="R47" i="58" s="1"/>
  <c r="A41" i="49"/>
  <c r="X50" i="58"/>
  <c r="W50" i="58"/>
  <c r="X44" i="58"/>
  <c r="W44" i="58"/>
  <c r="P50" i="58"/>
  <c r="R50" i="58" s="1"/>
  <c r="A44" i="49"/>
  <c r="X47" i="58"/>
  <c r="W47" i="58"/>
  <c r="X39" i="58"/>
  <c r="W39" i="58"/>
  <c r="A43" i="49"/>
  <c r="V49" i="58"/>
  <c r="X49" i="58" s="1"/>
  <c r="X48" i="58"/>
  <c r="W48" i="58"/>
  <c r="X46" i="58"/>
  <c r="W46" i="58"/>
  <c r="P51" i="58"/>
  <c r="Q51" i="58" s="1"/>
  <c r="A45" i="49"/>
  <c r="X38" i="58"/>
  <c r="W38" i="58"/>
  <c r="X51" i="58"/>
  <c r="W51" i="58"/>
  <c r="P44" i="58"/>
  <c r="Q44" i="58" s="1"/>
  <c r="A38" i="49"/>
  <c r="Q49" i="58"/>
  <c r="R49" i="58"/>
  <c r="Q41" i="58"/>
  <c r="R41" i="58"/>
  <c r="R45" i="58"/>
  <c r="Q45" i="58"/>
  <c r="A37" i="49"/>
  <c r="V43" i="58"/>
  <c r="X43" i="58" s="1"/>
  <c r="D494" i="31"/>
  <c r="D46" i="31"/>
  <c r="D1260" i="5"/>
  <c r="D1246" i="5"/>
  <c r="D172" i="5"/>
  <c r="D372" i="7"/>
  <c r="J152" i="7"/>
  <c r="R42" i="58" l="1"/>
  <c r="W45" i="58"/>
  <c r="Q38" i="58"/>
  <c r="O54" i="58"/>
  <c r="Q40" i="58"/>
  <c r="R39" i="58"/>
  <c r="F58" i="58"/>
  <c r="U58" i="58"/>
  <c r="T58" i="58"/>
  <c r="X41" i="58"/>
  <c r="W49" i="58"/>
  <c r="Q47" i="58"/>
  <c r="R48" i="58"/>
  <c r="R44" i="58"/>
  <c r="R51" i="58"/>
  <c r="Q50" i="58"/>
  <c r="W43" i="58"/>
  <c r="Q52" i="58"/>
  <c r="Q46" i="58"/>
  <c r="C11" i="19"/>
  <c r="N58" i="58" l="1"/>
  <c r="O58" i="58"/>
  <c r="J18" i="31"/>
  <c r="I425" i="31" s="1"/>
  <c r="K425" i="31" s="1"/>
  <c r="K70" i="31"/>
  <c r="K205" i="31" l="1"/>
  <c r="K131" i="31"/>
  <c r="K620" i="5"/>
  <c r="J491" i="5"/>
  <c r="E240" i="18" l="1"/>
  <c r="D522" i="49" l="1"/>
  <c r="D486" i="18"/>
  <c r="D432" i="6"/>
  <c r="K904" i="39" l="1"/>
  <c r="K913" i="45"/>
  <c r="K929" i="19"/>
  <c r="K950" i="49"/>
  <c r="K890" i="7"/>
  <c r="K859" i="6"/>
  <c r="K990" i="31"/>
  <c r="A200" i="7" l="1"/>
  <c r="A201" i="7" s="1"/>
  <c r="A205" i="7"/>
  <c r="A206" i="7" s="1"/>
  <c r="A176" i="31"/>
  <c r="A177" i="31" s="1"/>
  <c r="A180" i="31"/>
  <c r="A297" i="5"/>
  <c r="A298" i="5" s="1"/>
  <c r="A299" i="5"/>
  <c r="A300" i="5" s="1"/>
  <c r="A303" i="5"/>
  <c r="A304" i="5"/>
  <c r="A305" i="5"/>
  <c r="A315" i="5"/>
  <c r="A316" i="5" s="1"/>
  <c r="A317" i="5"/>
  <c r="A318" i="5" s="1"/>
  <c r="A319" i="5"/>
  <c r="A320" i="5" s="1"/>
  <c r="A321" i="5"/>
  <c r="A322" i="5"/>
  <c r="A323" i="5" s="1"/>
  <c r="A324" i="5"/>
  <c r="A325" i="5" s="1"/>
  <c r="A326" i="5"/>
  <c r="A327" i="5" s="1"/>
  <c r="A328" i="5"/>
  <c r="A329" i="5" s="1"/>
  <c r="A330" i="5"/>
  <c r="A331" i="5" s="1"/>
  <c r="A332" i="5"/>
  <c r="A333" i="5" s="1"/>
  <c r="A334" i="5"/>
  <c r="A335" i="5" s="1"/>
  <c r="A336" i="5"/>
  <c r="A337" i="5" s="1"/>
  <c r="A338" i="5"/>
  <c r="A339" i="5" s="1"/>
  <c r="A340" i="5"/>
  <c r="A341" i="5" s="1"/>
  <c r="A342" i="5"/>
  <c r="A343" i="5" s="1"/>
  <c r="A344" i="5"/>
  <c r="A345" i="5" s="1"/>
  <c r="A346" i="5"/>
  <c r="A347" i="5" s="1"/>
  <c r="A348" i="5"/>
  <c r="A349" i="5" s="1"/>
  <c r="A216" i="18"/>
  <c r="A217" i="18" s="1"/>
  <c r="A218" i="18"/>
  <c r="A219" i="18" s="1"/>
  <c r="A220" i="18"/>
  <c r="A221" i="18" s="1"/>
  <c r="A222" i="18"/>
  <c r="A223" i="18" s="1"/>
  <c r="A224" i="18"/>
  <c r="A225" i="18" s="1"/>
  <c r="A226" i="18"/>
  <c r="A198" i="18"/>
  <c r="A199" i="18" s="1"/>
  <c r="A200" i="18"/>
  <c r="A201" i="18" s="1"/>
  <c r="A202" i="18"/>
  <c r="A203" i="18" s="1"/>
  <c r="A165" i="18"/>
  <c r="A167" i="18"/>
  <c r="A169" i="18"/>
  <c r="A171" i="18"/>
  <c r="A172" i="18"/>
  <c r="A173" i="18" s="1"/>
  <c r="A174" i="18"/>
  <c r="A175" i="18" s="1"/>
  <c r="A176" i="18"/>
  <c r="A177" i="18" s="1"/>
  <c r="A178" i="18"/>
  <c r="A179" i="18" s="1"/>
  <c r="A180" i="18"/>
  <c r="A181" i="18" s="1"/>
  <c r="A182" i="18"/>
  <c r="A183" i="18" s="1"/>
  <c r="A184" i="18"/>
  <c r="A185" i="18" s="1"/>
  <c r="A181" i="31" l="1"/>
  <c r="S42" i="14"/>
  <c r="P42" i="14"/>
  <c r="G130" i="7" l="1"/>
  <c r="G148" i="14" l="1"/>
  <c r="E72" i="49" s="1"/>
  <c r="D538" i="31"/>
  <c r="A56" i="18" l="1"/>
  <c r="J376" i="29" l="1"/>
  <c r="J396" i="29" l="1"/>
  <c r="J523" i="31" l="1"/>
  <c r="H523" i="31"/>
  <c r="J519" i="31"/>
  <c r="H519" i="31"/>
  <c r="J510" i="31"/>
  <c r="H510" i="31"/>
  <c r="H528" i="31" l="1"/>
  <c r="J528" i="31"/>
  <c r="E186" i="18"/>
  <c r="D1109" i="5"/>
  <c r="J410" i="29"/>
  <c r="C19" i="19" l="1"/>
  <c r="L388" i="19"/>
  <c r="L389" i="19"/>
  <c r="L390" i="19"/>
  <c r="L391" i="19"/>
  <c r="L392" i="19"/>
  <c r="L393" i="19"/>
  <c r="L387" i="19"/>
  <c r="I376" i="19"/>
  <c r="G425" i="19"/>
  <c r="G426" i="19"/>
  <c r="G428" i="19"/>
  <c r="G429" i="19"/>
  <c r="H388" i="19"/>
  <c r="H389" i="19"/>
  <c r="H390" i="19"/>
  <c r="H391" i="19"/>
  <c r="H392" i="19"/>
  <c r="H393" i="19"/>
  <c r="H387" i="19"/>
  <c r="E376" i="19"/>
  <c r="G431" i="19" l="1"/>
  <c r="J1121" i="5"/>
  <c r="L343" i="29"/>
  <c r="R169" i="29"/>
  <c r="A1" i="17" l="1"/>
  <c r="C25" i="9" l="1"/>
  <c r="C24" i="9"/>
  <c r="K235" i="46" l="1"/>
  <c r="J235" i="46"/>
  <c r="B402" i="53" l="1"/>
  <c r="C387" i="53"/>
  <c r="C373" i="53"/>
  <c r="C362" i="53"/>
  <c r="C351" i="53"/>
  <c r="C341" i="53"/>
  <c r="C321" i="53"/>
  <c r="C303" i="53"/>
  <c r="C293" i="53"/>
  <c r="C265" i="53"/>
  <c r="B264" i="53"/>
  <c r="C242" i="53"/>
  <c r="C229" i="53"/>
  <c r="C218" i="53"/>
  <c r="C207" i="53"/>
  <c r="C193" i="53"/>
  <c r="C175" i="53"/>
  <c r="B174" i="53"/>
  <c r="C45" i="52"/>
  <c r="C8" i="52"/>
  <c r="B7" i="52"/>
  <c r="C540" i="46"/>
  <c r="C525" i="46"/>
  <c r="C518" i="46"/>
  <c r="C506" i="46"/>
  <c r="C471" i="46"/>
  <c r="B470" i="46"/>
  <c r="C374" i="46"/>
  <c r="C448" i="46"/>
  <c r="C462" i="46"/>
  <c r="C327" i="46"/>
  <c r="C257" i="46"/>
  <c r="C220" i="46"/>
  <c r="C214" i="46"/>
  <c r="B212" i="46"/>
  <c r="C193" i="46"/>
  <c r="C175" i="46"/>
  <c r="B174" i="46"/>
  <c r="C149" i="46"/>
  <c r="C128" i="46"/>
  <c r="B127" i="46"/>
  <c r="C115" i="46"/>
  <c r="C107" i="46"/>
  <c r="C96" i="46"/>
  <c r="C81" i="46"/>
  <c r="B81" i="46"/>
  <c r="B32" i="46"/>
  <c r="A176" i="53"/>
  <c r="A515" i="46"/>
  <c r="A507" i="46"/>
  <c r="A477" i="46"/>
  <c r="A448" i="46"/>
  <c r="A451" i="46" s="1"/>
  <c r="A450" i="46"/>
  <c r="A468" i="46"/>
  <c r="A466" i="46"/>
  <c r="A464" i="46"/>
  <c r="A446" i="46"/>
  <c r="A410" i="46"/>
  <c r="A408" i="46"/>
  <c r="A406" i="46"/>
  <c r="A375" i="46"/>
  <c r="A367" i="46"/>
  <c r="A364" i="46"/>
  <c r="A351" i="46"/>
  <c r="A349" i="46"/>
  <c r="A327" i="46"/>
  <c r="A311" i="46"/>
  <c r="A309" i="46"/>
  <c r="A307" i="46"/>
  <c r="A305" i="46"/>
  <c r="A293" i="46"/>
  <c r="A291" i="46"/>
  <c r="A246" i="46"/>
  <c r="A226" i="46"/>
  <c r="A224" i="46"/>
  <c r="A222" i="46"/>
  <c r="A218" i="46"/>
  <c r="A216" i="46"/>
  <c r="A94" i="46"/>
  <c r="A95" i="46" s="1"/>
  <c r="A92" i="46"/>
  <c r="A93" i="46" s="1"/>
  <c r="A90" i="46"/>
  <c r="A91" i="46" s="1"/>
  <c r="A22" i="46"/>
  <c r="A1204" i="5"/>
  <c r="A1206" i="5"/>
  <c r="D424" i="53" l="1"/>
  <c r="D418" i="53"/>
  <c r="D416" i="53"/>
  <c r="D414" i="53"/>
  <c r="D413" i="53"/>
  <c r="D412" i="53"/>
  <c r="D410" i="53"/>
  <c r="D409" i="53"/>
  <c r="D408" i="53"/>
  <c r="D406" i="53"/>
  <c r="D404" i="53"/>
  <c r="J383" i="53"/>
  <c r="D393" i="53"/>
  <c r="D391" i="53"/>
  <c r="D389" i="53"/>
  <c r="K383" i="53"/>
  <c r="D377" i="53"/>
  <c r="D375" i="53"/>
  <c r="D364" i="53"/>
  <c r="K358" i="53"/>
  <c r="H72" i="8" s="1"/>
  <c r="J358" i="53"/>
  <c r="H82" i="8" s="1"/>
  <c r="D353" i="53"/>
  <c r="K329" i="53"/>
  <c r="D323" i="53"/>
  <c r="K317" i="53"/>
  <c r="J317" i="53"/>
  <c r="D311" i="53"/>
  <c r="D309" i="53"/>
  <c r="D307" i="53"/>
  <c r="D305" i="53"/>
  <c r="K288" i="53"/>
  <c r="J288" i="53"/>
  <c r="D275" i="53"/>
  <c r="D273" i="53"/>
  <c r="D271" i="53"/>
  <c r="D269" i="53"/>
  <c r="D267" i="53"/>
  <c r="D243" i="53"/>
  <c r="D239" i="53"/>
  <c r="K235" i="53"/>
  <c r="K225" i="53"/>
  <c r="D219" i="53"/>
  <c r="D208" i="53"/>
  <c r="K214" i="53"/>
  <c r="B7" i="53"/>
  <c r="D4" i="52"/>
  <c r="A425" i="53"/>
  <c r="A419" i="53"/>
  <c r="A417" i="53"/>
  <c r="A415" i="53"/>
  <c r="A411" i="53"/>
  <c r="A394" i="53"/>
  <c r="A392" i="53"/>
  <c r="A390" i="53"/>
  <c r="A378" i="53"/>
  <c r="A376" i="53"/>
  <c r="A365" i="53"/>
  <c r="A324" i="53"/>
  <c r="A312" i="53"/>
  <c r="A310" i="53"/>
  <c r="A308" i="53"/>
  <c r="A306" i="53"/>
  <c r="A276" i="53"/>
  <c r="A274" i="53"/>
  <c r="A272" i="53"/>
  <c r="A270" i="53"/>
  <c r="A268" i="53"/>
  <c r="N264" i="53"/>
  <c r="M264" i="53"/>
  <c r="A240" i="53"/>
  <c r="A241" i="53" s="1"/>
  <c r="A220" i="53"/>
  <c r="A209" i="53"/>
  <c r="A197" i="53"/>
  <c r="A195" i="53"/>
  <c r="K181" i="53"/>
  <c r="J181" i="53"/>
  <c r="A180" i="53"/>
  <c r="A178" i="53"/>
  <c r="N173" i="53"/>
  <c r="M173" i="53"/>
  <c r="B8" i="53"/>
  <c r="B6" i="53"/>
  <c r="N5" i="53"/>
  <c r="P1" i="53"/>
  <c r="O1" i="53"/>
  <c r="N1" i="53"/>
  <c r="M1" i="53"/>
  <c r="L1" i="53"/>
  <c r="K1" i="53"/>
  <c r="J1" i="53"/>
  <c r="I1" i="53"/>
  <c r="H1" i="53"/>
  <c r="G1" i="53"/>
  <c r="F1" i="53"/>
  <c r="K126" i="51" l="1"/>
  <c r="K221" i="53"/>
  <c r="K325" i="53"/>
  <c r="K333" i="53"/>
  <c r="J333" i="53"/>
  <c r="J325" i="53"/>
  <c r="E70" i="8"/>
  <c r="E71" i="8" s="1"/>
  <c r="E73" i="8" s="1"/>
  <c r="J189" i="53"/>
  <c r="F82" i="8" s="1"/>
  <c r="G82" i="8" s="1"/>
  <c r="A329" i="53"/>
  <c r="A330" i="53" s="1"/>
  <c r="A203" i="53"/>
  <c r="A204" i="53" s="1"/>
  <c r="A225" i="53"/>
  <c r="A226" i="53" s="1"/>
  <c r="A281" i="53"/>
  <c r="A288" i="53"/>
  <c r="J289" i="53"/>
  <c r="K245" i="53"/>
  <c r="K189" i="53"/>
  <c r="A317" i="53"/>
  <c r="A318" i="53" s="1"/>
  <c r="A358" i="53"/>
  <c r="A359" i="53" s="1"/>
  <c r="K289" i="53"/>
  <c r="A214" i="53"/>
  <c r="A215" i="53" s="1"/>
  <c r="J395" i="53"/>
  <c r="J313" i="53"/>
  <c r="J379" i="53"/>
  <c r="J366" i="53"/>
  <c r="J295" i="53"/>
  <c r="J198" i="53"/>
  <c r="J210" i="53"/>
  <c r="A244" i="53"/>
  <c r="J343" i="53"/>
  <c r="J355" i="53"/>
  <c r="A405" i="53"/>
  <c r="A402" i="53"/>
  <c r="A429" i="53"/>
  <c r="A433" i="53" s="1"/>
  <c r="K313" i="53"/>
  <c r="K379" i="53"/>
  <c r="K366" i="53"/>
  <c r="K295" i="53"/>
  <c r="K355" i="53"/>
  <c r="K343" i="53"/>
  <c r="K277" i="53"/>
  <c r="K231" i="53"/>
  <c r="K198" i="53"/>
  <c r="K210" i="53"/>
  <c r="A383" i="53"/>
  <c r="A384" i="53" s="1"/>
  <c r="K395" i="53"/>
  <c r="J221" i="53"/>
  <c r="J231" i="53"/>
  <c r="A235" i="53"/>
  <c r="J245" i="53"/>
  <c r="J277" i="53"/>
  <c r="A354" i="53"/>
  <c r="A407" i="53"/>
  <c r="B7" i="46"/>
  <c r="B162" i="8"/>
  <c r="B91" i="8"/>
  <c r="B7" i="8"/>
  <c r="D468" i="46"/>
  <c r="D466" i="46"/>
  <c r="D464" i="46"/>
  <c r="D462" i="46"/>
  <c r="D450" i="46"/>
  <c r="D446" i="46"/>
  <c r="D448" i="46"/>
  <c r="J454" i="46"/>
  <c r="K454" i="46"/>
  <c r="J455" i="46"/>
  <c r="K455" i="46"/>
  <c r="J456" i="46"/>
  <c r="K456" i="46"/>
  <c r="J457" i="46"/>
  <c r="K457" i="46"/>
  <c r="J458" i="46"/>
  <c r="K458" i="46"/>
  <c r="J459" i="46"/>
  <c r="K459" i="46"/>
  <c r="I455" i="46"/>
  <c r="I456" i="46"/>
  <c r="I457" i="46"/>
  <c r="I458" i="46"/>
  <c r="I459" i="46"/>
  <c r="I454" i="46"/>
  <c r="J444" i="46"/>
  <c r="D410" i="46"/>
  <c r="J442" i="46"/>
  <c r="K442" i="46"/>
  <c r="J443" i="46"/>
  <c r="K443" i="46"/>
  <c r="K444" i="46"/>
  <c r="K441" i="46"/>
  <c r="J441" i="46"/>
  <c r="K440" i="46"/>
  <c r="J440" i="46"/>
  <c r="K433" i="46"/>
  <c r="K434" i="46"/>
  <c r="K435" i="46"/>
  <c r="K436" i="46"/>
  <c r="J434" i="46"/>
  <c r="J435" i="46"/>
  <c r="J436" i="46"/>
  <c r="J433" i="46"/>
  <c r="K432" i="46"/>
  <c r="J432" i="46"/>
  <c r="J426" i="46"/>
  <c r="K426" i="46"/>
  <c r="J427" i="46"/>
  <c r="K427" i="46"/>
  <c r="J428" i="46"/>
  <c r="K428" i="46"/>
  <c r="K425" i="46"/>
  <c r="J425" i="46"/>
  <c r="K424" i="46"/>
  <c r="J424" i="46"/>
  <c r="J420" i="46"/>
  <c r="J418" i="46"/>
  <c r="K418" i="46"/>
  <c r="J419" i="46"/>
  <c r="K419" i="46"/>
  <c r="K420" i="46"/>
  <c r="K417" i="46"/>
  <c r="J417" i="46"/>
  <c r="K416" i="46"/>
  <c r="J416" i="46"/>
  <c r="D408" i="46"/>
  <c r="D406" i="46"/>
  <c r="D375" i="46"/>
  <c r="J402" i="46"/>
  <c r="K402" i="46"/>
  <c r="K401" i="46"/>
  <c r="J401" i="46"/>
  <c r="J395" i="46"/>
  <c r="K395" i="46"/>
  <c r="J396" i="46"/>
  <c r="K396" i="46"/>
  <c r="J397" i="46"/>
  <c r="K397" i="46"/>
  <c r="J398" i="46"/>
  <c r="K398" i="46"/>
  <c r="K394" i="46"/>
  <c r="J394" i="46"/>
  <c r="J392" i="46"/>
  <c r="K392" i="46"/>
  <c r="K391" i="46"/>
  <c r="J391" i="46"/>
  <c r="J388" i="46"/>
  <c r="K388" i="46"/>
  <c r="K387" i="46"/>
  <c r="J387" i="46"/>
  <c r="J383" i="46"/>
  <c r="J380" i="46"/>
  <c r="K380" i="46"/>
  <c r="J381" i="46"/>
  <c r="K381" i="46"/>
  <c r="J382" i="46"/>
  <c r="K382" i="46"/>
  <c r="K383" i="46"/>
  <c r="K379" i="46"/>
  <c r="J379" i="46"/>
  <c r="D367" i="46"/>
  <c r="D364" i="46"/>
  <c r="D351" i="46"/>
  <c r="K357" i="46"/>
  <c r="K358" i="46"/>
  <c r="K359" i="46"/>
  <c r="K360" i="46"/>
  <c r="J358" i="46"/>
  <c r="J359" i="46"/>
  <c r="J360" i="46"/>
  <c r="J357" i="46"/>
  <c r="D349" i="46"/>
  <c r="D309" i="46"/>
  <c r="I347" i="46"/>
  <c r="I372" i="46" s="1"/>
  <c r="J347" i="46"/>
  <c r="J372" i="46" s="1"/>
  <c r="K347" i="46"/>
  <c r="K372" i="46" s="1"/>
  <c r="J346" i="46"/>
  <c r="J371" i="46" s="1"/>
  <c r="K346" i="46"/>
  <c r="K371" i="46" s="1"/>
  <c r="I346" i="46"/>
  <c r="I371" i="46" s="1"/>
  <c r="I339" i="46"/>
  <c r="J339" i="46"/>
  <c r="K339" i="46"/>
  <c r="J338" i="46"/>
  <c r="K338" i="46"/>
  <c r="I338" i="46"/>
  <c r="K331" i="46"/>
  <c r="K324" i="46"/>
  <c r="K323" i="46"/>
  <c r="I319" i="46"/>
  <c r="J319" i="46"/>
  <c r="K319" i="46"/>
  <c r="J324" i="46"/>
  <c r="I324" i="46"/>
  <c r="J323" i="46"/>
  <c r="I323" i="46"/>
  <c r="J318" i="46"/>
  <c r="I318" i="46"/>
  <c r="K318" i="46"/>
  <c r="K316" i="46"/>
  <c r="D311" i="46"/>
  <c r="D307" i="46"/>
  <c r="D305" i="46"/>
  <c r="D293" i="46"/>
  <c r="J297" i="46"/>
  <c r="K297" i="46"/>
  <c r="J298" i="46"/>
  <c r="K298" i="46"/>
  <c r="J299" i="46"/>
  <c r="K299" i="46"/>
  <c r="J300" i="46"/>
  <c r="K300" i="46"/>
  <c r="J301" i="46"/>
  <c r="K301" i="46"/>
  <c r="I298" i="46"/>
  <c r="I299" i="46"/>
  <c r="I300" i="46"/>
  <c r="I301" i="46"/>
  <c r="I297" i="46"/>
  <c r="K295" i="46"/>
  <c r="K328" i="46" s="1"/>
  <c r="J295" i="46"/>
  <c r="J328" i="46" s="1"/>
  <c r="I295" i="46"/>
  <c r="I313" i="46" s="1"/>
  <c r="I369" i="46" s="1"/>
  <c r="J228" i="46"/>
  <c r="J277" i="46" s="1"/>
  <c r="D291" i="46"/>
  <c r="K253" i="46"/>
  <c r="J253" i="46"/>
  <c r="D246" i="46"/>
  <c r="D226" i="46"/>
  <c r="K233" i="46"/>
  <c r="J233" i="46"/>
  <c r="K228" i="46"/>
  <c r="K258" i="46" s="1"/>
  <c r="I175" i="46"/>
  <c r="D224" i="46"/>
  <c r="D222" i="46"/>
  <c r="D218" i="46"/>
  <c r="D216" i="46"/>
  <c r="A469" i="46"/>
  <c r="A467" i="46"/>
  <c r="A465" i="46"/>
  <c r="A449" i="46"/>
  <c r="A447" i="46"/>
  <c r="A411" i="46"/>
  <c r="A409" i="46"/>
  <c r="A407" i="46"/>
  <c r="A376" i="46"/>
  <c r="A368" i="46"/>
  <c r="A365" i="46"/>
  <c r="A352" i="46"/>
  <c r="A350" i="46"/>
  <c r="K337" i="46"/>
  <c r="K330" i="46"/>
  <c r="K315" i="46"/>
  <c r="A312" i="46"/>
  <c r="A310" i="46"/>
  <c r="A308" i="46"/>
  <c r="A306" i="46"/>
  <c r="A294" i="46"/>
  <c r="A292" i="46"/>
  <c r="K249" i="46"/>
  <c r="J249" i="46"/>
  <c r="A247" i="46"/>
  <c r="A241" i="46"/>
  <c r="A235" i="46"/>
  <c r="A236" i="46" s="1"/>
  <c r="A234" i="46"/>
  <c r="A227" i="46"/>
  <c r="A225" i="46"/>
  <c r="A223" i="46"/>
  <c r="A220" i="46"/>
  <c r="A221" i="46" s="1"/>
  <c r="A219" i="46"/>
  <c r="A217" i="46"/>
  <c r="I473" i="46"/>
  <c r="I525" i="46" s="1"/>
  <c r="J473" i="46"/>
  <c r="J497" i="46" s="1"/>
  <c r="I478" i="46"/>
  <c r="J478" i="46"/>
  <c r="I479" i="46"/>
  <c r="J479" i="46"/>
  <c r="I480" i="46"/>
  <c r="J480" i="46"/>
  <c r="I481" i="46"/>
  <c r="J481" i="46"/>
  <c r="I482" i="46"/>
  <c r="J482" i="46"/>
  <c r="I486" i="46"/>
  <c r="J486" i="46"/>
  <c r="I487" i="46"/>
  <c r="J487" i="46"/>
  <c r="I499" i="46"/>
  <c r="J499" i="46"/>
  <c r="I500" i="46"/>
  <c r="J500" i="46"/>
  <c r="I502" i="46"/>
  <c r="J502" i="46"/>
  <c r="I513" i="46"/>
  <c r="J513" i="46"/>
  <c r="I520" i="46"/>
  <c r="J520" i="46"/>
  <c r="I522" i="46"/>
  <c r="J522" i="46"/>
  <c r="I527" i="46"/>
  <c r="J527" i="46"/>
  <c r="I528" i="46"/>
  <c r="J528" i="46"/>
  <c r="I529" i="46"/>
  <c r="J529" i="46"/>
  <c r="I530" i="46"/>
  <c r="J530" i="46"/>
  <c r="I532" i="46"/>
  <c r="J532" i="46"/>
  <c r="I533" i="46"/>
  <c r="J533" i="46"/>
  <c r="I534" i="46"/>
  <c r="J534" i="46"/>
  <c r="I535" i="46"/>
  <c r="J535" i="46"/>
  <c r="I542" i="46"/>
  <c r="J542" i="46"/>
  <c r="I543" i="46"/>
  <c r="J543" i="46"/>
  <c r="I544" i="46"/>
  <c r="J544" i="46"/>
  <c r="I545" i="46"/>
  <c r="J545" i="46"/>
  <c r="I546" i="46"/>
  <c r="J546" i="46"/>
  <c r="A189" i="53" l="1"/>
  <c r="A190" i="53" s="1"/>
  <c r="F72" i="8"/>
  <c r="G72" i="8" s="1"/>
  <c r="I82" i="8"/>
  <c r="A82" i="8"/>
  <c r="A233" i="46"/>
  <c r="A434" i="46"/>
  <c r="A545" i="46"/>
  <c r="A543" i="46"/>
  <c r="A535" i="46"/>
  <c r="A533" i="46"/>
  <c r="A530" i="46"/>
  <c r="A528" i="46"/>
  <c r="A522" i="46"/>
  <c r="A523" i="46" s="1"/>
  <c r="A519" i="46" s="1"/>
  <c r="A360" i="46"/>
  <c r="A546" i="46"/>
  <c r="A544" i="46"/>
  <c r="A542" i="46"/>
  <c r="A534" i="46"/>
  <c r="A532" i="46"/>
  <c r="A502" i="46"/>
  <c r="A499" i="46"/>
  <c r="A486" i="46"/>
  <c r="A481" i="46"/>
  <c r="A479" i="46"/>
  <c r="A454" i="46"/>
  <c r="A529" i="46"/>
  <c r="A527" i="46"/>
  <c r="A520" i="46"/>
  <c r="A513" i="46"/>
  <c r="A500" i="46"/>
  <c r="A487" i="46"/>
  <c r="A482" i="46"/>
  <c r="A480" i="46"/>
  <c r="A478" i="46"/>
  <c r="A459" i="46"/>
  <c r="A455" i="46"/>
  <c r="A301" i="46"/>
  <c r="A358" i="46"/>
  <c r="A420" i="46"/>
  <c r="A421" i="46" s="1"/>
  <c r="A425" i="46"/>
  <c r="A441" i="46"/>
  <c r="A214" i="46"/>
  <c r="I325" i="46"/>
  <c r="G125" i="8" s="1"/>
  <c r="A418" i="46"/>
  <c r="A435" i="46"/>
  <c r="A324" i="46"/>
  <c r="A379" i="46"/>
  <c r="A388" i="46"/>
  <c r="A389" i="46" s="1"/>
  <c r="A392" i="46"/>
  <c r="A393" i="46" s="1"/>
  <c r="A401" i="46"/>
  <c r="A433" i="46"/>
  <c r="A442" i="46"/>
  <c r="I518" i="46"/>
  <c r="A338" i="46"/>
  <c r="K333" i="46"/>
  <c r="A427" i="46"/>
  <c r="J362" i="46"/>
  <c r="K362" i="46"/>
  <c r="A417" i="46"/>
  <c r="A424" i="46"/>
  <c r="A426" i="46"/>
  <c r="A436" i="46"/>
  <c r="A437" i="46" s="1"/>
  <c r="A440" i="46"/>
  <c r="J325" i="46"/>
  <c r="H125" i="8" s="1"/>
  <c r="A443" i="46"/>
  <c r="K303" i="46"/>
  <c r="A289" i="53"/>
  <c r="A290" i="53" s="1"/>
  <c r="A403" i="53"/>
  <c r="I508" i="46"/>
  <c r="I540" i="46"/>
  <c r="I497" i="46"/>
  <c r="A394" i="46"/>
  <c r="A457" i="46"/>
  <c r="A404" i="46"/>
  <c r="A405" i="46" s="1"/>
  <c r="K340" i="46"/>
  <c r="K342" i="46" s="1"/>
  <c r="A462" i="46"/>
  <c r="A463" i="46" s="1"/>
  <c r="J508" i="46"/>
  <c r="J303" i="46"/>
  <c r="A339" i="46"/>
  <c r="A359" i="46"/>
  <c r="J525" i="46"/>
  <c r="A346" i="46"/>
  <c r="I303" i="46"/>
  <c r="I460" i="46"/>
  <c r="K460" i="46"/>
  <c r="A347" i="46"/>
  <c r="A348" i="46" s="1"/>
  <c r="A396" i="46"/>
  <c r="A419" i="46"/>
  <c r="K325" i="46"/>
  <c r="K277" i="46"/>
  <c r="K317" i="46"/>
  <c r="K320" i="46" s="1"/>
  <c r="A361" i="46"/>
  <c r="A381" i="46"/>
  <c r="A416" i="46"/>
  <c r="A428" i="46"/>
  <c r="A429" i="46" s="1"/>
  <c r="A456" i="46"/>
  <c r="J460" i="46"/>
  <c r="J313" i="46"/>
  <c r="J369" i="46" s="1"/>
  <c r="J548" i="46"/>
  <c r="J540" i="46"/>
  <c r="J518" i="46"/>
  <c r="A253" i="46"/>
  <c r="A254" i="46" s="1"/>
  <c r="A319" i="46"/>
  <c r="I335" i="46"/>
  <c r="A380" i="46"/>
  <c r="A382" i="46"/>
  <c r="A383" i="46" s="1"/>
  <c r="A387" i="46"/>
  <c r="A402" i="46"/>
  <c r="A403" i="46" s="1"/>
  <c r="I548" i="46"/>
  <c r="A300" i="46"/>
  <c r="A302" i="46" s="1"/>
  <c r="A318" i="46"/>
  <c r="A391" i="46"/>
  <c r="A395" i="46"/>
  <c r="A397" i="46"/>
  <c r="A398" i="46" s="1"/>
  <c r="A432" i="46"/>
  <c r="A444" i="46"/>
  <c r="A445" i="46" s="1"/>
  <c r="A458" i="46"/>
  <c r="A299" i="46"/>
  <c r="A371" i="46"/>
  <c r="A369" i="46"/>
  <c r="A370" i="46" s="1"/>
  <c r="A372" i="46"/>
  <c r="A373" i="46" s="1"/>
  <c r="A366" i="46" s="1"/>
  <c r="A298" i="46"/>
  <c r="A228" i="46"/>
  <c r="A229" i="46" s="1"/>
  <c r="J248" i="46"/>
  <c r="A297" i="46"/>
  <c r="K313" i="46"/>
  <c r="K369" i="46" s="1"/>
  <c r="A323" i="46"/>
  <c r="I328" i="46"/>
  <c r="J335" i="46"/>
  <c r="K355" i="46" s="1"/>
  <c r="A357" i="46"/>
  <c r="J377" i="46"/>
  <c r="K248" i="46"/>
  <c r="J258" i="46"/>
  <c r="A258" i="46" s="1"/>
  <c r="A259" i="46" s="1"/>
  <c r="K335" i="46"/>
  <c r="K377" i="46"/>
  <c r="I193" i="46"/>
  <c r="J175" i="46"/>
  <c r="J193" i="46" s="1"/>
  <c r="J128" i="46"/>
  <c r="J149" i="46" s="1"/>
  <c r="I128" i="46"/>
  <c r="I149" i="46" s="1"/>
  <c r="I63" i="46"/>
  <c r="I82" i="46"/>
  <c r="I96" i="46" s="1"/>
  <c r="I107" i="46" s="1"/>
  <c r="I115" i="46" s="1"/>
  <c r="D94" i="46"/>
  <c r="D90" i="46"/>
  <c r="J117" i="46"/>
  <c r="J118" i="46"/>
  <c r="J119" i="46"/>
  <c r="J120" i="46"/>
  <c r="J121" i="46"/>
  <c r="J122" i="46"/>
  <c r="J123" i="46"/>
  <c r="I118" i="46"/>
  <c r="I119" i="46"/>
  <c r="I120" i="46"/>
  <c r="I121" i="46"/>
  <c r="I122" i="46"/>
  <c r="I123" i="46"/>
  <c r="I117" i="46"/>
  <c r="I110" i="46"/>
  <c r="J110" i="46"/>
  <c r="J109" i="46"/>
  <c r="I109" i="46"/>
  <c r="I99" i="46"/>
  <c r="J99" i="46"/>
  <c r="I100" i="46"/>
  <c r="J100" i="46"/>
  <c r="I101" i="46"/>
  <c r="J101" i="46"/>
  <c r="I102" i="46"/>
  <c r="J102" i="46"/>
  <c r="J98" i="46"/>
  <c r="I98" i="46"/>
  <c r="J84" i="46"/>
  <c r="J85" i="46"/>
  <c r="J86" i="46"/>
  <c r="I85" i="46"/>
  <c r="I86" i="46"/>
  <c r="I84" i="46"/>
  <c r="J82" i="46"/>
  <c r="J96" i="46" s="1"/>
  <c r="J107" i="46" s="1"/>
  <c r="J115" i="46" s="1"/>
  <c r="G63" i="46"/>
  <c r="D61" i="52"/>
  <c r="D84" i="52" s="1"/>
  <c r="D91" i="52" s="1"/>
  <c r="D47" i="52"/>
  <c r="D49" i="52" s="1"/>
  <c r="D24" i="52"/>
  <c r="D86" i="52" s="1"/>
  <c r="D95" i="52" s="1"/>
  <c r="D11" i="52"/>
  <c r="D13" i="52" s="1"/>
  <c r="D5" i="52"/>
  <c r="D3" i="52"/>
  <c r="J56" i="46"/>
  <c r="H56" i="46"/>
  <c r="J53" i="46"/>
  <c r="J54" i="46"/>
  <c r="K382" i="53" s="1"/>
  <c r="H53" i="46"/>
  <c r="H54" i="46"/>
  <c r="J52" i="46"/>
  <c r="K188" i="53" s="1"/>
  <c r="H52" i="46"/>
  <c r="J50" i="46"/>
  <c r="H50" i="46"/>
  <c r="J47" i="46"/>
  <c r="K282" i="53" s="1"/>
  <c r="H47" i="46"/>
  <c r="J45" i="46"/>
  <c r="H45" i="46"/>
  <c r="J42" i="46"/>
  <c r="K285" i="53" s="1"/>
  <c r="H42" i="46"/>
  <c r="I36" i="46"/>
  <c r="J36" i="46" s="1"/>
  <c r="G35" i="46"/>
  <c r="I35" i="46"/>
  <c r="D32" i="46"/>
  <c r="I44" i="46"/>
  <c r="G44" i="46"/>
  <c r="AF5" i="29"/>
  <c r="AI5" i="29"/>
  <c r="AE5" i="29"/>
  <c r="AH5" i="29"/>
  <c r="AD5" i="29"/>
  <c r="AG5" i="29"/>
  <c r="X365" i="29"/>
  <c r="X366" i="29"/>
  <c r="X367" i="29"/>
  <c r="X368" i="29"/>
  <c r="X369" i="29"/>
  <c r="X370" i="29"/>
  <c r="X371" i="29"/>
  <c r="X372" i="29"/>
  <c r="X373" i="29"/>
  <c r="X364" i="29"/>
  <c r="X282" i="29"/>
  <c r="AF282" i="29" s="1"/>
  <c r="X283" i="29"/>
  <c r="AF283" i="29" s="1"/>
  <c r="X284" i="29"/>
  <c r="AF284" i="29" s="1"/>
  <c r="X285" i="29"/>
  <c r="AF285" i="29" s="1"/>
  <c r="X286" i="29"/>
  <c r="AF286" i="29" s="1"/>
  <c r="X287" i="29"/>
  <c r="X288" i="29"/>
  <c r="X289" i="29"/>
  <c r="X290" i="29"/>
  <c r="X291" i="29"/>
  <c r="X292" i="29"/>
  <c r="X293" i="29"/>
  <c r="X294" i="29"/>
  <c r="X295" i="29"/>
  <c r="X296" i="29"/>
  <c r="X297" i="29"/>
  <c r="X298" i="29"/>
  <c r="X299" i="29"/>
  <c r="X300" i="29"/>
  <c r="X301" i="29"/>
  <c r="X302" i="29"/>
  <c r="X304" i="29"/>
  <c r="X305" i="29"/>
  <c r="X306" i="29"/>
  <c r="AF306" i="29" s="1"/>
  <c r="X307" i="29"/>
  <c r="AF307" i="29" s="1"/>
  <c r="X308" i="29"/>
  <c r="AF308" i="29" s="1"/>
  <c r="X309" i="29"/>
  <c r="AF309" i="29" s="1"/>
  <c r="X310" i="29"/>
  <c r="AF310" i="29" s="1"/>
  <c r="X311" i="29"/>
  <c r="AF311" i="29" s="1"/>
  <c r="X312" i="29"/>
  <c r="AF312" i="29" s="1"/>
  <c r="X313" i="29"/>
  <c r="AF313" i="29" s="1"/>
  <c r="X314" i="29"/>
  <c r="AF314" i="29" s="1"/>
  <c r="X315" i="29"/>
  <c r="AF315" i="29" s="1"/>
  <c r="X316" i="29"/>
  <c r="AF316" i="29" s="1"/>
  <c r="X317" i="29"/>
  <c r="AF317" i="29" s="1"/>
  <c r="X318" i="29"/>
  <c r="AF318" i="29" s="1"/>
  <c r="X319" i="29"/>
  <c r="AF319" i="29" s="1"/>
  <c r="X320" i="29"/>
  <c r="AF320" i="29" s="1"/>
  <c r="X323" i="29"/>
  <c r="X324" i="29"/>
  <c r="X325" i="29"/>
  <c r="AF325" i="29" s="1"/>
  <c r="X326" i="29"/>
  <c r="AF326" i="29" s="1"/>
  <c r="X327" i="29"/>
  <c r="AF327" i="29" s="1"/>
  <c r="X328" i="29"/>
  <c r="AF328" i="29" s="1"/>
  <c r="X329" i="29"/>
  <c r="X330" i="29"/>
  <c r="X331" i="29"/>
  <c r="X332" i="29"/>
  <c r="X333" i="29"/>
  <c r="X334" i="29"/>
  <c r="X335" i="29"/>
  <c r="X336" i="29"/>
  <c r="H401" i="13" s="1"/>
  <c r="X337" i="29"/>
  <c r="X338" i="29"/>
  <c r="X339" i="29"/>
  <c r="X340" i="29"/>
  <c r="X341" i="29"/>
  <c r="X281" i="29"/>
  <c r="AF281" i="29" s="1"/>
  <c r="X5" i="29"/>
  <c r="AA5" i="29"/>
  <c r="R5" i="29"/>
  <c r="U5" i="29"/>
  <c r="L5" i="29"/>
  <c r="O5" i="29"/>
  <c r="R7" i="29"/>
  <c r="R8" i="29"/>
  <c r="R9" i="29"/>
  <c r="R10" i="29"/>
  <c r="R11" i="29"/>
  <c r="R12" i="29"/>
  <c r="R13" i="29"/>
  <c r="R14" i="29"/>
  <c r="R15" i="29"/>
  <c r="R16" i="29"/>
  <c r="R17" i="29"/>
  <c r="R18" i="29"/>
  <c r="R19" i="29"/>
  <c r="R20" i="29"/>
  <c r="R21" i="29"/>
  <c r="R22" i="29"/>
  <c r="R23" i="29"/>
  <c r="R24" i="29"/>
  <c r="R25" i="29"/>
  <c r="R26" i="29"/>
  <c r="R27" i="29"/>
  <c r="R28" i="29"/>
  <c r="R29" i="29"/>
  <c r="R30" i="29"/>
  <c r="R31" i="29"/>
  <c r="R32" i="29"/>
  <c r="R33" i="29"/>
  <c r="R34" i="29"/>
  <c r="R35" i="29"/>
  <c r="R36" i="29"/>
  <c r="R37" i="29"/>
  <c r="R38" i="29"/>
  <c r="R39" i="29"/>
  <c r="U39" i="29" s="1"/>
  <c r="G42" i="50" s="1"/>
  <c r="K42" i="50" s="1"/>
  <c r="F66" i="52" s="1"/>
  <c r="R40" i="29"/>
  <c r="R41" i="29"/>
  <c r="R42" i="29"/>
  <c r="R43" i="29"/>
  <c r="R44" i="29"/>
  <c r="R45" i="29"/>
  <c r="R46" i="29"/>
  <c r="R47" i="29"/>
  <c r="R48" i="29"/>
  <c r="R49" i="29"/>
  <c r="R50" i="29"/>
  <c r="U50" i="29" s="1"/>
  <c r="G55" i="50" s="1"/>
  <c r="R51" i="29"/>
  <c r="R52" i="29"/>
  <c r="R53" i="29"/>
  <c r="R54" i="29"/>
  <c r="R55" i="29"/>
  <c r="R56" i="29"/>
  <c r="R57" i="29"/>
  <c r="R58" i="29"/>
  <c r="R59" i="29"/>
  <c r="R60" i="29"/>
  <c r="R61" i="29"/>
  <c r="U61" i="29" s="1"/>
  <c r="G66" i="50" s="1"/>
  <c r="K66" i="50" s="1"/>
  <c r="G66" i="52" s="1"/>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G103" i="13" s="1"/>
  <c r="R95" i="29"/>
  <c r="R96" i="29"/>
  <c r="R97" i="29"/>
  <c r="R98" i="29"/>
  <c r="R99" i="29"/>
  <c r="R100" i="29"/>
  <c r="R101" i="29"/>
  <c r="R102" i="29"/>
  <c r="R103" i="29"/>
  <c r="R104" i="29"/>
  <c r="R105" i="29"/>
  <c r="G114" i="13" s="1"/>
  <c r="R106" i="29"/>
  <c r="R107" i="29"/>
  <c r="R108" i="29"/>
  <c r="R109" i="29"/>
  <c r="R110" i="29"/>
  <c r="R111" i="29"/>
  <c r="R112" i="29"/>
  <c r="R113" i="29"/>
  <c r="R114" i="29"/>
  <c r="R115" i="29"/>
  <c r="R116" i="29"/>
  <c r="AE116" i="29" s="1"/>
  <c r="R117" i="29"/>
  <c r="R118" i="29"/>
  <c r="R119" i="29"/>
  <c r="R120" i="29"/>
  <c r="R121" i="29"/>
  <c r="R122" i="29"/>
  <c r="R123" i="29"/>
  <c r="R124" i="29"/>
  <c r="R125" i="29"/>
  <c r="R126" i="29"/>
  <c r="R127" i="29"/>
  <c r="R128" i="29"/>
  <c r="R129" i="29"/>
  <c r="R130" i="29"/>
  <c r="R131" i="29"/>
  <c r="R132" i="29"/>
  <c r="R133" i="29"/>
  <c r="R134" i="29"/>
  <c r="R135" i="29"/>
  <c r="R136" i="29"/>
  <c r="R137" i="29"/>
  <c r="R138" i="29"/>
  <c r="AE138" i="29" s="1"/>
  <c r="R139" i="29"/>
  <c r="R140" i="29"/>
  <c r="R141" i="29"/>
  <c r="R142" i="29"/>
  <c r="R143" i="29"/>
  <c r="R144" i="29"/>
  <c r="R145" i="29"/>
  <c r="R146" i="29"/>
  <c r="R147" i="29"/>
  <c r="R148" i="29"/>
  <c r="R149" i="29"/>
  <c r="R150" i="29"/>
  <c r="R151" i="29"/>
  <c r="R152" i="29"/>
  <c r="R153" i="29"/>
  <c r="R154" i="29"/>
  <c r="R155" i="29"/>
  <c r="R156" i="29"/>
  <c r="R157" i="29"/>
  <c r="R158" i="29"/>
  <c r="R159" i="29"/>
  <c r="R160" i="29"/>
  <c r="G175" i="13" s="1"/>
  <c r="R161" i="29"/>
  <c r="R162" i="29"/>
  <c r="R163" i="29"/>
  <c r="R164" i="29"/>
  <c r="R165" i="29"/>
  <c r="R166" i="29"/>
  <c r="R167" i="29"/>
  <c r="R168" i="29"/>
  <c r="R170" i="29"/>
  <c r="R171" i="29"/>
  <c r="R172" i="29"/>
  <c r="R173" i="29"/>
  <c r="R174" i="29"/>
  <c r="R175" i="29"/>
  <c r="R176" i="29"/>
  <c r="R177" i="29"/>
  <c r="R178" i="29"/>
  <c r="R179" i="29"/>
  <c r="R180" i="29"/>
  <c r="R181" i="29"/>
  <c r="R182" i="29"/>
  <c r="AE182" i="29" s="1"/>
  <c r="R183" i="29"/>
  <c r="G211" i="13" s="1"/>
  <c r="R184" i="29"/>
  <c r="R185" i="29"/>
  <c r="R186" i="29"/>
  <c r="R187" i="29"/>
  <c r="R188" i="29"/>
  <c r="R189" i="29"/>
  <c r="R190" i="29"/>
  <c r="R191" i="29"/>
  <c r="R192" i="29"/>
  <c r="R193" i="29"/>
  <c r="R194" i="29"/>
  <c r="R195" i="29"/>
  <c r="R196" i="29"/>
  <c r="R197" i="29"/>
  <c r="R198" i="29"/>
  <c r="R199" i="29"/>
  <c r="R200" i="29"/>
  <c r="R201" i="29"/>
  <c r="R202" i="29"/>
  <c r="R203" i="29"/>
  <c r="R204" i="29"/>
  <c r="R205" i="29"/>
  <c r="R206" i="29"/>
  <c r="U206" i="29" s="1"/>
  <c r="R207" i="29"/>
  <c r="R208" i="29"/>
  <c r="R209" i="29"/>
  <c r="R210" i="29"/>
  <c r="R211" i="29"/>
  <c r="G232" i="13" s="1"/>
  <c r="R212" i="29"/>
  <c r="R213" i="29"/>
  <c r="U213" i="29" s="1"/>
  <c r="G234" i="50" s="1"/>
  <c r="K234" i="50" s="1"/>
  <c r="R214" i="29"/>
  <c r="U214" i="29" s="1"/>
  <c r="G235" i="50" s="1"/>
  <c r="K235" i="50" s="1"/>
  <c r="R215" i="29"/>
  <c r="R216" i="29"/>
  <c r="R217" i="29"/>
  <c r="R218" i="29"/>
  <c r="R219" i="29"/>
  <c r="R220" i="29"/>
  <c r="R221" i="29"/>
  <c r="U221" i="29" s="1"/>
  <c r="G242" i="50" s="1"/>
  <c r="R222" i="29"/>
  <c r="G243" i="13" s="1"/>
  <c r="R223" i="29"/>
  <c r="AE223" i="29" s="1"/>
  <c r="R224" i="29"/>
  <c r="R225" i="29"/>
  <c r="R226" i="29"/>
  <c r="R227" i="29"/>
  <c r="R228" i="29"/>
  <c r="R229" i="29"/>
  <c r="R230" i="29"/>
  <c r="R231" i="29"/>
  <c r="R232" i="29"/>
  <c r="R233" i="29"/>
  <c r="R234" i="29"/>
  <c r="R235" i="29"/>
  <c r="R236" i="29"/>
  <c r="R237" i="29"/>
  <c r="U237" i="29" s="1"/>
  <c r="G261" i="50" s="1"/>
  <c r="R238" i="29"/>
  <c r="U238" i="29" s="1"/>
  <c r="G262" i="50" s="1"/>
  <c r="K262" i="50" s="1"/>
  <c r="O54" i="52" s="1"/>
  <c r="R239" i="29"/>
  <c r="R240" i="29"/>
  <c r="R241" i="29"/>
  <c r="R242" i="29"/>
  <c r="R243" i="29"/>
  <c r="R244" i="29"/>
  <c r="R245" i="29"/>
  <c r="AE245" i="29" s="1"/>
  <c r="R246" i="29"/>
  <c r="R247" i="29"/>
  <c r="R248" i="29"/>
  <c r="R249" i="29"/>
  <c r="U249" i="29" s="1"/>
  <c r="G273" i="50" s="1"/>
  <c r="K273" i="50" s="1"/>
  <c r="O74" i="52" s="1"/>
  <c r="R250" i="29"/>
  <c r="R251" i="29"/>
  <c r="R252" i="29"/>
  <c r="R253" i="29"/>
  <c r="U253" i="29" s="1"/>
  <c r="G277" i="50" s="1"/>
  <c r="R254" i="29"/>
  <c r="U254" i="29" s="1"/>
  <c r="G278" i="50" s="1"/>
  <c r="K278" i="50" s="1"/>
  <c r="O78" i="52" s="1"/>
  <c r="R255" i="29"/>
  <c r="R256" i="29"/>
  <c r="R257" i="29"/>
  <c r="R258" i="29"/>
  <c r="R259" i="29"/>
  <c r="R260" i="29"/>
  <c r="R261" i="29"/>
  <c r="R262" i="29"/>
  <c r="R263" i="29"/>
  <c r="R264" i="29"/>
  <c r="U264" i="29" s="1"/>
  <c r="G299" i="50" s="1"/>
  <c r="K299" i="50" s="1"/>
  <c r="J131" i="46" s="1"/>
  <c r="R265" i="29"/>
  <c r="R266" i="29"/>
  <c r="R267" i="29"/>
  <c r="R268" i="29"/>
  <c r="U268" i="29" s="1"/>
  <c r="G303" i="50" s="1"/>
  <c r="K303" i="50" s="1"/>
  <c r="J135" i="46" s="1"/>
  <c r="R269" i="29"/>
  <c r="R270" i="29"/>
  <c r="R271" i="29"/>
  <c r="R272" i="29"/>
  <c r="U272" i="29" s="1"/>
  <c r="G307" i="50" s="1"/>
  <c r="K307" i="50" s="1"/>
  <c r="J139" i="46" s="1"/>
  <c r="R273" i="29"/>
  <c r="R274" i="29"/>
  <c r="R275" i="29"/>
  <c r="R276" i="29"/>
  <c r="U276" i="29" s="1"/>
  <c r="G311" i="50" s="1"/>
  <c r="K311" i="50" s="1"/>
  <c r="J143" i="46" s="1"/>
  <c r="R277" i="29"/>
  <c r="R281" i="29"/>
  <c r="AE281" i="29" s="1"/>
  <c r="R282" i="29"/>
  <c r="AE282" i="29" s="1"/>
  <c r="R283" i="29"/>
  <c r="AE283" i="29" s="1"/>
  <c r="R284" i="29"/>
  <c r="AE284" i="29" s="1"/>
  <c r="R285" i="29"/>
  <c r="AE285" i="29" s="1"/>
  <c r="R286" i="29"/>
  <c r="AE286" i="29" s="1"/>
  <c r="R287" i="29"/>
  <c r="U287" i="29" s="1"/>
  <c r="G342" i="50" s="1"/>
  <c r="R288" i="29"/>
  <c r="R289" i="29"/>
  <c r="R290" i="29"/>
  <c r="R291" i="29"/>
  <c r="U291" i="29" s="1"/>
  <c r="G346" i="50" s="1"/>
  <c r="R292" i="29"/>
  <c r="R293" i="29"/>
  <c r="R294" i="29"/>
  <c r="R295" i="29"/>
  <c r="U295" i="29" s="1"/>
  <c r="G350" i="50" s="1"/>
  <c r="R296" i="29"/>
  <c r="R297" i="29"/>
  <c r="R298" i="29"/>
  <c r="R299" i="29"/>
  <c r="U299" i="29" s="1"/>
  <c r="G354" i="50" s="1"/>
  <c r="R300" i="29"/>
  <c r="AE300" i="29" s="1"/>
  <c r="R301" i="29"/>
  <c r="R302" i="29"/>
  <c r="R304" i="29"/>
  <c r="U304" i="29" s="1"/>
  <c r="G362" i="50" s="1"/>
  <c r="R305" i="29"/>
  <c r="R306" i="29"/>
  <c r="R307" i="29"/>
  <c r="R308" i="29"/>
  <c r="U308" i="29" s="1"/>
  <c r="G327" i="50" s="1"/>
  <c r="K327" i="50" s="1"/>
  <c r="R309" i="29"/>
  <c r="R311" i="29"/>
  <c r="R312" i="29"/>
  <c r="U312" i="29" s="1"/>
  <c r="G369" i="50" s="1"/>
  <c r="K369" i="50" s="1"/>
  <c r="R313" i="29"/>
  <c r="R314" i="29"/>
  <c r="R315" i="29"/>
  <c r="R316" i="29"/>
  <c r="U316" i="29" s="1"/>
  <c r="G373" i="50" s="1"/>
  <c r="K373" i="50" s="1"/>
  <c r="R317" i="29"/>
  <c r="R318" i="29"/>
  <c r="R319" i="29"/>
  <c r="R320" i="29"/>
  <c r="U320" i="29" s="1"/>
  <c r="G377" i="50" s="1"/>
  <c r="K377" i="50" s="1"/>
  <c r="R323" i="29"/>
  <c r="R324" i="29"/>
  <c r="R325" i="29"/>
  <c r="R326" i="29"/>
  <c r="U326" i="29" s="1"/>
  <c r="G440" i="50" s="1"/>
  <c r="K440" i="50" s="1"/>
  <c r="R327" i="29"/>
  <c r="R328" i="29"/>
  <c r="R329" i="29"/>
  <c r="R330" i="29"/>
  <c r="U330" i="29" s="1"/>
  <c r="G395" i="50" s="1"/>
  <c r="R331" i="29"/>
  <c r="R332" i="29"/>
  <c r="R333" i="29"/>
  <c r="R334" i="29"/>
  <c r="U334" i="29" s="1"/>
  <c r="G399" i="50" s="1"/>
  <c r="K399" i="50" s="1"/>
  <c r="J182" i="46" s="1"/>
  <c r="R335" i="29"/>
  <c r="R336" i="29"/>
  <c r="R337" i="29"/>
  <c r="R338" i="29"/>
  <c r="U338" i="29" s="1"/>
  <c r="G403" i="50" s="1"/>
  <c r="K403" i="50" s="1"/>
  <c r="J186" i="46" s="1"/>
  <c r="R339" i="29"/>
  <c r="R340" i="29"/>
  <c r="R341" i="29"/>
  <c r="R343" i="29"/>
  <c r="R344" i="29"/>
  <c r="U344" i="29" s="1"/>
  <c r="G412" i="50" s="1"/>
  <c r="K412" i="50" s="1"/>
  <c r="R345" i="29"/>
  <c r="R346" i="29"/>
  <c r="R347" i="29"/>
  <c r="U347" i="29" s="1"/>
  <c r="G415" i="50" s="1"/>
  <c r="K415" i="50" s="1"/>
  <c r="R348" i="29"/>
  <c r="AE348" i="29" s="1"/>
  <c r="R349" i="29"/>
  <c r="U349" i="29" s="1"/>
  <c r="G417" i="50" s="1"/>
  <c r="R350" i="29"/>
  <c r="R351" i="29"/>
  <c r="U351" i="29" s="1"/>
  <c r="G419" i="50" s="1"/>
  <c r="K419" i="50" s="1"/>
  <c r="R352" i="29"/>
  <c r="U352" i="29" s="1"/>
  <c r="G420" i="50" s="1"/>
  <c r="K420" i="50" s="1"/>
  <c r="R353" i="29"/>
  <c r="AE353" i="29" s="1"/>
  <c r="R354" i="29"/>
  <c r="R355" i="29"/>
  <c r="R356" i="29"/>
  <c r="R357" i="29"/>
  <c r="R358" i="29"/>
  <c r="R359" i="29"/>
  <c r="R360" i="29"/>
  <c r="R361" i="29"/>
  <c r="R362" i="29"/>
  <c r="G430" i="13" s="1"/>
  <c r="K430" i="13" s="1"/>
  <c r="R364" i="29"/>
  <c r="R365" i="29"/>
  <c r="R366" i="29"/>
  <c r="R367" i="29"/>
  <c r="R368" i="29"/>
  <c r="R369" i="29"/>
  <c r="R370" i="29"/>
  <c r="R371" i="29"/>
  <c r="R372" i="29"/>
  <c r="R373" i="29"/>
  <c r="R376" i="29"/>
  <c r="R377" i="29"/>
  <c r="G462" i="13" s="1"/>
  <c r="R378" i="29"/>
  <c r="U378" i="29" s="1"/>
  <c r="G463" i="50" s="1"/>
  <c r="K463" i="50" s="1"/>
  <c r="R379" i="29"/>
  <c r="R380" i="29"/>
  <c r="R381" i="29"/>
  <c r="G466" i="13" s="1"/>
  <c r="R382" i="29"/>
  <c r="U382" i="29" s="1"/>
  <c r="G467" i="50" s="1"/>
  <c r="K467" i="50" s="1"/>
  <c r="R383" i="29"/>
  <c r="U383" i="29" s="1"/>
  <c r="G468" i="50" s="1"/>
  <c r="K468" i="50" s="1"/>
  <c r="R384" i="29"/>
  <c r="R385" i="29"/>
  <c r="R386" i="29"/>
  <c r="AE386" i="29" s="1"/>
  <c r="R387" i="29"/>
  <c r="U387" i="29" s="1"/>
  <c r="G472" i="50" s="1"/>
  <c r="K472" i="50" s="1"/>
  <c r="R388" i="29"/>
  <c r="U388" i="29" s="1"/>
  <c r="G473" i="50" s="1"/>
  <c r="R389" i="29"/>
  <c r="R390" i="29"/>
  <c r="U390" i="29" s="1"/>
  <c r="G475" i="50" s="1"/>
  <c r="K475" i="50" s="1"/>
  <c r="R391" i="29"/>
  <c r="U391" i="29" s="1"/>
  <c r="G476" i="50" s="1"/>
  <c r="K476" i="50" s="1"/>
  <c r="R392" i="29"/>
  <c r="U392" i="29" s="1"/>
  <c r="G477" i="50" s="1"/>
  <c r="R393" i="29"/>
  <c r="R394" i="29"/>
  <c r="U394" i="29" s="1"/>
  <c r="G479" i="50" s="1"/>
  <c r="K479" i="50" s="1"/>
  <c r="R395" i="29"/>
  <c r="U395" i="29" s="1"/>
  <c r="G480" i="50" s="1"/>
  <c r="R396" i="29"/>
  <c r="G485" i="13" s="1"/>
  <c r="R397" i="29"/>
  <c r="R398" i="29"/>
  <c r="R399" i="29"/>
  <c r="R400" i="29"/>
  <c r="R401" i="29"/>
  <c r="R402" i="29"/>
  <c r="R403" i="29"/>
  <c r="R404" i="29"/>
  <c r="AE404" i="29" s="1"/>
  <c r="R405" i="29"/>
  <c r="R406" i="29"/>
  <c r="R407" i="29"/>
  <c r="R408" i="29"/>
  <c r="R409" i="29"/>
  <c r="R410" i="29"/>
  <c r="G500" i="13" s="1"/>
  <c r="R411" i="29"/>
  <c r="R412" i="29"/>
  <c r="R413" i="29"/>
  <c r="R414" i="29"/>
  <c r="U414" i="29" s="1"/>
  <c r="G504" i="50" s="1"/>
  <c r="R415" i="29"/>
  <c r="G505" i="13" s="1"/>
  <c r="R416" i="29"/>
  <c r="R417" i="29"/>
  <c r="R418" i="29"/>
  <c r="U418" i="29" s="1"/>
  <c r="G508" i="50" s="1"/>
  <c r="R419" i="29"/>
  <c r="AE419" i="29" s="1"/>
  <c r="R420" i="29"/>
  <c r="AE420" i="29" s="1"/>
  <c r="R421" i="29"/>
  <c r="R422" i="29"/>
  <c r="R423" i="29"/>
  <c r="R424" i="29"/>
  <c r="G537" i="13" s="1"/>
  <c r="R425" i="29"/>
  <c r="R426" i="29"/>
  <c r="G539" i="13" s="1"/>
  <c r="R427" i="29"/>
  <c r="U427" i="29" s="1"/>
  <c r="G540" i="50" s="1"/>
  <c r="K540" i="50" s="1"/>
  <c r="R428" i="29"/>
  <c r="G545" i="13" s="1"/>
  <c r="R429" i="29"/>
  <c r="R430" i="29"/>
  <c r="G547" i="13" s="1"/>
  <c r="R431" i="29"/>
  <c r="G548" i="13" s="1"/>
  <c r="R433" i="29"/>
  <c r="G550" i="13" s="1"/>
  <c r="R434" i="29"/>
  <c r="R435" i="29"/>
  <c r="G552" i="13" s="1"/>
  <c r="R436" i="29"/>
  <c r="U436" i="29" s="1"/>
  <c r="G553" i="50" s="1"/>
  <c r="K553" i="50" s="1"/>
  <c r="K397" i="53" s="1"/>
  <c r="R437" i="29"/>
  <c r="U437" i="29" s="1"/>
  <c r="G554" i="50" s="1"/>
  <c r="K554" i="50" s="1"/>
  <c r="K381" i="53" s="1"/>
  <c r="R6" i="29"/>
  <c r="U6" i="29" s="1"/>
  <c r="L7" i="29"/>
  <c r="L8" i="29"/>
  <c r="L9" i="29"/>
  <c r="L10" i="29"/>
  <c r="AD10" i="29" s="1"/>
  <c r="L11" i="29"/>
  <c r="F12" i="13" s="1"/>
  <c r="L12" i="29"/>
  <c r="L13" i="29"/>
  <c r="F14" i="13" s="1"/>
  <c r="L14" i="29"/>
  <c r="O14" i="29" s="1"/>
  <c r="F15" i="50" s="1"/>
  <c r="J15" i="50" s="1"/>
  <c r="L15" i="29"/>
  <c r="O15" i="29" s="1"/>
  <c r="F16" i="50" s="1"/>
  <c r="L16" i="29"/>
  <c r="F17" i="13" s="1"/>
  <c r="L18" i="29"/>
  <c r="AD18" i="29" s="1"/>
  <c r="L19" i="29"/>
  <c r="L20" i="29"/>
  <c r="L21" i="29"/>
  <c r="L22" i="29"/>
  <c r="O22" i="29" s="1"/>
  <c r="F23" i="50" s="1"/>
  <c r="J23" i="50" s="1"/>
  <c r="L23" i="29"/>
  <c r="L24" i="29"/>
  <c r="L25" i="29"/>
  <c r="L26" i="29"/>
  <c r="O26" i="29" s="1"/>
  <c r="F27" i="50" s="1"/>
  <c r="J27" i="50" s="1"/>
  <c r="E38" i="52" s="1"/>
  <c r="L27" i="29"/>
  <c r="L29" i="29"/>
  <c r="L30" i="29"/>
  <c r="AD30" i="29" s="1"/>
  <c r="L31" i="29"/>
  <c r="AD31" i="29" s="1"/>
  <c r="L32" i="29"/>
  <c r="F35" i="13" s="1"/>
  <c r="L33" i="29"/>
  <c r="O33" i="29" s="1"/>
  <c r="F36" i="50" s="1"/>
  <c r="L34" i="29"/>
  <c r="O34" i="29" s="1"/>
  <c r="F37" i="50" s="1"/>
  <c r="J37" i="50" s="1"/>
  <c r="F19" i="52" s="1"/>
  <c r="L35" i="29"/>
  <c r="L36" i="29"/>
  <c r="F39" i="13" s="1"/>
  <c r="L37" i="29"/>
  <c r="L38" i="29"/>
  <c r="F41" i="13" s="1"/>
  <c r="L40" i="29"/>
  <c r="AD40" i="29" s="1"/>
  <c r="L41" i="29"/>
  <c r="O41" i="29" s="1"/>
  <c r="F44" i="50" s="1"/>
  <c r="J44" i="50" s="1"/>
  <c r="F31" i="52" s="1"/>
  <c r="L42" i="29"/>
  <c r="F45" i="13" s="1"/>
  <c r="L43" i="29"/>
  <c r="L44" i="29"/>
  <c r="L45" i="29"/>
  <c r="L46" i="29"/>
  <c r="L47" i="29"/>
  <c r="L48" i="29"/>
  <c r="L49" i="29"/>
  <c r="L51" i="29"/>
  <c r="L52" i="29"/>
  <c r="F57" i="13" s="1"/>
  <c r="L53" i="29"/>
  <c r="O53" i="29" s="1"/>
  <c r="F58" i="50" s="1"/>
  <c r="L54" i="29"/>
  <c r="L55" i="29"/>
  <c r="L56" i="29"/>
  <c r="L57" i="29"/>
  <c r="O57" i="29" s="1"/>
  <c r="F62" i="50" s="1"/>
  <c r="L58" i="29"/>
  <c r="L59" i="29"/>
  <c r="O59" i="29" s="1"/>
  <c r="F64" i="50" s="1"/>
  <c r="L60" i="29"/>
  <c r="L62" i="29"/>
  <c r="AD62" i="29" s="1"/>
  <c r="L63" i="29"/>
  <c r="F68" i="13" s="1"/>
  <c r="L64" i="29"/>
  <c r="O64" i="29" s="1"/>
  <c r="F69" i="50" s="1"/>
  <c r="J69" i="50" s="1"/>
  <c r="G32" i="52" s="1"/>
  <c r="L65" i="29"/>
  <c r="L66" i="29"/>
  <c r="L67" i="29"/>
  <c r="L68" i="29"/>
  <c r="L69" i="29"/>
  <c r="L70" i="29"/>
  <c r="L71" i="29"/>
  <c r="L73" i="29"/>
  <c r="L74" i="29"/>
  <c r="L75" i="29"/>
  <c r="L76" i="29"/>
  <c r="L77" i="29"/>
  <c r="L78" i="29"/>
  <c r="L79" i="29"/>
  <c r="L80" i="29"/>
  <c r="L81" i="29"/>
  <c r="L82" i="29"/>
  <c r="L84" i="29"/>
  <c r="AD84" i="29" s="1"/>
  <c r="L85" i="29"/>
  <c r="L86" i="29"/>
  <c r="L87" i="29"/>
  <c r="L88" i="29"/>
  <c r="L89" i="29"/>
  <c r="L90" i="29"/>
  <c r="L91" i="29"/>
  <c r="L92" i="29"/>
  <c r="L93" i="29"/>
  <c r="L95" i="29"/>
  <c r="L96" i="29"/>
  <c r="AD96" i="29" s="1"/>
  <c r="L97" i="29"/>
  <c r="L98" i="29"/>
  <c r="F107" i="13" s="1"/>
  <c r="L99" i="29"/>
  <c r="O99" i="29" s="1"/>
  <c r="F108" i="50" s="1"/>
  <c r="L100" i="29"/>
  <c r="O100" i="29" s="1"/>
  <c r="F109" i="50" s="1"/>
  <c r="J109" i="50" s="1"/>
  <c r="I18" i="52" s="1"/>
  <c r="L101" i="29"/>
  <c r="L102" i="29"/>
  <c r="L103" i="29"/>
  <c r="AD103" i="29" s="1"/>
  <c r="L104" i="29"/>
  <c r="AD104" i="29" s="1"/>
  <c r="L106" i="29"/>
  <c r="AD106" i="29" s="1"/>
  <c r="L107" i="29"/>
  <c r="AD107" i="29" s="1"/>
  <c r="L108" i="29"/>
  <c r="O108" i="29" s="1"/>
  <c r="F117" i="50" s="1"/>
  <c r="J117" i="50" s="1"/>
  <c r="I32" i="52" s="1"/>
  <c r="L109" i="29"/>
  <c r="L110" i="29"/>
  <c r="L111" i="29"/>
  <c r="L112" i="29"/>
  <c r="F121" i="13" s="1"/>
  <c r="L113" i="29"/>
  <c r="O113" i="29" s="1"/>
  <c r="F122" i="50" s="1"/>
  <c r="L114" i="29"/>
  <c r="L115" i="29"/>
  <c r="F124" i="13" s="1"/>
  <c r="L117" i="29"/>
  <c r="O117" i="29" s="1"/>
  <c r="L118" i="29"/>
  <c r="O118" i="29" s="1"/>
  <c r="F129" i="50" s="1"/>
  <c r="L119" i="29"/>
  <c r="O119" i="29" s="1"/>
  <c r="F130" i="50" s="1"/>
  <c r="J130" i="50" s="1"/>
  <c r="J16" i="52" s="1"/>
  <c r="L120" i="29"/>
  <c r="L121" i="29"/>
  <c r="O121" i="29" s="1"/>
  <c r="F132" i="50" s="1"/>
  <c r="L122" i="29"/>
  <c r="O122" i="29" s="1"/>
  <c r="F133" i="50" s="1"/>
  <c r="J133" i="50" s="1"/>
  <c r="J19" i="52" s="1"/>
  <c r="L123" i="29"/>
  <c r="O123" i="29" s="1"/>
  <c r="F134" i="50" s="1"/>
  <c r="J134" i="50" s="1"/>
  <c r="J20" i="52" s="1"/>
  <c r="L124" i="29"/>
  <c r="L125" i="29"/>
  <c r="O125" i="29" s="1"/>
  <c r="F136" i="50" s="1"/>
  <c r="L126" i="29"/>
  <c r="O126" i="29" s="1"/>
  <c r="F137" i="50" s="1"/>
  <c r="J137" i="50" s="1"/>
  <c r="J23" i="52" s="1"/>
  <c r="L128" i="29"/>
  <c r="AD128" i="29" s="1"/>
  <c r="L129" i="29"/>
  <c r="O129" i="29" s="1"/>
  <c r="F140" i="50" s="1"/>
  <c r="L130" i="29"/>
  <c r="O130" i="29" s="1"/>
  <c r="F141" i="50" s="1"/>
  <c r="J141" i="50" s="1"/>
  <c r="J32" i="52" s="1"/>
  <c r="L131" i="29"/>
  <c r="O131" i="29" s="1"/>
  <c r="F142" i="50" s="1"/>
  <c r="J142" i="50" s="1"/>
  <c r="J33" i="52" s="1"/>
  <c r="L132" i="29"/>
  <c r="L133" i="29"/>
  <c r="O133" i="29" s="1"/>
  <c r="F144" i="50" s="1"/>
  <c r="L134" i="29"/>
  <c r="O134" i="29" s="1"/>
  <c r="F145" i="50" s="1"/>
  <c r="J145" i="50" s="1"/>
  <c r="J36" i="52" s="1"/>
  <c r="L135" i="29"/>
  <c r="O135" i="29" s="1"/>
  <c r="F146" i="50" s="1"/>
  <c r="J146" i="50" s="1"/>
  <c r="J37" i="52" s="1"/>
  <c r="L136" i="29"/>
  <c r="L137" i="29"/>
  <c r="O137" i="29" s="1"/>
  <c r="F148" i="50" s="1"/>
  <c r="L139" i="29"/>
  <c r="O139" i="29" s="1"/>
  <c r="L140" i="29"/>
  <c r="AD140" i="29" s="1"/>
  <c r="L141" i="29"/>
  <c r="L142" i="29"/>
  <c r="L143" i="29"/>
  <c r="L144" i="29"/>
  <c r="L145" i="29"/>
  <c r="L146" i="29"/>
  <c r="L147" i="29"/>
  <c r="L148" i="29"/>
  <c r="L150" i="29"/>
  <c r="AD150" i="29" s="1"/>
  <c r="L151" i="29"/>
  <c r="L152" i="29"/>
  <c r="L153" i="29"/>
  <c r="L154" i="29"/>
  <c r="O154" i="29" s="1"/>
  <c r="F167" i="50" s="1"/>
  <c r="L155" i="29"/>
  <c r="L156" i="29"/>
  <c r="L157" i="29"/>
  <c r="L158" i="29"/>
  <c r="O158" i="29" s="1"/>
  <c r="F171" i="50" s="1"/>
  <c r="L159" i="29"/>
  <c r="L161" i="29"/>
  <c r="L162" i="29"/>
  <c r="L163" i="29"/>
  <c r="O163" i="29" s="1"/>
  <c r="F178" i="50" s="1"/>
  <c r="J178" i="50" s="1"/>
  <c r="L16" i="52" s="1"/>
  <c r="L164" i="29"/>
  <c r="L165" i="29"/>
  <c r="L166" i="29"/>
  <c r="L167" i="29"/>
  <c r="O167" i="29" s="1"/>
  <c r="F182" i="50" s="1"/>
  <c r="J182" i="50" s="1"/>
  <c r="L20" i="52" s="1"/>
  <c r="L168" i="29"/>
  <c r="L169" i="29"/>
  <c r="L170" i="29"/>
  <c r="F185" i="13" s="1"/>
  <c r="L172" i="29"/>
  <c r="AD172" i="29" s="1"/>
  <c r="L173" i="29"/>
  <c r="F188" i="13" s="1"/>
  <c r="L174" i="29"/>
  <c r="F189" i="13" s="1"/>
  <c r="L175" i="29"/>
  <c r="L176" i="29"/>
  <c r="L177" i="29"/>
  <c r="L178" i="29"/>
  <c r="L179" i="29"/>
  <c r="L180" i="29"/>
  <c r="L181" i="29"/>
  <c r="F196" i="13" s="1"/>
  <c r="L183" i="29"/>
  <c r="F211" i="13" s="1"/>
  <c r="L184" i="29"/>
  <c r="O184" i="29" s="1"/>
  <c r="F201" i="50" s="1"/>
  <c r="J201" i="50" s="1"/>
  <c r="N15" i="52" s="1"/>
  <c r="L185" i="29"/>
  <c r="L186" i="29"/>
  <c r="L187" i="29"/>
  <c r="L188" i="29"/>
  <c r="O188" i="29" s="1"/>
  <c r="F205" i="50" s="1"/>
  <c r="J205" i="50" s="1"/>
  <c r="N19" i="52" s="1"/>
  <c r="L189" i="29"/>
  <c r="L190" i="29"/>
  <c r="L191" i="29"/>
  <c r="L192" i="29"/>
  <c r="O192" i="29" s="1"/>
  <c r="F209" i="50" s="1"/>
  <c r="L194" i="29"/>
  <c r="AD194" i="29" s="1"/>
  <c r="L195" i="29"/>
  <c r="L196" i="29"/>
  <c r="O196" i="29" s="1"/>
  <c r="F213" i="50" s="1"/>
  <c r="L197" i="29"/>
  <c r="L198" i="29"/>
  <c r="L199" i="29"/>
  <c r="L200" i="29"/>
  <c r="O200" i="29" s="1"/>
  <c r="F217" i="50" s="1"/>
  <c r="J217" i="50" s="1"/>
  <c r="N36" i="52" s="1"/>
  <c r="L201" i="29"/>
  <c r="L202" i="29"/>
  <c r="L203" i="29"/>
  <c r="L205" i="29"/>
  <c r="L206" i="29"/>
  <c r="L207" i="29"/>
  <c r="L208" i="29"/>
  <c r="O208" i="29" s="1"/>
  <c r="F227" i="50" s="1"/>
  <c r="L209" i="29"/>
  <c r="L210" i="29"/>
  <c r="O210" i="29" s="1"/>
  <c r="F229" i="50" s="1"/>
  <c r="L212" i="29"/>
  <c r="L213" i="29"/>
  <c r="L214" i="29"/>
  <c r="L215" i="29"/>
  <c r="O215" i="29" s="1"/>
  <c r="F236" i="50" s="1"/>
  <c r="J236" i="50" s="1"/>
  <c r="L216" i="29"/>
  <c r="L217" i="29"/>
  <c r="L218" i="29"/>
  <c r="L219" i="29"/>
  <c r="O219" i="29" s="1"/>
  <c r="F240" i="50" s="1"/>
  <c r="J240" i="50" s="1"/>
  <c r="L220" i="29"/>
  <c r="L221" i="29"/>
  <c r="L223" i="29"/>
  <c r="AD223" i="29" s="1"/>
  <c r="L224" i="29"/>
  <c r="AD224" i="29" s="1"/>
  <c r="L225" i="29"/>
  <c r="O225" i="29" s="1"/>
  <c r="F246" i="50" s="1"/>
  <c r="J246" i="50" s="1"/>
  <c r="L226" i="29"/>
  <c r="L227" i="29"/>
  <c r="L228" i="29"/>
  <c r="O228" i="29" s="1"/>
  <c r="F249" i="50" s="1"/>
  <c r="J249" i="50" s="1"/>
  <c r="J49" i="53" s="1"/>
  <c r="L229" i="29"/>
  <c r="O229" i="29" s="1"/>
  <c r="F250" i="50" s="1"/>
  <c r="J250" i="50" s="1"/>
  <c r="L230" i="29"/>
  <c r="L231" i="29"/>
  <c r="L232" i="29"/>
  <c r="O232" i="29" s="1"/>
  <c r="F253" i="50" s="1"/>
  <c r="J253" i="50" s="1"/>
  <c r="L234" i="29"/>
  <c r="L235" i="29"/>
  <c r="L236" i="29"/>
  <c r="O236" i="29" s="1"/>
  <c r="F260" i="50" s="1"/>
  <c r="J260" i="50" s="1"/>
  <c r="O16" i="52" s="1"/>
  <c r="L237" i="29"/>
  <c r="O237" i="29" s="1"/>
  <c r="F261" i="50" s="1"/>
  <c r="J261" i="50" s="1"/>
  <c r="O17" i="52" s="1"/>
  <c r="L238" i="29"/>
  <c r="L239" i="29"/>
  <c r="L240" i="29"/>
  <c r="O240" i="29" s="1"/>
  <c r="F264" i="50" s="1"/>
  <c r="L241" i="29"/>
  <c r="O241" i="29" s="1"/>
  <c r="F265" i="50" s="1"/>
  <c r="L242" i="29"/>
  <c r="L243" i="29"/>
  <c r="L245" i="29"/>
  <c r="AD245" i="29" s="1"/>
  <c r="L246" i="29"/>
  <c r="L247" i="29"/>
  <c r="L248" i="29"/>
  <c r="O248" i="29" s="1"/>
  <c r="F272" i="50" s="1"/>
  <c r="J272" i="50" s="1"/>
  <c r="O33" i="52" s="1"/>
  <c r="L249" i="29"/>
  <c r="O249" i="29" s="1"/>
  <c r="F273" i="50" s="1"/>
  <c r="J273" i="50" s="1"/>
  <c r="O35" i="52" s="1"/>
  <c r="L250" i="29"/>
  <c r="L251" i="29"/>
  <c r="L252" i="29"/>
  <c r="O252" i="29" s="1"/>
  <c r="F276" i="50" s="1"/>
  <c r="L253" i="29"/>
  <c r="O253" i="29" s="1"/>
  <c r="F277" i="50" s="1"/>
  <c r="J277" i="50" s="1"/>
  <c r="O38" i="52" s="1"/>
  <c r="L254" i="29"/>
  <c r="L255" i="29"/>
  <c r="L256" i="29"/>
  <c r="O256" i="29" s="1"/>
  <c r="F285" i="50" s="1"/>
  <c r="J285" i="50" s="1"/>
  <c r="L257" i="29"/>
  <c r="O257" i="29" s="1"/>
  <c r="F286" i="50" s="1"/>
  <c r="J286" i="50" s="1"/>
  <c r="L258" i="29"/>
  <c r="L259" i="29"/>
  <c r="L260" i="29"/>
  <c r="O260" i="29" s="1"/>
  <c r="F292" i="50" s="1"/>
  <c r="L261" i="29"/>
  <c r="O261" i="29" s="1"/>
  <c r="F293" i="50" s="1"/>
  <c r="J293" i="50" s="1"/>
  <c r="L262" i="29"/>
  <c r="L263" i="29"/>
  <c r="L264" i="29"/>
  <c r="O264" i="29" s="1"/>
  <c r="F299" i="50" s="1"/>
  <c r="L265" i="29"/>
  <c r="O265" i="29" s="1"/>
  <c r="F300" i="50" s="1"/>
  <c r="J300" i="50" s="1"/>
  <c r="I132" i="46" s="1"/>
  <c r="L266" i="29"/>
  <c r="L267" i="29"/>
  <c r="F302" i="13" s="1"/>
  <c r="L268" i="29"/>
  <c r="O268" i="29" s="1"/>
  <c r="F303" i="50" s="1"/>
  <c r="L269" i="29"/>
  <c r="O269" i="29" s="1"/>
  <c r="F304" i="50" s="1"/>
  <c r="J304" i="50" s="1"/>
  <c r="I136" i="46" s="1"/>
  <c r="L270" i="29"/>
  <c r="L271" i="29"/>
  <c r="L272" i="29"/>
  <c r="O272" i="29" s="1"/>
  <c r="F307" i="50" s="1"/>
  <c r="J307" i="50" s="1"/>
  <c r="I139" i="46" s="1"/>
  <c r="L273" i="29"/>
  <c r="O273" i="29" s="1"/>
  <c r="F308" i="50" s="1"/>
  <c r="J308" i="50" s="1"/>
  <c r="I140" i="46" s="1"/>
  <c r="L274" i="29"/>
  <c r="L275" i="29"/>
  <c r="L276" i="29"/>
  <c r="O276" i="29" s="1"/>
  <c r="F311" i="50" s="1"/>
  <c r="L277" i="29"/>
  <c r="O277" i="29" s="1"/>
  <c r="F312" i="50" s="1"/>
  <c r="J312" i="50" s="1"/>
  <c r="I144" i="46" s="1"/>
  <c r="L281" i="29"/>
  <c r="AD281" i="29" s="1"/>
  <c r="L282" i="29"/>
  <c r="AD282" i="29" s="1"/>
  <c r="L283" i="29"/>
  <c r="L284" i="29"/>
  <c r="AD284" i="29" s="1"/>
  <c r="L285" i="29"/>
  <c r="AD285" i="29" s="1"/>
  <c r="L286" i="29"/>
  <c r="L287" i="29"/>
  <c r="AD287" i="29" s="1"/>
  <c r="L288" i="29"/>
  <c r="F343" i="13" s="1"/>
  <c r="L289" i="29"/>
  <c r="F344" i="13" s="1"/>
  <c r="L290" i="29"/>
  <c r="L291" i="29"/>
  <c r="AD291" i="29" s="1"/>
  <c r="L292" i="29"/>
  <c r="O292" i="29" s="1"/>
  <c r="F347" i="50" s="1"/>
  <c r="J347" i="50" s="1"/>
  <c r="I156" i="46" s="1"/>
  <c r="L293" i="29"/>
  <c r="F348" i="13" s="1"/>
  <c r="L294" i="29"/>
  <c r="L295" i="29"/>
  <c r="O295" i="29" s="1"/>
  <c r="F350" i="50" s="1"/>
  <c r="J350" i="50" s="1"/>
  <c r="I159" i="46" s="1"/>
  <c r="L296" i="29"/>
  <c r="F351" i="13" s="1"/>
  <c r="L297" i="29"/>
  <c r="AD297" i="29" s="1"/>
  <c r="L298" i="29"/>
  <c r="F353" i="13" s="1"/>
  <c r="L299" i="29"/>
  <c r="O299" i="29" s="1"/>
  <c r="F354" i="50" s="1"/>
  <c r="J354" i="50" s="1"/>
  <c r="I163" i="46" s="1"/>
  <c r="L300" i="29"/>
  <c r="AD300" i="29" s="1"/>
  <c r="L301" i="29"/>
  <c r="F356" i="13" s="1"/>
  <c r="L302" i="29"/>
  <c r="F357" i="13" s="1"/>
  <c r="L304" i="29"/>
  <c r="F362" i="13" s="1"/>
  <c r="L305" i="29"/>
  <c r="F363" i="13" s="1"/>
  <c r="L306" i="29"/>
  <c r="L307" i="29"/>
  <c r="L308" i="29"/>
  <c r="O308" i="29" s="1"/>
  <c r="F327" i="50" s="1"/>
  <c r="J327" i="50" s="1"/>
  <c r="L309" i="29"/>
  <c r="O309" i="29" s="1"/>
  <c r="F328" i="50" s="1"/>
  <c r="L311" i="29"/>
  <c r="L312" i="29"/>
  <c r="O312" i="29" s="1"/>
  <c r="F369" i="50" s="1"/>
  <c r="L313" i="29"/>
  <c r="O313" i="29" s="1"/>
  <c r="F370" i="50" s="1"/>
  <c r="J370" i="50" s="1"/>
  <c r="L314" i="29"/>
  <c r="L315" i="29"/>
  <c r="L316" i="29"/>
  <c r="O316" i="29" s="1"/>
  <c r="F373" i="50" s="1"/>
  <c r="L317" i="29"/>
  <c r="O317" i="29" s="1"/>
  <c r="F374" i="50" s="1"/>
  <c r="J374" i="50" s="1"/>
  <c r="L318" i="29"/>
  <c r="L319" i="29"/>
  <c r="L320" i="29"/>
  <c r="L323" i="29"/>
  <c r="O323" i="29" s="1"/>
  <c r="F389" i="50" s="1"/>
  <c r="I514" i="46" s="1"/>
  <c r="L324" i="29"/>
  <c r="F390" i="13" s="1"/>
  <c r="L325" i="29"/>
  <c r="AD325" i="29" s="1"/>
  <c r="L326" i="29"/>
  <c r="O326" i="29" s="1"/>
  <c r="F440" i="50" s="1"/>
  <c r="L327" i="29"/>
  <c r="AD327" i="29" s="1"/>
  <c r="L328" i="29"/>
  <c r="L329" i="29"/>
  <c r="F394" i="13" s="1"/>
  <c r="L330" i="29"/>
  <c r="F395" i="13" s="1"/>
  <c r="L331" i="29"/>
  <c r="O331" i="29" s="1"/>
  <c r="F396" i="50" s="1"/>
  <c r="L332" i="29"/>
  <c r="O332" i="29" s="1"/>
  <c r="F397" i="50" s="1"/>
  <c r="J397" i="50" s="1"/>
  <c r="I180" i="46" s="1"/>
  <c r="L333" i="29"/>
  <c r="L334" i="29"/>
  <c r="F399" i="13" s="1"/>
  <c r="L335" i="29"/>
  <c r="AD335" i="29" s="1"/>
  <c r="L336" i="29"/>
  <c r="F401" i="13" s="1"/>
  <c r="L337" i="29"/>
  <c r="O337" i="29" s="1"/>
  <c r="F402" i="50" s="1"/>
  <c r="J402" i="50" s="1"/>
  <c r="I185" i="46" s="1"/>
  <c r="L338" i="29"/>
  <c r="AD338" i="29" s="1"/>
  <c r="L339" i="29"/>
  <c r="F404" i="13" s="1"/>
  <c r="L340" i="29"/>
  <c r="F405" i="13" s="1"/>
  <c r="L341" i="29"/>
  <c r="AD341" i="29" s="1"/>
  <c r="L344" i="29"/>
  <c r="F412" i="13" s="1"/>
  <c r="L345" i="29"/>
  <c r="AD345" i="29" s="1"/>
  <c r="L346" i="29"/>
  <c r="L347" i="29"/>
  <c r="L349" i="29"/>
  <c r="F417" i="13" s="1"/>
  <c r="L350" i="29"/>
  <c r="F418" i="13" s="1"/>
  <c r="L351" i="29"/>
  <c r="L352" i="29"/>
  <c r="L354" i="29"/>
  <c r="F422" i="13" s="1"/>
  <c r="L355" i="29"/>
  <c r="F423" i="13" s="1"/>
  <c r="L356" i="29"/>
  <c r="L357" i="29"/>
  <c r="L359" i="29"/>
  <c r="O359" i="29" s="1"/>
  <c r="F427" i="50" s="1"/>
  <c r="L360" i="29"/>
  <c r="L361" i="29"/>
  <c r="L362" i="29"/>
  <c r="L364" i="29"/>
  <c r="O364" i="29" s="1"/>
  <c r="F447" i="50" s="1"/>
  <c r="L365" i="29"/>
  <c r="L366" i="29"/>
  <c r="L367" i="29"/>
  <c r="O367" i="29" s="1"/>
  <c r="F450" i="50" s="1"/>
  <c r="J450" i="50" s="1"/>
  <c r="I198" i="46" s="1"/>
  <c r="L368" i="29"/>
  <c r="O368" i="29" s="1"/>
  <c r="F451" i="50" s="1"/>
  <c r="L369" i="29"/>
  <c r="L370" i="29"/>
  <c r="L371" i="29"/>
  <c r="O371" i="29" s="1"/>
  <c r="F454" i="50" s="1"/>
  <c r="J454" i="50" s="1"/>
  <c r="I202" i="46" s="1"/>
  <c r="L372" i="29"/>
  <c r="O372" i="29" s="1"/>
  <c r="F455" i="50" s="1"/>
  <c r="L373" i="29"/>
  <c r="L377" i="29"/>
  <c r="F462" i="13" s="1"/>
  <c r="L378" i="29"/>
  <c r="O378" i="29" s="1"/>
  <c r="F463" i="50" s="1"/>
  <c r="L379" i="29"/>
  <c r="O379" i="29" s="1"/>
  <c r="F464" i="50" s="1"/>
  <c r="J464" i="50" s="1"/>
  <c r="L380" i="29"/>
  <c r="L382" i="29"/>
  <c r="F467" i="13" s="1"/>
  <c r="L383" i="29"/>
  <c r="L384" i="29"/>
  <c r="L385" i="29"/>
  <c r="L387" i="29"/>
  <c r="AD387" i="29" s="1"/>
  <c r="L388" i="29"/>
  <c r="AD388" i="29" s="1"/>
  <c r="L389" i="29"/>
  <c r="O389" i="29" s="1"/>
  <c r="F474" i="50" s="1"/>
  <c r="L390" i="29"/>
  <c r="L392" i="29"/>
  <c r="O392" i="29" s="1"/>
  <c r="F477" i="50" s="1"/>
  <c r="J477" i="50" s="1"/>
  <c r="L393" i="29"/>
  <c r="O393" i="29" s="1"/>
  <c r="F478" i="50" s="1"/>
  <c r="L394" i="29"/>
  <c r="L395" i="29"/>
  <c r="L397" i="29"/>
  <c r="F486" i="13" s="1"/>
  <c r="L398" i="29"/>
  <c r="O398" i="29" s="1"/>
  <c r="F487" i="50" s="1"/>
  <c r="J487" i="50" s="1"/>
  <c r="J262" i="46" s="1"/>
  <c r="L399" i="29"/>
  <c r="L400" i="29"/>
  <c r="AD400" i="29" s="1"/>
  <c r="L401" i="29"/>
  <c r="AD401" i="29" s="1"/>
  <c r="L402" i="29"/>
  <c r="O402" i="29" s="1"/>
  <c r="F489" i="50" s="1"/>
  <c r="J489" i="50" s="1"/>
  <c r="L403" i="29"/>
  <c r="L404" i="29"/>
  <c r="AD404" i="29" s="1"/>
  <c r="L405" i="29"/>
  <c r="AD405" i="29" s="1"/>
  <c r="L406" i="29"/>
  <c r="F494" i="13" s="1"/>
  <c r="L407" i="29"/>
  <c r="L408" i="29"/>
  <c r="AD408" i="29" s="1"/>
  <c r="L409" i="29"/>
  <c r="AD409" i="29" s="1"/>
  <c r="L411" i="29"/>
  <c r="F501" i="13" s="1"/>
  <c r="L413" i="29"/>
  <c r="AD413" i="29" s="1"/>
  <c r="L414" i="29"/>
  <c r="L415" i="29"/>
  <c r="F505" i="13" s="1"/>
  <c r="L416" i="29"/>
  <c r="R8" i="1"/>
  <c r="R9" i="1"/>
  <c r="R10" i="1"/>
  <c r="R11" i="1"/>
  <c r="I11" i="14" s="1"/>
  <c r="R12" i="1"/>
  <c r="R13" i="1"/>
  <c r="R14" i="1"/>
  <c r="R15" i="1"/>
  <c r="I15" i="14" s="1"/>
  <c r="R16" i="1"/>
  <c r="R17" i="1"/>
  <c r="R18" i="1"/>
  <c r="R19" i="1"/>
  <c r="I19" i="14" s="1"/>
  <c r="R20" i="1"/>
  <c r="I20" i="14" s="1"/>
  <c r="R21" i="1"/>
  <c r="I21" i="14" s="1"/>
  <c r="R22" i="1"/>
  <c r="I22" i="14" s="1"/>
  <c r="R23" i="1"/>
  <c r="I23" i="14" s="1"/>
  <c r="R24" i="1"/>
  <c r="I24" i="14" s="1"/>
  <c r="R25" i="1"/>
  <c r="I25" i="14" s="1"/>
  <c r="R26" i="1"/>
  <c r="I26" i="14" s="1"/>
  <c r="R42" i="1"/>
  <c r="J7" i="14" s="1"/>
  <c r="R43" i="1"/>
  <c r="J8" i="14" s="1"/>
  <c r="R44" i="1"/>
  <c r="J9" i="14" s="1"/>
  <c r="R45" i="1"/>
  <c r="J10" i="14" s="1"/>
  <c r="R46" i="1"/>
  <c r="J11" i="14" s="1"/>
  <c r="R47" i="1"/>
  <c r="J12" i="14" s="1"/>
  <c r="R48" i="1"/>
  <c r="J13" i="14" s="1"/>
  <c r="R49" i="1"/>
  <c r="J14" i="14" s="1"/>
  <c r="R50" i="1"/>
  <c r="J15" i="14" s="1"/>
  <c r="R51" i="1"/>
  <c r="J16" i="14" s="1"/>
  <c r="R52" i="1"/>
  <c r="J17" i="14" s="1"/>
  <c r="R53" i="1"/>
  <c r="J18" i="14" s="1"/>
  <c r="R54" i="1"/>
  <c r="J19" i="14" s="1"/>
  <c r="R55" i="1"/>
  <c r="J20" i="14" s="1"/>
  <c r="R56" i="1"/>
  <c r="J21" i="14" s="1"/>
  <c r="R57" i="1"/>
  <c r="J22" i="14" s="1"/>
  <c r="R58" i="1"/>
  <c r="R59" i="1"/>
  <c r="J24" i="14" s="1"/>
  <c r="R60" i="1"/>
  <c r="R61" i="1"/>
  <c r="R77" i="1"/>
  <c r="Z77" i="1" s="1"/>
  <c r="R78" i="1"/>
  <c r="Z78" i="1" s="1"/>
  <c r="R79" i="1"/>
  <c r="R80" i="1"/>
  <c r="Z80" i="1" s="1"/>
  <c r="R81" i="1"/>
  <c r="Z81" i="1" s="1"/>
  <c r="R82" i="1"/>
  <c r="Z82" i="1" s="1"/>
  <c r="R83" i="1"/>
  <c r="R84" i="1"/>
  <c r="Z84" i="1" s="1"/>
  <c r="R85" i="1"/>
  <c r="Z85" i="1" s="1"/>
  <c r="R86" i="1"/>
  <c r="Z86" i="1" s="1"/>
  <c r="R87" i="1"/>
  <c r="R88" i="1"/>
  <c r="R89" i="1"/>
  <c r="Z89" i="1" s="1"/>
  <c r="R90" i="1"/>
  <c r="Z90" i="1" s="1"/>
  <c r="R91" i="1"/>
  <c r="R92" i="1"/>
  <c r="Z92" i="1" s="1"/>
  <c r="R93" i="1"/>
  <c r="R94" i="1"/>
  <c r="Z94" i="1" s="1"/>
  <c r="R95" i="1"/>
  <c r="R96" i="1"/>
  <c r="R97" i="1"/>
  <c r="Z97" i="1" s="1"/>
  <c r="R98" i="1"/>
  <c r="U98" i="1" s="1"/>
  <c r="R99" i="1"/>
  <c r="Z99" i="1" s="1"/>
  <c r="R100" i="1"/>
  <c r="U100" i="1" s="1"/>
  <c r="R101" i="1"/>
  <c r="Z101" i="1" s="1"/>
  <c r="R102" i="1"/>
  <c r="U102" i="1" s="1"/>
  <c r="R103" i="1"/>
  <c r="Z103" i="1" s="1"/>
  <c r="R104" i="1"/>
  <c r="R105" i="1"/>
  <c r="Z105" i="1" s="1"/>
  <c r="R106" i="1"/>
  <c r="Z106" i="1" s="1"/>
  <c r="R107" i="1"/>
  <c r="R108" i="1"/>
  <c r="R109" i="1"/>
  <c r="Z109" i="1" s="1"/>
  <c r="R110" i="1"/>
  <c r="Z110" i="1" s="1"/>
  <c r="R111" i="1"/>
  <c r="R112" i="1"/>
  <c r="R113" i="1"/>
  <c r="Z113" i="1" s="1"/>
  <c r="R114" i="1"/>
  <c r="Z114" i="1" s="1"/>
  <c r="R115" i="1"/>
  <c r="R116" i="1"/>
  <c r="Z116" i="1" s="1"/>
  <c r="R117" i="1"/>
  <c r="K147" i="14" s="1"/>
  <c r="R118" i="1"/>
  <c r="Z118" i="1" s="1"/>
  <c r="R7" i="1"/>
  <c r="Z9" i="1"/>
  <c r="Z54" i="1"/>
  <c r="Y4" i="1"/>
  <c r="P5" i="1"/>
  <c r="R6" i="1"/>
  <c r="U6" i="1"/>
  <c r="Z6" i="1" s="1"/>
  <c r="L8" i="1"/>
  <c r="L9" i="1"/>
  <c r="E9" i="14" s="1"/>
  <c r="L10" i="1"/>
  <c r="E10" i="14" s="1"/>
  <c r="L11" i="1"/>
  <c r="E11" i="14" s="1"/>
  <c r="L12" i="1"/>
  <c r="L13" i="1"/>
  <c r="E13" i="14" s="1"/>
  <c r="L14" i="1"/>
  <c r="E14" i="14" s="1"/>
  <c r="L15" i="1"/>
  <c r="L16" i="1"/>
  <c r="E16" i="14" s="1"/>
  <c r="L17" i="1"/>
  <c r="L18" i="1"/>
  <c r="L19" i="1"/>
  <c r="E19" i="14" s="1"/>
  <c r="L20" i="1"/>
  <c r="E20" i="14" s="1"/>
  <c r="L21" i="1"/>
  <c r="L22" i="1"/>
  <c r="E22" i="14" s="1"/>
  <c r="L23" i="1"/>
  <c r="L24" i="1"/>
  <c r="E24" i="14" s="1"/>
  <c r="L25" i="1"/>
  <c r="E25" i="14" s="1"/>
  <c r="L26" i="1"/>
  <c r="E26" i="14" s="1"/>
  <c r="L42" i="1"/>
  <c r="F7" i="14" s="1"/>
  <c r="L43" i="1"/>
  <c r="F8" i="14" s="1"/>
  <c r="L44" i="1"/>
  <c r="F9" i="14" s="1"/>
  <c r="L45" i="1"/>
  <c r="F10" i="14" s="1"/>
  <c r="L46" i="1"/>
  <c r="F11" i="14" s="1"/>
  <c r="L47" i="1"/>
  <c r="F12" i="14" s="1"/>
  <c r="L48" i="1"/>
  <c r="F13" i="14" s="1"/>
  <c r="L49" i="1"/>
  <c r="F14" i="14" s="1"/>
  <c r="L50" i="1"/>
  <c r="F15" i="14" s="1"/>
  <c r="L51" i="1"/>
  <c r="F16" i="14" s="1"/>
  <c r="L52" i="1"/>
  <c r="F17" i="14" s="1"/>
  <c r="L53" i="1"/>
  <c r="F18" i="14" s="1"/>
  <c r="L54" i="1"/>
  <c r="F19" i="14" s="1"/>
  <c r="L55" i="1"/>
  <c r="F20" i="14" s="1"/>
  <c r="L56" i="1"/>
  <c r="F21" i="14" s="1"/>
  <c r="L57" i="1"/>
  <c r="F22" i="14" s="1"/>
  <c r="L58" i="1"/>
  <c r="F23" i="14" s="1"/>
  <c r="L59" i="1"/>
  <c r="F24" i="14" s="1"/>
  <c r="L60" i="1"/>
  <c r="L61" i="1"/>
  <c r="L77" i="1"/>
  <c r="E47" i="14" s="1"/>
  <c r="L78" i="1"/>
  <c r="E48" i="14" s="1"/>
  <c r="L79" i="1"/>
  <c r="F49" i="14" s="1"/>
  <c r="L80" i="1"/>
  <c r="F55" i="14" s="1"/>
  <c r="L81" i="1"/>
  <c r="F56" i="14" s="1"/>
  <c r="L82" i="1"/>
  <c r="E57" i="14" s="1"/>
  <c r="L83" i="1"/>
  <c r="O83" i="1" s="1"/>
  <c r="L84" i="1"/>
  <c r="F59" i="14" s="1"/>
  <c r="L85" i="1"/>
  <c r="Y85" i="1" s="1"/>
  <c r="L86" i="1"/>
  <c r="E65" i="14" s="1"/>
  <c r="L87" i="1"/>
  <c r="F66" i="14" s="1"/>
  <c r="L88" i="1"/>
  <c r="F67" i="14" s="1"/>
  <c r="L89" i="1"/>
  <c r="F68" i="14" s="1"/>
  <c r="L90" i="1"/>
  <c r="E69" i="14" s="1"/>
  <c r="L91" i="1"/>
  <c r="L92" i="1"/>
  <c r="F71" i="14" s="1"/>
  <c r="L93" i="1"/>
  <c r="E78" i="14" s="1"/>
  <c r="L94" i="1"/>
  <c r="O94" i="1" s="1"/>
  <c r="L95" i="1"/>
  <c r="Y95" i="1" s="1"/>
  <c r="L96" i="1"/>
  <c r="E84" i="14" s="1"/>
  <c r="L97" i="1"/>
  <c r="F89" i="14" s="1"/>
  <c r="L98" i="1"/>
  <c r="Y98" i="1" s="1"/>
  <c r="L99" i="1"/>
  <c r="O99" i="1" s="1"/>
  <c r="L100" i="1"/>
  <c r="O100" i="1" s="1"/>
  <c r="L101" i="1"/>
  <c r="Y101" i="1" s="1"/>
  <c r="L102" i="1"/>
  <c r="Y102" i="1" s="1"/>
  <c r="L103" i="1"/>
  <c r="Y103" i="1" s="1"/>
  <c r="L104" i="1"/>
  <c r="F120" i="14" s="1"/>
  <c r="L105" i="1"/>
  <c r="F121" i="14" s="1"/>
  <c r="L106" i="1"/>
  <c r="O106" i="1" s="1"/>
  <c r="L107" i="1"/>
  <c r="Y107" i="1" s="1"/>
  <c r="L108" i="1"/>
  <c r="F114" i="14" s="1"/>
  <c r="L109" i="1"/>
  <c r="F115" i="14" s="1"/>
  <c r="L110" i="1"/>
  <c r="E126" i="14" s="1"/>
  <c r="L111" i="1"/>
  <c r="F127" i="14" s="1"/>
  <c r="L112" i="1"/>
  <c r="Y112" i="1" s="1"/>
  <c r="L113" i="1"/>
  <c r="F129" i="14" s="1"/>
  <c r="L114" i="1"/>
  <c r="E130" i="14" s="1"/>
  <c r="L115" i="1"/>
  <c r="F131" i="14" s="1"/>
  <c r="L116" i="1"/>
  <c r="Y116" i="1" s="1"/>
  <c r="L117" i="1"/>
  <c r="Y117" i="1" s="1"/>
  <c r="L118" i="1"/>
  <c r="O118" i="1" s="1"/>
  <c r="G132" i="51" s="1"/>
  <c r="L7" i="1"/>
  <c r="L6" i="1"/>
  <c r="O6" i="1"/>
  <c r="Y6" i="1" s="1"/>
  <c r="A543" i="50"/>
  <c r="A542" i="50"/>
  <c r="G525" i="50"/>
  <c r="K525" i="50" s="1"/>
  <c r="F525" i="50"/>
  <c r="J525" i="50" s="1"/>
  <c r="A523" i="50"/>
  <c r="G519" i="50"/>
  <c r="K519" i="50" s="1"/>
  <c r="F519" i="50"/>
  <c r="A512" i="50"/>
  <c r="A482" i="50"/>
  <c r="A459" i="50"/>
  <c r="A437" i="50"/>
  <c r="A432" i="50"/>
  <c r="A392" i="50"/>
  <c r="A388" i="50"/>
  <c r="A366" i="50"/>
  <c r="A365" i="50"/>
  <c r="A360" i="50"/>
  <c r="A340" i="50"/>
  <c r="C338" i="50"/>
  <c r="C337" i="50"/>
  <c r="C336" i="50"/>
  <c r="C335" i="50"/>
  <c r="C334" i="50"/>
  <c r="C333" i="50"/>
  <c r="A332" i="50"/>
  <c r="A324" i="50"/>
  <c r="A296" i="50"/>
  <c r="A290" i="50"/>
  <c r="A282" i="50"/>
  <c r="L5" i="50"/>
  <c r="K5" i="50"/>
  <c r="J5" i="50"/>
  <c r="H5" i="50"/>
  <c r="G5" i="50"/>
  <c r="F5" i="50"/>
  <c r="C3" i="50"/>
  <c r="C1" i="50"/>
  <c r="S129" i="51"/>
  <c r="A121" i="51"/>
  <c r="A108" i="51"/>
  <c r="A106" i="51"/>
  <c r="J105" i="51"/>
  <c r="R105" i="51" s="1"/>
  <c r="S97" i="51"/>
  <c r="R97" i="51"/>
  <c r="Q97" i="51"/>
  <c r="J91" i="51"/>
  <c r="R91" i="51" s="1"/>
  <c r="F91" i="51"/>
  <c r="O91" i="51" s="1"/>
  <c r="R90" i="51"/>
  <c r="O90" i="51"/>
  <c r="C90" i="51"/>
  <c r="R89" i="51"/>
  <c r="O89" i="51"/>
  <c r="C89" i="51"/>
  <c r="N87" i="51"/>
  <c r="I87" i="51"/>
  <c r="Q87" i="51" s="1"/>
  <c r="Q86" i="51"/>
  <c r="N86" i="51"/>
  <c r="C86" i="51"/>
  <c r="Q85" i="51"/>
  <c r="N85" i="51"/>
  <c r="C85" i="51"/>
  <c r="Q84" i="51"/>
  <c r="N84" i="51"/>
  <c r="C84" i="51"/>
  <c r="O74" i="51"/>
  <c r="R31" i="51"/>
  <c r="O31" i="51"/>
  <c r="I5" i="51"/>
  <c r="Q5" i="51" s="1"/>
  <c r="E5" i="51"/>
  <c r="N5" i="51" s="1"/>
  <c r="C3" i="51"/>
  <c r="C1" i="51"/>
  <c r="F200" i="49"/>
  <c r="F198" i="49"/>
  <c r="F196" i="49"/>
  <c r="G188" i="49"/>
  <c r="B184" i="49"/>
  <c r="B183" i="49"/>
  <c r="E175" i="49"/>
  <c r="E174" i="49"/>
  <c r="E173" i="49"/>
  <c r="E172" i="49"/>
  <c r="E171" i="49"/>
  <c r="E168" i="49"/>
  <c r="E167" i="49"/>
  <c r="E166" i="49"/>
  <c r="E161" i="49"/>
  <c r="E160" i="49"/>
  <c r="E159" i="49"/>
  <c r="E158" i="49"/>
  <c r="E157" i="49"/>
  <c r="E156" i="49"/>
  <c r="E149" i="49"/>
  <c r="E148" i="49"/>
  <c r="E146" i="49"/>
  <c r="E145" i="49"/>
  <c r="E144" i="49"/>
  <c r="E143" i="49"/>
  <c r="E138" i="49"/>
  <c r="E137" i="49"/>
  <c r="E136" i="49"/>
  <c r="E135" i="49"/>
  <c r="E129" i="49"/>
  <c r="E127" i="49"/>
  <c r="E126" i="49"/>
  <c r="E125" i="49"/>
  <c r="E119" i="49"/>
  <c r="E118" i="49"/>
  <c r="E117" i="49"/>
  <c r="E116" i="49"/>
  <c r="G114" i="49"/>
  <c r="B110" i="49"/>
  <c r="B109" i="49"/>
  <c r="C72" i="49"/>
  <c r="C70" i="49"/>
  <c r="C68" i="49"/>
  <c r="C64" i="49"/>
  <c r="C60" i="49"/>
  <c r="C56" i="49"/>
  <c r="C52" i="49"/>
  <c r="C50" i="49"/>
  <c r="C16" i="49"/>
  <c r="C15" i="49"/>
  <c r="C14" i="49"/>
  <c r="C13" i="49"/>
  <c r="C12" i="49"/>
  <c r="D9" i="49"/>
  <c r="B5" i="49"/>
  <c r="B4" i="49"/>
  <c r="B423" i="5"/>
  <c r="B410" i="5"/>
  <c r="B376" i="5"/>
  <c r="Z108" i="1" l="1"/>
  <c r="I114" i="14"/>
  <c r="I7" i="14"/>
  <c r="J85" i="51"/>
  <c r="J227" i="50"/>
  <c r="J91" i="53" s="1"/>
  <c r="O362" i="29"/>
  <c r="F430" i="50" s="1"/>
  <c r="J430" i="50" s="1"/>
  <c r="F430" i="13"/>
  <c r="J430" i="13" s="1"/>
  <c r="J229" i="50"/>
  <c r="J93" i="53" s="1"/>
  <c r="R7" i="14"/>
  <c r="H12" i="49" s="1"/>
  <c r="K46" i="53"/>
  <c r="J447" i="50"/>
  <c r="E35" i="52"/>
  <c r="O320" i="29"/>
  <c r="F377" i="50" s="1"/>
  <c r="J377" i="50" s="1"/>
  <c r="F377" i="13"/>
  <c r="G225" i="50"/>
  <c r="K225" i="50" s="1"/>
  <c r="K89" i="53" s="1"/>
  <c r="I89" i="51"/>
  <c r="Q89" i="51" s="1"/>
  <c r="I72" i="8"/>
  <c r="A72" i="8"/>
  <c r="K7" i="14"/>
  <c r="G24" i="14"/>
  <c r="P24" i="14" s="1"/>
  <c r="G35" i="58" s="1"/>
  <c r="E35" i="58" s="1"/>
  <c r="K20" i="14"/>
  <c r="G19" i="14"/>
  <c r="J23" i="14"/>
  <c r="R23" i="14" s="1"/>
  <c r="H28" i="49" s="1"/>
  <c r="K19" i="14"/>
  <c r="K15" i="14"/>
  <c r="K11" i="14"/>
  <c r="G16" i="14"/>
  <c r="K24" i="14"/>
  <c r="G22" i="14"/>
  <c r="G14" i="14"/>
  <c r="J26" i="14"/>
  <c r="R26" i="14" s="1"/>
  <c r="H31" i="49" s="1"/>
  <c r="K22" i="14"/>
  <c r="G20" i="14"/>
  <c r="F25" i="14"/>
  <c r="G25" i="14" s="1"/>
  <c r="P25" i="14" s="1"/>
  <c r="G36" i="58" s="1"/>
  <c r="E36" i="58" s="1"/>
  <c r="J25" i="14"/>
  <c r="R25" i="14" s="1"/>
  <c r="H30" i="49" s="1"/>
  <c r="K21" i="14"/>
  <c r="G13" i="14"/>
  <c r="G11" i="14"/>
  <c r="G10" i="14"/>
  <c r="O42" i="1"/>
  <c r="F26" i="14"/>
  <c r="G26" i="14" s="1"/>
  <c r="P26" i="14" s="1"/>
  <c r="G37" i="58" s="1"/>
  <c r="E37" i="58" s="1"/>
  <c r="O59" i="1"/>
  <c r="F24" i="51" s="1"/>
  <c r="O24" i="14"/>
  <c r="E29" i="49" s="1"/>
  <c r="Y55" i="1"/>
  <c r="Y47" i="1"/>
  <c r="O12" i="14"/>
  <c r="E17" i="49" s="1"/>
  <c r="Y43" i="1"/>
  <c r="N24" i="14"/>
  <c r="D29" i="49" s="1"/>
  <c r="O12" i="1"/>
  <c r="E12" i="51" s="1"/>
  <c r="E12" i="14"/>
  <c r="G12" i="14" s="1"/>
  <c r="Y8" i="1"/>
  <c r="E8" i="14"/>
  <c r="G8" i="14" s="1"/>
  <c r="U59" i="1"/>
  <c r="J24" i="51" s="1"/>
  <c r="R24" i="51" s="1"/>
  <c r="H29" i="8" s="1"/>
  <c r="R24" i="14"/>
  <c r="H29" i="49" s="1"/>
  <c r="U55" i="1"/>
  <c r="J20" i="51" s="1"/>
  <c r="R20" i="51" s="1"/>
  <c r="H25" i="8" s="1"/>
  <c r="R20" i="14"/>
  <c r="H25" i="49" s="1"/>
  <c r="U51" i="1"/>
  <c r="J16" i="51" s="1"/>
  <c r="R16" i="51" s="1"/>
  <c r="H21" i="8" s="1"/>
  <c r="R16" i="14"/>
  <c r="H21" i="49" s="1"/>
  <c r="U47" i="1"/>
  <c r="J12" i="51" s="1"/>
  <c r="R12" i="51" s="1"/>
  <c r="H17" i="8" s="1"/>
  <c r="R12" i="14"/>
  <c r="H17" i="49" s="1"/>
  <c r="U43" i="1"/>
  <c r="J8" i="51" s="1"/>
  <c r="R8" i="51" s="1"/>
  <c r="H13" i="8" s="1"/>
  <c r="R8" i="14"/>
  <c r="H13" i="49" s="1"/>
  <c r="Q24" i="14"/>
  <c r="G29" i="49" s="1"/>
  <c r="Q19" i="14"/>
  <c r="G24" i="49" s="1"/>
  <c r="I16" i="14"/>
  <c r="I8" i="14"/>
  <c r="Q8" i="14" s="1"/>
  <c r="O52" i="1"/>
  <c r="Y48" i="1"/>
  <c r="O13" i="14"/>
  <c r="E18" i="49" s="1"/>
  <c r="N25" i="14"/>
  <c r="D30" i="49" s="1"/>
  <c r="Y21" i="1"/>
  <c r="E21" i="14"/>
  <c r="G21" i="14" s="1"/>
  <c r="Y17" i="1"/>
  <c r="E17" i="14"/>
  <c r="G17" i="14" s="1"/>
  <c r="O9" i="1"/>
  <c r="G9" i="14"/>
  <c r="Y58" i="1"/>
  <c r="O23" i="14"/>
  <c r="E28" i="49" s="1"/>
  <c r="O50" i="1"/>
  <c r="O46" i="1"/>
  <c r="Y15" i="1"/>
  <c r="E15" i="14"/>
  <c r="G15" i="14" s="1"/>
  <c r="R22" i="14"/>
  <c r="H27" i="49" s="1"/>
  <c r="R19" i="14"/>
  <c r="H24" i="49" s="1"/>
  <c r="R15" i="14"/>
  <c r="H20" i="49" s="1"/>
  <c r="R11" i="14"/>
  <c r="H16" i="49" s="1"/>
  <c r="N13" i="14"/>
  <c r="D18" i="49" s="1"/>
  <c r="O57" i="1"/>
  <c r="F22" i="51" s="1"/>
  <c r="Y53" i="1"/>
  <c r="Y49" i="1"/>
  <c r="O14" i="14"/>
  <c r="E19" i="49" s="1"/>
  <c r="N26" i="14"/>
  <c r="D31" i="49" s="1"/>
  <c r="Y18" i="1"/>
  <c r="E18" i="14"/>
  <c r="G18" i="14" s="1"/>
  <c r="N14" i="14"/>
  <c r="D19" i="49" s="1"/>
  <c r="R21" i="14"/>
  <c r="H26" i="49" s="1"/>
  <c r="R18" i="14"/>
  <c r="H23" i="49" s="1"/>
  <c r="Q26" i="14"/>
  <c r="G31" i="49" s="1"/>
  <c r="Q21" i="14"/>
  <c r="G26" i="49" s="1"/>
  <c r="I18" i="14"/>
  <c r="I14" i="14"/>
  <c r="I10" i="14"/>
  <c r="R17" i="14"/>
  <c r="H22" i="49" s="1"/>
  <c r="R13" i="14"/>
  <c r="H18" i="49" s="1"/>
  <c r="R9" i="14"/>
  <c r="H14" i="49" s="1"/>
  <c r="Q25" i="14"/>
  <c r="G30" i="49" s="1"/>
  <c r="Q20" i="14"/>
  <c r="G25" i="49" s="1"/>
  <c r="I17" i="14"/>
  <c r="I13" i="14"/>
  <c r="Q13" i="14" s="1"/>
  <c r="I9" i="14"/>
  <c r="A548" i="46"/>
  <c r="A547" i="46" s="1"/>
  <c r="A385" i="46"/>
  <c r="A386" i="46" s="1"/>
  <c r="Y51" i="1"/>
  <c r="O23" i="1"/>
  <c r="E23" i="51" s="1"/>
  <c r="E23" i="14"/>
  <c r="G23" i="14" s="1"/>
  <c r="O7" i="1"/>
  <c r="E7" i="51" s="1"/>
  <c r="E7" i="14"/>
  <c r="Q15" i="14"/>
  <c r="G20" i="49" s="1"/>
  <c r="I12" i="14"/>
  <c r="K12" i="14" s="1"/>
  <c r="R10" i="14"/>
  <c r="H15" i="49" s="1"/>
  <c r="Z8" i="1"/>
  <c r="Z16" i="1"/>
  <c r="Z22" i="1"/>
  <c r="Z14" i="1"/>
  <c r="Z26" i="1"/>
  <c r="Z10" i="1"/>
  <c r="Z42" i="1"/>
  <c r="A325" i="46"/>
  <c r="A326" i="46" s="1"/>
  <c r="A524" i="46"/>
  <c r="AH427" i="29"/>
  <c r="A518" i="46"/>
  <c r="O35" i="29"/>
  <c r="F38" i="50" s="1"/>
  <c r="J38" i="50" s="1"/>
  <c r="F20" i="52" s="1"/>
  <c r="F38" i="13"/>
  <c r="A521" i="46"/>
  <c r="AE425" i="29"/>
  <c r="G538" i="13"/>
  <c r="Z48" i="1"/>
  <c r="Z24" i="1"/>
  <c r="Z44" i="1"/>
  <c r="Z12" i="1"/>
  <c r="Z20" i="1"/>
  <c r="Z102" i="1"/>
  <c r="Z21" i="1"/>
  <c r="Z57" i="1"/>
  <c r="Z25" i="1"/>
  <c r="Z13" i="1"/>
  <c r="Z52" i="1"/>
  <c r="Z17" i="1"/>
  <c r="O15" i="1"/>
  <c r="Z49" i="1"/>
  <c r="O116" i="1"/>
  <c r="F109" i="51" s="1"/>
  <c r="O109" i="51" s="1"/>
  <c r="O8" i="1"/>
  <c r="Z98" i="1"/>
  <c r="O60" i="1"/>
  <c r="F25" i="51" s="1"/>
  <c r="Z61" i="1"/>
  <c r="Z53" i="1"/>
  <c r="Z46" i="1"/>
  <c r="Z18" i="1"/>
  <c r="O48" i="1"/>
  <c r="Z117" i="1"/>
  <c r="Y84" i="1"/>
  <c r="Z58" i="1"/>
  <c r="Z91" i="1"/>
  <c r="I70" i="14"/>
  <c r="J70" i="14"/>
  <c r="R70" i="14" s="1"/>
  <c r="Y91" i="1"/>
  <c r="F70" i="14"/>
  <c r="O70" i="14" s="1"/>
  <c r="E70" i="14"/>
  <c r="Y92" i="1"/>
  <c r="Y100" i="1"/>
  <c r="U343" i="29"/>
  <c r="G411" i="50" s="1"/>
  <c r="K411" i="50" s="1"/>
  <c r="G411" i="13"/>
  <c r="U376" i="29"/>
  <c r="G461" i="50" s="1"/>
  <c r="K461" i="50" s="1"/>
  <c r="G461" i="13"/>
  <c r="Z7" i="1"/>
  <c r="E43" i="51"/>
  <c r="F43" i="51"/>
  <c r="O43" i="51" s="1"/>
  <c r="E63" i="51"/>
  <c r="N63" i="51" s="1"/>
  <c r="F63" i="51"/>
  <c r="O63" i="51" s="1"/>
  <c r="O117" i="1"/>
  <c r="G131" i="51" s="1"/>
  <c r="P131" i="51" s="1"/>
  <c r="O107" i="1"/>
  <c r="O102" i="1"/>
  <c r="E89" i="51" s="1"/>
  <c r="O98" i="1"/>
  <c r="O92" i="1"/>
  <c r="O88" i="1"/>
  <c r="O80" i="1"/>
  <c r="O49" i="1"/>
  <c r="O19" i="1"/>
  <c r="Z100" i="1"/>
  <c r="Y90" i="1"/>
  <c r="Y88" i="1"/>
  <c r="Y78" i="1"/>
  <c r="Y9" i="1"/>
  <c r="J129" i="14"/>
  <c r="I129" i="14"/>
  <c r="J115" i="14"/>
  <c r="I115" i="14"/>
  <c r="I121" i="14"/>
  <c r="J121" i="14"/>
  <c r="J89" i="14"/>
  <c r="I89" i="14"/>
  <c r="J78" i="14"/>
  <c r="I78" i="14"/>
  <c r="J68" i="14"/>
  <c r="I68" i="14"/>
  <c r="J64" i="14"/>
  <c r="I64" i="14"/>
  <c r="I56" i="14"/>
  <c r="J56" i="14"/>
  <c r="I47" i="14"/>
  <c r="J47" i="14"/>
  <c r="U117" i="1"/>
  <c r="K131" i="51" s="1"/>
  <c r="S131" i="51" s="1"/>
  <c r="U113" i="1"/>
  <c r="U109" i="1"/>
  <c r="U105" i="1"/>
  <c r="I105" i="51" s="1"/>
  <c r="K105" i="51" s="1"/>
  <c r="S105" i="51" s="1"/>
  <c r="U101" i="1"/>
  <c r="J86" i="51" s="1"/>
  <c r="R86" i="51" s="1"/>
  <c r="U97" i="1"/>
  <c r="U93" i="1"/>
  <c r="U89" i="1"/>
  <c r="U85" i="1"/>
  <c r="U81" i="1"/>
  <c r="U77" i="1"/>
  <c r="U25" i="1"/>
  <c r="I25" i="51" s="1"/>
  <c r="U21" i="1"/>
  <c r="I21" i="51" s="1"/>
  <c r="U17" i="1"/>
  <c r="I17" i="51" s="1"/>
  <c r="U13" i="1"/>
  <c r="I13" i="51" s="1"/>
  <c r="Q13" i="51" s="1"/>
  <c r="U9" i="1"/>
  <c r="I9" i="51" s="1"/>
  <c r="F48" i="14"/>
  <c r="F58" i="14"/>
  <c r="E66" i="14"/>
  <c r="E67" i="14"/>
  <c r="E71" i="14"/>
  <c r="E79" i="14"/>
  <c r="E113" i="14"/>
  <c r="E125" i="14"/>
  <c r="E131" i="14"/>
  <c r="AD414" i="29"/>
  <c r="O414" i="29"/>
  <c r="F504" i="50" s="1"/>
  <c r="J504" i="50" s="1"/>
  <c r="J283" i="46" s="1"/>
  <c r="F480" i="13"/>
  <c r="AD395" i="29"/>
  <c r="O395" i="29"/>
  <c r="F480" i="50" s="1"/>
  <c r="J480" i="50" s="1"/>
  <c r="F453" i="13"/>
  <c r="AD370" i="29"/>
  <c r="O370" i="29"/>
  <c r="F453" i="50" s="1"/>
  <c r="J453" i="50" s="1"/>
  <c r="I201" i="46" s="1"/>
  <c r="F449" i="13"/>
  <c r="AD366" i="29"/>
  <c r="O366" i="29"/>
  <c r="F449" i="50" s="1"/>
  <c r="J449" i="50" s="1"/>
  <c r="I197" i="46" s="1"/>
  <c r="F429" i="13"/>
  <c r="J429" i="13" s="1"/>
  <c r="AD361" i="29"/>
  <c r="O361" i="29"/>
  <c r="F429" i="50" s="1"/>
  <c r="J429" i="50" s="1"/>
  <c r="F424" i="13"/>
  <c r="J424" i="13" s="1"/>
  <c r="AD356" i="29"/>
  <c r="O356" i="29"/>
  <c r="F424" i="50" s="1"/>
  <c r="J424" i="50" s="1"/>
  <c r="F419" i="13"/>
  <c r="J419" i="13" s="1"/>
  <c r="AD351" i="29"/>
  <c r="O351" i="29"/>
  <c r="F419" i="50" s="1"/>
  <c r="J419" i="50" s="1"/>
  <c r="F414" i="13"/>
  <c r="AD346" i="29"/>
  <c r="O346" i="29"/>
  <c r="F414" i="50" s="1"/>
  <c r="AD328" i="29"/>
  <c r="F442" i="13"/>
  <c r="O328" i="29"/>
  <c r="F442" i="50" s="1"/>
  <c r="J442" i="50" s="1"/>
  <c r="F375" i="13"/>
  <c r="AD318" i="29"/>
  <c r="O318" i="29"/>
  <c r="F375" i="50" s="1"/>
  <c r="J375" i="50" s="1"/>
  <c r="F371" i="13"/>
  <c r="AD314" i="29"/>
  <c r="O314" i="29"/>
  <c r="F371" i="50" s="1"/>
  <c r="J371" i="50" s="1"/>
  <c r="F325" i="13"/>
  <c r="AD306" i="29"/>
  <c r="O306" i="29"/>
  <c r="F325" i="50" s="1"/>
  <c r="J325" i="50" s="1"/>
  <c r="F309" i="13"/>
  <c r="AD274" i="29"/>
  <c r="O274" i="29"/>
  <c r="F309" i="50" s="1"/>
  <c r="F305" i="13"/>
  <c r="AD270" i="29"/>
  <c r="O270" i="29"/>
  <c r="F305" i="50" s="1"/>
  <c r="F301" i="13"/>
  <c r="AD266" i="29"/>
  <c r="O266" i="29"/>
  <c r="F301" i="50" s="1"/>
  <c r="J301" i="50" s="1"/>
  <c r="I133" i="46" s="1"/>
  <c r="F294" i="13"/>
  <c r="AD262" i="29"/>
  <c r="O262" i="29"/>
  <c r="F294" i="50" s="1"/>
  <c r="J294" i="50" s="1"/>
  <c r="F287" i="13"/>
  <c r="AD258" i="29"/>
  <c r="O258" i="29"/>
  <c r="F287" i="50" s="1"/>
  <c r="J287" i="50" s="1"/>
  <c r="F278" i="13"/>
  <c r="AD254" i="29"/>
  <c r="O254" i="29"/>
  <c r="F278" i="50" s="1"/>
  <c r="J278" i="50" s="1"/>
  <c r="O39" i="52" s="1"/>
  <c r="F274" i="13"/>
  <c r="AD250" i="29"/>
  <c r="O250" i="29"/>
  <c r="F274" i="50" s="1"/>
  <c r="J274" i="50" s="1"/>
  <c r="O34" i="52" s="1"/>
  <c r="F270" i="13"/>
  <c r="AD246" i="29"/>
  <c r="O246" i="29"/>
  <c r="F270" i="50" s="1"/>
  <c r="J270" i="50" s="1"/>
  <c r="O31" i="52" s="1"/>
  <c r="F85" i="51"/>
  <c r="O85" i="51" s="1"/>
  <c r="F84" i="51"/>
  <c r="O105" i="1"/>
  <c r="O101" i="1"/>
  <c r="F86" i="51" s="1"/>
  <c r="O97" i="1"/>
  <c r="O91" i="1"/>
  <c r="O87" i="1"/>
  <c r="O78" i="1"/>
  <c r="Y105" i="1"/>
  <c r="Y94" i="1"/>
  <c r="Y87" i="1"/>
  <c r="Y61" i="1"/>
  <c r="Y57" i="1"/>
  <c r="Y42" i="1"/>
  <c r="I125" i="14"/>
  <c r="J125" i="14"/>
  <c r="I128" i="14"/>
  <c r="J128" i="14"/>
  <c r="J114" i="14"/>
  <c r="I120" i="14"/>
  <c r="J120" i="14"/>
  <c r="J84" i="14"/>
  <c r="I84" i="14"/>
  <c r="J71" i="14"/>
  <c r="I71" i="14"/>
  <c r="I67" i="14"/>
  <c r="J67" i="14"/>
  <c r="J59" i="14"/>
  <c r="I59" i="14"/>
  <c r="J55" i="14"/>
  <c r="I55" i="14"/>
  <c r="U116" i="1"/>
  <c r="U112" i="1"/>
  <c r="U108" i="1"/>
  <c r="U104" i="1"/>
  <c r="U96" i="1"/>
  <c r="U92" i="1"/>
  <c r="U88" i="1"/>
  <c r="U84" i="1"/>
  <c r="U80" i="1"/>
  <c r="U58" i="1"/>
  <c r="J23" i="51" s="1"/>
  <c r="R23" i="51" s="1"/>
  <c r="H28" i="8" s="1"/>
  <c r="U54" i="1"/>
  <c r="J19" i="51" s="1"/>
  <c r="R19" i="51" s="1"/>
  <c r="H24" i="8" s="1"/>
  <c r="U50" i="1"/>
  <c r="J15" i="51" s="1"/>
  <c r="R15" i="51" s="1"/>
  <c r="H20" i="8" s="1"/>
  <c r="U46" i="1"/>
  <c r="J11" i="51" s="1"/>
  <c r="R11" i="51" s="1"/>
  <c r="H16" i="8" s="1"/>
  <c r="U42" i="1"/>
  <c r="U24" i="1"/>
  <c r="I24" i="51" s="1"/>
  <c r="U20" i="1"/>
  <c r="I20" i="51" s="1"/>
  <c r="U16" i="1"/>
  <c r="I16" i="51" s="1"/>
  <c r="U12" i="1"/>
  <c r="I12" i="51" s="1"/>
  <c r="U8" i="1"/>
  <c r="I8" i="51" s="1"/>
  <c r="Q8" i="51" s="1"/>
  <c r="E58" i="14"/>
  <c r="E68" i="14"/>
  <c r="F79" i="14"/>
  <c r="F113" i="14"/>
  <c r="F125" i="14"/>
  <c r="F495" i="13"/>
  <c r="AD407" i="29"/>
  <c r="O407" i="29"/>
  <c r="F495" i="50" s="1"/>
  <c r="J495" i="50" s="1"/>
  <c r="J271" i="46" s="1"/>
  <c r="AD403" i="29"/>
  <c r="F492" i="13"/>
  <c r="O399" i="29"/>
  <c r="F488" i="50" s="1"/>
  <c r="J488" i="50" s="1"/>
  <c r="J263" i="46" s="1"/>
  <c r="AD399" i="29"/>
  <c r="F479" i="13"/>
  <c r="AD394" i="29"/>
  <c r="O394" i="29"/>
  <c r="F479" i="50" s="1"/>
  <c r="J479" i="50" s="1"/>
  <c r="F475" i="13"/>
  <c r="AD390" i="29"/>
  <c r="O390" i="29"/>
  <c r="F475" i="50" s="1"/>
  <c r="J475" i="50" s="1"/>
  <c r="F470" i="13"/>
  <c r="AD385" i="29"/>
  <c r="O385" i="29"/>
  <c r="F470" i="50" s="1"/>
  <c r="J470" i="50" s="1"/>
  <c r="F465" i="13"/>
  <c r="AD380" i="29"/>
  <c r="O380" i="29"/>
  <c r="F465" i="50" s="1"/>
  <c r="J465" i="50" s="1"/>
  <c r="F456" i="13"/>
  <c r="AD373" i="29"/>
  <c r="O373" i="29"/>
  <c r="F456" i="50" s="1"/>
  <c r="J456" i="50" s="1"/>
  <c r="I204" i="46" s="1"/>
  <c r="F452" i="13"/>
  <c r="AD369" i="29"/>
  <c r="O369" i="29"/>
  <c r="F452" i="50" s="1"/>
  <c r="J452" i="50" s="1"/>
  <c r="I200" i="46" s="1"/>
  <c r="F448" i="13"/>
  <c r="AD365" i="29"/>
  <c r="O365" i="29"/>
  <c r="F448" i="50" s="1"/>
  <c r="J448" i="50" s="1"/>
  <c r="I196" i="46" s="1"/>
  <c r="F428" i="13"/>
  <c r="J428" i="13" s="1"/>
  <c r="AD360" i="29"/>
  <c r="O360" i="29"/>
  <c r="F428" i="50" s="1"/>
  <c r="J428" i="50" s="1"/>
  <c r="O115" i="1"/>
  <c r="O104" i="1"/>
  <c r="F104" i="51" s="1"/>
  <c r="O104" i="51" s="1"/>
  <c r="O90" i="1"/>
  <c r="O84" i="1"/>
  <c r="O77" i="1"/>
  <c r="O44" i="1"/>
  <c r="O11" i="1"/>
  <c r="Y118" i="1"/>
  <c r="Z112" i="1"/>
  <c r="Z104" i="1"/>
  <c r="Y99" i="1"/>
  <c r="Y97" i="1"/>
  <c r="Z93" i="1"/>
  <c r="Y89" i="1"/>
  <c r="Y83" i="1"/>
  <c r="Y80" i="1"/>
  <c r="Z60" i="1"/>
  <c r="Z56" i="1"/>
  <c r="Z50" i="1"/>
  <c r="Z45" i="1"/>
  <c r="Z115" i="1"/>
  <c r="J131" i="14"/>
  <c r="I131" i="14"/>
  <c r="Z111" i="1"/>
  <c r="J127" i="14"/>
  <c r="I127" i="14"/>
  <c r="Z107" i="1"/>
  <c r="I113" i="14"/>
  <c r="J113" i="14"/>
  <c r="Z95" i="1"/>
  <c r="J85" i="14"/>
  <c r="I85" i="14"/>
  <c r="Z87" i="1"/>
  <c r="I66" i="14"/>
  <c r="J66" i="14"/>
  <c r="Z83" i="1"/>
  <c r="J58" i="14"/>
  <c r="I58" i="14"/>
  <c r="Z79" i="1"/>
  <c r="I49" i="14"/>
  <c r="J49" i="14"/>
  <c r="Z59" i="1"/>
  <c r="Z55" i="1"/>
  <c r="Z51" i="1"/>
  <c r="Z47" i="1"/>
  <c r="Z43" i="1"/>
  <c r="Z23" i="1"/>
  <c r="Z19" i="1"/>
  <c r="Q22" i="14"/>
  <c r="G27" i="49" s="1"/>
  <c r="Z15" i="1"/>
  <c r="Z11" i="1"/>
  <c r="Q11" i="14"/>
  <c r="G16" i="49" s="1"/>
  <c r="U7" i="1"/>
  <c r="I7" i="51" s="1"/>
  <c r="Q7" i="51" s="1"/>
  <c r="U115" i="1"/>
  <c r="U111" i="1"/>
  <c r="U107" i="1"/>
  <c r="U103" i="1"/>
  <c r="I90" i="51" s="1"/>
  <c r="Q90" i="51" s="1"/>
  <c r="U99" i="1"/>
  <c r="J84" i="51" s="1"/>
  <c r="U95" i="1"/>
  <c r="U91" i="1"/>
  <c r="U87" i="1"/>
  <c r="U83" i="1"/>
  <c r="U79" i="1"/>
  <c r="U61" i="1"/>
  <c r="J26" i="51" s="1"/>
  <c r="R26" i="51" s="1"/>
  <c r="H31" i="8" s="1"/>
  <c r="U57" i="1"/>
  <c r="J22" i="51" s="1"/>
  <c r="R22" i="51" s="1"/>
  <c r="H27" i="8" s="1"/>
  <c r="U53" i="1"/>
  <c r="J18" i="51" s="1"/>
  <c r="R18" i="51" s="1"/>
  <c r="H23" i="8" s="1"/>
  <c r="U49" i="1"/>
  <c r="J14" i="51" s="1"/>
  <c r="U45" i="1"/>
  <c r="J10" i="51" s="1"/>
  <c r="R10" i="51" s="1"/>
  <c r="H15" i="8" s="1"/>
  <c r="U23" i="1"/>
  <c r="I23" i="51" s="1"/>
  <c r="U19" i="1"/>
  <c r="I19" i="51" s="1"/>
  <c r="U15" i="1"/>
  <c r="I15" i="51" s="1"/>
  <c r="U11" i="1"/>
  <c r="I11" i="51" s="1"/>
  <c r="E55" i="14"/>
  <c r="E59" i="14"/>
  <c r="F69" i="14"/>
  <c r="F78" i="14"/>
  <c r="E89" i="14"/>
  <c r="E121" i="14"/>
  <c r="F128" i="14"/>
  <c r="O416" i="29"/>
  <c r="F506" i="50" s="1"/>
  <c r="J506" i="50" s="1"/>
  <c r="J285" i="46" s="1"/>
  <c r="F506" i="13"/>
  <c r="F251" i="13"/>
  <c r="AD230" i="29"/>
  <c r="O230" i="29"/>
  <c r="F251" i="50" s="1"/>
  <c r="J251" i="50" s="1"/>
  <c r="F247" i="13"/>
  <c r="AD226" i="29"/>
  <c r="O226" i="29"/>
  <c r="F247" i="50" s="1"/>
  <c r="J247" i="50" s="1"/>
  <c r="F242" i="13"/>
  <c r="AD221" i="29"/>
  <c r="O221" i="29"/>
  <c r="F242" i="50" s="1"/>
  <c r="J242" i="50" s="1"/>
  <c r="J47" i="53" s="1"/>
  <c r="A525" i="50"/>
  <c r="O113" i="1"/>
  <c r="F113" i="51" s="1"/>
  <c r="O113" i="51" s="1"/>
  <c r="O103" i="1"/>
  <c r="E90" i="51" s="1"/>
  <c r="O93" i="1"/>
  <c r="O89" i="1"/>
  <c r="O22" i="1"/>
  <c r="E22" i="51" s="1"/>
  <c r="Y115" i="1"/>
  <c r="Z96" i="1"/>
  <c r="Y93" i="1"/>
  <c r="Z88" i="1"/>
  <c r="I130" i="14"/>
  <c r="J130" i="14"/>
  <c r="I126" i="14"/>
  <c r="J126" i="14"/>
  <c r="I112" i="14"/>
  <c r="J112" i="14"/>
  <c r="I79" i="14"/>
  <c r="J79" i="14"/>
  <c r="J69" i="14"/>
  <c r="I69" i="14"/>
  <c r="I65" i="14"/>
  <c r="J65" i="14"/>
  <c r="I57" i="14"/>
  <c r="J57" i="14"/>
  <c r="J48" i="14"/>
  <c r="I48" i="14"/>
  <c r="U118" i="1"/>
  <c r="K132" i="51" s="1"/>
  <c r="S132" i="51" s="1"/>
  <c r="U114" i="1"/>
  <c r="U110" i="1"/>
  <c r="U106" i="1"/>
  <c r="U94" i="1"/>
  <c r="U90" i="1"/>
  <c r="U86" i="1"/>
  <c r="U82" i="1"/>
  <c r="U78" i="1"/>
  <c r="U60" i="1"/>
  <c r="J25" i="51" s="1"/>
  <c r="R25" i="51" s="1"/>
  <c r="H30" i="8" s="1"/>
  <c r="U56" i="1"/>
  <c r="J21" i="51" s="1"/>
  <c r="R21" i="51" s="1"/>
  <c r="H26" i="8" s="1"/>
  <c r="U52" i="1"/>
  <c r="J17" i="51" s="1"/>
  <c r="R17" i="51" s="1"/>
  <c r="H22" i="8" s="1"/>
  <c r="U48" i="1"/>
  <c r="J13" i="51" s="1"/>
  <c r="U44" i="1"/>
  <c r="J9" i="51" s="1"/>
  <c r="R9" i="51" s="1"/>
  <c r="H14" i="8" s="1"/>
  <c r="U26" i="1"/>
  <c r="I26" i="51" s="1"/>
  <c r="U22" i="1"/>
  <c r="I22" i="51" s="1"/>
  <c r="U18" i="1"/>
  <c r="I18" i="51" s="1"/>
  <c r="U14" i="1"/>
  <c r="I14" i="51" s="1"/>
  <c r="Q14" i="51" s="1"/>
  <c r="G19" i="8" s="1"/>
  <c r="U10" i="1"/>
  <c r="I10" i="51" s="1"/>
  <c r="F130" i="14"/>
  <c r="F425" i="13"/>
  <c r="J425" i="13" s="1"/>
  <c r="AD357" i="29"/>
  <c r="O357" i="29"/>
  <c r="F425" i="50" s="1"/>
  <c r="J425" i="50" s="1"/>
  <c r="F420" i="13"/>
  <c r="J420" i="13" s="1"/>
  <c r="AD352" i="29"/>
  <c r="O352" i="29"/>
  <c r="F420" i="50" s="1"/>
  <c r="J420" i="50" s="1"/>
  <c r="F415" i="13"/>
  <c r="AD347" i="29"/>
  <c r="O347" i="29"/>
  <c r="F415" i="50" s="1"/>
  <c r="J415" i="50" s="1"/>
  <c r="O333" i="29"/>
  <c r="F398" i="50" s="1"/>
  <c r="J398" i="50" s="1"/>
  <c r="I181" i="46" s="1"/>
  <c r="F398" i="13"/>
  <c r="AD333" i="29"/>
  <c r="F376" i="13"/>
  <c r="AD319" i="29"/>
  <c r="O319" i="29"/>
  <c r="F376" i="50" s="1"/>
  <c r="J376" i="50" s="1"/>
  <c r="F372" i="13"/>
  <c r="AD315" i="29"/>
  <c r="O315" i="29"/>
  <c r="F372" i="50" s="1"/>
  <c r="J372" i="50" s="1"/>
  <c r="F266" i="13"/>
  <c r="AD242" i="29"/>
  <c r="O242" i="29"/>
  <c r="F266" i="50" s="1"/>
  <c r="J266" i="50" s="1"/>
  <c r="O22" i="52" s="1"/>
  <c r="F262" i="13"/>
  <c r="AD238" i="29"/>
  <c r="O238" i="29"/>
  <c r="F262" i="50" s="1"/>
  <c r="J262" i="50" s="1"/>
  <c r="O18" i="52" s="1"/>
  <c r="F269" i="13"/>
  <c r="F258" i="13"/>
  <c r="AD234" i="29"/>
  <c r="O234" i="29"/>
  <c r="F163" i="50"/>
  <c r="J163" i="50" s="1"/>
  <c r="K28" i="52" s="1"/>
  <c r="F152" i="50"/>
  <c r="J152" i="50" s="1"/>
  <c r="K12" i="52" s="1"/>
  <c r="F139" i="50"/>
  <c r="J139" i="50" s="1"/>
  <c r="J28" i="52" s="1"/>
  <c r="F128" i="50"/>
  <c r="J128" i="50" s="1"/>
  <c r="J12" i="52" s="1"/>
  <c r="F368" i="13"/>
  <c r="AD311" i="29"/>
  <c r="F326" i="13"/>
  <c r="AD307" i="29"/>
  <c r="F349" i="13"/>
  <c r="AD294" i="29"/>
  <c r="F345" i="13"/>
  <c r="AD290" i="29"/>
  <c r="F310" i="13"/>
  <c r="AD275" i="29"/>
  <c r="F306" i="13"/>
  <c r="AD271" i="29"/>
  <c r="F298" i="13"/>
  <c r="AD263" i="29"/>
  <c r="F291" i="13"/>
  <c r="AD259" i="29"/>
  <c r="F284" i="13"/>
  <c r="AD255" i="29"/>
  <c r="F275" i="13"/>
  <c r="AD251" i="29"/>
  <c r="F271" i="13"/>
  <c r="AD247" i="29"/>
  <c r="F267" i="13"/>
  <c r="AD243" i="29"/>
  <c r="F263" i="13"/>
  <c r="AD239" i="29"/>
  <c r="F259" i="13"/>
  <c r="AD235" i="29"/>
  <c r="F252" i="13"/>
  <c r="AD231" i="29"/>
  <c r="F248" i="13"/>
  <c r="AD227" i="29"/>
  <c r="F239" i="13"/>
  <c r="AD218" i="29"/>
  <c r="F235" i="13"/>
  <c r="AD214" i="29"/>
  <c r="F226" i="13"/>
  <c r="J226" i="13" s="1"/>
  <c r="AD207" i="29"/>
  <c r="F220" i="13"/>
  <c r="AD203" i="29"/>
  <c r="F216" i="13"/>
  <c r="AD199" i="29"/>
  <c r="F212" i="13"/>
  <c r="AD195" i="29"/>
  <c r="F208" i="13"/>
  <c r="AD191" i="29"/>
  <c r="F204" i="13"/>
  <c r="AD187" i="29"/>
  <c r="F200" i="13"/>
  <c r="AD183" i="29"/>
  <c r="F193" i="13"/>
  <c r="AD178" i="29"/>
  <c r="F181" i="13"/>
  <c r="AD166" i="29"/>
  <c r="F177" i="13"/>
  <c r="AD162" i="29"/>
  <c r="F170" i="13"/>
  <c r="AD157" i="29"/>
  <c r="F166" i="13"/>
  <c r="AD153" i="29"/>
  <c r="F158" i="13"/>
  <c r="AD145" i="29"/>
  <c r="F154" i="13"/>
  <c r="AD141" i="29"/>
  <c r="F147" i="13"/>
  <c r="AD136" i="29"/>
  <c r="F143" i="13"/>
  <c r="AD132" i="29"/>
  <c r="F135" i="13"/>
  <c r="AD124" i="29"/>
  <c r="F131" i="13"/>
  <c r="AD120" i="29"/>
  <c r="F120" i="13"/>
  <c r="AD111" i="29"/>
  <c r="F111" i="13"/>
  <c r="AD102" i="29"/>
  <c r="F100" i="13"/>
  <c r="AD93" i="29"/>
  <c r="F96" i="13"/>
  <c r="AD89" i="29"/>
  <c r="F92" i="13"/>
  <c r="AD85" i="29"/>
  <c r="F88" i="13"/>
  <c r="AD81" i="29"/>
  <c r="F84" i="13"/>
  <c r="AD77" i="29"/>
  <c r="F80" i="13"/>
  <c r="F91" i="13"/>
  <c r="AD73" i="29"/>
  <c r="F74" i="13"/>
  <c r="AD69" i="29"/>
  <c r="F70" i="13"/>
  <c r="AD65" i="29"/>
  <c r="F65" i="13"/>
  <c r="AD60" i="29"/>
  <c r="F61" i="13"/>
  <c r="AD56" i="29"/>
  <c r="F50" i="13"/>
  <c r="AD47" i="29"/>
  <c r="F46" i="13"/>
  <c r="AD43" i="29"/>
  <c r="F26" i="13"/>
  <c r="AD25" i="29"/>
  <c r="F22" i="13"/>
  <c r="AD21" i="29"/>
  <c r="F10" i="13"/>
  <c r="AD9" i="29"/>
  <c r="O286" i="29"/>
  <c r="F338" i="50" s="1"/>
  <c r="J338" i="50" s="1"/>
  <c r="O245" i="29"/>
  <c r="O178" i="29"/>
  <c r="F193" i="50" s="1"/>
  <c r="J193" i="50" s="1"/>
  <c r="L36" i="52" s="1"/>
  <c r="O172" i="29"/>
  <c r="O150" i="29"/>
  <c r="O145" i="29"/>
  <c r="F158" i="50" s="1"/>
  <c r="J158" i="50" s="1"/>
  <c r="K20" i="52" s="1"/>
  <c r="O141" i="29"/>
  <c r="F154" i="50" s="1"/>
  <c r="J154" i="50" s="1"/>
  <c r="K16" i="52" s="1"/>
  <c r="O93" i="29"/>
  <c r="F100" i="50" s="1"/>
  <c r="J100" i="50" s="1"/>
  <c r="H39" i="52" s="1"/>
  <c r="O89" i="29"/>
  <c r="F96" i="50" s="1"/>
  <c r="J96" i="50" s="1"/>
  <c r="H34" i="52" s="1"/>
  <c r="O85" i="29"/>
  <c r="F92" i="50" s="1"/>
  <c r="J92" i="50" s="1"/>
  <c r="H31" i="52" s="1"/>
  <c r="O81" i="29"/>
  <c r="F88" i="50" s="1"/>
  <c r="J88" i="50" s="1"/>
  <c r="H22" i="52" s="1"/>
  <c r="O77" i="29"/>
  <c r="F84" i="50" s="1"/>
  <c r="J84" i="50" s="1"/>
  <c r="H18" i="52" s="1"/>
  <c r="O73" i="29"/>
  <c r="O69" i="29"/>
  <c r="F74" i="50" s="1"/>
  <c r="J74" i="50" s="1"/>
  <c r="G37" i="52" s="1"/>
  <c r="O65" i="29"/>
  <c r="F70" i="50" s="1"/>
  <c r="J70" i="50" s="1"/>
  <c r="G33" i="52" s="1"/>
  <c r="O47" i="29"/>
  <c r="F50" i="50" s="1"/>
  <c r="J50" i="50" s="1"/>
  <c r="F37" i="52" s="1"/>
  <c r="O43" i="29"/>
  <c r="F46" i="50" s="1"/>
  <c r="J46" i="50" s="1"/>
  <c r="F33" i="52" s="1"/>
  <c r="O18" i="29"/>
  <c r="O11" i="29"/>
  <c r="F12" i="50" s="1"/>
  <c r="J12" i="50" s="1"/>
  <c r="E18" i="52" s="1"/>
  <c r="G551" i="13"/>
  <c r="AE434" i="29"/>
  <c r="G546" i="13"/>
  <c r="AE429" i="29"/>
  <c r="G507" i="13"/>
  <c r="AE417" i="29"/>
  <c r="G503" i="13"/>
  <c r="AE413" i="29"/>
  <c r="G497" i="13"/>
  <c r="AE409" i="29"/>
  <c r="G493" i="13"/>
  <c r="AE405" i="29"/>
  <c r="G490" i="13"/>
  <c r="AE401" i="29"/>
  <c r="G486" i="13"/>
  <c r="AE397" i="29"/>
  <c r="G478" i="13"/>
  <c r="AE393" i="29"/>
  <c r="G474" i="13"/>
  <c r="AE389" i="29"/>
  <c r="G470" i="13"/>
  <c r="AE385" i="29"/>
  <c r="AE377" i="29"/>
  <c r="G454" i="13"/>
  <c r="AE371" i="29"/>
  <c r="G450" i="13"/>
  <c r="AE367" i="29"/>
  <c r="AE362" i="29"/>
  <c r="G426" i="13"/>
  <c r="K426" i="13" s="1"/>
  <c r="AE358" i="29"/>
  <c r="G422" i="13"/>
  <c r="K422" i="13" s="1"/>
  <c r="AE354" i="29"/>
  <c r="G418" i="13"/>
  <c r="K418" i="13" s="1"/>
  <c r="AE350" i="29"/>
  <c r="G414" i="13"/>
  <c r="AE346" i="29"/>
  <c r="G406" i="13"/>
  <c r="AE341" i="29"/>
  <c r="G402" i="13"/>
  <c r="AE337" i="29"/>
  <c r="G398" i="13"/>
  <c r="AE333" i="29"/>
  <c r="G394" i="13"/>
  <c r="AE329" i="29"/>
  <c r="G439" i="13"/>
  <c r="AE325" i="29"/>
  <c r="G376" i="13"/>
  <c r="AE319" i="29"/>
  <c r="G372" i="13"/>
  <c r="AE315" i="29"/>
  <c r="G368" i="13"/>
  <c r="AE311" i="29"/>
  <c r="G326" i="13"/>
  <c r="AE307" i="29"/>
  <c r="G357" i="13"/>
  <c r="AE302" i="29"/>
  <c r="G353" i="13"/>
  <c r="AE298" i="29"/>
  <c r="G349" i="13"/>
  <c r="AE294" i="29"/>
  <c r="G345" i="13"/>
  <c r="AE290" i="29"/>
  <c r="G310" i="13"/>
  <c r="AE275" i="29"/>
  <c r="G306" i="13"/>
  <c r="AE271" i="29"/>
  <c r="G302" i="13"/>
  <c r="AE267" i="29"/>
  <c r="G298" i="13"/>
  <c r="AE263" i="29"/>
  <c r="G291" i="13"/>
  <c r="AE259" i="29"/>
  <c r="G284" i="13"/>
  <c r="AE255" i="29"/>
  <c r="G275" i="13"/>
  <c r="AE251" i="29"/>
  <c r="G271" i="13"/>
  <c r="AE247" i="29"/>
  <c r="G267" i="13"/>
  <c r="AE243" i="29"/>
  <c r="G263" i="13"/>
  <c r="AE239" i="29"/>
  <c r="G259" i="13"/>
  <c r="AE235" i="29"/>
  <c r="G252" i="13"/>
  <c r="AE231" i="29"/>
  <c r="G248" i="13"/>
  <c r="AE227" i="29"/>
  <c r="G240" i="13"/>
  <c r="AE219" i="29"/>
  <c r="U219" i="29"/>
  <c r="G240" i="50" s="1"/>
  <c r="K240" i="50" s="1"/>
  <c r="G236" i="13"/>
  <c r="AE215" i="29"/>
  <c r="U215" i="29"/>
  <c r="G236" i="50" s="1"/>
  <c r="K236" i="50" s="1"/>
  <c r="G228" i="13"/>
  <c r="AE209" i="29"/>
  <c r="U209" i="29"/>
  <c r="G228" i="50" s="1"/>
  <c r="K228" i="50" s="1"/>
  <c r="K92" i="53" s="1"/>
  <c r="G224" i="13"/>
  <c r="AE205" i="29"/>
  <c r="U205" i="29"/>
  <c r="G224" i="50" s="1"/>
  <c r="K224" i="50" s="1"/>
  <c r="K88" i="53" s="1"/>
  <c r="G219" i="13"/>
  <c r="AE202" i="29"/>
  <c r="U202" i="29"/>
  <c r="G219" i="50" s="1"/>
  <c r="K219" i="50" s="1"/>
  <c r="N77" i="52" s="1"/>
  <c r="G215" i="13"/>
  <c r="AE198" i="29"/>
  <c r="U198" i="29"/>
  <c r="G215" i="50" s="1"/>
  <c r="K215" i="50" s="1"/>
  <c r="N74" i="52" s="1"/>
  <c r="AE194" i="29"/>
  <c r="U194" i="29"/>
  <c r="G207" i="13"/>
  <c r="AE190" i="29"/>
  <c r="U190" i="29"/>
  <c r="G207" i="50" s="1"/>
  <c r="K207" i="50" s="1"/>
  <c r="N57" i="52" s="1"/>
  <c r="G203" i="13"/>
  <c r="AE186" i="29"/>
  <c r="U186" i="29"/>
  <c r="G203" i="50" s="1"/>
  <c r="K203" i="50" s="1"/>
  <c r="N53" i="52" s="1"/>
  <c r="G193" i="13"/>
  <c r="AE178" i="29"/>
  <c r="U178" i="29"/>
  <c r="G193" i="50" s="1"/>
  <c r="K193" i="50" s="1"/>
  <c r="L75" i="52" s="1"/>
  <c r="G189" i="13"/>
  <c r="AE174" i="29"/>
  <c r="U174" i="29"/>
  <c r="G189" i="50" s="1"/>
  <c r="K189" i="50" s="1"/>
  <c r="L71" i="52" s="1"/>
  <c r="G185" i="13"/>
  <c r="AE170" i="29"/>
  <c r="U170" i="29"/>
  <c r="G185" i="50" s="1"/>
  <c r="K185" i="50" s="1"/>
  <c r="L59" i="52" s="1"/>
  <c r="G181" i="13"/>
  <c r="AE166" i="29"/>
  <c r="U166" i="29"/>
  <c r="G181" i="50" s="1"/>
  <c r="K181" i="50" s="1"/>
  <c r="L55" i="52" s="1"/>
  <c r="G177" i="13"/>
  <c r="AE162" i="29"/>
  <c r="U162" i="29"/>
  <c r="G177" i="50" s="1"/>
  <c r="K177" i="50" s="1"/>
  <c r="L51" i="52" s="1"/>
  <c r="G171" i="13"/>
  <c r="AE158" i="29"/>
  <c r="U158" i="29"/>
  <c r="G171" i="50" s="1"/>
  <c r="K171" i="50" s="1"/>
  <c r="K77" i="52" s="1"/>
  <c r="G167" i="13"/>
  <c r="AE154" i="29"/>
  <c r="U154" i="29"/>
  <c r="G167" i="50" s="1"/>
  <c r="K167" i="50" s="1"/>
  <c r="K74" i="52" s="1"/>
  <c r="AE150" i="29"/>
  <c r="U150" i="29"/>
  <c r="G159" i="13"/>
  <c r="AE146" i="29"/>
  <c r="U146" i="29"/>
  <c r="G159" i="50" s="1"/>
  <c r="K159" i="50" s="1"/>
  <c r="K57" i="52" s="1"/>
  <c r="G155" i="13"/>
  <c r="AE142" i="29"/>
  <c r="U142" i="29"/>
  <c r="G155" i="50" s="1"/>
  <c r="K155" i="50" s="1"/>
  <c r="K53" i="52" s="1"/>
  <c r="G145" i="13"/>
  <c r="AE134" i="29"/>
  <c r="U134" i="29"/>
  <c r="G145" i="50" s="1"/>
  <c r="K145" i="50" s="1"/>
  <c r="J75" i="52" s="1"/>
  <c r="G141" i="13"/>
  <c r="AE130" i="29"/>
  <c r="U130" i="29"/>
  <c r="G141" i="50" s="1"/>
  <c r="K141" i="50" s="1"/>
  <c r="J71" i="52" s="1"/>
  <c r="G137" i="13"/>
  <c r="AE126" i="29"/>
  <c r="U126" i="29"/>
  <c r="G137" i="50" s="1"/>
  <c r="K137" i="50" s="1"/>
  <c r="J59" i="52" s="1"/>
  <c r="G133" i="13"/>
  <c r="AE122" i="29"/>
  <c r="U122" i="29"/>
  <c r="G133" i="50" s="1"/>
  <c r="K133" i="50" s="1"/>
  <c r="J55" i="52" s="1"/>
  <c r="G129" i="13"/>
  <c r="AE118" i="29"/>
  <c r="U118" i="29"/>
  <c r="G129" i="50" s="1"/>
  <c r="K129" i="50" s="1"/>
  <c r="J51" i="52" s="1"/>
  <c r="G123" i="13"/>
  <c r="AE114" i="29"/>
  <c r="U114" i="29"/>
  <c r="G123" i="50" s="1"/>
  <c r="K123" i="50" s="1"/>
  <c r="I77" i="52" s="1"/>
  <c r="G119" i="13"/>
  <c r="AE110" i="29"/>
  <c r="U110" i="29"/>
  <c r="G119" i="50" s="1"/>
  <c r="K119" i="50" s="1"/>
  <c r="I74" i="52" s="1"/>
  <c r="AE106" i="29"/>
  <c r="U106" i="29"/>
  <c r="G111" i="13"/>
  <c r="AE102" i="29"/>
  <c r="U102" i="29"/>
  <c r="G111" i="50" s="1"/>
  <c r="K111" i="50" s="1"/>
  <c r="I57" i="52" s="1"/>
  <c r="G107" i="13"/>
  <c r="AE98" i="29"/>
  <c r="U98" i="29"/>
  <c r="G107" i="50" s="1"/>
  <c r="K107" i="50" s="1"/>
  <c r="I56" i="52" s="1"/>
  <c r="G97" i="13"/>
  <c r="AE90" i="29"/>
  <c r="U90" i="29"/>
  <c r="G97" i="50" s="1"/>
  <c r="K97" i="50" s="1"/>
  <c r="H75" i="52" s="1"/>
  <c r="G93" i="13"/>
  <c r="AE86" i="29"/>
  <c r="U86" i="29"/>
  <c r="G93" i="50" s="1"/>
  <c r="K93" i="50" s="1"/>
  <c r="H71" i="52" s="1"/>
  <c r="G89" i="13"/>
  <c r="AE82" i="29"/>
  <c r="U82" i="29"/>
  <c r="G89" i="50" s="1"/>
  <c r="K89" i="50" s="1"/>
  <c r="H59" i="52" s="1"/>
  <c r="G85" i="13"/>
  <c r="AE78" i="29"/>
  <c r="U78" i="29"/>
  <c r="G85" i="50" s="1"/>
  <c r="K85" i="50" s="1"/>
  <c r="H55" i="52" s="1"/>
  <c r="G81" i="13"/>
  <c r="AE74" i="29"/>
  <c r="U74" i="29"/>
  <c r="G81" i="50" s="1"/>
  <c r="K81" i="50" s="1"/>
  <c r="H51" i="52" s="1"/>
  <c r="G75" i="13"/>
  <c r="AE70" i="29"/>
  <c r="U70" i="29"/>
  <c r="G75" i="50" s="1"/>
  <c r="K75" i="50" s="1"/>
  <c r="G77" i="52" s="1"/>
  <c r="G71" i="13"/>
  <c r="AE66" i="29"/>
  <c r="U66" i="29"/>
  <c r="G71" i="50" s="1"/>
  <c r="K71" i="50" s="1"/>
  <c r="G74" i="52" s="1"/>
  <c r="AE62" i="29"/>
  <c r="U62" i="29"/>
  <c r="G63" i="13"/>
  <c r="AE58" i="29"/>
  <c r="U58" i="29"/>
  <c r="G63" i="50" s="1"/>
  <c r="K63" i="50" s="1"/>
  <c r="G57" i="52" s="1"/>
  <c r="G59" i="13"/>
  <c r="AE54" i="29"/>
  <c r="U54" i="29"/>
  <c r="G59" i="50" s="1"/>
  <c r="K59" i="50" s="1"/>
  <c r="G53" i="52" s="1"/>
  <c r="G49" i="13"/>
  <c r="AE46" i="29"/>
  <c r="U46" i="29"/>
  <c r="G49" i="50" s="1"/>
  <c r="K49" i="50" s="1"/>
  <c r="F75" i="52" s="1"/>
  <c r="G45" i="13"/>
  <c r="AE42" i="29"/>
  <c r="U42" i="29"/>
  <c r="G45" i="50" s="1"/>
  <c r="K45" i="50" s="1"/>
  <c r="F71" i="52" s="1"/>
  <c r="G41" i="13"/>
  <c r="AE38" i="29"/>
  <c r="U38" i="29"/>
  <c r="G41" i="50" s="1"/>
  <c r="K41" i="50" s="1"/>
  <c r="F59" i="52" s="1"/>
  <c r="G37" i="13"/>
  <c r="AE34" i="29"/>
  <c r="U34" i="29"/>
  <c r="G37" i="50" s="1"/>
  <c r="K37" i="50" s="1"/>
  <c r="F55" i="52" s="1"/>
  <c r="G33" i="13"/>
  <c r="AE30" i="29"/>
  <c r="U30" i="29"/>
  <c r="G33" i="50" s="1"/>
  <c r="K33" i="50" s="1"/>
  <c r="F51" i="52" s="1"/>
  <c r="G27" i="13"/>
  <c r="AE26" i="29"/>
  <c r="U26" i="29"/>
  <c r="G27" i="50" s="1"/>
  <c r="K27" i="50" s="1"/>
  <c r="E77" i="52" s="1"/>
  <c r="G23" i="13"/>
  <c r="AE22" i="29"/>
  <c r="U22" i="29"/>
  <c r="G23" i="50" s="1"/>
  <c r="K23" i="50" s="1"/>
  <c r="E74" i="52" s="1"/>
  <c r="AE18" i="29"/>
  <c r="U18" i="29"/>
  <c r="G15" i="13"/>
  <c r="AE14" i="29"/>
  <c r="U14" i="29"/>
  <c r="G15" i="50" s="1"/>
  <c r="K15" i="50" s="1"/>
  <c r="E57" i="52" s="1"/>
  <c r="G11" i="13"/>
  <c r="AE10" i="29"/>
  <c r="U10" i="29"/>
  <c r="G11" i="50" s="1"/>
  <c r="K11" i="50" s="1"/>
  <c r="E53" i="52" s="1"/>
  <c r="U429" i="29"/>
  <c r="G546" i="50" s="1"/>
  <c r="K546" i="50" s="1"/>
  <c r="K297" i="53" s="1"/>
  <c r="U409" i="29"/>
  <c r="G497" i="50" s="1"/>
  <c r="K497" i="50" s="1"/>
  <c r="K273" i="46" s="1"/>
  <c r="U405" i="29"/>
  <c r="G493" i="50" s="1"/>
  <c r="K493" i="50" s="1"/>
  <c r="K232" i="46" s="1"/>
  <c r="U401" i="29"/>
  <c r="G490" i="50" s="1"/>
  <c r="K490" i="50" s="1"/>
  <c r="K266" i="46" s="1"/>
  <c r="U397" i="29"/>
  <c r="G486" i="50" s="1"/>
  <c r="K486" i="50" s="1"/>
  <c r="K231" i="46" s="1"/>
  <c r="U371" i="29"/>
  <c r="G454" i="50" s="1"/>
  <c r="K454" i="50" s="1"/>
  <c r="J202" i="46" s="1"/>
  <c r="A202" i="46" s="1"/>
  <c r="U367" i="29"/>
  <c r="G450" i="50" s="1"/>
  <c r="K450" i="50" s="1"/>
  <c r="J198" i="46" s="1"/>
  <c r="A198" i="46" s="1"/>
  <c r="U362" i="29"/>
  <c r="U358" i="29"/>
  <c r="G426" i="50" s="1"/>
  <c r="K426" i="50" s="1"/>
  <c r="U354" i="29"/>
  <c r="G422" i="50" s="1"/>
  <c r="K422" i="50" s="1"/>
  <c r="U283" i="29"/>
  <c r="G335" i="50" s="1"/>
  <c r="K335" i="50" s="1"/>
  <c r="U259" i="29"/>
  <c r="G291" i="50" s="1"/>
  <c r="K291" i="50" s="1"/>
  <c r="U243" i="29"/>
  <c r="G267" i="50" s="1"/>
  <c r="K267" i="50" s="1"/>
  <c r="O59" i="52" s="1"/>
  <c r="U231" i="29"/>
  <c r="G252" i="50" s="1"/>
  <c r="K252" i="50" s="1"/>
  <c r="U223" i="29"/>
  <c r="F238" i="13"/>
  <c r="AD217" i="29"/>
  <c r="F234" i="13"/>
  <c r="AD213" i="29"/>
  <c r="F229" i="13"/>
  <c r="F225" i="13"/>
  <c r="AD206" i="29"/>
  <c r="F219" i="13"/>
  <c r="AD202" i="29"/>
  <c r="F215" i="13"/>
  <c r="AD198" i="29"/>
  <c r="F207" i="13"/>
  <c r="AD190" i="29"/>
  <c r="F203" i="13"/>
  <c r="AD186" i="29"/>
  <c r="F192" i="13"/>
  <c r="AD177" i="29"/>
  <c r="F184" i="13"/>
  <c r="AD169" i="29"/>
  <c r="F180" i="13"/>
  <c r="AD165" i="29"/>
  <c r="F187" i="13"/>
  <c r="F176" i="13"/>
  <c r="AD161" i="29"/>
  <c r="F169" i="13"/>
  <c r="AD156" i="29"/>
  <c r="F165" i="13"/>
  <c r="AD152" i="29"/>
  <c r="F161" i="13"/>
  <c r="AD148" i="29"/>
  <c r="F157" i="13"/>
  <c r="AD144" i="29"/>
  <c r="F146" i="13"/>
  <c r="AD135" i="29"/>
  <c r="F142" i="13"/>
  <c r="AD131" i="29"/>
  <c r="F134" i="13"/>
  <c r="AD123" i="29"/>
  <c r="F130" i="13"/>
  <c r="AD119" i="29"/>
  <c r="F123" i="13"/>
  <c r="AD114" i="29"/>
  <c r="F119" i="13"/>
  <c r="AD110" i="29"/>
  <c r="F110" i="13"/>
  <c r="AD101" i="29"/>
  <c r="F106" i="13"/>
  <c r="AD97" i="29"/>
  <c r="F99" i="13"/>
  <c r="AD92" i="29"/>
  <c r="F95" i="13"/>
  <c r="AD88" i="29"/>
  <c r="F87" i="13"/>
  <c r="AD80" i="29"/>
  <c r="F83" i="13"/>
  <c r="AD76" i="29"/>
  <c r="F73" i="13"/>
  <c r="AD68" i="29"/>
  <c r="F60" i="13"/>
  <c r="AD55" i="29"/>
  <c r="F67" i="13"/>
  <c r="F56" i="13"/>
  <c r="AD51" i="29"/>
  <c r="F49" i="13"/>
  <c r="AD46" i="29"/>
  <c r="O37" i="29"/>
  <c r="F40" i="50" s="1"/>
  <c r="J40" i="50" s="1"/>
  <c r="F22" i="52" s="1"/>
  <c r="F40" i="13"/>
  <c r="F43" i="13"/>
  <c r="F32" i="13"/>
  <c r="AD29" i="29"/>
  <c r="F25" i="13"/>
  <c r="AD24" i="29"/>
  <c r="F21" i="13"/>
  <c r="AD20" i="29"/>
  <c r="F13" i="13"/>
  <c r="AD12" i="29"/>
  <c r="F9" i="13"/>
  <c r="AD8" i="29"/>
  <c r="O223" i="29"/>
  <c r="O218" i="29"/>
  <c r="F239" i="50" s="1"/>
  <c r="J239" i="50" s="1"/>
  <c r="O214" i="29"/>
  <c r="F235" i="50" s="1"/>
  <c r="J235" i="50" s="1"/>
  <c r="O207" i="29"/>
  <c r="F226" i="50" s="1"/>
  <c r="O203" i="29"/>
  <c r="F220" i="50" s="1"/>
  <c r="J220" i="50" s="1"/>
  <c r="N39" i="52" s="1"/>
  <c r="O199" i="29"/>
  <c r="F216" i="50" s="1"/>
  <c r="J216" i="50" s="1"/>
  <c r="N34" i="52" s="1"/>
  <c r="O195" i="29"/>
  <c r="F212" i="50" s="1"/>
  <c r="J212" i="50" s="1"/>
  <c r="N31" i="52" s="1"/>
  <c r="O191" i="29"/>
  <c r="F208" i="50" s="1"/>
  <c r="J208" i="50" s="1"/>
  <c r="N22" i="52" s="1"/>
  <c r="O187" i="29"/>
  <c r="F204" i="50" s="1"/>
  <c r="J204" i="50" s="1"/>
  <c r="N18" i="52" s="1"/>
  <c r="O183" i="29"/>
  <c r="O177" i="29"/>
  <c r="F192" i="50" s="1"/>
  <c r="J192" i="50" s="1"/>
  <c r="L34" i="52" s="1"/>
  <c r="O166" i="29"/>
  <c r="F181" i="50" s="1"/>
  <c r="J181" i="50" s="1"/>
  <c r="L19" i="52" s="1"/>
  <c r="O162" i="29"/>
  <c r="F177" i="50" s="1"/>
  <c r="J177" i="50" s="1"/>
  <c r="L15" i="52" s="1"/>
  <c r="O157" i="29"/>
  <c r="F170" i="50" s="1"/>
  <c r="J170" i="50" s="1"/>
  <c r="K37" i="52" s="1"/>
  <c r="O153" i="29"/>
  <c r="F166" i="50" s="1"/>
  <c r="O144" i="29"/>
  <c r="F157" i="50" s="1"/>
  <c r="J157" i="50" s="1"/>
  <c r="K19" i="52" s="1"/>
  <c r="O111" i="29"/>
  <c r="F120" i="50" s="1"/>
  <c r="O106" i="29"/>
  <c r="O92" i="29"/>
  <c r="F99" i="50" s="1"/>
  <c r="J99" i="50" s="1"/>
  <c r="H38" i="52" s="1"/>
  <c r="O88" i="29"/>
  <c r="F95" i="50" s="1"/>
  <c r="J95" i="50" s="1"/>
  <c r="H35" i="52" s="1"/>
  <c r="O84" i="29"/>
  <c r="O80" i="29"/>
  <c r="F87" i="50" s="1"/>
  <c r="J87" i="50" s="1"/>
  <c r="H21" i="52" s="1"/>
  <c r="O76" i="29"/>
  <c r="F83" i="50" s="1"/>
  <c r="J83" i="50" s="1"/>
  <c r="H17" i="52" s="1"/>
  <c r="O68" i="29"/>
  <c r="F73" i="50" s="1"/>
  <c r="J73" i="50" s="1"/>
  <c r="G36" i="52" s="1"/>
  <c r="O62" i="29"/>
  <c r="O56" i="29"/>
  <c r="F61" i="50" s="1"/>
  <c r="J61" i="50" s="1"/>
  <c r="G19" i="52" s="1"/>
  <c r="O51" i="29"/>
  <c r="O46" i="29"/>
  <c r="F49" i="50" s="1"/>
  <c r="J49" i="50" s="1"/>
  <c r="F36" i="52" s="1"/>
  <c r="O40" i="29"/>
  <c r="O31" i="29"/>
  <c r="F34" i="50" s="1"/>
  <c r="J34" i="50" s="1"/>
  <c r="F16" i="52" s="1"/>
  <c r="O25" i="29"/>
  <c r="F26" i="50" s="1"/>
  <c r="J26" i="50" s="1"/>
  <c r="E37" i="52" s="1"/>
  <c r="O21" i="29"/>
  <c r="F22" i="50" s="1"/>
  <c r="J22" i="50" s="1"/>
  <c r="E33" i="52" s="1"/>
  <c r="O9" i="29"/>
  <c r="F10" i="50" s="1"/>
  <c r="J10" i="50" s="1"/>
  <c r="E16" i="52" s="1"/>
  <c r="G554" i="13"/>
  <c r="AE437" i="29"/>
  <c r="G506" i="13"/>
  <c r="AE416" i="29"/>
  <c r="G502" i="13"/>
  <c r="AE412" i="29"/>
  <c r="G496" i="13"/>
  <c r="AE408" i="29"/>
  <c r="G491" i="13"/>
  <c r="AE400" i="29"/>
  <c r="G477" i="13"/>
  <c r="AE392" i="29"/>
  <c r="G473" i="13"/>
  <c r="AE388" i="29"/>
  <c r="G469" i="13"/>
  <c r="AE384" i="29"/>
  <c r="G465" i="13"/>
  <c r="AE380" i="29"/>
  <c r="G453" i="13"/>
  <c r="AE370" i="29"/>
  <c r="G449" i="13"/>
  <c r="AE366" i="29"/>
  <c r="G429" i="13"/>
  <c r="AE361" i="29"/>
  <c r="G425" i="13"/>
  <c r="AE357" i="29"/>
  <c r="G417" i="13"/>
  <c r="AE349" i="29"/>
  <c r="G413" i="13"/>
  <c r="AE345" i="29"/>
  <c r="G405" i="13"/>
  <c r="AE340" i="29"/>
  <c r="G401" i="13"/>
  <c r="H106" i="7" s="1"/>
  <c r="AE336" i="29"/>
  <c r="G397" i="13"/>
  <c r="AE332" i="29"/>
  <c r="G442" i="13"/>
  <c r="AE328" i="29"/>
  <c r="G390" i="13"/>
  <c r="AE324" i="29"/>
  <c r="G375" i="13"/>
  <c r="AE318" i="29"/>
  <c r="G371" i="13"/>
  <c r="AE314" i="29"/>
  <c r="G325" i="13"/>
  <c r="AE306" i="29"/>
  <c r="G356" i="13"/>
  <c r="AE301" i="29"/>
  <c r="G352" i="13"/>
  <c r="AE297" i="29"/>
  <c r="G348" i="13"/>
  <c r="AE293" i="29"/>
  <c r="G344" i="13"/>
  <c r="AE289" i="29"/>
  <c r="G309" i="13"/>
  <c r="AE274" i="29"/>
  <c r="G305" i="13"/>
  <c r="AE270" i="29"/>
  <c r="G301" i="13"/>
  <c r="AE266" i="29"/>
  <c r="G294" i="13"/>
  <c r="AE262" i="29"/>
  <c r="G287" i="13"/>
  <c r="AE258" i="29"/>
  <c r="G278" i="13"/>
  <c r="AE254" i="29"/>
  <c r="G274" i="13"/>
  <c r="AE250" i="29"/>
  <c r="G270" i="13"/>
  <c r="AE246" i="29"/>
  <c r="G266" i="13"/>
  <c r="AE242" i="29"/>
  <c r="G262" i="13"/>
  <c r="AE238" i="29"/>
  <c r="G269" i="13"/>
  <c r="G258" i="13"/>
  <c r="AE234" i="29"/>
  <c r="G251" i="13"/>
  <c r="AE230" i="29"/>
  <c r="G247" i="13"/>
  <c r="AE226" i="29"/>
  <c r="G239" i="13"/>
  <c r="AE218" i="29"/>
  <c r="G235" i="13"/>
  <c r="AE214" i="29"/>
  <c r="AE210" i="29"/>
  <c r="U210" i="29"/>
  <c r="G229" i="50" s="1"/>
  <c r="K229" i="50" s="1"/>
  <c r="K93" i="53" s="1"/>
  <c r="G227" i="13"/>
  <c r="AE208" i="29"/>
  <c r="U208" i="29"/>
  <c r="G227" i="50" s="1"/>
  <c r="K227" i="50" s="1"/>
  <c r="K91" i="53" s="1"/>
  <c r="A91" i="53" s="1"/>
  <c r="G218" i="13"/>
  <c r="AE201" i="29"/>
  <c r="U201" i="29"/>
  <c r="G218" i="50" s="1"/>
  <c r="K218" i="50" s="1"/>
  <c r="N76" i="52" s="1"/>
  <c r="G214" i="13"/>
  <c r="AE197" i="29"/>
  <c r="U197" i="29"/>
  <c r="G214" i="50" s="1"/>
  <c r="K214" i="50" s="1"/>
  <c r="N72" i="52" s="1"/>
  <c r="G210" i="13"/>
  <c r="AE193" i="29"/>
  <c r="U193" i="29"/>
  <c r="G210" i="50" s="1"/>
  <c r="K210" i="50" s="1"/>
  <c r="N66" i="52" s="1"/>
  <c r="G206" i="13"/>
  <c r="AE189" i="29"/>
  <c r="U189" i="29"/>
  <c r="G206" i="50" s="1"/>
  <c r="K206" i="50" s="1"/>
  <c r="N56" i="52" s="1"/>
  <c r="G202" i="13"/>
  <c r="AE185" i="29"/>
  <c r="U185" i="29"/>
  <c r="G202" i="50" s="1"/>
  <c r="K202" i="50" s="1"/>
  <c r="N52" i="52" s="1"/>
  <c r="G196" i="13"/>
  <c r="AE181" i="29"/>
  <c r="U181" i="29"/>
  <c r="G196" i="50" s="1"/>
  <c r="K196" i="50" s="1"/>
  <c r="L78" i="52" s="1"/>
  <c r="G192" i="13"/>
  <c r="AE177" i="29"/>
  <c r="U177" i="29"/>
  <c r="G192" i="50" s="1"/>
  <c r="K192" i="50" s="1"/>
  <c r="L73" i="52" s="1"/>
  <c r="G188" i="13"/>
  <c r="AE173" i="29"/>
  <c r="U173" i="29"/>
  <c r="G188" i="50" s="1"/>
  <c r="K188" i="50" s="1"/>
  <c r="G184" i="13"/>
  <c r="AE169" i="29"/>
  <c r="U169" i="29"/>
  <c r="G184" i="50" s="1"/>
  <c r="K184" i="50" s="1"/>
  <c r="L58" i="52" s="1"/>
  <c r="G180" i="13"/>
  <c r="AE165" i="29"/>
  <c r="U165" i="29"/>
  <c r="G180" i="50" s="1"/>
  <c r="K180" i="50" s="1"/>
  <c r="L54" i="52" s="1"/>
  <c r="G187" i="13"/>
  <c r="G176" i="13"/>
  <c r="AE161" i="29"/>
  <c r="U161" i="29"/>
  <c r="G170" i="13"/>
  <c r="AE157" i="29"/>
  <c r="U157" i="29"/>
  <c r="G170" i="50" s="1"/>
  <c r="K170" i="50" s="1"/>
  <c r="K76" i="52" s="1"/>
  <c r="G166" i="13"/>
  <c r="AE153" i="29"/>
  <c r="U153" i="29"/>
  <c r="G166" i="50" s="1"/>
  <c r="K166" i="50" s="1"/>
  <c r="K72" i="52" s="1"/>
  <c r="G162" i="13"/>
  <c r="AE149" i="29"/>
  <c r="U149" i="29"/>
  <c r="G162" i="50" s="1"/>
  <c r="K162" i="50" s="1"/>
  <c r="K66" i="52" s="1"/>
  <c r="G158" i="13"/>
  <c r="AE145" i="29"/>
  <c r="U145" i="29"/>
  <c r="G158" i="50" s="1"/>
  <c r="K158" i="50" s="1"/>
  <c r="K56" i="52" s="1"/>
  <c r="G154" i="13"/>
  <c r="AE141" i="29"/>
  <c r="U141" i="29"/>
  <c r="G154" i="50" s="1"/>
  <c r="K154" i="50" s="1"/>
  <c r="K52" i="52" s="1"/>
  <c r="G148" i="13"/>
  <c r="AE137" i="29"/>
  <c r="U137" i="29"/>
  <c r="G148" i="50" s="1"/>
  <c r="K148" i="50" s="1"/>
  <c r="J78" i="52" s="1"/>
  <c r="G144" i="13"/>
  <c r="AE133" i="29"/>
  <c r="U133" i="29"/>
  <c r="G144" i="50" s="1"/>
  <c r="K144" i="50" s="1"/>
  <c r="J73" i="52" s="1"/>
  <c r="G140" i="13"/>
  <c r="AE129" i="29"/>
  <c r="U129" i="29"/>
  <c r="G140" i="50" s="1"/>
  <c r="K140" i="50" s="1"/>
  <c r="J70" i="52" s="1"/>
  <c r="G136" i="13"/>
  <c r="AE125" i="29"/>
  <c r="U125" i="29"/>
  <c r="G136" i="50" s="1"/>
  <c r="K136" i="50" s="1"/>
  <c r="J58" i="52" s="1"/>
  <c r="G132" i="13"/>
  <c r="AE121" i="29"/>
  <c r="U121" i="29"/>
  <c r="G132" i="50" s="1"/>
  <c r="K132" i="50" s="1"/>
  <c r="J54" i="52" s="1"/>
  <c r="G139" i="13"/>
  <c r="G128" i="13"/>
  <c r="AE117" i="29"/>
  <c r="U117" i="29"/>
  <c r="G122" i="13"/>
  <c r="AE113" i="29"/>
  <c r="U113" i="29"/>
  <c r="G122" i="50" s="1"/>
  <c r="K122" i="50" s="1"/>
  <c r="I76" i="52" s="1"/>
  <c r="G118" i="13"/>
  <c r="AE109" i="29"/>
  <c r="U109" i="29"/>
  <c r="G118" i="50" s="1"/>
  <c r="K118" i="50" s="1"/>
  <c r="I72" i="52" s="1"/>
  <c r="G110" i="13"/>
  <c r="AE101" i="29"/>
  <c r="U101" i="29"/>
  <c r="G110" i="50" s="1"/>
  <c r="K110" i="50" s="1"/>
  <c r="I55" i="52" s="1"/>
  <c r="G106" i="13"/>
  <c r="AE97" i="29"/>
  <c r="U97" i="29"/>
  <c r="G106" i="50" s="1"/>
  <c r="K106" i="50" s="1"/>
  <c r="I52" i="52" s="1"/>
  <c r="G100" i="13"/>
  <c r="AE93" i="29"/>
  <c r="U93" i="29"/>
  <c r="G100" i="50" s="1"/>
  <c r="K100" i="50" s="1"/>
  <c r="H78" i="52" s="1"/>
  <c r="G96" i="13"/>
  <c r="AE89" i="29"/>
  <c r="U89" i="29"/>
  <c r="G96" i="50" s="1"/>
  <c r="K96" i="50" s="1"/>
  <c r="H73" i="52" s="1"/>
  <c r="G92" i="13"/>
  <c r="AE85" i="29"/>
  <c r="U85" i="29"/>
  <c r="G92" i="50" s="1"/>
  <c r="K92" i="50" s="1"/>
  <c r="H70" i="52" s="1"/>
  <c r="G88" i="13"/>
  <c r="AE81" i="29"/>
  <c r="U81" i="29"/>
  <c r="G88" i="50" s="1"/>
  <c r="K88" i="50" s="1"/>
  <c r="H58" i="52" s="1"/>
  <c r="G84" i="13"/>
  <c r="AE77" i="29"/>
  <c r="U77" i="29"/>
  <c r="G84" i="50" s="1"/>
  <c r="K84" i="50" s="1"/>
  <c r="H54" i="52" s="1"/>
  <c r="G91" i="13"/>
  <c r="G80" i="13"/>
  <c r="AE73" i="29"/>
  <c r="U73" i="29"/>
  <c r="G74" i="13"/>
  <c r="AE69" i="29"/>
  <c r="U69" i="29"/>
  <c r="G74" i="50" s="1"/>
  <c r="K74" i="50" s="1"/>
  <c r="G76" i="52" s="1"/>
  <c r="G70" i="13"/>
  <c r="AE65" i="29"/>
  <c r="U65" i="29"/>
  <c r="G70" i="50" s="1"/>
  <c r="K70" i="50" s="1"/>
  <c r="G72" i="52" s="1"/>
  <c r="G62" i="13"/>
  <c r="AE57" i="29"/>
  <c r="U57" i="29"/>
  <c r="G62" i="50" s="1"/>
  <c r="K62" i="50" s="1"/>
  <c r="G56" i="52" s="1"/>
  <c r="G58" i="13"/>
  <c r="AE53" i="29"/>
  <c r="U53" i="29"/>
  <c r="G58" i="50" s="1"/>
  <c r="K58" i="50" s="1"/>
  <c r="G52" i="52" s="1"/>
  <c r="G52" i="13"/>
  <c r="AE49" i="29"/>
  <c r="U49" i="29"/>
  <c r="G52" i="50" s="1"/>
  <c r="K52" i="50" s="1"/>
  <c r="F78" i="52" s="1"/>
  <c r="G48" i="13"/>
  <c r="AE45" i="29"/>
  <c r="U45" i="29"/>
  <c r="G48" i="50" s="1"/>
  <c r="K48" i="50" s="1"/>
  <c r="F73" i="52" s="1"/>
  <c r="G44" i="13"/>
  <c r="AE41" i="29"/>
  <c r="U41" i="29"/>
  <c r="G44" i="50" s="1"/>
  <c r="K44" i="50" s="1"/>
  <c r="F70" i="52" s="1"/>
  <c r="G40" i="13"/>
  <c r="AE37" i="29"/>
  <c r="U37" i="29"/>
  <c r="G40" i="50" s="1"/>
  <c r="K40" i="50" s="1"/>
  <c r="F58" i="52" s="1"/>
  <c r="G36" i="13"/>
  <c r="AE33" i="29"/>
  <c r="U33" i="29"/>
  <c r="G36" i="50" s="1"/>
  <c r="K36" i="50" s="1"/>
  <c r="F54" i="52" s="1"/>
  <c r="G32" i="13"/>
  <c r="G43" i="13"/>
  <c r="AE29" i="29"/>
  <c r="U29" i="29"/>
  <c r="G26" i="13"/>
  <c r="AE25" i="29"/>
  <c r="U25" i="29"/>
  <c r="G26" i="50" s="1"/>
  <c r="K26" i="50" s="1"/>
  <c r="E76" i="52" s="1"/>
  <c r="G22" i="13"/>
  <c r="AE21" i="29"/>
  <c r="U21" i="29"/>
  <c r="G22" i="50" s="1"/>
  <c r="K22" i="50" s="1"/>
  <c r="E72" i="52" s="1"/>
  <c r="G18" i="13"/>
  <c r="AE17" i="29"/>
  <c r="U17" i="29"/>
  <c r="G18" i="50" s="1"/>
  <c r="K18" i="50" s="1"/>
  <c r="E66" i="52" s="1"/>
  <c r="G14" i="13"/>
  <c r="AE13" i="29"/>
  <c r="U13" i="29"/>
  <c r="G14" i="50" s="1"/>
  <c r="K14" i="50" s="1"/>
  <c r="E56" i="52" s="1"/>
  <c r="G10" i="13"/>
  <c r="AE9" i="29"/>
  <c r="U9" i="29"/>
  <c r="G10" i="50" s="1"/>
  <c r="K10" i="50" s="1"/>
  <c r="E52" i="52" s="1"/>
  <c r="U417" i="29"/>
  <c r="G507" i="50" s="1"/>
  <c r="K507" i="50" s="1"/>
  <c r="K286" i="46" s="1"/>
  <c r="U413" i="29"/>
  <c r="G503" i="50" s="1"/>
  <c r="K503" i="50" s="1"/>
  <c r="U408" i="29"/>
  <c r="G496" i="50" s="1"/>
  <c r="K496" i="50" s="1"/>
  <c r="K272" i="46" s="1"/>
  <c r="U404" i="29"/>
  <c r="U400" i="29"/>
  <c r="G491" i="50" s="1"/>
  <c r="K491" i="50" s="1"/>
  <c r="U377" i="29"/>
  <c r="G462" i="50" s="1"/>
  <c r="K462" i="50" s="1"/>
  <c r="U370" i="29"/>
  <c r="G453" i="50" s="1"/>
  <c r="U366" i="29"/>
  <c r="G449" i="50" s="1"/>
  <c r="K449" i="50" s="1"/>
  <c r="J197" i="46" s="1"/>
  <c r="U361" i="29"/>
  <c r="G429" i="50" s="1"/>
  <c r="K429" i="50" s="1"/>
  <c r="U357" i="29"/>
  <c r="G425" i="50" s="1"/>
  <c r="U341" i="29"/>
  <c r="G406" i="50" s="1"/>
  <c r="K406" i="50" s="1"/>
  <c r="U337" i="29"/>
  <c r="G402" i="50" s="1"/>
  <c r="K402" i="50" s="1"/>
  <c r="J185" i="46" s="1"/>
  <c r="A185" i="46" s="1"/>
  <c r="U333" i="29"/>
  <c r="G398" i="50" s="1"/>
  <c r="K398" i="50" s="1"/>
  <c r="J181" i="46" s="1"/>
  <c r="U329" i="29"/>
  <c r="G394" i="50" s="1"/>
  <c r="K394" i="50" s="1"/>
  <c r="J177" i="46" s="1"/>
  <c r="U325" i="29"/>
  <c r="G439" i="50" s="1"/>
  <c r="K439" i="50" s="1"/>
  <c r="U319" i="29"/>
  <c r="U315" i="29"/>
  <c r="G372" i="50" s="1"/>
  <c r="K372" i="50" s="1"/>
  <c r="U311" i="29"/>
  <c r="G368" i="50" s="1"/>
  <c r="K368" i="50" s="1"/>
  <c r="U307" i="29"/>
  <c r="G326" i="50" s="1"/>
  <c r="K326" i="50" s="1"/>
  <c r="U302" i="29"/>
  <c r="G357" i="50" s="1"/>
  <c r="K357" i="50" s="1"/>
  <c r="J166" i="46" s="1"/>
  <c r="U298" i="29"/>
  <c r="G353" i="50" s="1"/>
  <c r="K353" i="50" s="1"/>
  <c r="J162" i="46" s="1"/>
  <c r="U294" i="29"/>
  <c r="G349" i="50" s="1"/>
  <c r="K349" i="50" s="1"/>
  <c r="J158" i="46" s="1"/>
  <c r="U290" i="29"/>
  <c r="G345" i="50" s="1"/>
  <c r="K345" i="50" s="1"/>
  <c r="J154" i="46" s="1"/>
  <c r="U286" i="29"/>
  <c r="G338" i="50" s="1"/>
  <c r="K338" i="50" s="1"/>
  <c r="U282" i="29"/>
  <c r="G334" i="50" s="1"/>
  <c r="K334" i="50" s="1"/>
  <c r="U275" i="29"/>
  <c r="G310" i="50" s="1"/>
  <c r="K310" i="50" s="1"/>
  <c r="J142" i="46" s="1"/>
  <c r="U271" i="29"/>
  <c r="G306" i="50" s="1"/>
  <c r="K306" i="50" s="1"/>
  <c r="J138" i="46" s="1"/>
  <c r="U267" i="29"/>
  <c r="G302" i="50" s="1"/>
  <c r="K302" i="50" s="1"/>
  <c r="J134" i="46" s="1"/>
  <c r="U263" i="29"/>
  <c r="G298" i="50" s="1"/>
  <c r="U258" i="29"/>
  <c r="G287" i="50" s="1"/>
  <c r="K287" i="50" s="1"/>
  <c r="U247" i="29"/>
  <c r="G271" i="50" s="1"/>
  <c r="K271" i="50" s="1"/>
  <c r="O71" i="52" s="1"/>
  <c r="U242" i="29"/>
  <c r="G266" i="50" s="1"/>
  <c r="K266" i="50" s="1"/>
  <c r="O58" i="52" s="1"/>
  <c r="U230" i="29"/>
  <c r="G251" i="50" s="1"/>
  <c r="K251" i="50" s="1"/>
  <c r="F478" i="13"/>
  <c r="AD393" i="29"/>
  <c r="F474" i="13"/>
  <c r="AD389" i="29"/>
  <c r="F469" i="13"/>
  <c r="AD384" i="29"/>
  <c r="F464" i="13"/>
  <c r="AD379" i="29"/>
  <c r="F455" i="13"/>
  <c r="AD372" i="29"/>
  <c r="F451" i="13"/>
  <c r="AD368" i="29"/>
  <c r="F447" i="13"/>
  <c r="AD364" i="29"/>
  <c r="F427" i="13"/>
  <c r="AD359" i="29"/>
  <c r="F389" i="13"/>
  <c r="AD323" i="29"/>
  <c r="F374" i="13"/>
  <c r="AD317" i="29"/>
  <c r="F370" i="13"/>
  <c r="AD313" i="29"/>
  <c r="F328" i="13"/>
  <c r="AD309" i="29"/>
  <c r="F312" i="13"/>
  <c r="AD277" i="29"/>
  <c r="F308" i="13"/>
  <c r="AD273" i="29"/>
  <c r="F304" i="13"/>
  <c r="AD269" i="29"/>
  <c r="F300" i="13"/>
  <c r="AD265" i="29"/>
  <c r="F293" i="13"/>
  <c r="AD261" i="29"/>
  <c r="F286" i="13"/>
  <c r="AD257" i="29"/>
  <c r="F277" i="13"/>
  <c r="AD253" i="29"/>
  <c r="F273" i="13"/>
  <c r="AD249" i="29"/>
  <c r="F265" i="13"/>
  <c r="AD241" i="29"/>
  <c r="F261" i="13"/>
  <c r="AD237" i="29"/>
  <c r="F250" i="13"/>
  <c r="AD229" i="29"/>
  <c r="F246" i="13"/>
  <c r="AD225" i="29"/>
  <c r="F241" i="13"/>
  <c r="AD220" i="29"/>
  <c r="F237" i="13"/>
  <c r="AD216" i="29"/>
  <c r="F244" i="13"/>
  <c r="F233" i="13"/>
  <c r="AD212" i="29"/>
  <c r="F228" i="13"/>
  <c r="AD209" i="29"/>
  <c r="F224" i="13"/>
  <c r="AD205" i="29"/>
  <c r="F218" i="13"/>
  <c r="AD201" i="29"/>
  <c r="F214" i="13"/>
  <c r="AD197" i="29"/>
  <c r="F206" i="13"/>
  <c r="AD189" i="29"/>
  <c r="F202" i="13"/>
  <c r="AD185" i="29"/>
  <c r="F195" i="13"/>
  <c r="AD180" i="29"/>
  <c r="F191" i="13"/>
  <c r="AD176" i="29"/>
  <c r="F183" i="13"/>
  <c r="AD168" i="29"/>
  <c r="F179" i="13"/>
  <c r="AD164" i="29"/>
  <c r="F172" i="13"/>
  <c r="AD159" i="29"/>
  <c r="F168" i="13"/>
  <c r="AD155" i="29"/>
  <c r="F164" i="13"/>
  <c r="AD151" i="29"/>
  <c r="O147" i="29"/>
  <c r="F160" i="50" s="1"/>
  <c r="J160" i="50" s="1"/>
  <c r="K22" i="52" s="1"/>
  <c r="AD147" i="29"/>
  <c r="F156" i="13"/>
  <c r="AD143" i="29"/>
  <c r="F163" i="13"/>
  <c r="F152" i="13"/>
  <c r="AD139" i="29"/>
  <c r="F145" i="13"/>
  <c r="AD134" i="29"/>
  <c r="F141" i="13"/>
  <c r="AD130" i="29"/>
  <c r="F137" i="13"/>
  <c r="AD126" i="29"/>
  <c r="F133" i="13"/>
  <c r="AD122" i="29"/>
  <c r="F129" i="13"/>
  <c r="AD118" i="29"/>
  <c r="F122" i="13"/>
  <c r="AD113" i="29"/>
  <c r="F118" i="13"/>
  <c r="AD109" i="29"/>
  <c r="F109" i="13"/>
  <c r="AD100" i="29"/>
  <c r="F98" i="13"/>
  <c r="AD91" i="29"/>
  <c r="F94" i="13"/>
  <c r="AD87" i="29"/>
  <c r="F86" i="13"/>
  <c r="AD79" i="29"/>
  <c r="F82" i="13"/>
  <c r="AD75" i="29"/>
  <c r="F76" i="13"/>
  <c r="AD71" i="29"/>
  <c r="F72" i="13"/>
  <c r="AD67" i="29"/>
  <c r="F63" i="13"/>
  <c r="AD58" i="29"/>
  <c r="F59" i="13"/>
  <c r="AD54" i="29"/>
  <c r="F52" i="13"/>
  <c r="AD49" i="29"/>
  <c r="F48" i="13"/>
  <c r="AD45" i="29"/>
  <c r="AD36" i="29"/>
  <c r="F28" i="13"/>
  <c r="AD27" i="29"/>
  <c r="F24" i="13"/>
  <c r="AD23" i="29"/>
  <c r="F20" i="13"/>
  <c r="AD19" i="29"/>
  <c r="F19" i="13"/>
  <c r="F8" i="13"/>
  <c r="AD7" i="29"/>
  <c r="O384" i="29"/>
  <c r="F469" i="50" s="1"/>
  <c r="J469" i="50" s="1"/>
  <c r="O263" i="29"/>
  <c r="F298" i="50" s="1"/>
  <c r="O259" i="29"/>
  <c r="F291" i="50" s="1"/>
  <c r="J291" i="50" s="1"/>
  <c r="O255" i="29"/>
  <c r="F284" i="50" s="1"/>
  <c r="J284" i="50" s="1"/>
  <c r="O251" i="29"/>
  <c r="F275" i="50" s="1"/>
  <c r="J275" i="50" s="1"/>
  <c r="O36" i="52" s="1"/>
  <c r="O247" i="29"/>
  <c r="F271" i="50" s="1"/>
  <c r="J271" i="50" s="1"/>
  <c r="O32" i="52" s="1"/>
  <c r="O243" i="29"/>
  <c r="F267" i="50" s="1"/>
  <c r="O239" i="29"/>
  <c r="F263" i="50" s="1"/>
  <c r="J263" i="50" s="1"/>
  <c r="O19" i="52" s="1"/>
  <c r="O235" i="29"/>
  <c r="F259" i="50" s="1"/>
  <c r="J259" i="50" s="1"/>
  <c r="O15" i="52" s="1"/>
  <c r="O231" i="29"/>
  <c r="F252" i="50" s="1"/>
  <c r="J252" i="50" s="1"/>
  <c r="O227" i="29"/>
  <c r="F248" i="50" s="1"/>
  <c r="J248" i="50" s="1"/>
  <c r="J50" i="53" s="1"/>
  <c r="O217" i="29"/>
  <c r="F238" i="50" s="1"/>
  <c r="J238" i="50" s="1"/>
  <c r="O213" i="29"/>
  <c r="F234" i="50" s="1"/>
  <c r="J234" i="50" s="1"/>
  <c r="O206" i="29"/>
  <c r="O202" i="29"/>
  <c r="F219" i="50" s="1"/>
  <c r="J219" i="50" s="1"/>
  <c r="N38" i="52" s="1"/>
  <c r="O198" i="29"/>
  <c r="F215" i="50" s="1"/>
  <c r="J215" i="50" s="1"/>
  <c r="N35" i="52" s="1"/>
  <c r="O194" i="29"/>
  <c r="O190" i="29"/>
  <c r="F207" i="50" s="1"/>
  <c r="J207" i="50" s="1"/>
  <c r="N21" i="52" s="1"/>
  <c r="O186" i="29"/>
  <c r="F203" i="50" s="1"/>
  <c r="O180" i="29"/>
  <c r="F195" i="50" s="1"/>
  <c r="J195" i="50" s="1"/>
  <c r="L38" i="52" s="1"/>
  <c r="O176" i="29"/>
  <c r="F191" i="50" s="1"/>
  <c r="J191" i="50" s="1"/>
  <c r="L35" i="52" s="1"/>
  <c r="O169" i="29"/>
  <c r="F184" i="50" s="1"/>
  <c r="J184" i="50" s="1"/>
  <c r="L22" i="52" s="1"/>
  <c r="O165" i="29"/>
  <c r="F180" i="50" s="1"/>
  <c r="J180" i="50" s="1"/>
  <c r="L18" i="52" s="1"/>
  <c r="O161" i="29"/>
  <c r="O156" i="29"/>
  <c r="F169" i="50" s="1"/>
  <c r="J169" i="50" s="1"/>
  <c r="K36" i="52" s="1"/>
  <c r="O152" i="29"/>
  <c r="F165" i="50" s="1"/>
  <c r="J165" i="50" s="1"/>
  <c r="K32" i="52" s="1"/>
  <c r="O148" i="29"/>
  <c r="F161" i="50" s="1"/>
  <c r="J161" i="50" s="1"/>
  <c r="K23" i="52" s="1"/>
  <c r="O143" i="29"/>
  <c r="F156" i="50" s="1"/>
  <c r="O110" i="29"/>
  <c r="F119" i="50" s="1"/>
  <c r="J119" i="50" s="1"/>
  <c r="I35" i="52" s="1"/>
  <c r="O102" i="29"/>
  <c r="F111" i="50" s="1"/>
  <c r="J111" i="50" s="1"/>
  <c r="I21" i="52" s="1"/>
  <c r="O97" i="29"/>
  <c r="F106" i="50" s="1"/>
  <c r="J106" i="50" s="1"/>
  <c r="I16" i="52" s="1"/>
  <c r="O91" i="29"/>
  <c r="F98" i="50" s="1"/>
  <c r="J98" i="50" s="1"/>
  <c r="H37" i="52" s="1"/>
  <c r="O87" i="29"/>
  <c r="F94" i="50" s="1"/>
  <c r="O79" i="29"/>
  <c r="F86" i="50" s="1"/>
  <c r="J86" i="50" s="1"/>
  <c r="H20" i="52" s="1"/>
  <c r="O75" i="29"/>
  <c r="F82" i="50" s="1"/>
  <c r="J82" i="50" s="1"/>
  <c r="H16" i="52" s="1"/>
  <c r="O71" i="29"/>
  <c r="F76" i="50" s="1"/>
  <c r="O67" i="29"/>
  <c r="F72" i="50" s="1"/>
  <c r="J72" i="50" s="1"/>
  <c r="G34" i="52" s="1"/>
  <c r="O60" i="29"/>
  <c r="F65" i="50" s="1"/>
  <c r="J65" i="50" s="1"/>
  <c r="G23" i="52" s="1"/>
  <c r="O55" i="29"/>
  <c r="F60" i="50" s="1"/>
  <c r="J60" i="50" s="1"/>
  <c r="G18" i="52" s="1"/>
  <c r="O49" i="29"/>
  <c r="F52" i="50" s="1"/>
  <c r="J52" i="50" s="1"/>
  <c r="F39" i="52" s="1"/>
  <c r="O45" i="29"/>
  <c r="F48" i="50" s="1"/>
  <c r="J48" i="50" s="1"/>
  <c r="F34" i="52" s="1"/>
  <c r="O38" i="29"/>
  <c r="F41" i="50" s="1"/>
  <c r="J41" i="50" s="1"/>
  <c r="F23" i="52" s="1"/>
  <c r="O29" i="29"/>
  <c r="O24" i="29"/>
  <c r="F25" i="50" s="1"/>
  <c r="J25" i="50" s="1"/>
  <c r="E36" i="52" s="1"/>
  <c r="O20" i="29"/>
  <c r="F21" i="50" s="1"/>
  <c r="J21" i="50" s="1"/>
  <c r="E32" i="52" s="1"/>
  <c r="O8" i="29"/>
  <c r="F9" i="50" s="1"/>
  <c r="J9" i="50" s="1"/>
  <c r="E15" i="52" s="1"/>
  <c r="G553" i="13"/>
  <c r="AE436" i="29"/>
  <c r="AE431" i="29"/>
  <c r="G540" i="13"/>
  <c r="K540" i="13" s="1"/>
  <c r="AE427" i="29"/>
  <c r="AE415" i="29"/>
  <c r="G501" i="13"/>
  <c r="AE411" i="29"/>
  <c r="G495" i="13"/>
  <c r="AE407" i="29"/>
  <c r="G492" i="13"/>
  <c r="AE403" i="29"/>
  <c r="G488" i="13"/>
  <c r="AE399" i="29"/>
  <c r="G480" i="13"/>
  <c r="AE395" i="29"/>
  <c r="G476" i="13"/>
  <c r="AE391" i="29"/>
  <c r="G472" i="13"/>
  <c r="AE387" i="29"/>
  <c r="G468" i="13"/>
  <c r="AE383" i="29"/>
  <c r="G464" i="13"/>
  <c r="AE379" i="29"/>
  <c r="G456" i="13"/>
  <c r="AE373" i="29"/>
  <c r="G452" i="13"/>
  <c r="AE369" i="29"/>
  <c r="G448" i="13"/>
  <c r="AE365" i="29"/>
  <c r="G428" i="13"/>
  <c r="AE360" i="29"/>
  <c r="G424" i="13"/>
  <c r="AE356" i="29"/>
  <c r="G420" i="13"/>
  <c r="K420" i="13" s="1"/>
  <c r="AE352" i="29"/>
  <c r="G412" i="13"/>
  <c r="AE344" i="29"/>
  <c r="G404" i="13"/>
  <c r="AE339" i="29"/>
  <c r="G400" i="13"/>
  <c r="AE335" i="29"/>
  <c r="G396" i="13"/>
  <c r="AE331" i="29"/>
  <c r="G441" i="13"/>
  <c r="AE327" i="29"/>
  <c r="G389" i="13"/>
  <c r="AE323" i="29"/>
  <c r="G374" i="13"/>
  <c r="AE317" i="29"/>
  <c r="G370" i="13"/>
  <c r="AE313" i="29"/>
  <c r="G328" i="13"/>
  <c r="AE309" i="29"/>
  <c r="G363" i="13"/>
  <c r="AE305" i="29"/>
  <c r="G355" i="13"/>
  <c r="G351" i="13"/>
  <c r="AE296" i="29"/>
  <c r="G347" i="13"/>
  <c r="AE292" i="29"/>
  <c r="G343" i="13"/>
  <c r="AE288" i="29"/>
  <c r="G312" i="13"/>
  <c r="AE277" i="29"/>
  <c r="G308" i="13"/>
  <c r="AE273" i="29"/>
  <c r="G304" i="13"/>
  <c r="AE269" i="29"/>
  <c r="G300" i="13"/>
  <c r="AE265" i="29"/>
  <c r="G293" i="13"/>
  <c r="AE261" i="29"/>
  <c r="G286" i="13"/>
  <c r="AE257" i="29"/>
  <c r="G277" i="13"/>
  <c r="AE253" i="29"/>
  <c r="G273" i="13"/>
  <c r="AE249" i="29"/>
  <c r="G265" i="13"/>
  <c r="AE241" i="29"/>
  <c r="G261" i="13"/>
  <c r="AE237" i="29"/>
  <c r="G257" i="13"/>
  <c r="AE233" i="29"/>
  <c r="U233" i="29"/>
  <c r="G257" i="50" s="1"/>
  <c r="K257" i="50" s="1"/>
  <c r="O47" i="52" s="1"/>
  <c r="G250" i="13"/>
  <c r="AE229" i="29"/>
  <c r="U229" i="29"/>
  <c r="G250" i="50" s="1"/>
  <c r="K250" i="50" s="1"/>
  <c r="G246" i="13"/>
  <c r="AE225" i="29"/>
  <c r="U225" i="29"/>
  <c r="G246" i="50" s="1"/>
  <c r="K246" i="50" s="1"/>
  <c r="G242" i="13"/>
  <c r="AE221" i="29"/>
  <c r="G238" i="13"/>
  <c r="AE217" i="29"/>
  <c r="G234" i="13"/>
  <c r="AE213" i="29"/>
  <c r="G226" i="13"/>
  <c r="AE207" i="29"/>
  <c r="U207" i="29"/>
  <c r="G226" i="50" s="1"/>
  <c r="K226" i="50" s="1"/>
  <c r="AE204" i="29"/>
  <c r="G223" i="13"/>
  <c r="G217" i="13"/>
  <c r="AE200" i="29"/>
  <c r="U200" i="29"/>
  <c r="G217" i="50" s="1"/>
  <c r="K217" i="50" s="1"/>
  <c r="N75" i="52" s="1"/>
  <c r="G213" i="13"/>
  <c r="AE196" i="29"/>
  <c r="U196" i="29"/>
  <c r="G213" i="50" s="1"/>
  <c r="K213" i="50" s="1"/>
  <c r="N71" i="52" s="1"/>
  <c r="G209" i="13"/>
  <c r="AE192" i="29"/>
  <c r="U192" i="29"/>
  <c r="G209" i="50" s="1"/>
  <c r="K209" i="50" s="1"/>
  <c r="N59" i="52" s="1"/>
  <c r="G205" i="13"/>
  <c r="AE188" i="29"/>
  <c r="U188" i="29"/>
  <c r="G205" i="50" s="1"/>
  <c r="A205" i="50" s="1"/>
  <c r="G201" i="13"/>
  <c r="AE184" i="29"/>
  <c r="U184" i="29"/>
  <c r="G201" i="50" s="1"/>
  <c r="K201" i="50" s="1"/>
  <c r="N51" i="52" s="1"/>
  <c r="G195" i="13"/>
  <c r="AE180" i="29"/>
  <c r="U180" i="29"/>
  <c r="G195" i="50" s="1"/>
  <c r="K195" i="50" s="1"/>
  <c r="L77" i="52" s="1"/>
  <c r="G191" i="13"/>
  <c r="AE176" i="29"/>
  <c r="U176" i="29"/>
  <c r="G191" i="50" s="1"/>
  <c r="K191" i="50" s="1"/>
  <c r="AE172" i="29"/>
  <c r="U172" i="29"/>
  <c r="G183" i="13"/>
  <c r="AE168" i="29"/>
  <c r="U168" i="29"/>
  <c r="G183" i="50" s="1"/>
  <c r="K183" i="50" s="1"/>
  <c r="G179" i="13"/>
  <c r="AE164" i="29"/>
  <c r="U164" i="29"/>
  <c r="G179" i="50" s="1"/>
  <c r="K179" i="50" s="1"/>
  <c r="L53" i="52" s="1"/>
  <c r="G169" i="13"/>
  <c r="AE156" i="29"/>
  <c r="U156" i="29"/>
  <c r="G169" i="50" s="1"/>
  <c r="K169" i="50" s="1"/>
  <c r="K75" i="52" s="1"/>
  <c r="G165" i="13"/>
  <c r="AE152" i="29"/>
  <c r="U152" i="29"/>
  <c r="G165" i="50" s="1"/>
  <c r="K165" i="50" s="1"/>
  <c r="K71" i="52" s="1"/>
  <c r="G161" i="13"/>
  <c r="AE148" i="29"/>
  <c r="U148" i="29"/>
  <c r="G161" i="50" s="1"/>
  <c r="G157" i="13"/>
  <c r="AE144" i="29"/>
  <c r="U144" i="29"/>
  <c r="G157" i="50" s="1"/>
  <c r="K157" i="50" s="1"/>
  <c r="K55" i="52" s="1"/>
  <c r="G153" i="13"/>
  <c r="AE140" i="29"/>
  <c r="U140" i="29"/>
  <c r="G153" i="50" s="1"/>
  <c r="K153" i="50" s="1"/>
  <c r="K51" i="52" s="1"/>
  <c r="G147" i="13"/>
  <c r="AE136" i="29"/>
  <c r="U136" i="29"/>
  <c r="G147" i="50" s="1"/>
  <c r="K147" i="50" s="1"/>
  <c r="J77" i="52" s="1"/>
  <c r="G143" i="13"/>
  <c r="AE132" i="29"/>
  <c r="U132" i="29"/>
  <c r="G143" i="50" s="1"/>
  <c r="K143" i="50" s="1"/>
  <c r="J74" i="52" s="1"/>
  <c r="AE128" i="29"/>
  <c r="U128" i="29"/>
  <c r="G135" i="13"/>
  <c r="AE124" i="29"/>
  <c r="U124" i="29"/>
  <c r="G135" i="50" s="1"/>
  <c r="K135" i="50" s="1"/>
  <c r="J57" i="52" s="1"/>
  <c r="G131" i="13"/>
  <c r="AE120" i="29"/>
  <c r="U120" i="29"/>
  <c r="G131" i="50" s="1"/>
  <c r="K131" i="50" s="1"/>
  <c r="J53" i="52" s="1"/>
  <c r="G121" i="13"/>
  <c r="AE112" i="29"/>
  <c r="U112" i="29"/>
  <c r="G121" i="50" s="1"/>
  <c r="K121" i="50" s="1"/>
  <c r="I75" i="52" s="1"/>
  <c r="G117" i="13"/>
  <c r="AE108" i="29"/>
  <c r="U108" i="29"/>
  <c r="G117" i="50" s="1"/>
  <c r="A117" i="50" s="1"/>
  <c r="G113" i="13"/>
  <c r="AE104" i="29"/>
  <c r="U104" i="29"/>
  <c r="G113" i="50" s="1"/>
  <c r="K113" i="50" s="1"/>
  <c r="I59" i="52" s="1"/>
  <c r="G109" i="13"/>
  <c r="AE100" i="29"/>
  <c r="U100" i="29"/>
  <c r="G109" i="50" s="1"/>
  <c r="K109" i="50" s="1"/>
  <c r="I54" i="52" s="1"/>
  <c r="G105" i="13"/>
  <c r="AE96" i="29"/>
  <c r="U96" i="29"/>
  <c r="G105" i="50" s="1"/>
  <c r="K105" i="50" s="1"/>
  <c r="I51" i="52" s="1"/>
  <c r="G99" i="13"/>
  <c r="AE92" i="29"/>
  <c r="U92" i="29"/>
  <c r="G99" i="50" s="1"/>
  <c r="K99" i="50" s="1"/>
  <c r="H77" i="52" s="1"/>
  <c r="G95" i="13"/>
  <c r="AE88" i="29"/>
  <c r="U88" i="29"/>
  <c r="G95" i="50" s="1"/>
  <c r="K95" i="50" s="1"/>
  <c r="H74" i="52" s="1"/>
  <c r="AE84" i="29"/>
  <c r="U84" i="29"/>
  <c r="G87" i="13"/>
  <c r="AE80" i="29"/>
  <c r="U80" i="29"/>
  <c r="G87" i="50" s="1"/>
  <c r="K87" i="50" s="1"/>
  <c r="H57" i="52" s="1"/>
  <c r="G83" i="13"/>
  <c r="AE76" i="29"/>
  <c r="U76" i="29"/>
  <c r="G83" i="50" s="1"/>
  <c r="K83" i="50" s="1"/>
  <c r="H53" i="52" s="1"/>
  <c r="G79" i="13"/>
  <c r="AE72" i="29"/>
  <c r="U72" i="29"/>
  <c r="G79" i="50" s="1"/>
  <c r="K79" i="50" s="1"/>
  <c r="H47" i="52" s="1"/>
  <c r="G73" i="13"/>
  <c r="AE68" i="29"/>
  <c r="U68" i="29"/>
  <c r="G73" i="50" s="1"/>
  <c r="K73" i="50" s="1"/>
  <c r="G75" i="52" s="1"/>
  <c r="G69" i="13"/>
  <c r="AE64" i="29"/>
  <c r="U64" i="29"/>
  <c r="G69" i="50" s="1"/>
  <c r="K69" i="50" s="1"/>
  <c r="G71" i="52" s="1"/>
  <c r="G65" i="13"/>
  <c r="AE60" i="29"/>
  <c r="U60" i="29"/>
  <c r="G65" i="50" s="1"/>
  <c r="K65" i="50" s="1"/>
  <c r="G59" i="52" s="1"/>
  <c r="G61" i="13"/>
  <c r="AE56" i="29"/>
  <c r="U56" i="29"/>
  <c r="G61" i="50" s="1"/>
  <c r="K61" i="50" s="1"/>
  <c r="G55" i="52" s="1"/>
  <c r="G57" i="13"/>
  <c r="AE52" i="29"/>
  <c r="U52" i="29"/>
  <c r="G57" i="50" s="1"/>
  <c r="K57" i="50" s="1"/>
  <c r="G51" i="52" s="1"/>
  <c r="G51" i="13"/>
  <c r="AE48" i="29"/>
  <c r="U48" i="29"/>
  <c r="G51" i="50" s="1"/>
  <c r="K51" i="50" s="1"/>
  <c r="F77" i="52" s="1"/>
  <c r="G47" i="13"/>
  <c r="AE44" i="29"/>
  <c r="U44" i="29"/>
  <c r="G47" i="50" s="1"/>
  <c r="K47" i="50" s="1"/>
  <c r="F74" i="52" s="1"/>
  <c r="AE40" i="29"/>
  <c r="U40" i="29"/>
  <c r="G39" i="13"/>
  <c r="AE36" i="29"/>
  <c r="U36" i="29"/>
  <c r="G39" i="50" s="1"/>
  <c r="K39" i="50" s="1"/>
  <c r="F57" i="52" s="1"/>
  <c r="G35" i="13"/>
  <c r="AE32" i="29"/>
  <c r="U32" i="29"/>
  <c r="G35" i="50" s="1"/>
  <c r="K35" i="50" s="1"/>
  <c r="F53" i="52" s="1"/>
  <c r="G31" i="13"/>
  <c r="U28" i="29"/>
  <c r="G31" i="50" s="1"/>
  <c r="K31" i="50" s="1"/>
  <c r="F47" i="52" s="1"/>
  <c r="G25" i="13"/>
  <c r="AE24" i="29"/>
  <c r="U24" i="29"/>
  <c r="G25" i="50" s="1"/>
  <c r="K25" i="50" s="1"/>
  <c r="E75" i="52" s="1"/>
  <c r="G21" i="13"/>
  <c r="AE20" i="29"/>
  <c r="U20" i="29"/>
  <c r="G21" i="50" s="1"/>
  <c r="K21" i="50" s="1"/>
  <c r="E71" i="52" s="1"/>
  <c r="G17" i="13"/>
  <c r="AE16" i="29"/>
  <c r="U16" i="29"/>
  <c r="G17" i="50" s="1"/>
  <c r="K17" i="50" s="1"/>
  <c r="E59" i="52" s="1"/>
  <c r="G13" i="13"/>
  <c r="AE12" i="29"/>
  <c r="U12" i="29"/>
  <c r="G13" i="50" s="1"/>
  <c r="K13" i="50" s="1"/>
  <c r="E55" i="52" s="1"/>
  <c r="G9" i="13"/>
  <c r="AE8" i="29"/>
  <c r="U8" i="29"/>
  <c r="G9" i="50" s="1"/>
  <c r="K9" i="50" s="1"/>
  <c r="E51" i="52" s="1"/>
  <c r="U434" i="29"/>
  <c r="G551" i="50" s="1"/>
  <c r="K551" i="50" s="1"/>
  <c r="K357" i="53" s="1"/>
  <c r="K360" i="53" s="1"/>
  <c r="H150" i="8" s="1"/>
  <c r="U420" i="29"/>
  <c r="U416" i="29"/>
  <c r="G506" i="50" s="1"/>
  <c r="K506" i="50" s="1"/>
  <c r="K285" i="46" s="1"/>
  <c r="U412" i="29"/>
  <c r="G502" i="50" s="1"/>
  <c r="K502" i="50" s="1"/>
  <c r="K281" i="46" s="1"/>
  <c r="U407" i="29"/>
  <c r="G495" i="50" s="1"/>
  <c r="K495" i="50" s="1"/>
  <c r="K271" i="46" s="1"/>
  <c r="U403" i="29"/>
  <c r="G492" i="50" s="1"/>
  <c r="K492" i="50" s="1"/>
  <c r="K268" i="46" s="1"/>
  <c r="U399" i="29"/>
  <c r="G488" i="50" s="1"/>
  <c r="K488" i="50" s="1"/>
  <c r="K263" i="46" s="1"/>
  <c r="U385" i="29"/>
  <c r="G470" i="50" s="1"/>
  <c r="K470" i="50" s="1"/>
  <c r="U380" i="29"/>
  <c r="G465" i="50" s="1"/>
  <c r="K465" i="50" s="1"/>
  <c r="U373" i="29"/>
  <c r="G456" i="50" s="1"/>
  <c r="K456" i="50" s="1"/>
  <c r="J204" i="46" s="1"/>
  <c r="U369" i="29"/>
  <c r="G452" i="50" s="1"/>
  <c r="K452" i="50" s="1"/>
  <c r="J200" i="46" s="1"/>
  <c r="U365" i="29"/>
  <c r="G448" i="50" s="1"/>
  <c r="U360" i="29"/>
  <c r="G428" i="50" s="1"/>
  <c r="K428" i="50" s="1"/>
  <c r="U356" i="29"/>
  <c r="G424" i="50" s="1"/>
  <c r="K424" i="50" s="1"/>
  <c r="U346" i="29"/>
  <c r="G414" i="50" s="1"/>
  <c r="K414" i="50" s="1"/>
  <c r="U340" i="29"/>
  <c r="G405" i="50" s="1"/>
  <c r="K405" i="50" s="1"/>
  <c r="J188" i="46" s="1"/>
  <c r="U336" i="29"/>
  <c r="G401" i="50" s="1"/>
  <c r="K401" i="50" s="1"/>
  <c r="U332" i="29"/>
  <c r="G397" i="50" s="1"/>
  <c r="A397" i="50" s="1"/>
  <c r="U328" i="29"/>
  <c r="G442" i="50" s="1"/>
  <c r="K442" i="50" s="1"/>
  <c r="U324" i="29"/>
  <c r="G390" i="50" s="1"/>
  <c r="K390" i="50" s="1"/>
  <c r="U318" i="29"/>
  <c r="G375" i="50" s="1"/>
  <c r="K375" i="50" s="1"/>
  <c r="U314" i="29"/>
  <c r="G371" i="50" s="1"/>
  <c r="K371" i="50" s="1"/>
  <c r="U306" i="29"/>
  <c r="G325" i="50" s="1"/>
  <c r="K325" i="50" s="1"/>
  <c r="U301" i="29"/>
  <c r="G356" i="50" s="1"/>
  <c r="K356" i="50" s="1"/>
  <c r="J165" i="46" s="1"/>
  <c r="U297" i="29"/>
  <c r="G352" i="50" s="1"/>
  <c r="K352" i="50" s="1"/>
  <c r="J161" i="46" s="1"/>
  <c r="U293" i="29"/>
  <c r="G348" i="50" s="1"/>
  <c r="K348" i="50" s="1"/>
  <c r="J157" i="46" s="1"/>
  <c r="U289" i="29"/>
  <c r="G344" i="50" s="1"/>
  <c r="K344" i="50" s="1"/>
  <c r="J153" i="46" s="1"/>
  <c r="U285" i="29"/>
  <c r="G337" i="50" s="1"/>
  <c r="K337" i="50" s="1"/>
  <c r="U281" i="29"/>
  <c r="G333" i="50" s="1"/>
  <c r="K333" i="50" s="1"/>
  <c r="U274" i="29"/>
  <c r="G309" i="50" s="1"/>
  <c r="K309" i="50" s="1"/>
  <c r="J141" i="46" s="1"/>
  <c r="U270" i="29"/>
  <c r="G305" i="50" s="1"/>
  <c r="K305" i="50" s="1"/>
  <c r="J137" i="46" s="1"/>
  <c r="U266" i="29"/>
  <c r="G301" i="50" s="1"/>
  <c r="K301" i="50" s="1"/>
  <c r="J133" i="46" s="1"/>
  <c r="U262" i="29"/>
  <c r="G294" i="50" s="1"/>
  <c r="K294" i="50" s="1"/>
  <c r="U257" i="29"/>
  <c r="G286" i="50" s="1"/>
  <c r="K286" i="50" s="1"/>
  <c r="U251" i="29"/>
  <c r="G275" i="50" s="1"/>
  <c r="K275" i="50" s="1"/>
  <c r="O75" i="52" s="1"/>
  <c r="U246" i="29"/>
  <c r="G270" i="50" s="1"/>
  <c r="K270" i="50" s="1"/>
  <c r="O70" i="52" s="1"/>
  <c r="U241" i="29"/>
  <c r="G265" i="50" s="1"/>
  <c r="K265" i="50" s="1"/>
  <c r="O57" i="52" s="1"/>
  <c r="U235" i="29"/>
  <c r="G259" i="50" s="1"/>
  <c r="K259" i="50" s="1"/>
  <c r="O51" i="52" s="1"/>
  <c r="U227" i="29"/>
  <c r="G248" i="50" s="1"/>
  <c r="K248" i="50" s="1"/>
  <c r="K50" i="53" s="1"/>
  <c r="U218" i="29"/>
  <c r="G239" i="50" s="1"/>
  <c r="K239" i="50" s="1"/>
  <c r="F477" i="13"/>
  <c r="AD392" i="29"/>
  <c r="F468" i="13"/>
  <c r="AD383" i="29"/>
  <c r="F463" i="13"/>
  <c r="AD378" i="29"/>
  <c r="F454" i="13"/>
  <c r="AD371" i="29"/>
  <c r="F450" i="13"/>
  <c r="AD367" i="29"/>
  <c r="AD362" i="29"/>
  <c r="AD320" i="29"/>
  <c r="F373" i="13"/>
  <c r="AD316" i="29"/>
  <c r="F369" i="13"/>
  <c r="AD312" i="29"/>
  <c r="F327" i="13"/>
  <c r="AD308" i="29"/>
  <c r="F354" i="13"/>
  <c r="AD299" i="29"/>
  <c r="F350" i="13"/>
  <c r="AD295" i="29"/>
  <c r="F311" i="13"/>
  <c r="AD276" i="29"/>
  <c r="F307" i="13"/>
  <c r="AD272" i="29"/>
  <c r="F303" i="13"/>
  <c r="AD268" i="29"/>
  <c r="F299" i="13"/>
  <c r="AD264" i="29"/>
  <c r="F292" i="13"/>
  <c r="AD260" i="29"/>
  <c r="F285" i="13"/>
  <c r="AD256" i="29"/>
  <c r="F276" i="13"/>
  <c r="AD252" i="29"/>
  <c r="F272" i="13"/>
  <c r="AD248" i="29"/>
  <c r="F264" i="13"/>
  <c r="AD240" i="29"/>
  <c r="F260" i="13"/>
  <c r="AD236" i="29"/>
  <c r="F253" i="13"/>
  <c r="AD232" i="29"/>
  <c r="F249" i="13"/>
  <c r="AD228" i="29"/>
  <c r="F240" i="13"/>
  <c r="AD219" i="29"/>
  <c r="F236" i="13"/>
  <c r="AD215" i="29"/>
  <c r="AD210" i="29"/>
  <c r="F227" i="13"/>
  <c r="AD208" i="29"/>
  <c r="F217" i="13"/>
  <c r="AD200" i="29"/>
  <c r="F213" i="13"/>
  <c r="AD196" i="29"/>
  <c r="F209" i="13"/>
  <c r="AD192" i="29"/>
  <c r="F205" i="13"/>
  <c r="AD188" i="29"/>
  <c r="F201" i="13"/>
  <c r="AD184" i="29"/>
  <c r="F194" i="13"/>
  <c r="AD179" i="29"/>
  <c r="F190" i="13"/>
  <c r="AD175" i="29"/>
  <c r="F182" i="13"/>
  <c r="AD167" i="29"/>
  <c r="F178" i="13"/>
  <c r="AD163" i="29"/>
  <c r="F171" i="13"/>
  <c r="AD158" i="29"/>
  <c r="F167" i="13"/>
  <c r="AD154" i="29"/>
  <c r="F159" i="13"/>
  <c r="AD146" i="29"/>
  <c r="F155" i="13"/>
  <c r="AD142" i="29"/>
  <c r="F148" i="13"/>
  <c r="AD137" i="29"/>
  <c r="F144" i="13"/>
  <c r="AD133" i="29"/>
  <c r="F140" i="13"/>
  <c r="AD129" i="29"/>
  <c r="F136" i="13"/>
  <c r="AD125" i="29"/>
  <c r="F132" i="13"/>
  <c r="AD121" i="29"/>
  <c r="F128" i="13"/>
  <c r="F139" i="13"/>
  <c r="AD117" i="29"/>
  <c r="F117" i="13"/>
  <c r="AD108" i="29"/>
  <c r="F108" i="13"/>
  <c r="AD99" i="29"/>
  <c r="F115" i="13"/>
  <c r="F104" i="13"/>
  <c r="AD95" i="29"/>
  <c r="F97" i="13"/>
  <c r="AD90" i="29"/>
  <c r="F93" i="13"/>
  <c r="AD86" i="29"/>
  <c r="F89" i="13"/>
  <c r="AD82" i="29"/>
  <c r="F85" i="13"/>
  <c r="AD78" i="29"/>
  <c r="F81" i="13"/>
  <c r="AD74" i="29"/>
  <c r="F75" i="13"/>
  <c r="AD70" i="29"/>
  <c r="F71" i="13"/>
  <c r="AD66" i="29"/>
  <c r="F62" i="13"/>
  <c r="AD57" i="29"/>
  <c r="F58" i="13"/>
  <c r="AD53" i="29"/>
  <c r="F51" i="13"/>
  <c r="AD48" i="29"/>
  <c r="F47" i="13"/>
  <c r="AD44" i="29"/>
  <c r="AD35" i="29"/>
  <c r="F27" i="13"/>
  <c r="AD26" i="29"/>
  <c r="F23" i="13"/>
  <c r="AD22" i="29"/>
  <c r="F15" i="13"/>
  <c r="AD14" i="29"/>
  <c r="O383" i="29"/>
  <c r="F468" i="50" s="1"/>
  <c r="A468" i="50" s="1"/>
  <c r="O311" i="29"/>
  <c r="F368" i="50" s="1"/>
  <c r="J368" i="50" s="1"/>
  <c r="O307" i="29"/>
  <c r="F326" i="50" s="1"/>
  <c r="J326" i="50" s="1"/>
  <c r="O294" i="29"/>
  <c r="F349" i="50" s="1"/>
  <c r="J349" i="50" s="1"/>
  <c r="I158" i="46" s="1"/>
  <c r="O275" i="29"/>
  <c r="F310" i="50" s="1"/>
  <c r="J310" i="50" s="1"/>
  <c r="I142" i="46" s="1"/>
  <c r="O271" i="29"/>
  <c r="F306" i="50" s="1"/>
  <c r="J306" i="50" s="1"/>
  <c r="I138" i="46" s="1"/>
  <c r="O220" i="29"/>
  <c r="F241" i="50" s="1"/>
  <c r="J241" i="50" s="1"/>
  <c r="O216" i="29"/>
  <c r="F237" i="50" s="1"/>
  <c r="O212" i="29"/>
  <c r="O209" i="29"/>
  <c r="F228" i="50" s="1"/>
  <c r="O205" i="29"/>
  <c r="F224" i="50" s="1"/>
  <c r="J224" i="50" s="1"/>
  <c r="J88" i="53" s="1"/>
  <c r="O201" i="29"/>
  <c r="F218" i="50" s="1"/>
  <c r="J218" i="50" s="1"/>
  <c r="N37" i="52" s="1"/>
  <c r="O197" i="29"/>
  <c r="F214" i="50" s="1"/>
  <c r="J214" i="50" s="1"/>
  <c r="N33" i="52" s="1"/>
  <c r="O189" i="29"/>
  <c r="F206" i="50" s="1"/>
  <c r="J206" i="50" s="1"/>
  <c r="N20" i="52" s="1"/>
  <c r="O185" i="29"/>
  <c r="F202" i="50" s="1"/>
  <c r="J202" i="50" s="1"/>
  <c r="N16" i="52" s="1"/>
  <c r="O179" i="29"/>
  <c r="F194" i="50" s="1"/>
  <c r="J194" i="50" s="1"/>
  <c r="L37" i="52" s="1"/>
  <c r="O175" i="29"/>
  <c r="F190" i="50" s="1"/>
  <c r="J190" i="50" s="1"/>
  <c r="L33" i="52" s="1"/>
  <c r="O168" i="29"/>
  <c r="F183" i="50" s="1"/>
  <c r="J183" i="50" s="1"/>
  <c r="L21" i="52" s="1"/>
  <c r="O164" i="29"/>
  <c r="F179" i="50" s="1"/>
  <c r="J179" i="50" s="1"/>
  <c r="L17" i="52" s="1"/>
  <c r="O159" i="29"/>
  <c r="F172" i="50" s="1"/>
  <c r="J172" i="50" s="1"/>
  <c r="K39" i="52" s="1"/>
  <c r="O155" i="29"/>
  <c r="F168" i="50" s="1"/>
  <c r="O151" i="29"/>
  <c r="F164" i="50" s="1"/>
  <c r="J164" i="50" s="1"/>
  <c r="K31" i="52" s="1"/>
  <c r="O146" i="29"/>
  <c r="F159" i="50" s="1"/>
  <c r="J159" i="50" s="1"/>
  <c r="K21" i="52" s="1"/>
  <c r="O142" i="29"/>
  <c r="F155" i="50" s="1"/>
  <c r="J155" i="50" s="1"/>
  <c r="K17" i="52" s="1"/>
  <c r="O136" i="29"/>
  <c r="F147" i="50" s="1"/>
  <c r="J147" i="50" s="1"/>
  <c r="J38" i="52" s="1"/>
  <c r="O132" i="29"/>
  <c r="F143" i="50" s="1"/>
  <c r="J143" i="50" s="1"/>
  <c r="J35" i="52" s="1"/>
  <c r="O128" i="29"/>
  <c r="O124" i="29"/>
  <c r="F135" i="50" s="1"/>
  <c r="J135" i="50" s="1"/>
  <c r="J21" i="52" s="1"/>
  <c r="O120" i="29"/>
  <c r="F131" i="50" s="1"/>
  <c r="J131" i="50" s="1"/>
  <c r="J17" i="52" s="1"/>
  <c r="O114" i="29"/>
  <c r="F123" i="50" s="1"/>
  <c r="O109" i="29"/>
  <c r="F118" i="50" s="1"/>
  <c r="J118" i="50" s="1"/>
  <c r="I33" i="52" s="1"/>
  <c r="O101" i="29"/>
  <c r="F110" i="50" s="1"/>
  <c r="J110" i="50" s="1"/>
  <c r="I19" i="52" s="1"/>
  <c r="O95" i="29"/>
  <c r="O90" i="29"/>
  <c r="F97" i="50" s="1"/>
  <c r="J97" i="50" s="1"/>
  <c r="H36" i="52" s="1"/>
  <c r="O86" i="29"/>
  <c r="F93" i="50" s="1"/>
  <c r="O82" i="29"/>
  <c r="F89" i="50" s="1"/>
  <c r="J89" i="50" s="1"/>
  <c r="H23" i="52" s="1"/>
  <c r="O78" i="29"/>
  <c r="F85" i="50" s="1"/>
  <c r="J85" i="50" s="1"/>
  <c r="H19" i="52" s="1"/>
  <c r="O74" i="29"/>
  <c r="F81" i="50" s="1"/>
  <c r="J81" i="50" s="1"/>
  <c r="H15" i="52" s="1"/>
  <c r="O70" i="29"/>
  <c r="F75" i="50" s="1"/>
  <c r="J75" i="50" s="1"/>
  <c r="G38" i="52" s="1"/>
  <c r="O66" i="29"/>
  <c r="F71" i="50" s="1"/>
  <c r="J71" i="50" s="1"/>
  <c r="G35" i="52" s="1"/>
  <c r="O58" i="29"/>
  <c r="F63" i="50" s="1"/>
  <c r="O54" i="29"/>
  <c r="F59" i="50" s="1"/>
  <c r="J59" i="50" s="1"/>
  <c r="G17" i="52" s="1"/>
  <c r="O48" i="29"/>
  <c r="F51" i="50" s="1"/>
  <c r="J51" i="50" s="1"/>
  <c r="F38" i="52" s="1"/>
  <c r="O44" i="29"/>
  <c r="F47" i="50" s="1"/>
  <c r="J47" i="50" s="1"/>
  <c r="F35" i="52" s="1"/>
  <c r="O36" i="29"/>
  <c r="F39" i="50" s="1"/>
  <c r="J39" i="50" s="1"/>
  <c r="F21" i="52" s="1"/>
  <c r="O27" i="29"/>
  <c r="F28" i="50" s="1"/>
  <c r="J28" i="50" s="1"/>
  <c r="E39" i="52" s="1"/>
  <c r="O23" i="29"/>
  <c r="F24" i="50" s="1"/>
  <c r="J24" i="50" s="1"/>
  <c r="E34" i="52" s="1"/>
  <c r="O19" i="29"/>
  <c r="F20" i="50" s="1"/>
  <c r="J20" i="50" s="1"/>
  <c r="O12" i="29"/>
  <c r="F13" i="50" s="1"/>
  <c r="J13" i="50" s="1"/>
  <c r="E19" i="52" s="1"/>
  <c r="O7" i="29"/>
  <c r="G508" i="13"/>
  <c r="AE418" i="29"/>
  <c r="G504" i="13"/>
  <c r="AE414" i="29"/>
  <c r="G494" i="13"/>
  <c r="AE406" i="29"/>
  <c r="G489" i="13"/>
  <c r="AE402" i="29"/>
  <c r="G487" i="13"/>
  <c r="AE398" i="29"/>
  <c r="G479" i="13"/>
  <c r="AE394" i="29"/>
  <c r="G475" i="13"/>
  <c r="AE390" i="29"/>
  <c r="G467" i="13"/>
  <c r="AE382" i="29"/>
  <c r="G463" i="13"/>
  <c r="AE378" i="29"/>
  <c r="G455" i="13"/>
  <c r="AE372" i="29"/>
  <c r="G451" i="13"/>
  <c r="AE368" i="29"/>
  <c r="G447" i="13"/>
  <c r="AE364" i="29"/>
  <c r="G427" i="13"/>
  <c r="AE359" i="29"/>
  <c r="G423" i="13"/>
  <c r="AE355" i="29"/>
  <c r="G419" i="13"/>
  <c r="AE351" i="29"/>
  <c r="G415" i="13"/>
  <c r="AE347" i="29"/>
  <c r="G403" i="13"/>
  <c r="AE338" i="29"/>
  <c r="G399" i="13"/>
  <c r="AE334" i="29"/>
  <c r="G395" i="13"/>
  <c r="AE330" i="29"/>
  <c r="G440" i="13"/>
  <c r="AE326" i="29"/>
  <c r="G377" i="13"/>
  <c r="AE320" i="29"/>
  <c r="G373" i="13"/>
  <c r="AE316" i="29"/>
  <c r="G369" i="13"/>
  <c r="AE312" i="29"/>
  <c r="G327" i="13"/>
  <c r="AE308" i="29"/>
  <c r="G362" i="13"/>
  <c r="AE304" i="29"/>
  <c r="G354" i="13"/>
  <c r="AE299" i="29"/>
  <c r="G350" i="13"/>
  <c r="AE295" i="29"/>
  <c r="G346" i="13"/>
  <c r="AE291" i="29"/>
  <c r="G342" i="13"/>
  <c r="AE287" i="29"/>
  <c r="G311" i="13"/>
  <c r="AE276" i="29"/>
  <c r="G307" i="13"/>
  <c r="AE272" i="29"/>
  <c r="G303" i="13"/>
  <c r="AE268" i="29"/>
  <c r="G299" i="13"/>
  <c r="AE264" i="29"/>
  <c r="G292" i="13"/>
  <c r="AE260" i="29"/>
  <c r="U260" i="29"/>
  <c r="G292" i="50" s="1"/>
  <c r="K292" i="50" s="1"/>
  <c r="G285" i="13"/>
  <c r="AE256" i="29"/>
  <c r="U256" i="29"/>
  <c r="G285" i="50" s="1"/>
  <c r="G276" i="13"/>
  <c r="AE252" i="29"/>
  <c r="U252" i="29"/>
  <c r="G276" i="50" s="1"/>
  <c r="K276" i="50" s="1"/>
  <c r="O76" i="52" s="1"/>
  <c r="G272" i="13"/>
  <c r="AE248" i="29"/>
  <c r="U248" i="29"/>
  <c r="G272" i="50" s="1"/>
  <c r="K272" i="50" s="1"/>
  <c r="O72" i="52" s="1"/>
  <c r="G268" i="13"/>
  <c r="AE244" i="29"/>
  <c r="U244" i="29"/>
  <c r="G268" i="50" s="1"/>
  <c r="K268" i="50" s="1"/>
  <c r="O66" i="52" s="1"/>
  <c r="G264" i="13"/>
  <c r="AE240" i="29"/>
  <c r="U240" i="29"/>
  <c r="G264" i="50" s="1"/>
  <c r="K264" i="50" s="1"/>
  <c r="O56" i="52" s="1"/>
  <c r="G260" i="13"/>
  <c r="AE236" i="29"/>
  <c r="U236" i="29"/>
  <c r="G260" i="50" s="1"/>
  <c r="K260" i="50" s="1"/>
  <c r="O52" i="52" s="1"/>
  <c r="G253" i="13"/>
  <c r="AE232" i="29"/>
  <c r="U232" i="29"/>
  <c r="G253" i="50" s="1"/>
  <c r="A253" i="50" s="1"/>
  <c r="G249" i="13"/>
  <c r="AE228" i="29"/>
  <c r="U228" i="29"/>
  <c r="G249" i="50" s="1"/>
  <c r="A249" i="50" s="1"/>
  <c r="G245" i="13"/>
  <c r="AE224" i="29"/>
  <c r="U224" i="29"/>
  <c r="G245" i="50" s="1"/>
  <c r="K245" i="50" s="1"/>
  <c r="K51" i="53" s="1"/>
  <c r="G241" i="13"/>
  <c r="AE220" i="29"/>
  <c r="U220" i="29"/>
  <c r="G241" i="50" s="1"/>
  <c r="K241" i="50" s="1"/>
  <c r="G237" i="13"/>
  <c r="AE216" i="29"/>
  <c r="U216" i="29"/>
  <c r="G237" i="50" s="1"/>
  <c r="K237" i="50" s="1"/>
  <c r="G244" i="13"/>
  <c r="G233" i="13"/>
  <c r="AE212" i="29"/>
  <c r="U212" i="29"/>
  <c r="G229" i="13"/>
  <c r="G225" i="13"/>
  <c r="AE206" i="29"/>
  <c r="G220" i="13"/>
  <c r="AE203" i="29"/>
  <c r="U203" i="29"/>
  <c r="G220" i="50" s="1"/>
  <c r="G216" i="13"/>
  <c r="AE199" i="29"/>
  <c r="U199" i="29"/>
  <c r="G216" i="50" s="1"/>
  <c r="K216" i="50" s="1"/>
  <c r="N73" i="52" s="1"/>
  <c r="G212" i="13"/>
  <c r="AE195" i="29"/>
  <c r="U195" i="29"/>
  <c r="G212" i="50" s="1"/>
  <c r="K212" i="50" s="1"/>
  <c r="N70" i="52" s="1"/>
  <c r="G208" i="13"/>
  <c r="AE191" i="29"/>
  <c r="U191" i="29"/>
  <c r="G208" i="50" s="1"/>
  <c r="K208" i="50" s="1"/>
  <c r="N58" i="52" s="1"/>
  <c r="G204" i="13"/>
  <c r="AE187" i="29"/>
  <c r="U187" i="29"/>
  <c r="G204" i="50" s="1"/>
  <c r="K204" i="50" s="1"/>
  <c r="N54" i="52" s="1"/>
  <c r="G200" i="13"/>
  <c r="AE183" i="29"/>
  <c r="U183" i="29"/>
  <c r="G194" i="13"/>
  <c r="AE179" i="29"/>
  <c r="U179" i="29"/>
  <c r="G194" i="50" s="1"/>
  <c r="K194" i="50" s="1"/>
  <c r="L76" i="52" s="1"/>
  <c r="G190" i="13"/>
  <c r="AE175" i="29"/>
  <c r="U175" i="29"/>
  <c r="G190" i="50" s="1"/>
  <c r="K190" i="50" s="1"/>
  <c r="L72" i="52" s="1"/>
  <c r="G186" i="13"/>
  <c r="AE171" i="29"/>
  <c r="U171" i="29"/>
  <c r="G186" i="50" s="1"/>
  <c r="K186" i="50" s="1"/>
  <c r="L66" i="52" s="1"/>
  <c r="G182" i="13"/>
  <c r="AE167" i="29"/>
  <c r="U167" i="29"/>
  <c r="G182" i="50" s="1"/>
  <c r="K182" i="50" s="1"/>
  <c r="L56" i="52" s="1"/>
  <c r="G178" i="13"/>
  <c r="AE163" i="29"/>
  <c r="U163" i="29"/>
  <c r="G178" i="50" s="1"/>
  <c r="K178" i="50" s="1"/>
  <c r="L52" i="52" s="1"/>
  <c r="G172" i="13"/>
  <c r="AE159" i="29"/>
  <c r="U159" i="29"/>
  <c r="G172" i="50" s="1"/>
  <c r="K172" i="50" s="1"/>
  <c r="K78" i="52" s="1"/>
  <c r="G168" i="13"/>
  <c r="AE155" i="29"/>
  <c r="U155" i="29"/>
  <c r="G168" i="50" s="1"/>
  <c r="K168" i="50" s="1"/>
  <c r="K73" i="52" s="1"/>
  <c r="G164" i="13"/>
  <c r="AE151" i="29"/>
  <c r="U151" i="29"/>
  <c r="G164" i="50" s="1"/>
  <c r="K164" i="50" s="1"/>
  <c r="K70" i="52" s="1"/>
  <c r="G160" i="13"/>
  <c r="AE147" i="29"/>
  <c r="U147" i="29"/>
  <c r="G160" i="50" s="1"/>
  <c r="K160" i="50" s="1"/>
  <c r="K58" i="52" s="1"/>
  <c r="G156" i="13"/>
  <c r="AE143" i="29"/>
  <c r="U143" i="29"/>
  <c r="G156" i="50" s="1"/>
  <c r="K156" i="50" s="1"/>
  <c r="K54" i="52" s="1"/>
  <c r="G163" i="13"/>
  <c r="G152" i="13"/>
  <c r="AE139" i="29"/>
  <c r="U139" i="29"/>
  <c r="G146" i="13"/>
  <c r="AE135" i="29"/>
  <c r="U135" i="29"/>
  <c r="G146" i="50" s="1"/>
  <c r="K146" i="50" s="1"/>
  <c r="J76" i="52" s="1"/>
  <c r="G142" i="13"/>
  <c r="AE131" i="29"/>
  <c r="U131" i="29"/>
  <c r="G142" i="50" s="1"/>
  <c r="K142" i="50" s="1"/>
  <c r="J72" i="52" s="1"/>
  <c r="G138" i="13"/>
  <c r="AE127" i="29"/>
  <c r="U127" i="29"/>
  <c r="G138" i="50" s="1"/>
  <c r="K138" i="50" s="1"/>
  <c r="J66" i="52" s="1"/>
  <c r="G134" i="13"/>
  <c r="AE123" i="29"/>
  <c r="U123" i="29"/>
  <c r="G134" i="50" s="1"/>
  <c r="K134" i="50" s="1"/>
  <c r="J56" i="52" s="1"/>
  <c r="G130" i="13"/>
  <c r="AE119" i="29"/>
  <c r="U119" i="29"/>
  <c r="G130" i="50" s="1"/>
  <c r="K130" i="50" s="1"/>
  <c r="J52" i="52" s="1"/>
  <c r="G124" i="13"/>
  <c r="AE115" i="29"/>
  <c r="U115" i="29"/>
  <c r="G124" i="50" s="1"/>
  <c r="K124" i="50" s="1"/>
  <c r="I78" i="52" s="1"/>
  <c r="G120" i="13"/>
  <c r="AE111" i="29"/>
  <c r="U111" i="29"/>
  <c r="G120" i="50" s="1"/>
  <c r="K120" i="50" s="1"/>
  <c r="I73" i="52" s="1"/>
  <c r="G116" i="13"/>
  <c r="AE107" i="29"/>
  <c r="U107" i="29"/>
  <c r="G116" i="50" s="1"/>
  <c r="K116" i="50" s="1"/>
  <c r="I70" i="52" s="1"/>
  <c r="G112" i="13"/>
  <c r="AE103" i="29"/>
  <c r="U103" i="29"/>
  <c r="G112" i="50" s="1"/>
  <c r="K112" i="50" s="1"/>
  <c r="I58" i="52" s="1"/>
  <c r="G108" i="13"/>
  <c r="AE99" i="29"/>
  <c r="U99" i="29"/>
  <c r="G108" i="50" s="1"/>
  <c r="K108" i="50" s="1"/>
  <c r="I53" i="52" s="1"/>
  <c r="G104" i="13"/>
  <c r="G115" i="13"/>
  <c r="AE95" i="29"/>
  <c r="U95" i="29"/>
  <c r="G98" i="13"/>
  <c r="AE91" i="29"/>
  <c r="U91" i="29"/>
  <c r="G98" i="50" s="1"/>
  <c r="K98" i="50" s="1"/>
  <c r="H76" i="52" s="1"/>
  <c r="G94" i="13"/>
  <c r="AE87" i="29"/>
  <c r="U87" i="29"/>
  <c r="G94" i="50" s="1"/>
  <c r="K94" i="50" s="1"/>
  <c r="H72" i="52" s="1"/>
  <c r="G90" i="13"/>
  <c r="AE83" i="29"/>
  <c r="U83" i="29"/>
  <c r="G90" i="50" s="1"/>
  <c r="K90" i="50" s="1"/>
  <c r="H66" i="52" s="1"/>
  <c r="G86" i="13"/>
  <c r="AE79" i="29"/>
  <c r="U79" i="29"/>
  <c r="G86" i="50" s="1"/>
  <c r="K86" i="50" s="1"/>
  <c r="H56" i="52" s="1"/>
  <c r="G82" i="13"/>
  <c r="AE75" i="29"/>
  <c r="U75" i="29"/>
  <c r="G82" i="50" s="1"/>
  <c r="K82" i="50" s="1"/>
  <c r="H52" i="52" s="1"/>
  <c r="G76" i="13"/>
  <c r="AE71" i="29"/>
  <c r="U71" i="29"/>
  <c r="G76" i="50" s="1"/>
  <c r="K76" i="50" s="1"/>
  <c r="G78" i="52" s="1"/>
  <c r="G72" i="13"/>
  <c r="AE67" i="29"/>
  <c r="U67" i="29"/>
  <c r="G72" i="50" s="1"/>
  <c r="K72" i="50" s="1"/>
  <c r="G73" i="52" s="1"/>
  <c r="G68" i="13"/>
  <c r="AE63" i="29"/>
  <c r="U63" i="29"/>
  <c r="G68" i="50" s="1"/>
  <c r="K68" i="50" s="1"/>
  <c r="G70" i="52" s="1"/>
  <c r="G64" i="13"/>
  <c r="AE59" i="29"/>
  <c r="U59" i="29"/>
  <c r="G64" i="50" s="1"/>
  <c r="K64" i="50" s="1"/>
  <c r="G58" i="52" s="1"/>
  <c r="G60" i="13"/>
  <c r="AE55" i="29"/>
  <c r="U55" i="29"/>
  <c r="G60" i="50" s="1"/>
  <c r="K60" i="50" s="1"/>
  <c r="G54" i="52" s="1"/>
  <c r="G67" i="13"/>
  <c r="G56" i="13"/>
  <c r="AE51" i="29"/>
  <c r="U51" i="29"/>
  <c r="G50" i="13"/>
  <c r="AE47" i="29"/>
  <c r="U47" i="29"/>
  <c r="G50" i="50" s="1"/>
  <c r="K50" i="50" s="1"/>
  <c r="F76" i="52" s="1"/>
  <c r="G46" i="13"/>
  <c r="AE43" i="29"/>
  <c r="U43" i="29"/>
  <c r="G46" i="50" s="1"/>
  <c r="K46" i="50" s="1"/>
  <c r="F72" i="52" s="1"/>
  <c r="G38" i="13"/>
  <c r="AE35" i="29"/>
  <c r="U35" i="29"/>
  <c r="G38" i="50" s="1"/>
  <c r="K38" i="50" s="1"/>
  <c r="F56" i="52" s="1"/>
  <c r="G34" i="13"/>
  <c r="AE31" i="29"/>
  <c r="U31" i="29"/>
  <c r="G34" i="50" s="1"/>
  <c r="K34" i="50" s="1"/>
  <c r="F52" i="52" s="1"/>
  <c r="G28" i="13"/>
  <c r="AE27" i="29"/>
  <c r="U27" i="29"/>
  <c r="G28" i="50" s="1"/>
  <c r="K28" i="50" s="1"/>
  <c r="E78" i="52" s="1"/>
  <c r="G24" i="13"/>
  <c r="AE23" i="29"/>
  <c r="U23" i="29"/>
  <c r="G24" i="50" s="1"/>
  <c r="K24" i="50" s="1"/>
  <c r="E73" i="52" s="1"/>
  <c r="G20" i="13"/>
  <c r="AE19" i="29"/>
  <c r="U19" i="29"/>
  <c r="G20" i="50" s="1"/>
  <c r="K20" i="50" s="1"/>
  <c r="E70" i="52" s="1"/>
  <c r="G16" i="13"/>
  <c r="AE15" i="29"/>
  <c r="U15" i="29"/>
  <c r="G16" i="50" s="1"/>
  <c r="K16" i="50" s="1"/>
  <c r="E58" i="52" s="1"/>
  <c r="G12" i="13"/>
  <c r="AE11" i="29"/>
  <c r="U11" i="29"/>
  <c r="G12" i="50" s="1"/>
  <c r="K12" i="50" s="1"/>
  <c r="E54" i="52" s="1"/>
  <c r="G19" i="13"/>
  <c r="G8" i="13"/>
  <c r="AE7" i="29"/>
  <c r="U7" i="29"/>
  <c r="U431" i="29"/>
  <c r="U419" i="29"/>
  <c r="U415" i="29"/>
  <c r="G505" i="50" s="1"/>
  <c r="K505" i="50" s="1"/>
  <c r="K284" i="46" s="1"/>
  <c r="U411" i="29"/>
  <c r="G501" i="50" s="1"/>
  <c r="K501" i="50" s="1"/>
  <c r="K280" i="46" s="1"/>
  <c r="U406" i="29"/>
  <c r="G494" i="50" s="1"/>
  <c r="K494" i="50" s="1"/>
  <c r="K270" i="46" s="1"/>
  <c r="U402" i="29"/>
  <c r="G489" i="50" s="1"/>
  <c r="K489" i="50" s="1"/>
  <c r="K250" i="46" s="1"/>
  <c r="U398" i="29"/>
  <c r="G487" i="50" s="1"/>
  <c r="K487" i="50" s="1"/>
  <c r="K262" i="46" s="1"/>
  <c r="A262" i="46" s="1"/>
  <c r="U393" i="29"/>
  <c r="G478" i="50" s="1"/>
  <c r="K478" i="50" s="1"/>
  <c r="U389" i="29"/>
  <c r="G474" i="50" s="1"/>
  <c r="K474" i="50" s="1"/>
  <c r="U384" i="29"/>
  <c r="G469" i="50" s="1"/>
  <c r="K469" i="50" s="1"/>
  <c r="U379" i="29"/>
  <c r="G464" i="50" s="1"/>
  <c r="K464" i="50" s="1"/>
  <c r="U372" i="29"/>
  <c r="G455" i="50" s="1"/>
  <c r="K455" i="50" s="1"/>
  <c r="J203" i="46" s="1"/>
  <c r="U368" i="29"/>
  <c r="G451" i="50" s="1"/>
  <c r="K451" i="50" s="1"/>
  <c r="J199" i="46" s="1"/>
  <c r="U364" i="29"/>
  <c r="G447" i="50" s="1"/>
  <c r="U359" i="29"/>
  <c r="G427" i="50" s="1"/>
  <c r="K427" i="50" s="1"/>
  <c r="U355" i="29"/>
  <c r="G423" i="50" s="1"/>
  <c r="K423" i="50" s="1"/>
  <c r="U350" i="29"/>
  <c r="G418" i="50" s="1"/>
  <c r="K418" i="50" s="1"/>
  <c r="U345" i="29"/>
  <c r="G413" i="50" s="1"/>
  <c r="K413" i="50" s="1"/>
  <c r="U339" i="29"/>
  <c r="G404" i="50" s="1"/>
  <c r="K404" i="50" s="1"/>
  <c r="J187" i="46" s="1"/>
  <c r="U335" i="29"/>
  <c r="G400" i="50" s="1"/>
  <c r="K400" i="50" s="1"/>
  <c r="J183" i="46" s="1"/>
  <c r="U331" i="29"/>
  <c r="G396" i="50" s="1"/>
  <c r="K396" i="50" s="1"/>
  <c r="J179" i="46" s="1"/>
  <c r="U327" i="29"/>
  <c r="G441" i="50" s="1"/>
  <c r="K441" i="50" s="1"/>
  <c r="U323" i="29"/>
  <c r="G389" i="50" s="1"/>
  <c r="J514" i="46" s="1"/>
  <c r="A514" i="46" s="1"/>
  <c r="U317" i="29"/>
  <c r="G374" i="50" s="1"/>
  <c r="K374" i="50" s="1"/>
  <c r="U313" i="29"/>
  <c r="G370" i="50" s="1"/>
  <c r="K370" i="50" s="1"/>
  <c r="U309" i="29"/>
  <c r="G328" i="50" s="1"/>
  <c r="K328" i="50" s="1"/>
  <c r="U305" i="29"/>
  <c r="G363" i="50" s="1"/>
  <c r="J512" i="46" s="1"/>
  <c r="U300" i="29"/>
  <c r="G355" i="50" s="1"/>
  <c r="K355" i="50" s="1"/>
  <c r="J164" i="46" s="1"/>
  <c r="U296" i="29"/>
  <c r="G351" i="50" s="1"/>
  <c r="K351" i="50" s="1"/>
  <c r="J160" i="46" s="1"/>
  <c r="U292" i="29"/>
  <c r="G347" i="50" s="1"/>
  <c r="K347" i="50" s="1"/>
  <c r="J156" i="46" s="1"/>
  <c r="A156" i="46" s="1"/>
  <c r="U288" i="29"/>
  <c r="G343" i="50" s="1"/>
  <c r="K343" i="50" s="1"/>
  <c r="J152" i="46" s="1"/>
  <c r="U284" i="29"/>
  <c r="G336" i="50" s="1"/>
  <c r="K336" i="50" s="1"/>
  <c r="U277" i="29"/>
  <c r="G312" i="50" s="1"/>
  <c r="A312" i="50" s="1"/>
  <c r="U273" i="29"/>
  <c r="G308" i="50" s="1"/>
  <c r="K308" i="50" s="1"/>
  <c r="J140" i="46" s="1"/>
  <c r="A140" i="46" s="1"/>
  <c r="U269" i="29"/>
  <c r="G304" i="50" s="1"/>
  <c r="K304" i="50" s="1"/>
  <c r="J136" i="46" s="1"/>
  <c r="A136" i="46" s="1"/>
  <c r="U265" i="29"/>
  <c r="G300" i="50" s="1"/>
  <c r="K300" i="50" s="1"/>
  <c r="J132" i="46" s="1"/>
  <c r="A132" i="46" s="1"/>
  <c r="U261" i="29"/>
  <c r="G293" i="50" s="1"/>
  <c r="A293" i="50" s="1"/>
  <c r="U255" i="29"/>
  <c r="G284" i="50" s="1"/>
  <c r="K284" i="50" s="1"/>
  <c r="U250" i="29"/>
  <c r="G274" i="50" s="1"/>
  <c r="K274" i="50" s="1"/>
  <c r="O73" i="52" s="1"/>
  <c r="U245" i="29"/>
  <c r="U239" i="29"/>
  <c r="G263" i="50" s="1"/>
  <c r="K263" i="50" s="1"/>
  <c r="O55" i="52" s="1"/>
  <c r="U234" i="29"/>
  <c r="U226" i="29"/>
  <c r="G247" i="50" s="1"/>
  <c r="K247" i="50" s="1"/>
  <c r="U217" i="29"/>
  <c r="G238" i="50" s="1"/>
  <c r="K238" i="50" s="1"/>
  <c r="H405" i="13"/>
  <c r="AF340" i="29"/>
  <c r="AF336" i="29"/>
  <c r="H397" i="13"/>
  <c r="AF332" i="29"/>
  <c r="H390" i="13"/>
  <c r="AF324" i="29"/>
  <c r="H356" i="13"/>
  <c r="AF301" i="29"/>
  <c r="H352" i="13"/>
  <c r="AF297" i="29"/>
  <c r="H348" i="13"/>
  <c r="AF293" i="29"/>
  <c r="H344" i="13"/>
  <c r="AF289" i="29"/>
  <c r="H447" i="13"/>
  <c r="AF364" i="29"/>
  <c r="H453" i="13"/>
  <c r="AF370" i="29"/>
  <c r="H449" i="13"/>
  <c r="AF366" i="29"/>
  <c r="AA340" i="29"/>
  <c r="H405" i="50" s="1"/>
  <c r="L405" i="50" s="1"/>
  <c r="AA336" i="29"/>
  <c r="H401" i="50" s="1"/>
  <c r="L401" i="50" s="1"/>
  <c r="AA332" i="29"/>
  <c r="H397" i="50" s="1"/>
  <c r="L397" i="50" s="1"/>
  <c r="AA328" i="29"/>
  <c r="AA324" i="29"/>
  <c r="H390" i="50" s="1"/>
  <c r="L390" i="50" s="1"/>
  <c r="AA318" i="29"/>
  <c r="AA314" i="29"/>
  <c r="AA310" i="29"/>
  <c r="AA306" i="29"/>
  <c r="AA301" i="29"/>
  <c r="H356" i="50" s="1"/>
  <c r="L356" i="50" s="1"/>
  <c r="AA297" i="29"/>
  <c r="H352" i="50" s="1"/>
  <c r="L352" i="50" s="1"/>
  <c r="AA293" i="29"/>
  <c r="H348" i="50" s="1"/>
  <c r="L348" i="50" s="1"/>
  <c r="AA289" i="29"/>
  <c r="H344" i="50" s="1"/>
  <c r="L344" i="50" s="1"/>
  <c r="AA285" i="29"/>
  <c r="H337" i="50" s="1"/>
  <c r="L337" i="50" s="1"/>
  <c r="AA364" i="29"/>
  <c r="AA370" i="29"/>
  <c r="H453" i="50" s="1"/>
  <c r="L453" i="50" s="1"/>
  <c r="AA366" i="29"/>
  <c r="H449" i="50" s="1"/>
  <c r="L449" i="50" s="1"/>
  <c r="H404" i="13"/>
  <c r="AF339" i="29"/>
  <c r="H400" i="13"/>
  <c r="AF335" i="29"/>
  <c r="H396" i="13"/>
  <c r="AF331" i="29"/>
  <c r="H389" i="13"/>
  <c r="AF323" i="29"/>
  <c r="H363" i="13"/>
  <c r="AF305" i="29"/>
  <c r="H355" i="13"/>
  <c r="AF300" i="29"/>
  <c r="H351" i="13"/>
  <c r="AF296" i="29"/>
  <c r="H347" i="13"/>
  <c r="AF292" i="29"/>
  <c r="H343" i="13"/>
  <c r="AF288" i="29"/>
  <c r="H456" i="13"/>
  <c r="AF373" i="29"/>
  <c r="H452" i="13"/>
  <c r="AF369" i="29"/>
  <c r="H448" i="13"/>
  <c r="AF365" i="29"/>
  <c r="AA339" i="29"/>
  <c r="H404" i="50" s="1"/>
  <c r="L404" i="50" s="1"/>
  <c r="AA335" i="29"/>
  <c r="H400" i="50" s="1"/>
  <c r="L400" i="50" s="1"/>
  <c r="AA331" i="29"/>
  <c r="H396" i="50" s="1"/>
  <c r="L396" i="50" s="1"/>
  <c r="AA327" i="29"/>
  <c r="AA323" i="29"/>
  <c r="H389" i="50" s="1"/>
  <c r="L389" i="50" s="1"/>
  <c r="AA317" i="29"/>
  <c r="AA313" i="29"/>
  <c r="AA309" i="29"/>
  <c r="AA305" i="29"/>
  <c r="H363" i="50" s="1"/>
  <c r="L363" i="50" s="1"/>
  <c r="AA300" i="29"/>
  <c r="H355" i="50" s="1"/>
  <c r="L355" i="50" s="1"/>
  <c r="AA296" i="29"/>
  <c r="H351" i="50" s="1"/>
  <c r="L351" i="50" s="1"/>
  <c r="AA292" i="29"/>
  <c r="H347" i="50" s="1"/>
  <c r="L347" i="50" s="1"/>
  <c r="AA288" i="29"/>
  <c r="H343" i="50" s="1"/>
  <c r="L343" i="50" s="1"/>
  <c r="AA284" i="29"/>
  <c r="H336" i="50" s="1"/>
  <c r="L336" i="50" s="1"/>
  <c r="AA373" i="29"/>
  <c r="H456" i="50" s="1"/>
  <c r="L456" i="50" s="1"/>
  <c r="AA369" i="29"/>
  <c r="H452" i="50" s="1"/>
  <c r="L452" i="50" s="1"/>
  <c r="AA365" i="29"/>
  <c r="H448" i="50" s="1"/>
  <c r="L448" i="50" s="1"/>
  <c r="H403" i="13"/>
  <c r="AF338" i="29"/>
  <c r="H399" i="13"/>
  <c r="AF334" i="29"/>
  <c r="H395" i="13"/>
  <c r="AF330" i="29"/>
  <c r="H362" i="13"/>
  <c r="AF304" i="29"/>
  <c r="H354" i="13"/>
  <c r="AF299" i="29"/>
  <c r="H350" i="13"/>
  <c r="AF295" i="29"/>
  <c r="H346" i="13"/>
  <c r="AF291" i="29"/>
  <c r="H342" i="13"/>
  <c r="AF287" i="29"/>
  <c r="H455" i="13"/>
  <c r="AF372" i="29"/>
  <c r="H451" i="13"/>
  <c r="AF368" i="29"/>
  <c r="AA281" i="29"/>
  <c r="AI281" i="29" s="1"/>
  <c r="AA338" i="29"/>
  <c r="H403" i="50" s="1"/>
  <c r="L403" i="50" s="1"/>
  <c r="AA334" i="29"/>
  <c r="H399" i="50" s="1"/>
  <c r="L399" i="50" s="1"/>
  <c r="AA330" i="29"/>
  <c r="H395" i="50" s="1"/>
  <c r="L395" i="50" s="1"/>
  <c r="AA326" i="29"/>
  <c r="AA320" i="29"/>
  <c r="AA316" i="29"/>
  <c r="AA312" i="29"/>
  <c r="AA308" i="29"/>
  <c r="AA304" i="29"/>
  <c r="H362" i="50" s="1"/>
  <c r="AA299" i="29"/>
  <c r="H354" i="50" s="1"/>
  <c r="L354" i="50" s="1"/>
  <c r="AA295" i="29"/>
  <c r="H350" i="50" s="1"/>
  <c r="L350" i="50" s="1"/>
  <c r="AA291" i="29"/>
  <c r="H346" i="50" s="1"/>
  <c r="L346" i="50" s="1"/>
  <c r="AA287" i="29"/>
  <c r="H342" i="50" s="1"/>
  <c r="AA283" i="29"/>
  <c r="H335" i="50" s="1"/>
  <c r="L335" i="50" s="1"/>
  <c r="AA372" i="29"/>
  <c r="H455" i="50" s="1"/>
  <c r="L455" i="50" s="1"/>
  <c r="AA368" i="29"/>
  <c r="H451" i="50" s="1"/>
  <c r="L451" i="50" s="1"/>
  <c r="H406" i="13"/>
  <c r="AF341" i="29"/>
  <c r="H402" i="13"/>
  <c r="AF337" i="29"/>
  <c r="H398" i="13"/>
  <c r="AF333" i="29"/>
  <c r="H394" i="13"/>
  <c r="AF329" i="29"/>
  <c r="H357" i="13"/>
  <c r="AF302" i="29"/>
  <c r="H353" i="13"/>
  <c r="AF298" i="29"/>
  <c r="H349" i="13"/>
  <c r="AF294" i="29"/>
  <c r="H345" i="13"/>
  <c r="AF290" i="29"/>
  <c r="H454" i="13"/>
  <c r="AF371" i="29"/>
  <c r="H450" i="13"/>
  <c r="AF367" i="29"/>
  <c r="AA341" i="29"/>
  <c r="H406" i="50" s="1"/>
  <c r="L406" i="50" s="1"/>
  <c r="AA337" i="29"/>
  <c r="H402" i="50" s="1"/>
  <c r="L402" i="50" s="1"/>
  <c r="AA333" i="29"/>
  <c r="H398" i="50" s="1"/>
  <c r="L398" i="50" s="1"/>
  <c r="AA329" i="29"/>
  <c r="H394" i="50" s="1"/>
  <c r="L394" i="50" s="1"/>
  <c r="AA325" i="29"/>
  <c r="AA319" i="29"/>
  <c r="AA315" i="29"/>
  <c r="AA311" i="29"/>
  <c r="AA307" i="29"/>
  <c r="AA302" i="29"/>
  <c r="H357" i="50" s="1"/>
  <c r="L357" i="50" s="1"/>
  <c r="AA298" i="29"/>
  <c r="H353" i="50" s="1"/>
  <c r="L353" i="50" s="1"/>
  <c r="AA294" i="29"/>
  <c r="H349" i="50" s="1"/>
  <c r="L349" i="50" s="1"/>
  <c r="AA290" i="29"/>
  <c r="H345" i="50" s="1"/>
  <c r="L345" i="50" s="1"/>
  <c r="AA286" i="29"/>
  <c r="H338" i="50" s="1"/>
  <c r="L338" i="50" s="1"/>
  <c r="AA282" i="29"/>
  <c r="H334" i="50" s="1"/>
  <c r="L334" i="50" s="1"/>
  <c r="AA371" i="29"/>
  <c r="H454" i="50" s="1"/>
  <c r="L454" i="50" s="1"/>
  <c r="AA367" i="29"/>
  <c r="H450" i="50" s="1"/>
  <c r="L450" i="50" s="1"/>
  <c r="U433" i="29"/>
  <c r="G550" i="50" s="1"/>
  <c r="K550" i="50" s="1"/>
  <c r="K345" i="53" s="1"/>
  <c r="U428" i="29"/>
  <c r="G545" i="50" s="1"/>
  <c r="K545" i="50" s="1"/>
  <c r="U425" i="29"/>
  <c r="G538" i="50" s="1"/>
  <c r="K538" i="50" s="1"/>
  <c r="K233" i="53" s="1"/>
  <c r="AE423" i="29"/>
  <c r="G536" i="13"/>
  <c r="AE422" i="29"/>
  <c r="G535" i="13"/>
  <c r="U421" i="29"/>
  <c r="G534" i="50" s="1"/>
  <c r="K534" i="50" s="1"/>
  <c r="G534" i="13"/>
  <c r="AE421" i="29"/>
  <c r="AD416" i="29"/>
  <c r="F497" i="13"/>
  <c r="O406" i="29"/>
  <c r="F494" i="50" s="1"/>
  <c r="AD406" i="29"/>
  <c r="AD398" i="29"/>
  <c r="F490" i="13"/>
  <c r="O403" i="29"/>
  <c r="F492" i="50" s="1"/>
  <c r="F488" i="13"/>
  <c r="O401" i="29"/>
  <c r="F490" i="50" s="1"/>
  <c r="J490" i="50" s="1"/>
  <c r="J266" i="46" s="1"/>
  <c r="F487" i="13"/>
  <c r="O397" i="29"/>
  <c r="F486" i="50" s="1"/>
  <c r="F472" i="13"/>
  <c r="O325" i="29"/>
  <c r="F439" i="50" s="1"/>
  <c r="J439" i="50" s="1"/>
  <c r="AD332" i="29"/>
  <c r="F397" i="13"/>
  <c r="O341" i="29"/>
  <c r="F406" i="50" s="1"/>
  <c r="J406" i="50" s="1"/>
  <c r="AD331" i="29"/>
  <c r="F396" i="13"/>
  <c r="F439" i="13"/>
  <c r="O334" i="29"/>
  <c r="F399" i="50" s="1"/>
  <c r="J399" i="50" s="1"/>
  <c r="I182" i="46" s="1"/>
  <c r="A182" i="46" s="1"/>
  <c r="O336" i="29"/>
  <c r="F401" i="50" s="1"/>
  <c r="J401" i="50" s="1"/>
  <c r="I184" i="46" s="1"/>
  <c r="AD334" i="29"/>
  <c r="F440" i="13"/>
  <c r="O304" i="29"/>
  <c r="F362" i="50" s="1"/>
  <c r="J362" i="50" s="1"/>
  <c r="I511" i="46" s="1"/>
  <c r="AD289" i="29"/>
  <c r="O289" i="29"/>
  <c r="F344" i="50" s="1"/>
  <c r="J344" i="50" s="1"/>
  <c r="I153" i="46" s="1"/>
  <c r="O298" i="29"/>
  <c r="F353" i="50" s="1"/>
  <c r="J353" i="50" s="1"/>
  <c r="I162" i="46" s="1"/>
  <c r="O291" i="29"/>
  <c r="F346" i="50" s="1"/>
  <c r="J346" i="50" s="1"/>
  <c r="I155" i="46" s="1"/>
  <c r="O285" i="29"/>
  <c r="F337" i="50" s="1"/>
  <c r="AD298" i="29"/>
  <c r="AD293" i="29"/>
  <c r="AD286" i="29"/>
  <c r="F346" i="13"/>
  <c r="O296" i="29"/>
  <c r="F351" i="50" s="1"/>
  <c r="J351" i="50" s="1"/>
  <c r="I160" i="46" s="1"/>
  <c r="O290" i="29"/>
  <c r="F345" i="50" s="1"/>
  <c r="J345" i="50" s="1"/>
  <c r="I154" i="46" s="1"/>
  <c r="O282" i="29"/>
  <c r="F334" i="50" s="1"/>
  <c r="J334" i="50" s="1"/>
  <c r="AD296" i="29"/>
  <c r="O224" i="29"/>
  <c r="F245" i="50" s="1"/>
  <c r="J245" i="50" s="1"/>
  <c r="J51" i="53" s="1"/>
  <c r="U222" i="29"/>
  <c r="G243" i="50" s="1"/>
  <c r="K243" i="50" s="1"/>
  <c r="AE211" i="29"/>
  <c r="U182" i="29"/>
  <c r="G199" i="50" s="1"/>
  <c r="K199" i="50" s="1"/>
  <c r="N47" i="52" s="1"/>
  <c r="G199" i="13"/>
  <c r="U160" i="29"/>
  <c r="G175" i="50" s="1"/>
  <c r="K175" i="50" s="1"/>
  <c r="L47" i="52" s="1"/>
  <c r="G151" i="13"/>
  <c r="U116" i="29"/>
  <c r="G127" i="50" s="1"/>
  <c r="K127" i="50" s="1"/>
  <c r="J47" i="52" s="1"/>
  <c r="G127" i="13"/>
  <c r="AD112" i="29"/>
  <c r="O103" i="29"/>
  <c r="F112" i="50" s="1"/>
  <c r="J112" i="50" s="1"/>
  <c r="I22" i="52" s="1"/>
  <c r="F112" i="13"/>
  <c r="O96" i="29"/>
  <c r="F105" i="50" s="1"/>
  <c r="J105" i="50" s="1"/>
  <c r="I15" i="52" s="1"/>
  <c r="U94" i="29"/>
  <c r="G103" i="50" s="1"/>
  <c r="K103" i="50" s="1"/>
  <c r="I47" i="52" s="1"/>
  <c r="AD59" i="29"/>
  <c r="O52" i="29"/>
  <c r="F57" i="50" s="1"/>
  <c r="AD41" i="29"/>
  <c r="F44" i="13"/>
  <c r="AD38" i="29"/>
  <c r="AD37" i="29"/>
  <c r="F34" i="13"/>
  <c r="AD33" i="29"/>
  <c r="F36" i="13"/>
  <c r="F37" i="13"/>
  <c r="AD11" i="29"/>
  <c r="F11" i="13"/>
  <c r="O112" i="1"/>
  <c r="Y113" i="1"/>
  <c r="E128" i="14"/>
  <c r="O111" i="1"/>
  <c r="E127" i="14"/>
  <c r="E129" i="14"/>
  <c r="Y111" i="1"/>
  <c r="F112" i="14"/>
  <c r="O96" i="1"/>
  <c r="F68" i="51" s="1"/>
  <c r="O68" i="51" s="1"/>
  <c r="F84" i="14"/>
  <c r="O82" i="1"/>
  <c r="E42" i="51" s="1"/>
  <c r="N42" i="51" s="1"/>
  <c r="Y82" i="1"/>
  <c r="Y81" i="1"/>
  <c r="F47" i="14"/>
  <c r="Y54" i="1"/>
  <c r="O53" i="1"/>
  <c r="O47" i="1"/>
  <c r="O58" i="1"/>
  <c r="F23" i="51" s="1"/>
  <c r="O61" i="1"/>
  <c r="F26" i="51" s="1"/>
  <c r="O56" i="1"/>
  <c r="F21" i="51" s="1"/>
  <c r="O51" i="1"/>
  <c r="O45" i="1"/>
  <c r="Y56" i="1"/>
  <c r="Y45" i="1"/>
  <c r="O54" i="1"/>
  <c r="O55" i="1"/>
  <c r="O21" i="1"/>
  <c r="E21" i="51" s="1"/>
  <c r="O14" i="1"/>
  <c r="E14" i="51" s="1"/>
  <c r="Y23" i="1"/>
  <c r="Y14" i="1"/>
  <c r="Y11" i="1"/>
  <c r="Y12" i="1"/>
  <c r="O16" i="1"/>
  <c r="Y25" i="1"/>
  <c r="Y22" i="1"/>
  <c r="Y20" i="1"/>
  <c r="AD402" i="29"/>
  <c r="F489" i="13"/>
  <c r="AE396" i="29"/>
  <c r="AE428" i="29"/>
  <c r="AE435" i="29"/>
  <c r="U435" i="29"/>
  <c r="G552" i="50" s="1"/>
  <c r="K552" i="50" s="1"/>
  <c r="K368" i="53" s="1"/>
  <c r="AE433" i="29"/>
  <c r="AE430" i="29"/>
  <c r="U430" i="29"/>
  <c r="G547" i="50" s="1"/>
  <c r="K547" i="50" s="1"/>
  <c r="U426" i="29"/>
  <c r="G539" i="50" s="1"/>
  <c r="K539" i="50" s="1"/>
  <c r="AE426" i="29"/>
  <c r="U424" i="29"/>
  <c r="G537" i="50" s="1"/>
  <c r="K537" i="50" s="1"/>
  <c r="K223" i="53" s="1"/>
  <c r="AE424" i="29"/>
  <c r="U423" i="29"/>
  <c r="G536" i="50" s="1"/>
  <c r="K536" i="50" s="1"/>
  <c r="K212" i="53" s="1"/>
  <c r="U422" i="29"/>
  <c r="G535" i="50" s="1"/>
  <c r="K535" i="50" s="1"/>
  <c r="F473" i="13"/>
  <c r="O388" i="29"/>
  <c r="F473" i="50" s="1"/>
  <c r="J473" i="50" s="1"/>
  <c r="O387" i="29"/>
  <c r="F472" i="50" s="1"/>
  <c r="A472" i="50" s="1"/>
  <c r="O382" i="29"/>
  <c r="F467" i="50" s="1"/>
  <c r="J467" i="50" s="1"/>
  <c r="AD382" i="29"/>
  <c r="AD377" i="29"/>
  <c r="O377" i="29"/>
  <c r="F462" i="50" s="1"/>
  <c r="U386" i="29"/>
  <c r="G471" i="50" s="1"/>
  <c r="K471" i="50" s="1"/>
  <c r="G471" i="13"/>
  <c r="U381" i="29"/>
  <c r="G466" i="50" s="1"/>
  <c r="K466" i="50" s="1"/>
  <c r="AE381" i="29"/>
  <c r="AE376" i="29"/>
  <c r="O354" i="29"/>
  <c r="F422" i="50" s="1"/>
  <c r="U353" i="29"/>
  <c r="G421" i="50" s="1"/>
  <c r="K421" i="50" s="1"/>
  <c r="G66" i="13"/>
  <c r="O20" i="1"/>
  <c r="O24" i="1"/>
  <c r="E24" i="51" s="1"/>
  <c r="Y24" i="1"/>
  <c r="O18" i="1"/>
  <c r="E18" i="51" s="1"/>
  <c r="AD415" i="29"/>
  <c r="O415" i="29"/>
  <c r="F505" i="50" s="1"/>
  <c r="J505" i="50" s="1"/>
  <c r="F504" i="13"/>
  <c r="F503" i="13"/>
  <c r="O413" i="29"/>
  <c r="F503" i="50" s="1"/>
  <c r="J503" i="50" s="1"/>
  <c r="O411" i="29"/>
  <c r="F501" i="50" s="1"/>
  <c r="J501" i="50" s="1"/>
  <c r="J280" i="46" s="1"/>
  <c r="AD411" i="29"/>
  <c r="U410" i="29"/>
  <c r="G500" i="50" s="1"/>
  <c r="AE410" i="29"/>
  <c r="O409" i="29"/>
  <c r="F497" i="50" s="1"/>
  <c r="J497" i="50" s="1"/>
  <c r="J273" i="46" s="1"/>
  <c r="F496" i="13"/>
  <c r="O408" i="29"/>
  <c r="F496" i="50" s="1"/>
  <c r="F493" i="13"/>
  <c r="O405" i="29"/>
  <c r="F493" i="50" s="1"/>
  <c r="J493" i="50" s="1"/>
  <c r="O404" i="29"/>
  <c r="O400" i="29"/>
  <c r="F491" i="50" s="1"/>
  <c r="J491" i="50" s="1"/>
  <c r="J267" i="46" s="1"/>
  <c r="F491" i="13"/>
  <c r="AD397" i="29"/>
  <c r="J265" i="46"/>
  <c r="J250" i="46"/>
  <c r="U396" i="29"/>
  <c r="G485" i="50" s="1"/>
  <c r="K485" i="50" s="1"/>
  <c r="K260" i="46" s="1"/>
  <c r="O349" i="29"/>
  <c r="F417" i="50" s="1"/>
  <c r="J417" i="50" s="1"/>
  <c r="AD349" i="29"/>
  <c r="O355" i="29"/>
  <c r="F423" i="50" s="1"/>
  <c r="J423" i="50" s="1"/>
  <c r="AD355" i="29"/>
  <c r="AD354" i="29"/>
  <c r="G421" i="13"/>
  <c r="O350" i="29"/>
  <c r="F418" i="50" s="1"/>
  <c r="J418" i="50" s="1"/>
  <c r="AD350" i="29"/>
  <c r="U348" i="29"/>
  <c r="G416" i="50" s="1"/>
  <c r="K416" i="50" s="1"/>
  <c r="G416" i="13"/>
  <c r="K416" i="13" s="1"/>
  <c r="O345" i="29"/>
  <c r="F413" i="50" s="1"/>
  <c r="J413" i="50" s="1"/>
  <c r="F413" i="13"/>
  <c r="O344" i="29"/>
  <c r="F412" i="50" s="1"/>
  <c r="J412" i="50" s="1"/>
  <c r="AD344" i="29"/>
  <c r="AE343" i="29"/>
  <c r="F406" i="13"/>
  <c r="AD339" i="29"/>
  <c r="O339" i="29"/>
  <c r="F404" i="50" s="1"/>
  <c r="J404" i="50" s="1"/>
  <c r="I187" i="46" s="1"/>
  <c r="O340" i="29"/>
  <c r="F405" i="50" s="1"/>
  <c r="J405" i="50" s="1"/>
  <c r="I188" i="46" s="1"/>
  <c r="AD340" i="29"/>
  <c r="O338" i="29"/>
  <c r="F403" i="50" s="1"/>
  <c r="J403" i="50" s="1"/>
  <c r="I186" i="46" s="1"/>
  <c r="A186" i="46" s="1"/>
  <c r="F403" i="13"/>
  <c r="AD337" i="29"/>
  <c r="F402" i="13"/>
  <c r="AD336" i="29"/>
  <c r="O335" i="29"/>
  <c r="F400" i="50" s="1"/>
  <c r="J400" i="50" s="1"/>
  <c r="I183" i="46" s="1"/>
  <c r="F400" i="13"/>
  <c r="O330" i="29"/>
  <c r="F395" i="50" s="1"/>
  <c r="J395" i="50" s="1"/>
  <c r="I178" i="46" s="1"/>
  <c r="AD330" i="29"/>
  <c r="O329" i="29"/>
  <c r="F394" i="50" s="1"/>
  <c r="J394" i="50" s="1"/>
  <c r="I177" i="46" s="1"/>
  <c r="AD329" i="29"/>
  <c r="O327" i="29"/>
  <c r="F441" i="50" s="1"/>
  <c r="J441" i="50" s="1"/>
  <c r="F441" i="13"/>
  <c r="AD326" i="29"/>
  <c r="O324" i="29"/>
  <c r="F390" i="50" s="1"/>
  <c r="J390" i="50" s="1"/>
  <c r="AD324" i="29"/>
  <c r="O305" i="29"/>
  <c r="F363" i="50" s="1"/>
  <c r="I512" i="46" s="1"/>
  <c r="AD305" i="29"/>
  <c r="AD304" i="29"/>
  <c r="O302" i="29"/>
  <c r="F357" i="50" s="1"/>
  <c r="J357" i="50" s="1"/>
  <c r="I166" i="46" s="1"/>
  <c r="AD302" i="29"/>
  <c r="AD301" i="29"/>
  <c r="O301" i="29"/>
  <c r="F356" i="50" s="1"/>
  <c r="J356" i="50" s="1"/>
  <c r="I165" i="46" s="1"/>
  <c r="F355" i="13"/>
  <c r="O300" i="29"/>
  <c r="F355" i="50" s="1"/>
  <c r="J355" i="50" s="1"/>
  <c r="I164" i="46" s="1"/>
  <c r="O297" i="29"/>
  <c r="F352" i="50" s="1"/>
  <c r="J352" i="50" s="1"/>
  <c r="I161" i="46" s="1"/>
  <c r="F352" i="13"/>
  <c r="O293" i="29"/>
  <c r="F348" i="50" s="1"/>
  <c r="J348" i="50" s="1"/>
  <c r="I157" i="46" s="1"/>
  <c r="AD292" i="29"/>
  <c r="F347" i="13"/>
  <c r="O288" i="29"/>
  <c r="F343" i="50" s="1"/>
  <c r="J343" i="50" s="1"/>
  <c r="I152" i="46" s="1"/>
  <c r="AD288" i="29"/>
  <c r="O287" i="29"/>
  <c r="F342" i="50" s="1"/>
  <c r="F342" i="13"/>
  <c r="O284" i="29"/>
  <c r="F336" i="50" s="1"/>
  <c r="J336" i="50" s="1"/>
  <c r="AD283" i="29"/>
  <c r="O283" i="29"/>
  <c r="F335" i="50" s="1"/>
  <c r="J335" i="50" s="1"/>
  <c r="O281" i="29"/>
  <c r="F333" i="50" s="1"/>
  <c r="J333" i="50" s="1"/>
  <c r="O267" i="29"/>
  <c r="F302" i="50" s="1"/>
  <c r="J302" i="50" s="1"/>
  <c r="I134" i="46" s="1"/>
  <c r="AD267" i="29"/>
  <c r="F245" i="13"/>
  <c r="AE222" i="29"/>
  <c r="U211" i="29"/>
  <c r="G232" i="50" s="1"/>
  <c r="K232" i="50" s="1"/>
  <c r="U204" i="29"/>
  <c r="G223" i="50" s="1"/>
  <c r="O181" i="29"/>
  <c r="F196" i="50" s="1"/>
  <c r="AD181" i="29"/>
  <c r="O174" i="29"/>
  <c r="F189" i="50" s="1"/>
  <c r="AD174" i="29"/>
  <c r="O173" i="29"/>
  <c r="F188" i="50" s="1"/>
  <c r="J188" i="50" s="1"/>
  <c r="L31" i="52" s="1"/>
  <c r="AD173" i="29"/>
  <c r="O170" i="29"/>
  <c r="F185" i="50" s="1"/>
  <c r="J185" i="50" s="1"/>
  <c r="L23" i="52" s="1"/>
  <c r="AD170" i="29"/>
  <c r="AE160" i="29"/>
  <c r="F160" i="13"/>
  <c r="O140" i="29"/>
  <c r="F153" i="50" s="1"/>
  <c r="J153" i="50" s="1"/>
  <c r="K15" i="52" s="1"/>
  <c r="F153" i="13"/>
  <c r="U138" i="29"/>
  <c r="G151" i="50" s="1"/>
  <c r="K151" i="50" s="1"/>
  <c r="K47" i="52" s="1"/>
  <c r="O115" i="29"/>
  <c r="F124" i="50" s="1"/>
  <c r="AD115" i="29"/>
  <c r="O112" i="29"/>
  <c r="F121" i="50" s="1"/>
  <c r="J121" i="50" s="1"/>
  <c r="I36" i="52" s="1"/>
  <c r="F116" i="13"/>
  <c r="O107" i="29"/>
  <c r="F116" i="50" s="1"/>
  <c r="J116" i="50" s="1"/>
  <c r="I31" i="52" s="1"/>
  <c r="AE105" i="29"/>
  <c r="U105" i="29"/>
  <c r="G114" i="50" s="1"/>
  <c r="K114" i="50" s="1"/>
  <c r="I66" i="52" s="1"/>
  <c r="O104" i="29"/>
  <c r="F113" i="50" s="1"/>
  <c r="J113" i="50" s="1"/>
  <c r="I23" i="52" s="1"/>
  <c r="F113" i="13"/>
  <c r="O98" i="29"/>
  <c r="F107" i="50" s="1"/>
  <c r="AD98" i="29"/>
  <c r="F105" i="13"/>
  <c r="AE94" i="29"/>
  <c r="F69" i="13"/>
  <c r="AD64" i="29"/>
  <c r="AD63" i="29"/>
  <c r="O63" i="29"/>
  <c r="F68" i="50" s="1"/>
  <c r="AE61" i="29"/>
  <c r="F64" i="13"/>
  <c r="AD52" i="29"/>
  <c r="AE50" i="29"/>
  <c r="G55" i="13"/>
  <c r="AD42" i="29"/>
  <c r="O42" i="29"/>
  <c r="F45" i="50" s="1"/>
  <c r="J45" i="50" s="1"/>
  <c r="F32" i="52" s="1"/>
  <c r="AE39" i="29"/>
  <c r="G42" i="13"/>
  <c r="AD34" i="29"/>
  <c r="AD32" i="29"/>
  <c r="O32" i="29"/>
  <c r="F35" i="50" s="1"/>
  <c r="J35" i="50" s="1"/>
  <c r="F17" i="52" s="1"/>
  <c r="F33" i="13"/>
  <c r="O30" i="29"/>
  <c r="F33" i="50" s="1"/>
  <c r="J33" i="50" s="1"/>
  <c r="F15" i="52" s="1"/>
  <c r="AE28" i="29"/>
  <c r="O16" i="29"/>
  <c r="F17" i="50" s="1"/>
  <c r="J17" i="50" s="1"/>
  <c r="E23" i="52" s="1"/>
  <c r="AD16" i="29"/>
  <c r="AD15" i="29"/>
  <c r="F16" i="13"/>
  <c r="O13" i="29"/>
  <c r="F14" i="50" s="1"/>
  <c r="AD13" i="29"/>
  <c r="E21" i="52"/>
  <c r="O10" i="29"/>
  <c r="F11" i="50" s="1"/>
  <c r="J11" i="50" s="1"/>
  <c r="E17" i="52" s="1"/>
  <c r="G7" i="50"/>
  <c r="K7" i="50" s="1"/>
  <c r="E47" i="52" s="1"/>
  <c r="AH6" i="29"/>
  <c r="AE6" i="29"/>
  <c r="G7" i="13"/>
  <c r="O114" i="1"/>
  <c r="Y114" i="1"/>
  <c r="Y110" i="1"/>
  <c r="F126" i="14"/>
  <c r="O110" i="1"/>
  <c r="Y109" i="1"/>
  <c r="O109" i="1"/>
  <c r="E115" i="14"/>
  <c r="O108" i="1"/>
  <c r="E114" i="14"/>
  <c r="Y108" i="1"/>
  <c r="E96" i="51"/>
  <c r="N96" i="51" s="1"/>
  <c r="F96" i="51"/>
  <c r="O96" i="51" s="1"/>
  <c r="Y106" i="1"/>
  <c r="E112" i="14"/>
  <c r="Y104" i="1"/>
  <c r="E120" i="14"/>
  <c r="G120" i="14" s="1"/>
  <c r="Y96" i="1"/>
  <c r="F85" i="14"/>
  <c r="E85" i="14"/>
  <c r="O95" i="1"/>
  <c r="F65" i="14"/>
  <c r="O86" i="1"/>
  <c r="Y86" i="1"/>
  <c r="O85" i="1"/>
  <c r="E64" i="14"/>
  <c r="F64" i="14"/>
  <c r="F57" i="14"/>
  <c r="O81" i="1"/>
  <c r="E56" i="14"/>
  <c r="E49" i="14"/>
  <c r="O79" i="1"/>
  <c r="Y79" i="1"/>
  <c r="Y77" i="1"/>
  <c r="Y60" i="1"/>
  <c r="Y59" i="1"/>
  <c r="Y52" i="1"/>
  <c r="Y50" i="1"/>
  <c r="Y46" i="1"/>
  <c r="Y44" i="1"/>
  <c r="O43" i="1"/>
  <c r="Y26" i="1"/>
  <c r="O26" i="1"/>
  <c r="E26" i="51" s="1"/>
  <c r="O25" i="1"/>
  <c r="E25" i="51" s="1"/>
  <c r="Y19" i="1"/>
  <c r="O17" i="1"/>
  <c r="Y16" i="1"/>
  <c r="O13" i="1"/>
  <c r="Y13" i="1"/>
  <c r="O10" i="1"/>
  <c r="Y10" i="1"/>
  <c r="A84" i="46"/>
  <c r="A109" i="46"/>
  <c r="A117" i="46"/>
  <c r="A295" i="46"/>
  <c r="A296" i="46" s="1"/>
  <c r="A353" i="46"/>
  <c r="A354" i="46" s="1"/>
  <c r="A215" i="46"/>
  <c r="A101" i="46"/>
  <c r="A99" i="46"/>
  <c r="A110" i="46"/>
  <c r="A120" i="46"/>
  <c r="A139" i="46"/>
  <c r="A86" i="46"/>
  <c r="A123" i="46"/>
  <c r="A119" i="46"/>
  <c r="A102" i="46"/>
  <c r="A100" i="46"/>
  <c r="A85" i="46"/>
  <c r="A98" i="46"/>
  <c r="A122" i="46"/>
  <c r="A118" i="46"/>
  <c r="A45" i="46"/>
  <c r="A50" i="46"/>
  <c r="A121" i="46"/>
  <c r="J188" i="53"/>
  <c r="A188" i="53" s="1"/>
  <c r="A52" i="46"/>
  <c r="J282" i="53"/>
  <c r="J250" i="53" s="1"/>
  <c r="A47" i="46"/>
  <c r="J382" i="53"/>
  <c r="A382" i="53" s="1"/>
  <c r="A54" i="46"/>
  <c r="A56" i="46"/>
  <c r="J285" i="53"/>
  <c r="J253" i="53" s="1"/>
  <c r="A42" i="46"/>
  <c r="A53" i="46"/>
  <c r="J355" i="46"/>
  <c r="A362" i="46"/>
  <c r="A363" i="46" s="1"/>
  <c r="K385" i="53"/>
  <c r="H153" i="8" s="1"/>
  <c r="A390" i="46"/>
  <c r="J186" i="53"/>
  <c r="I501" i="46"/>
  <c r="A313" i="46"/>
  <c r="A314" i="46" s="1"/>
  <c r="K299" i="53"/>
  <c r="J398" i="53"/>
  <c r="J259" i="53"/>
  <c r="K252" i="53"/>
  <c r="K284" i="53"/>
  <c r="A303" i="46"/>
  <c r="A304" i="46" s="1"/>
  <c r="K253" i="53"/>
  <c r="K250" i="53"/>
  <c r="K398" i="53"/>
  <c r="K400" i="53" s="1"/>
  <c r="K259" i="53"/>
  <c r="J299" i="53"/>
  <c r="J252" i="53"/>
  <c r="J284" i="53"/>
  <c r="A422" i="46"/>
  <c r="A423" i="46" s="1"/>
  <c r="A430" i="46"/>
  <c r="A431" i="46" s="1"/>
  <c r="A355" i="46"/>
  <c r="A356" i="46"/>
  <c r="K186" i="53"/>
  <c r="F70" i="8" s="1"/>
  <c r="F71" i="8" s="1"/>
  <c r="F73" i="8" s="1"/>
  <c r="J501" i="46"/>
  <c r="A452" i="46"/>
  <c r="A453" i="46" s="1"/>
  <c r="A414" i="46"/>
  <c r="A415" i="46" s="1"/>
  <c r="A460" i="46"/>
  <c r="A461" i="46" s="1"/>
  <c r="A400" i="46"/>
  <c r="A438" i="46"/>
  <c r="A439" i="46" s="1"/>
  <c r="G176" i="8"/>
  <c r="I112" i="46"/>
  <c r="H176" i="8"/>
  <c r="J88" i="46"/>
  <c r="I104" i="46"/>
  <c r="I88" i="46"/>
  <c r="J125" i="46"/>
  <c r="I125" i="46"/>
  <c r="J112" i="46"/>
  <c r="J104" i="46"/>
  <c r="D27" i="52"/>
  <c r="D29" i="52"/>
  <c r="D66" i="52"/>
  <c r="D68" i="52" s="1"/>
  <c r="D40" i="52"/>
  <c r="D43" i="52"/>
  <c r="D80" i="52"/>
  <c r="H36" i="46"/>
  <c r="G36" i="46" s="1"/>
  <c r="A303" i="50"/>
  <c r="J265" i="50"/>
  <c r="O21" i="52" s="1"/>
  <c r="J292" i="50"/>
  <c r="J303" i="50"/>
  <c r="I135" i="46" s="1"/>
  <c r="A135" i="46" s="1"/>
  <c r="J62" i="50"/>
  <c r="G20" i="52" s="1"/>
  <c r="J209" i="50"/>
  <c r="N23" i="52" s="1"/>
  <c r="J129" i="50"/>
  <c r="J15" i="52" s="1"/>
  <c r="J213" i="50"/>
  <c r="N32" i="52" s="1"/>
  <c r="J64" i="50"/>
  <c r="G22" i="52" s="1"/>
  <c r="J108" i="50"/>
  <c r="I17" i="52" s="1"/>
  <c r="J171" i="50"/>
  <c r="K38" i="52" s="1"/>
  <c r="J276" i="50"/>
  <c r="O37" i="52" s="1"/>
  <c r="A311" i="50"/>
  <c r="J311" i="50"/>
  <c r="I143" i="46" s="1"/>
  <c r="A143" i="46" s="1"/>
  <c r="J427" i="50"/>
  <c r="K480" i="50"/>
  <c r="K242" i="50"/>
  <c r="J455" i="50"/>
  <c r="I203" i="46" s="1"/>
  <c r="A299" i="50"/>
  <c r="A327" i="50"/>
  <c r="J299" i="50"/>
  <c r="I131" i="46" s="1"/>
  <c r="A131" i="46" s="1"/>
  <c r="A307" i="50"/>
  <c r="J328" i="50"/>
  <c r="Y7" i="1"/>
  <c r="R85" i="51"/>
  <c r="K55" i="50"/>
  <c r="G47" i="52" s="1"/>
  <c r="J132" i="50"/>
  <c r="J18" i="52" s="1"/>
  <c r="J140" i="50"/>
  <c r="J31" i="52" s="1"/>
  <c r="J148" i="50"/>
  <c r="J39" i="52" s="1"/>
  <c r="K277" i="50"/>
  <c r="O77" i="52" s="1"/>
  <c r="A277" i="50"/>
  <c r="J16" i="50"/>
  <c r="E22" i="52" s="1"/>
  <c r="J36" i="50"/>
  <c r="F18" i="52" s="1"/>
  <c r="J58" i="50"/>
  <c r="G16" i="52" s="1"/>
  <c r="J122" i="50"/>
  <c r="I37" i="52" s="1"/>
  <c r="J136" i="50"/>
  <c r="J22" i="52" s="1"/>
  <c r="J144" i="50"/>
  <c r="J34" i="52" s="1"/>
  <c r="J167" i="50"/>
  <c r="K35" i="52" s="1"/>
  <c r="K342" i="50"/>
  <c r="K261" i="50"/>
  <c r="O53" i="52" s="1"/>
  <c r="A261" i="50"/>
  <c r="A377" i="50"/>
  <c r="J264" i="50"/>
  <c r="O20" i="52" s="1"/>
  <c r="A273" i="50"/>
  <c r="K354" i="50"/>
  <c r="J163" i="46" s="1"/>
  <c r="A163" i="46" s="1"/>
  <c r="A354" i="50"/>
  <c r="J463" i="50"/>
  <c r="A463" i="50"/>
  <c r="A519" i="50"/>
  <c r="J519" i="50"/>
  <c r="K350" i="50"/>
  <c r="J159" i="46" s="1"/>
  <c r="A159" i="46" s="1"/>
  <c r="A350" i="50"/>
  <c r="A369" i="50"/>
  <c r="J369" i="50"/>
  <c r="J389" i="50"/>
  <c r="K417" i="50"/>
  <c r="J451" i="50"/>
  <c r="I199" i="46" s="1"/>
  <c r="K346" i="50"/>
  <c r="J155" i="46" s="1"/>
  <c r="K362" i="50"/>
  <c r="A373" i="50"/>
  <c r="J373" i="50"/>
  <c r="J396" i="50"/>
  <c r="I179" i="46" s="1"/>
  <c r="K395" i="50"/>
  <c r="J178" i="46" s="1"/>
  <c r="K473" i="50"/>
  <c r="J478" i="50"/>
  <c r="K504" i="50"/>
  <c r="K283" i="46" s="1"/>
  <c r="A440" i="50"/>
  <c r="J440" i="50"/>
  <c r="J474" i="50"/>
  <c r="K477" i="50"/>
  <c r="A477" i="50"/>
  <c r="K508" i="50"/>
  <c r="K287" i="46" s="1"/>
  <c r="P132" i="51"/>
  <c r="L348" i="29"/>
  <c r="J423" i="13"/>
  <c r="J418" i="13"/>
  <c r="J422" i="13"/>
  <c r="M358" i="29"/>
  <c r="L358" i="29"/>
  <c r="L353" i="29"/>
  <c r="M343" i="29"/>
  <c r="L376" i="29"/>
  <c r="G391" i="29"/>
  <c r="G386" i="29"/>
  <c r="G381" i="29"/>
  <c r="G376" i="29"/>
  <c r="G362" i="29"/>
  <c r="G361" i="29"/>
  <c r="G360" i="29"/>
  <c r="G359" i="29"/>
  <c r="G357" i="29"/>
  <c r="G356" i="29"/>
  <c r="G355" i="29"/>
  <c r="G354" i="29"/>
  <c r="G352" i="29"/>
  <c r="G351" i="29"/>
  <c r="G350" i="29"/>
  <c r="G349" i="29"/>
  <c r="G347" i="29"/>
  <c r="G346" i="29"/>
  <c r="G345" i="29"/>
  <c r="G344" i="29"/>
  <c r="A550" i="46" l="1"/>
  <c r="A539" i="46"/>
  <c r="E43" i="14"/>
  <c r="A549" i="46"/>
  <c r="A551" i="46"/>
  <c r="I43" i="14"/>
  <c r="Q7" i="14"/>
  <c r="J228" i="50"/>
  <c r="J92" i="53" s="1"/>
  <c r="A92" i="53" s="1"/>
  <c r="A228" i="50"/>
  <c r="K77" i="51"/>
  <c r="K90" i="53"/>
  <c r="G430" i="50"/>
  <c r="K430" i="50" s="1"/>
  <c r="A229" i="50"/>
  <c r="A227" i="50"/>
  <c r="A188" i="46"/>
  <c r="J46" i="53"/>
  <c r="A46" i="53" s="1"/>
  <c r="G376" i="50"/>
  <c r="K376" i="50" s="1"/>
  <c r="J226" i="50"/>
  <c r="A226" i="50"/>
  <c r="A93" i="53"/>
  <c r="J43" i="14"/>
  <c r="S7" i="14"/>
  <c r="F43" i="14"/>
  <c r="A541" i="46"/>
  <c r="A552" i="46"/>
  <c r="A540" i="46"/>
  <c r="J288" i="50"/>
  <c r="G96" i="8" s="1"/>
  <c r="A51" i="53"/>
  <c r="G548" i="50"/>
  <c r="K548" i="50" s="1"/>
  <c r="K327" i="53" s="1"/>
  <c r="K331" i="53" s="1"/>
  <c r="A88" i="53"/>
  <c r="G93" i="14"/>
  <c r="J88" i="5"/>
  <c r="K48" i="53"/>
  <c r="G458" i="13"/>
  <c r="F458" i="13"/>
  <c r="Q105" i="51"/>
  <c r="A50" i="53"/>
  <c r="J52" i="53"/>
  <c r="K52" i="53"/>
  <c r="F80" i="8"/>
  <c r="F81" i="8" s="1"/>
  <c r="F83" i="8" s="1"/>
  <c r="I190" i="46"/>
  <c r="A447" i="50"/>
  <c r="G458" i="50"/>
  <c r="F458" i="50"/>
  <c r="I195" i="46"/>
  <c r="I207" i="46" s="1"/>
  <c r="J458" i="50"/>
  <c r="G230" i="50"/>
  <c r="J342" i="50"/>
  <c r="F359" i="50"/>
  <c r="A203" i="50"/>
  <c r="J151" i="46"/>
  <c r="J169" i="46" s="1"/>
  <c r="K359" i="50"/>
  <c r="L342" i="50"/>
  <c r="L359" i="50" s="1"/>
  <c r="H359" i="50"/>
  <c r="G359" i="50"/>
  <c r="J298" i="50"/>
  <c r="F314" i="50"/>
  <c r="K298" i="50"/>
  <c r="G314" i="50"/>
  <c r="G38" i="46"/>
  <c r="L57" i="52"/>
  <c r="M57" i="52" s="1"/>
  <c r="P57" i="52" s="1"/>
  <c r="I39" i="46"/>
  <c r="J485" i="46" s="1"/>
  <c r="L70" i="52"/>
  <c r="M70" i="52" s="1"/>
  <c r="P70" i="52" s="1"/>
  <c r="J475" i="46"/>
  <c r="I41" i="46"/>
  <c r="K251" i="53" s="1"/>
  <c r="L74" i="52"/>
  <c r="M74" i="52" s="1"/>
  <c r="P74" i="52" s="1"/>
  <c r="A74" i="52" s="1"/>
  <c r="I38" i="46"/>
  <c r="K223" i="50"/>
  <c r="K87" i="53" s="1"/>
  <c r="K74" i="51"/>
  <c r="H458" i="13"/>
  <c r="J106" i="7"/>
  <c r="F408" i="13"/>
  <c r="H408" i="13"/>
  <c r="G408" i="13"/>
  <c r="F359" i="13"/>
  <c r="H359" i="13"/>
  <c r="G359" i="13"/>
  <c r="G314" i="13"/>
  <c r="F314" i="13"/>
  <c r="J312" i="13"/>
  <c r="A312" i="13"/>
  <c r="A267" i="50"/>
  <c r="G230" i="13"/>
  <c r="F225" i="50"/>
  <c r="J225" i="50" s="1"/>
  <c r="J89" i="53" s="1"/>
  <c r="A89" i="53" s="1"/>
  <c r="G12" i="8"/>
  <c r="K13" i="14"/>
  <c r="S13" i="14" s="1"/>
  <c r="J24" i="58" s="1"/>
  <c r="H24" i="58" s="1"/>
  <c r="F18" i="49"/>
  <c r="G24" i="51"/>
  <c r="K26" i="14"/>
  <c r="S26" i="14" s="1"/>
  <c r="J37" i="58" s="1"/>
  <c r="H37" i="58" s="1"/>
  <c r="K23" i="14"/>
  <c r="S23" i="14" s="1"/>
  <c r="J34" i="58" s="1"/>
  <c r="H34" i="58" s="1"/>
  <c r="K25" i="14"/>
  <c r="S25" i="14" s="1"/>
  <c r="J36" i="58" s="1"/>
  <c r="H36" i="58" s="1"/>
  <c r="O25" i="14"/>
  <c r="E30" i="49" s="1"/>
  <c r="G7" i="14"/>
  <c r="G43" i="14" s="1"/>
  <c r="E104" i="51"/>
  <c r="N104" i="51" s="1"/>
  <c r="K341" i="31"/>
  <c r="J341" i="31"/>
  <c r="E65" i="8"/>
  <c r="E75" i="8" s="1"/>
  <c r="E85" i="8" s="1"/>
  <c r="K183" i="53"/>
  <c r="F65" i="8"/>
  <c r="F75" i="8" s="1"/>
  <c r="K247" i="53"/>
  <c r="D65" i="8"/>
  <c r="Q9" i="14"/>
  <c r="G14" i="49" s="1"/>
  <c r="K9" i="14"/>
  <c r="Q10" i="14"/>
  <c r="G15" i="49" s="1"/>
  <c r="K10" i="14"/>
  <c r="G13" i="49"/>
  <c r="K8" i="14"/>
  <c r="Q17" i="14"/>
  <c r="G22" i="49" s="1"/>
  <c r="K17" i="14"/>
  <c r="Q14" i="14"/>
  <c r="G19" i="49" s="1"/>
  <c r="K14" i="14"/>
  <c r="S14" i="14" s="1"/>
  <c r="J25" i="58" s="1"/>
  <c r="H25" i="58" s="1"/>
  <c r="Q16" i="14"/>
  <c r="G21" i="49" s="1"/>
  <c r="K16" i="14"/>
  <c r="Q18" i="14"/>
  <c r="G23" i="49" s="1"/>
  <c r="K18" i="14"/>
  <c r="O26" i="14"/>
  <c r="E31" i="49" s="1"/>
  <c r="G22" i="51"/>
  <c r="G26" i="51"/>
  <c r="G21" i="51"/>
  <c r="G25" i="51"/>
  <c r="AA7" i="1"/>
  <c r="F288" i="50"/>
  <c r="G29" i="13"/>
  <c r="A264" i="50"/>
  <c r="A220" i="50"/>
  <c r="P13" i="14"/>
  <c r="G24" i="58" s="1"/>
  <c r="E24" i="58" s="1"/>
  <c r="S24" i="14"/>
  <c r="O26" i="51"/>
  <c r="E31" i="8" s="1"/>
  <c r="F20" i="51"/>
  <c r="O20" i="51" s="1"/>
  <c r="E25" i="8" s="1"/>
  <c r="E13" i="51"/>
  <c r="F34" i="51"/>
  <c r="E34" i="51"/>
  <c r="E16" i="51"/>
  <c r="N16" i="51" s="1"/>
  <c r="D21" i="8" s="1"/>
  <c r="O22" i="51"/>
  <c r="E27" i="8" s="1"/>
  <c r="F19" i="51"/>
  <c r="O19" i="51" s="1"/>
  <c r="E24" i="8" s="1"/>
  <c r="F16" i="51"/>
  <c r="O16" i="51" s="1"/>
  <c r="E21" i="8" s="1"/>
  <c r="F12" i="51"/>
  <c r="G12" i="51" s="1"/>
  <c r="I110" i="51"/>
  <c r="J110" i="51"/>
  <c r="R110" i="51" s="1"/>
  <c r="O21" i="51"/>
  <c r="E26" i="8" s="1"/>
  <c r="F18" i="51"/>
  <c r="O18" i="51" s="1"/>
  <c r="E23" i="8" s="1"/>
  <c r="J114" i="51"/>
  <c r="R114" i="51" s="1"/>
  <c r="I114" i="51"/>
  <c r="Q11" i="51"/>
  <c r="G16" i="8" s="1"/>
  <c r="K11" i="51"/>
  <c r="S11" i="51" s="1"/>
  <c r="I16" i="8" s="1"/>
  <c r="K8" i="51"/>
  <c r="S8" i="51" s="1"/>
  <c r="I13" i="8" s="1"/>
  <c r="G13" i="8"/>
  <c r="Q24" i="51"/>
  <c r="G29" i="8" s="1"/>
  <c r="K24" i="51"/>
  <c r="S24" i="51" s="1"/>
  <c r="I29" i="8" s="1"/>
  <c r="I98" i="51"/>
  <c r="J98" i="51"/>
  <c r="R98" i="51" s="1"/>
  <c r="K13" i="51"/>
  <c r="J32" i="51"/>
  <c r="I32" i="51"/>
  <c r="J99" i="51"/>
  <c r="R99" i="51" s="1"/>
  <c r="I99" i="51"/>
  <c r="F7" i="51"/>
  <c r="G7" i="51" s="1"/>
  <c r="P7" i="51" s="1"/>
  <c r="F12" i="8" s="1"/>
  <c r="F15" i="51"/>
  <c r="O15" i="51" s="1"/>
  <c r="E20" i="8" s="1"/>
  <c r="F17" i="51"/>
  <c r="O17" i="51" s="1"/>
  <c r="E22" i="8" s="1"/>
  <c r="F8" i="51"/>
  <c r="O8" i="51" s="1"/>
  <c r="E13" i="8" s="1"/>
  <c r="Q10" i="51"/>
  <c r="G15" i="8" s="1"/>
  <c r="K10" i="51"/>
  <c r="S10" i="51" s="1"/>
  <c r="I15" i="8" s="1"/>
  <c r="E10" i="51"/>
  <c r="N10" i="51" s="1"/>
  <c r="D15" i="8" s="1"/>
  <c r="E17" i="51"/>
  <c r="N26" i="51"/>
  <c r="D31" i="8" s="1"/>
  <c r="E20" i="51"/>
  <c r="Q18" i="51"/>
  <c r="G23" i="8" s="1"/>
  <c r="K18" i="51"/>
  <c r="S18" i="51" s="1"/>
  <c r="I23" i="8" s="1"/>
  <c r="J33" i="51"/>
  <c r="I33" i="51"/>
  <c r="Q15" i="51"/>
  <c r="G20" i="8" s="1"/>
  <c r="K15" i="51"/>
  <c r="S15" i="51" s="1"/>
  <c r="I20" i="8" s="1"/>
  <c r="I34" i="51"/>
  <c r="J34" i="51"/>
  <c r="R34" i="51" s="1"/>
  <c r="J111" i="51"/>
  <c r="R111" i="51" s="1"/>
  <c r="I111" i="51"/>
  <c r="E11" i="51"/>
  <c r="K12" i="51"/>
  <c r="S12" i="51" s="1"/>
  <c r="I17" i="8" s="1"/>
  <c r="A17" i="8" s="1"/>
  <c r="Q12" i="51"/>
  <c r="G17" i="8" s="1"/>
  <c r="J7" i="51"/>
  <c r="R7" i="51" s="1"/>
  <c r="H12" i="8" s="1"/>
  <c r="J112" i="51"/>
  <c r="R112" i="51" s="1"/>
  <c r="I112" i="51"/>
  <c r="Q17" i="51"/>
  <c r="G22" i="8" s="1"/>
  <c r="K17" i="51"/>
  <c r="S17" i="51" s="1"/>
  <c r="I22" i="8" s="1"/>
  <c r="J113" i="51"/>
  <c r="R113" i="51" s="1"/>
  <c r="I113" i="51"/>
  <c r="N18" i="51"/>
  <c r="D23" i="8" s="1"/>
  <c r="E15" i="51"/>
  <c r="P14" i="14"/>
  <c r="G25" i="58" s="1"/>
  <c r="E25" i="58" s="1"/>
  <c r="E9" i="51"/>
  <c r="N9" i="51" s="1"/>
  <c r="D14" i="8" s="1"/>
  <c r="Q22" i="51"/>
  <c r="G27" i="8" s="1"/>
  <c r="K22" i="51"/>
  <c r="S22" i="51" s="1"/>
  <c r="I27" i="8" s="1"/>
  <c r="J96" i="51"/>
  <c r="I96" i="51"/>
  <c r="Q19" i="51"/>
  <c r="G24" i="8" s="1"/>
  <c r="K19" i="51"/>
  <c r="S19" i="51" s="1"/>
  <c r="I24" i="8" s="1"/>
  <c r="J115" i="51"/>
  <c r="R115" i="51" s="1"/>
  <c r="I115" i="51"/>
  <c r="F9" i="51"/>
  <c r="O9" i="51" s="1"/>
  <c r="E14" i="8" s="1"/>
  <c r="Q16" i="51"/>
  <c r="G21" i="8" s="1"/>
  <c r="K16" i="51"/>
  <c r="S16" i="51" s="1"/>
  <c r="I21" i="8" s="1"/>
  <c r="J109" i="51"/>
  <c r="I109" i="51"/>
  <c r="K21" i="51"/>
  <c r="S21" i="51" s="1"/>
  <c r="I26" i="8" s="1"/>
  <c r="Q21" i="51"/>
  <c r="G26" i="8" s="1"/>
  <c r="N22" i="51"/>
  <c r="D27" i="8" s="1"/>
  <c r="E19" i="51"/>
  <c r="E8" i="51"/>
  <c r="G23" i="51"/>
  <c r="F11" i="51"/>
  <c r="O11" i="51" s="1"/>
  <c r="E16" i="8" s="1"/>
  <c r="F29" i="49"/>
  <c r="P35" i="58" s="1"/>
  <c r="R35" i="58" s="1"/>
  <c r="K26" i="51"/>
  <c r="S26" i="51" s="1"/>
  <c r="I31" i="8" s="1"/>
  <c r="Q26" i="51"/>
  <c r="G31" i="8" s="1"/>
  <c r="K23" i="51"/>
  <c r="S23" i="51" s="1"/>
  <c r="I28" i="8" s="1"/>
  <c r="A28" i="8" s="1"/>
  <c r="Q23" i="51"/>
  <c r="G28" i="8" s="1"/>
  <c r="E32" i="51"/>
  <c r="N32" i="51" s="1"/>
  <c r="F32" i="51"/>
  <c r="Q20" i="51"/>
  <c r="G25" i="8" s="1"/>
  <c r="K20" i="51"/>
  <c r="S20" i="51" s="1"/>
  <c r="I25" i="8" s="1"/>
  <c r="I104" i="51"/>
  <c r="J104" i="51"/>
  <c r="E33" i="51"/>
  <c r="F33" i="51"/>
  <c r="O33" i="51" s="1"/>
  <c r="K9" i="51"/>
  <c r="S9" i="51" s="1"/>
  <c r="I14" i="8" s="1"/>
  <c r="Q9" i="51"/>
  <c r="G14" i="8" s="1"/>
  <c r="Q25" i="51"/>
  <c r="G30" i="8" s="1"/>
  <c r="K25" i="51"/>
  <c r="S25" i="51" s="1"/>
  <c r="I30" i="8" s="1"/>
  <c r="A30" i="8" s="1"/>
  <c r="F14" i="51"/>
  <c r="G14" i="51" s="1"/>
  <c r="F13" i="51"/>
  <c r="G18" i="49"/>
  <c r="F31" i="49"/>
  <c r="P37" i="58" s="1"/>
  <c r="Q37" i="58" s="1"/>
  <c r="F30" i="49"/>
  <c r="P36" i="58" s="1"/>
  <c r="R36" i="58" s="1"/>
  <c r="N12" i="14"/>
  <c r="D17" i="49" s="1"/>
  <c r="P12" i="14"/>
  <c r="G23" i="58" s="1"/>
  <c r="E23" i="58" s="1"/>
  <c r="R14" i="51"/>
  <c r="H19" i="8" s="1"/>
  <c r="K14" i="51"/>
  <c r="S14" i="51" s="1"/>
  <c r="I19" i="8" s="1"/>
  <c r="A19" i="8" s="1"/>
  <c r="R14" i="14"/>
  <c r="H19" i="49" s="1"/>
  <c r="H48" i="49" s="1"/>
  <c r="F10" i="51"/>
  <c r="N23" i="14"/>
  <c r="D28" i="49" s="1"/>
  <c r="P23" i="14"/>
  <c r="G34" i="58" s="1"/>
  <c r="E34" i="58" s="1"/>
  <c r="S12" i="14"/>
  <c r="J23" i="58" s="1"/>
  <c r="H23" i="58" s="1"/>
  <c r="Q12" i="14"/>
  <c r="G17" i="49" s="1"/>
  <c r="Q23" i="14"/>
  <c r="G28" i="49" s="1"/>
  <c r="K249" i="50"/>
  <c r="K49" i="53" s="1"/>
  <c r="A49" i="53" s="1"/>
  <c r="A250" i="50"/>
  <c r="A201" i="50"/>
  <c r="A287" i="50"/>
  <c r="A422" i="50"/>
  <c r="A240" i="50"/>
  <c r="A453" i="50"/>
  <c r="A305" i="50"/>
  <c r="D349" i="29"/>
  <c r="K312" i="50"/>
  <c r="J144" i="46" s="1"/>
  <c r="A144" i="46" s="1"/>
  <c r="A27" i="50"/>
  <c r="D344" i="29"/>
  <c r="J305" i="50"/>
  <c r="I137" i="46" s="1"/>
  <c r="A137" i="46" s="1"/>
  <c r="A15" i="50"/>
  <c r="A134" i="50"/>
  <c r="D356" i="29"/>
  <c r="A235" i="50"/>
  <c r="A371" i="50"/>
  <c r="A246" i="50"/>
  <c r="A448" i="50"/>
  <c r="A480" i="50"/>
  <c r="A278" i="50"/>
  <c r="A417" i="50"/>
  <c r="A474" i="50"/>
  <c r="A262" i="50"/>
  <c r="J267" i="50"/>
  <c r="O23" i="52" s="1"/>
  <c r="A178" i="50"/>
  <c r="E68" i="51"/>
  <c r="G68" i="51" s="1"/>
  <c r="P68" i="51" s="1"/>
  <c r="J77" i="53" s="1"/>
  <c r="K253" i="50"/>
  <c r="K47" i="53" s="1"/>
  <c r="A47" i="53" s="1"/>
  <c r="A368" i="50"/>
  <c r="A194" i="50"/>
  <c r="A200" i="46"/>
  <c r="A64" i="50"/>
  <c r="D361" i="29"/>
  <c r="A452" i="50"/>
  <c r="A263" i="50"/>
  <c r="A475" i="50"/>
  <c r="A217" i="50"/>
  <c r="A224" i="50"/>
  <c r="A454" i="50"/>
  <c r="A272" i="50"/>
  <c r="A142" i="46"/>
  <c r="A20" i="50"/>
  <c r="J472" i="50"/>
  <c r="A71" i="50"/>
  <c r="A263" i="46"/>
  <c r="A300" i="50"/>
  <c r="A219" i="50"/>
  <c r="A374" i="50"/>
  <c r="A275" i="50"/>
  <c r="A204" i="46"/>
  <c r="A328" i="50"/>
  <c r="A284" i="50"/>
  <c r="H333" i="50"/>
  <c r="L333" i="50" s="1"/>
  <c r="K453" i="50"/>
  <c r="J201" i="46" s="1"/>
  <c r="A201" i="46" s="1"/>
  <c r="A65" i="50"/>
  <c r="A450" i="50"/>
  <c r="K329" i="50"/>
  <c r="H104" i="8" s="1"/>
  <c r="K389" i="50"/>
  <c r="H114" i="8" s="1"/>
  <c r="K220" i="50"/>
  <c r="N78" i="52" s="1"/>
  <c r="A469" i="50"/>
  <c r="A470" i="50"/>
  <c r="A479" i="50"/>
  <c r="A239" i="50"/>
  <c r="F329" i="50"/>
  <c r="G329" i="50"/>
  <c r="A69" i="50"/>
  <c r="A236" i="50"/>
  <c r="A177" i="50"/>
  <c r="A326" i="50"/>
  <c r="K448" i="50"/>
  <c r="J196" i="46" s="1"/>
  <c r="A196" i="46" s="1"/>
  <c r="A206" i="50"/>
  <c r="A148" i="50"/>
  <c r="A132" i="50"/>
  <c r="A420" i="50"/>
  <c r="A259" i="50"/>
  <c r="A242" i="50"/>
  <c r="A270" i="50"/>
  <c r="K205" i="50"/>
  <c r="N55" i="52" s="1"/>
  <c r="A449" i="50"/>
  <c r="A234" i="50"/>
  <c r="A325" i="50"/>
  <c r="A193" i="50"/>
  <c r="A260" i="50"/>
  <c r="A141" i="50"/>
  <c r="A62" i="50"/>
  <c r="L91" i="52"/>
  <c r="G288" i="50"/>
  <c r="A216" i="50"/>
  <c r="J203" i="50"/>
  <c r="N17" i="52" s="1"/>
  <c r="A215" i="50"/>
  <c r="A70" i="50"/>
  <c r="A285" i="50"/>
  <c r="A455" i="50"/>
  <c r="A129" i="50"/>
  <c r="A310" i="50"/>
  <c r="A245" i="50"/>
  <c r="A63" i="50"/>
  <c r="A87" i="50"/>
  <c r="D351" i="29"/>
  <c r="A428" i="50"/>
  <c r="A430" i="50"/>
  <c r="A136" i="50"/>
  <c r="K285" i="50"/>
  <c r="K288" i="50" s="1"/>
  <c r="H96" i="8" s="1"/>
  <c r="A110" i="50"/>
  <c r="J468" i="50"/>
  <c r="A271" i="50"/>
  <c r="A203" i="46"/>
  <c r="A145" i="50"/>
  <c r="A146" i="50"/>
  <c r="A252" i="50"/>
  <c r="A266" i="46"/>
  <c r="A425" i="50"/>
  <c r="A478" i="50"/>
  <c r="A238" i="50"/>
  <c r="A266" i="50"/>
  <c r="A419" i="50"/>
  <c r="A166" i="46"/>
  <c r="J357" i="53"/>
  <c r="J360" i="53" s="1"/>
  <c r="A93" i="50"/>
  <c r="A21" i="50"/>
  <c r="A23" i="50"/>
  <c r="A237" i="50"/>
  <c r="A337" i="50"/>
  <c r="A418" i="50"/>
  <c r="K293" i="50"/>
  <c r="A34" i="50"/>
  <c r="A441" i="50"/>
  <c r="A292" i="50"/>
  <c r="A486" i="50"/>
  <c r="A492" i="50"/>
  <c r="L391" i="50"/>
  <c r="A120" i="50"/>
  <c r="A16" i="50"/>
  <c r="A370" i="50"/>
  <c r="A473" i="50"/>
  <c r="A456" i="50"/>
  <c r="A286" i="50"/>
  <c r="A451" i="50"/>
  <c r="J93" i="50"/>
  <c r="H32" i="52" s="1"/>
  <c r="A285" i="53"/>
  <c r="A218" i="50"/>
  <c r="A309" i="50"/>
  <c r="G63" i="51"/>
  <c r="P63" i="51" s="1"/>
  <c r="G89" i="51"/>
  <c r="P89" i="51" s="1"/>
  <c r="N89" i="51"/>
  <c r="G85" i="51"/>
  <c r="P85" i="51" s="1"/>
  <c r="E109" i="51"/>
  <c r="G109" i="51" s="1"/>
  <c r="G43" i="51"/>
  <c r="P43" i="51" s="1"/>
  <c r="N7" i="51"/>
  <c r="D12" i="8" s="1"/>
  <c r="K70" i="14"/>
  <c r="S70" i="14" s="1"/>
  <c r="Q70" i="14"/>
  <c r="F73" i="14"/>
  <c r="E113" i="51"/>
  <c r="N113" i="51" s="1"/>
  <c r="E73" i="14"/>
  <c r="N70" i="14"/>
  <c r="G70" i="14"/>
  <c r="P70" i="14" s="1"/>
  <c r="A181" i="46"/>
  <c r="G364" i="50"/>
  <c r="J309" i="50"/>
  <c r="I141" i="46" s="1"/>
  <c r="A141" i="46" s="1"/>
  <c r="A88" i="50"/>
  <c r="A86" i="50"/>
  <c r="A98" i="50"/>
  <c r="G86" i="51"/>
  <c r="P86" i="51" s="1"/>
  <c r="O86" i="51"/>
  <c r="K85" i="51"/>
  <c r="S85" i="51" s="1"/>
  <c r="G133" i="51"/>
  <c r="P133" i="51" s="1"/>
  <c r="A132" i="51"/>
  <c r="A131" i="51"/>
  <c r="A465" i="50"/>
  <c r="A76" i="50"/>
  <c r="A75" i="50"/>
  <c r="A60" i="50"/>
  <c r="J120" i="50"/>
  <c r="I34" i="52" s="1"/>
  <c r="K117" i="50"/>
  <c r="I71" i="52" s="1"/>
  <c r="M71" i="52" s="1"/>
  <c r="P71" i="52" s="1"/>
  <c r="A111" i="50"/>
  <c r="A123" i="50"/>
  <c r="A106" i="50"/>
  <c r="A165" i="50"/>
  <c r="A166" i="50"/>
  <c r="A170" i="50"/>
  <c r="A41" i="50"/>
  <c r="A51" i="50"/>
  <c r="A47" i="50"/>
  <c r="A37" i="50"/>
  <c r="A44" i="50"/>
  <c r="A38" i="50"/>
  <c r="A9" i="50"/>
  <c r="A10" i="50"/>
  <c r="A11" i="50"/>
  <c r="E91" i="52"/>
  <c r="A347" i="50"/>
  <c r="A165" i="46"/>
  <c r="A301" i="50"/>
  <c r="A306" i="50"/>
  <c r="A308" i="50"/>
  <c r="A138" i="46"/>
  <c r="A285" i="46"/>
  <c r="A488" i="50"/>
  <c r="A415" i="50"/>
  <c r="A462" i="50"/>
  <c r="A89" i="50"/>
  <c r="A82" i="50"/>
  <c r="A96" i="50"/>
  <c r="A271" i="46"/>
  <c r="K269" i="46"/>
  <c r="A489" i="50"/>
  <c r="A504" i="50"/>
  <c r="A506" i="50"/>
  <c r="K265" i="46"/>
  <c r="A496" i="50"/>
  <c r="A494" i="50"/>
  <c r="G481" i="13"/>
  <c r="H364" i="50"/>
  <c r="A362" i="50"/>
  <c r="G444" i="50"/>
  <c r="G107" i="8"/>
  <c r="L362" i="50"/>
  <c r="L364" i="50" s="1"/>
  <c r="H180" i="8" s="1"/>
  <c r="A414" i="50"/>
  <c r="A401" i="50"/>
  <c r="A402" i="50"/>
  <c r="A439" i="50"/>
  <c r="A179" i="46"/>
  <c r="A442" i="50"/>
  <c r="A157" i="46"/>
  <c r="A356" i="50"/>
  <c r="A164" i="46"/>
  <c r="A155" i="46"/>
  <c r="A154" i="46"/>
  <c r="A153" i="46"/>
  <c r="K421" i="13"/>
  <c r="G431" i="13"/>
  <c r="A182" i="50"/>
  <c r="A283" i="46"/>
  <c r="J242" i="46"/>
  <c r="H57" i="46" s="1"/>
  <c r="A280" i="46"/>
  <c r="A493" i="50"/>
  <c r="J494" i="50"/>
  <c r="J270" i="46" s="1"/>
  <c r="A270" i="46" s="1"/>
  <c r="J492" i="50"/>
  <c r="J268" i="46" s="1"/>
  <c r="A268" i="46" s="1"/>
  <c r="J486" i="50"/>
  <c r="J261" i="46" s="1"/>
  <c r="A273" i="46"/>
  <c r="A274" i="46" s="1"/>
  <c r="K425" i="50"/>
  <c r="J422" i="50"/>
  <c r="A424" i="50"/>
  <c r="J414" i="50"/>
  <c r="A187" i="46"/>
  <c r="K397" i="50"/>
  <c r="J180" i="46" s="1"/>
  <c r="A180" i="46" s="1"/>
  <c r="A403" i="50"/>
  <c r="A396" i="50"/>
  <c r="G408" i="50"/>
  <c r="A398" i="50"/>
  <c r="A177" i="46"/>
  <c r="A183" i="46"/>
  <c r="J444" i="50"/>
  <c r="G124" i="8" s="1"/>
  <c r="K444" i="50"/>
  <c r="H124" i="8" s="1"/>
  <c r="H391" i="50"/>
  <c r="J363" i="50"/>
  <c r="J364" i="50" s="1"/>
  <c r="F364" i="50"/>
  <c r="A160" i="46"/>
  <c r="A344" i="50"/>
  <c r="A161" i="46"/>
  <c r="A346" i="50"/>
  <c r="A348" i="50"/>
  <c r="A158" i="46"/>
  <c r="A357" i="50"/>
  <c r="A208" i="50"/>
  <c r="A213" i="50"/>
  <c r="A202" i="50"/>
  <c r="A212" i="50"/>
  <c r="A181" i="50"/>
  <c r="A189" i="50"/>
  <c r="A184" i="50"/>
  <c r="A183" i="50"/>
  <c r="A154" i="50"/>
  <c r="A161" i="50"/>
  <c r="A160" i="50"/>
  <c r="A169" i="50"/>
  <c r="J166" i="50"/>
  <c r="K33" i="52" s="1"/>
  <c r="A171" i="50"/>
  <c r="A155" i="50"/>
  <c r="K161" i="50"/>
  <c r="K59" i="52" s="1"/>
  <c r="M59" i="52" s="1"/>
  <c r="P59" i="52" s="1"/>
  <c r="A172" i="50"/>
  <c r="K91" i="52"/>
  <c r="A168" i="50"/>
  <c r="A156" i="50"/>
  <c r="A159" i="50"/>
  <c r="M72" i="52"/>
  <c r="P72" i="52" s="1"/>
  <c r="A135" i="50"/>
  <c r="A144" i="50"/>
  <c r="A137" i="50"/>
  <c r="A143" i="50"/>
  <c r="J123" i="50"/>
  <c r="I38" i="52" s="1"/>
  <c r="M38" i="52" s="1"/>
  <c r="P38" i="52" s="1"/>
  <c r="A118" i="50"/>
  <c r="A107" i="50"/>
  <c r="M56" i="52"/>
  <c r="P56" i="52" s="1"/>
  <c r="I91" i="52"/>
  <c r="A122" i="50"/>
  <c r="A119" i="50"/>
  <c r="A109" i="50"/>
  <c r="A112" i="50"/>
  <c r="A124" i="50"/>
  <c r="A100" i="50"/>
  <c r="A92" i="50"/>
  <c r="A94" i="50"/>
  <c r="M52" i="52"/>
  <c r="P52" i="52" s="1"/>
  <c r="A95" i="50"/>
  <c r="A84" i="50"/>
  <c r="A81" i="50"/>
  <c r="M35" i="52"/>
  <c r="P35" i="52" s="1"/>
  <c r="J94" i="50"/>
  <c r="H33" i="52" s="1"/>
  <c r="M58" i="52"/>
  <c r="P58" i="52" s="1"/>
  <c r="A74" i="50"/>
  <c r="J63" i="50"/>
  <c r="G21" i="52" s="1"/>
  <c r="M21" i="52" s="1"/>
  <c r="P21" i="52" s="1"/>
  <c r="M73" i="52"/>
  <c r="P73" i="52" s="1"/>
  <c r="A59" i="50"/>
  <c r="A58" i="50"/>
  <c r="A57" i="50"/>
  <c r="A61" i="50"/>
  <c r="A36" i="50"/>
  <c r="A45" i="50"/>
  <c r="M76" i="52"/>
  <c r="P76" i="52" s="1"/>
  <c r="A48" i="50"/>
  <c r="A33" i="50"/>
  <c r="A40" i="50"/>
  <c r="A39" i="50"/>
  <c r="A49" i="50"/>
  <c r="A50" i="50"/>
  <c r="M75" i="52"/>
  <c r="P75" i="52" s="1"/>
  <c r="M55" i="52"/>
  <c r="A17" i="50"/>
  <c r="A13" i="50"/>
  <c r="A22" i="50"/>
  <c r="A28" i="50"/>
  <c r="M78" i="52"/>
  <c r="A24" i="50"/>
  <c r="A12" i="50"/>
  <c r="K113" i="14"/>
  <c r="N43" i="51"/>
  <c r="Z120" i="1"/>
  <c r="E91" i="51"/>
  <c r="N91" i="51" s="1"/>
  <c r="G90" i="51"/>
  <c r="P90" i="51" s="1"/>
  <c r="N90" i="51"/>
  <c r="A363" i="50"/>
  <c r="J337" i="50"/>
  <c r="J391" i="50"/>
  <c r="G114" i="8"/>
  <c r="A413" i="50"/>
  <c r="M53" i="52"/>
  <c r="J76" i="50"/>
  <c r="G39" i="52" s="1"/>
  <c r="A375" i="50"/>
  <c r="A298" i="50"/>
  <c r="A294" i="50"/>
  <c r="A427" i="50"/>
  <c r="A190" i="50"/>
  <c r="A73" i="50"/>
  <c r="J57" i="50"/>
  <c r="G15" i="52" s="1"/>
  <c r="M15" i="52" s="1"/>
  <c r="P15" i="52" s="1"/>
  <c r="J156" i="50"/>
  <c r="K18" i="52" s="1"/>
  <c r="M18" i="52" s="1"/>
  <c r="A209" i="50"/>
  <c r="A52" i="50"/>
  <c r="K301" i="53"/>
  <c r="J297" i="53" s="1"/>
  <c r="A297" i="53" s="1"/>
  <c r="A14" i="50"/>
  <c r="F91" i="52"/>
  <c r="G91" i="52"/>
  <c r="K363" i="50"/>
  <c r="K364" i="50" s="1"/>
  <c r="K261" i="46"/>
  <c r="A505" i="50"/>
  <c r="J91" i="52"/>
  <c r="N91" i="52"/>
  <c r="G19" i="50"/>
  <c r="K19" i="50" s="1"/>
  <c r="E67" i="52" s="1"/>
  <c r="G8" i="50"/>
  <c r="K8" i="50" s="1"/>
  <c r="E48" i="52" s="1"/>
  <c r="F8" i="50"/>
  <c r="F19" i="50"/>
  <c r="F233" i="50"/>
  <c r="F244" i="50"/>
  <c r="O91" i="52"/>
  <c r="G91" i="50"/>
  <c r="K91" i="50" s="1"/>
  <c r="H67" i="52" s="1"/>
  <c r="H68" i="52" s="1"/>
  <c r="H80" i="52" s="1"/>
  <c r="G80" i="50"/>
  <c r="J54" i="51"/>
  <c r="R54" i="51" s="1"/>
  <c r="I54" i="51"/>
  <c r="J51" i="51"/>
  <c r="R51" i="51" s="1"/>
  <c r="I51" i="51"/>
  <c r="F44" i="51"/>
  <c r="O44" i="51" s="1"/>
  <c r="E44" i="51"/>
  <c r="I52" i="51"/>
  <c r="J52" i="51"/>
  <c r="R52" i="51" s="1"/>
  <c r="E51" i="51"/>
  <c r="F51" i="51"/>
  <c r="O51" i="51" s="1"/>
  <c r="E105" i="51"/>
  <c r="F105" i="51"/>
  <c r="A197" i="46"/>
  <c r="J41" i="51"/>
  <c r="R41" i="51" s="1"/>
  <c r="I41" i="51"/>
  <c r="J73" i="51"/>
  <c r="R73" i="51" s="1"/>
  <c r="I73" i="51"/>
  <c r="F55" i="51"/>
  <c r="O55" i="51" s="1"/>
  <c r="E55" i="51"/>
  <c r="E54" i="51"/>
  <c r="F54" i="51"/>
  <c r="O54" i="51" s="1"/>
  <c r="J55" i="51"/>
  <c r="R55" i="51" s="1"/>
  <c r="I55" i="51"/>
  <c r="J49" i="51"/>
  <c r="I49" i="51"/>
  <c r="A199" i="46"/>
  <c r="G104" i="50"/>
  <c r="K104" i="50" s="1"/>
  <c r="I48" i="52" s="1"/>
  <c r="I49" i="52" s="1"/>
  <c r="I61" i="52" s="1"/>
  <c r="G115" i="50"/>
  <c r="K115" i="50" s="1"/>
  <c r="I67" i="52" s="1"/>
  <c r="I68" i="52" s="1"/>
  <c r="G211" i="50"/>
  <c r="K211" i="50" s="1"/>
  <c r="N67" i="52" s="1"/>
  <c r="N68" i="52" s="1"/>
  <c r="G200" i="50"/>
  <c r="F176" i="50"/>
  <c r="F187" i="50"/>
  <c r="G32" i="50"/>
  <c r="K32" i="50" s="1"/>
  <c r="F48" i="52" s="1"/>
  <c r="F49" i="52" s="1"/>
  <c r="F61" i="52" s="1"/>
  <c r="G43" i="50"/>
  <c r="K43" i="50" s="1"/>
  <c r="F67" i="52" s="1"/>
  <c r="F68" i="52" s="1"/>
  <c r="F80" i="52" s="1"/>
  <c r="G187" i="50"/>
  <c r="K187" i="50" s="1"/>
  <c r="L67" i="52" s="1"/>
  <c r="L68" i="52" s="1"/>
  <c r="G176" i="50"/>
  <c r="F56" i="50"/>
  <c r="F67" i="50"/>
  <c r="F295" i="13"/>
  <c r="R33" i="51"/>
  <c r="J63" i="51"/>
  <c r="R63" i="51" s="1"/>
  <c r="I63" i="51"/>
  <c r="F426" i="13"/>
  <c r="J426" i="13" s="1"/>
  <c r="AD358" i="29"/>
  <c r="O358" i="29"/>
  <c r="F426" i="50" s="1"/>
  <c r="D360" i="29"/>
  <c r="A495" i="50"/>
  <c r="A487" i="50"/>
  <c r="J462" i="50"/>
  <c r="L408" i="50"/>
  <c r="A304" i="50"/>
  <c r="A251" i="50"/>
  <c r="A372" i="50"/>
  <c r="A349" i="50"/>
  <c r="A291" i="50"/>
  <c r="A429" i="50"/>
  <c r="A338" i="50"/>
  <c r="A167" i="50"/>
  <c r="A147" i="50"/>
  <c r="A133" i="50"/>
  <c r="M54" i="52"/>
  <c r="P54" i="52" s="1"/>
  <c r="A26" i="50"/>
  <c r="A158" i="50"/>
  <c r="A25" i="50"/>
  <c r="A157" i="50"/>
  <c r="J168" i="50"/>
  <c r="K34" i="52" s="1"/>
  <c r="A99" i="50"/>
  <c r="A83" i="50"/>
  <c r="K133" i="51"/>
  <c r="S133" i="51" s="1"/>
  <c r="F444" i="50"/>
  <c r="A247" i="50"/>
  <c r="A248" i="50"/>
  <c r="G391" i="50"/>
  <c r="A302" i="50"/>
  <c r="A276" i="50"/>
  <c r="A72" i="50"/>
  <c r="J237" i="50"/>
  <c r="J48" i="53" s="1"/>
  <c r="A48" i="53" s="1"/>
  <c r="J124" i="50"/>
  <c r="I39" i="52" s="1"/>
  <c r="A204" i="50"/>
  <c r="A116" i="50"/>
  <c r="G295" i="50"/>
  <c r="K295" i="50" s="1"/>
  <c r="H97" i="8" s="1"/>
  <c r="A195" i="50"/>
  <c r="A130" i="50"/>
  <c r="A265" i="50"/>
  <c r="A501" i="46"/>
  <c r="F42" i="51"/>
  <c r="O42" i="51" s="1"/>
  <c r="A68" i="50"/>
  <c r="A196" i="50"/>
  <c r="A512" i="46"/>
  <c r="K252" i="46"/>
  <c r="G509" i="50"/>
  <c r="H447" i="50"/>
  <c r="H458" i="50" s="1"/>
  <c r="AI364" i="29"/>
  <c r="G258" i="50"/>
  <c r="G269" i="50"/>
  <c r="K269" i="50" s="1"/>
  <c r="O67" i="52" s="1"/>
  <c r="O68" i="52" s="1"/>
  <c r="O80" i="52" s="1"/>
  <c r="K447" i="50"/>
  <c r="G233" i="50"/>
  <c r="G244" i="50"/>
  <c r="K244" i="50" s="1"/>
  <c r="H91" i="52"/>
  <c r="F43" i="50"/>
  <c r="F32" i="50"/>
  <c r="F211" i="50"/>
  <c r="F200" i="50"/>
  <c r="J42" i="51"/>
  <c r="R42" i="51" s="1"/>
  <c r="I42" i="51"/>
  <c r="E53" i="51"/>
  <c r="F53" i="51"/>
  <c r="O53" i="51" s="1"/>
  <c r="J69" i="51"/>
  <c r="R69" i="51" s="1"/>
  <c r="I69" i="51"/>
  <c r="J40" i="51"/>
  <c r="I40" i="51"/>
  <c r="J68" i="51"/>
  <c r="I68" i="51"/>
  <c r="E73" i="51"/>
  <c r="F73" i="51"/>
  <c r="O73" i="51" s="1"/>
  <c r="F329" i="13"/>
  <c r="J53" i="51"/>
  <c r="R53" i="51" s="1"/>
  <c r="I53" i="51"/>
  <c r="F40" i="51"/>
  <c r="O40" i="51" s="1"/>
  <c r="E40" i="51"/>
  <c r="F115" i="50"/>
  <c r="F104" i="50"/>
  <c r="A46" i="50"/>
  <c r="F91" i="50"/>
  <c r="F80" i="50"/>
  <c r="D359" i="29"/>
  <c r="O24" i="51"/>
  <c r="E29" i="8" s="1"/>
  <c r="H408" i="50"/>
  <c r="A389" i="50"/>
  <c r="F295" i="50"/>
  <c r="J295" i="50" s="1"/>
  <c r="G97" i="8" s="1"/>
  <c r="A274" i="50"/>
  <c r="A214" i="50"/>
  <c r="A192" i="50"/>
  <c r="A207" i="50"/>
  <c r="M77" i="52"/>
  <c r="P77" i="52" s="1"/>
  <c r="A131" i="50"/>
  <c r="A97" i="50"/>
  <c r="A140" i="50"/>
  <c r="A241" i="50"/>
  <c r="A180" i="50"/>
  <c r="A179" i="50"/>
  <c r="A85" i="50"/>
  <c r="A191" i="50"/>
  <c r="A464" i="50"/>
  <c r="A108" i="50"/>
  <c r="A142" i="50"/>
  <c r="A164" i="50"/>
  <c r="A282" i="53"/>
  <c r="A152" i="46"/>
  <c r="A162" i="46"/>
  <c r="G67" i="50"/>
  <c r="K67" i="50" s="1"/>
  <c r="G67" i="52" s="1"/>
  <c r="G68" i="52" s="1"/>
  <c r="G80" i="52" s="1"/>
  <c r="G56" i="50"/>
  <c r="G152" i="50"/>
  <c r="G163" i="50"/>
  <c r="G139" i="50"/>
  <c r="G128" i="50"/>
  <c r="K128" i="50" s="1"/>
  <c r="J48" i="52" s="1"/>
  <c r="J49" i="52" s="1"/>
  <c r="J61" i="52" s="1"/>
  <c r="F258" i="50"/>
  <c r="F269" i="50"/>
  <c r="I50" i="51"/>
  <c r="J50" i="51"/>
  <c r="R50" i="51" s="1"/>
  <c r="F62" i="51"/>
  <c r="E62" i="51"/>
  <c r="J43" i="51"/>
  <c r="R43" i="51" s="1"/>
  <c r="I43" i="51"/>
  <c r="E115" i="51"/>
  <c r="F115" i="51"/>
  <c r="O115" i="51" s="1"/>
  <c r="J44" i="51"/>
  <c r="R44" i="51" s="1"/>
  <c r="I44" i="51"/>
  <c r="I62" i="51"/>
  <c r="J62" i="51"/>
  <c r="F52" i="51"/>
  <c r="O52" i="51" s="1"/>
  <c r="E52" i="51"/>
  <c r="F97" i="51"/>
  <c r="O97" i="51" s="1"/>
  <c r="E97" i="51"/>
  <c r="A501" i="50"/>
  <c r="K500" i="50"/>
  <c r="K279" i="46" s="1"/>
  <c r="A490" i="50"/>
  <c r="J496" i="50"/>
  <c r="J272" i="46" s="1"/>
  <c r="A272" i="46" s="1"/>
  <c r="A503" i="50"/>
  <c r="J282" i="46"/>
  <c r="A497" i="50"/>
  <c r="A467" i="50"/>
  <c r="A406" i="50"/>
  <c r="A390" i="50"/>
  <c r="F391" i="50"/>
  <c r="A404" i="50"/>
  <c r="A399" i="50"/>
  <c r="A345" i="50"/>
  <c r="A353" i="50"/>
  <c r="A351" i="50"/>
  <c r="A336" i="50"/>
  <c r="A352" i="50"/>
  <c r="A134" i="46"/>
  <c r="J196" i="50"/>
  <c r="L39" i="52" s="1"/>
  <c r="A188" i="50"/>
  <c r="A153" i="50"/>
  <c r="A105" i="50"/>
  <c r="M36" i="52"/>
  <c r="P36" i="52" s="1"/>
  <c r="A121" i="50"/>
  <c r="J107" i="50"/>
  <c r="I20" i="52" s="1"/>
  <c r="M66" i="52"/>
  <c r="P66" i="52" s="1"/>
  <c r="F111" i="51"/>
  <c r="O111" i="51" s="1"/>
  <c r="E111" i="51"/>
  <c r="F112" i="51"/>
  <c r="O112" i="51" s="1"/>
  <c r="E112" i="51"/>
  <c r="N21" i="51"/>
  <c r="D26" i="8" s="1"/>
  <c r="G541" i="50"/>
  <c r="G481" i="50"/>
  <c r="K481" i="50" s="1"/>
  <c r="H123" i="8" s="1"/>
  <c r="AD376" i="29"/>
  <c r="F461" i="13"/>
  <c r="A412" i="50"/>
  <c r="A423" i="50"/>
  <c r="D345" i="29"/>
  <c r="A491" i="50"/>
  <c r="J251" i="46"/>
  <c r="G498" i="50"/>
  <c r="K242" i="46"/>
  <c r="J57" i="46" s="1"/>
  <c r="K282" i="46"/>
  <c r="J252" i="46"/>
  <c r="J284" i="46"/>
  <c r="A284" i="46" s="1"/>
  <c r="K267" i="46"/>
  <c r="K251" i="46"/>
  <c r="K237" i="46"/>
  <c r="K240" i="46" s="1"/>
  <c r="J232" i="46"/>
  <c r="A232" i="46" s="1"/>
  <c r="J269" i="46"/>
  <c r="A250" i="46"/>
  <c r="G431" i="50"/>
  <c r="O353" i="29"/>
  <c r="F421" i="50" s="1"/>
  <c r="AD353" i="29"/>
  <c r="F421" i="13"/>
  <c r="J421" i="13" s="1"/>
  <c r="AD348" i="29"/>
  <c r="F416" i="13"/>
  <c r="J416" i="13" s="1"/>
  <c r="O348" i="29"/>
  <c r="F416" i="50" s="1"/>
  <c r="F411" i="13"/>
  <c r="AD343" i="29"/>
  <c r="O343" i="29"/>
  <c r="F411" i="50" s="1"/>
  <c r="A405" i="50"/>
  <c r="A395" i="50"/>
  <c r="A394" i="50"/>
  <c r="A400" i="50"/>
  <c r="F408" i="50"/>
  <c r="A178" i="46"/>
  <c r="H51" i="46"/>
  <c r="J184" i="46"/>
  <c r="A184" i="46" s="1"/>
  <c r="J51" i="46"/>
  <c r="I516" i="46"/>
  <c r="J511" i="46"/>
  <c r="A355" i="50"/>
  <c r="A342" i="50"/>
  <c r="A343" i="50"/>
  <c r="A133" i="46"/>
  <c r="J189" i="50"/>
  <c r="L32" i="52" s="1"/>
  <c r="A185" i="50"/>
  <c r="M23" i="52"/>
  <c r="M51" i="52"/>
  <c r="P51" i="52" s="1"/>
  <c r="A113" i="50"/>
  <c r="M17" i="52"/>
  <c r="M19" i="52"/>
  <c r="P19" i="52" s="1"/>
  <c r="J68" i="50"/>
  <c r="G31" i="52" s="1"/>
  <c r="M22" i="52"/>
  <c r="P22" i="52" s="1"/>
  <c r="M16" i="52"/>
  <c r="P16" i="52" s="1"/>
  <c r="A35" i="50"/>
  <c r="M37" i="52"/>
  <c r="P37" i="52" s="1"/>
  <c r="J14" i="50"/>
  <c r="E20" i="52" s="1"/>
  <c r="M47" i="52"/>
  <c r="P47" i="52" s="1"/>
  <c r="E31" i="52"/>
  <c r="E114" i="51"/>
  <c r="F114" i="51"/>
  <c r="O114" i="51" s="1"/>
  <c r="F110" i="51"/>
  <c r="E110" i="51"/>
  <c r="G96" i="51"/>
  <c r="P96" i="51" s="1"/>
  <c r="F99" i="51"/>
  <c r="O99" i="51" s="1"/>
  <c r="E99" i="51"/>
  <c r="E98" i="51"/>
  <c r="F98" i="51"/>
  <c r="Y120" i="1"/>
  <c r="E69" i="51"/>
  <c r="F69" i="51"/>
  <c r="F50" i="51"/>
  <c r="O50" i="51" s="1"/>
  <c r="E50" i="51"/>
  <c r="F49" i="51"/>
  <c r="E49" i="51"/>
  <c r="F41" i="51"/>
  <c r="E41" i="51"/>
  <c r="N24" i="51"/>
  <c r="D29" i="8" s="1"/>
  <c r="A87" i="46"/>
  <c r="J381" i="53"/>
  <c r="J385" i="53" s="1"/>
  <c r="A126" i="46"/>
  <c r="A104" i="46"/>
  <c r="A106" i="46" s="1"/>
  <c r="A253" i="53"/>
  <c r="A250" i="53"/>
  <c r="A259" i="53"/>
  <c r="A377" i="46"/>
  <c r="I504" i="46"/>
  <c r="G170" i="8" s="1"/>
  <c r="I531" i="46"/>
  <c r="I537" i="46" s="1"/>
  <c r="G174" i="8" s="1"/>
  <c r="H152" i="8"/>
  <c r="J397" i="53"/>
  <c r="A397" i="53" s="1"/>
  <c r="A284" i="53"/>
  <c r="A252" i="53"/>
  <c r="A301" i="53"/>
  <c r="A302" i="53" s="1"/>
  <c r="A299" i="53"/>
  <c r="A300" i="53" s="1"/>
  <c r="A398" i="53"/>
  <c r="A399" i="53" s="1"/>
  <c r="K279" i="53"/>
  <c r="K541" i="50"/>
  <c r="K200" i="53"/>
  <c r="J531" i="46"/>
  <c r="J504" i="46"/>
  <c r="A186" i="53"/>
  <c r="A412" i="46"/>
  <c r="A413" i="46" s="1"/>
  <c r="D346" i="29"/>
  <c r="A334" i="50"/>
  <c r="A335" i="50"/>
  <c r="G339" i="50"/>
  <c r="K498" i="50"/>
  <c r="F339" i="50"/>
  <c r="G122" i="8"/>
  <c r="J408" i="50"/>
  <c r="G116" i="8" s="1"/>
  <c r="J329" i="50"/>
  <c r="G104" i="8" s="1"/>
  <c r="K90" i="51"/>
  <c r="S90" i="51" s="1"/>
  <c r="K89" i="51"/>
  <c r="S89" i="51" s="1"/>
  <c r="I91" i="51"/>
  <c r="K86" i="51"/>
  <c r="S86" i="51" s="1"/>
  <c r="R84" i="51"/>
  <c r="K84" i="51"/>
  <c r="S84" i="51" s="1"/>
  <c r="J87" i="51"/>
  <c r="O84" i="51"/>
  <c r="G84" i="51"/>
  <c r="F87" i="51"/>
  <c r="D362" i="29"/>
  <c r="D354" i="29"/>
  <c r="J427" i="13"/>
  <c r="A428" i="13"/>
  <c r="D357" i="29"/>
  <c r="K425" i="13"/>
  <c r="D355" i="29"/>
  <c r="A423" i="13"/>
  <c r="D352" i="29"/>
  <c r="J417" i="13"/>
  <c r="D350" i="29"/>
  <c r="A419" i="13"/>
  <c r="D347" i="29"/>
  <c r="A429" i="13"/>
  <c r="K429" i="13"/>
  <c r="K417" i="13"/>
  <c r="K427" i="13"/>
  <c r="K423" i="13"/>
  <c r="K419" i="13"/>
  <c r="A424" i="13"/>
  <c r="A418" i="13"/>
  <c r="A422" i="13"/>
  <c r="K428" i="13"/>
  <c r="K424" i="13"/>
  <c r="A420" i="13"/>
  <c r="J360" i="7"/>
  <c r="I360" i="7"/>
  <c r="J366" i="7"/>
  <c r="I366" i="7"/>
  <c r="J365" i="7"/>
  <c r="I365" i="7"/>
  <c r="J364" i="7"/>
  <c r="I364" i="7"/>
  <c r="J361" i="7"/>
  <c r="I361" i="7"/>
  <c r="J359" i="7"/>
  <c r="I359" i="7"/>
  <c r="Q43" i="14" l="1"/>
  <c r="G12" i="49"/>
  <c r="K94" i="53"/>
  <c r="A376" i="50"/>
  <c r="G77" i="51"/>
  <c r="J90" i="53"/>
  <c r="A90" i="53" s="1"/>
  <c r="K43" i="14"/>
  <c r="R43" i="14"/>
  <c r="G556" i="50"/>
  <c r="G558" i="50" s="1"/>
  <c r="K57" i="53"/>
  <c r="H65" i="8"/>
  <c r="K556" i="50"/>
  <c r="K558" i="50" s="1"/>
  <c r="K142" i="51" s="1"/>
  <c r="S142" i="51" s="1"/>
  <c r="K44" i="53"/>
  <c r="A52" i="53"/>
  <c r="A57" i="52"/>
  <c r="A54" i="52"/>
  <c r="A16" i="52"/>
  <c r="A51" i="52"/>
  <c r="A22" i="52"/>
  <c r="A71" i="52"/>
  <c r="A47" i="52"/>
  <c r="A56" i="52"/>
  <c r="A58" i="52"/>
  <c r="A19" i="52"/>
  <c r="A72" i="52"/>
  <c r="A37" i="52"/>
  <c r="A76" i="52"/>
  <c r="A35" i="52"/>
  <c r="A15" i="52"/>
  <c r="A21" i="52"/>
  <c r="A70" i="52"/>
  <c r="A36" i="52"/>
  <c r="A77" i="52"/>
  <c r="A52" i="52"/>
  <c r="A75" i="52"/>
  <c r="A66" i="52"/>
  <c r="A59" i="52"/>
  <c r="A38" i="52"/>
  <c r="F85" i="8"/>
  <c r="J190" i="46"/>
  <c r="J195" i="46"/>
  <c r="J207" i="46" s="1"/>
  <c r="K458" i="50"/>
  <c r="H122" i="8" s="1"/>
  <c r="K431" i="50"/>
  <c r="G436" i="50"/>
  <c r="J339" i="50"/>
  <c r="G105" i="8" s="1"/>
  <c r="K339" i="50"/>
  <c r="H105" i="8" s="1"/>
  <c r="I151" i="46"/>
  <c r="I169" i="46" s="1"/>
  <c r="J359" i="50"/>
  <c r="L80" i="52"/>
  <c r="G39" i="46"/>
  <c r="A39" i="46" s="1"/>
  <c r="I130" i="46"/>
  <c r="I147" i="46" s="1"/>
  <c r="J314" i="50"/>
  <c r="G98" i="8" s="1"/>
  <c r="G41" i="46"/>
  <c r="J251" i="53" s="1"/>
  <c r="A251" i="53" s="1"/>
  <c r="J130" i="46"/>
  <c r="K314" i="50"/>
  <c r="H98" i="8" s="1"/>
  <c r="I475" i="46"/>
  <c r="A475" i="46" s="1"/>
  <c r="A73" i="52"/>
  <c r="E68" i="52"/>
  <c r="G74" i="51"/>
  <c r="A225" i="50"/>
  <c r="I31" i="49"/>
  <c r="V37" i="58" s="1"/>
  <c r="X37" i="58" s="1"/>
  <c r="A26" i="14"/>
  <c r="I30" i="49"/>
  <c r="V36" i="58" s="1"/>
  <c r="X36" i="58" s="1"/>
  <c r="A25" i="14"/>
  <c r="G104" i="51"/>
  <c r="E107" i="51"/>
  <c r="N107" i="51" s="1"/>
  <c r="Q35" i="58"/>
  <c r="Q36" i="58"/>
  <c r="R37" i="58"/>
  <c r="I29" i="49"/>
  <c r="V35" i="58" s="1"/>
  <c r="J35" i="58"/>
  <c r="H35" i="58" s="1"/>
  <c r="G32" i="51"/>
  <c r="P32" i="51" s="1"/>
  <c r="J36" i="51"/>
  <c r="R36" i="51" s="1"/>
  <c r="F36" i="51"/>
  <c r="O36" i="51" s="1"/>
  <c r="G65" i="8"/>
  <c r="G19" i="51"/>
  <c r="P19" i="51" s="1"/>
  <c r="F24" i="8" s="1"/>
  <c r="A24" i="8" s="1"/>
  <c r="G20" i="51"/>
  <c r="A20" i="51" s="1"/>
  <c r="A22" i="51"/>
  <c r="P24" i="58"/>
  <c r="R24" i="58" s="1"/>
  <c r="G16" i="51"/>
  <c r="A16" i="51" s="1"/>
  <c r="G17" i="51"/>
  <c r="P17" i="51" s="1"/>
  <c r="F22" i="8" s="1"/>
  <c r="A22" i="8" s="1"/>
  <c r="K7" i="51"/>
  <c r="S7" i="51" s="1"/>
  <c r="G8" i="51"/>
  <c r="P8" i="51" s="1"/>
  <c r="F13" i="8" s="1"/>
  <c r="A13" i="8" s="1"/>
  <c r="O7" i="51"/>
  <c r="E12" i="8" s="1"/>
  <c r="N17" i="51"/>
  <c r="D22" i="8" s="1"/>
  <c r="G48" i="49"/>
  <c r="A24" i="14"/>
  <c r="A26" i="51"/>
  <c r="G10" i="51"/>
  <c r="P10" i="51" s="1"/>
  <c r="F15" i="8" s="1"/>
  <c r="A15" i="8" s="1"/>
  <c r="N8" i="51"/>
  <c r="D13" i="8" s="1"/>
  <c r="N20" i="51"/>
  <c r="D25" i="8" s="1"/>
  <c r="F17" i="49"/>
  <c r="P23" i="58" s="1"/>
  <c r="R23" i="58" s="1"/>
  <c r="R104" i="51"/>
  <c r="J107" i="51"/>
  <c r="R107" i="51" s="1"/>
  <c r="A23" i="51"/>
  <c r="K109" i="51"/>
  <c r="A109" i="51" s="1"/>
  <c r="I116" i="51"/>
  <c r="Q116" i="51" s="1"/>
  <c r="Q109" i="51"/>
  <c r="Q110" i="51"/>
  <c r="K110" i="51"/>
  <c r="S110" i="51" s="1"/>
  <c r="Q104" i="51"/>
  <c r="I107" i="51"/>
  <c r="Q107" i="51" s="1"/>
  <c r="K104" i="51"/>
  <c r="J116" i="51"/>
  <c r="R116" i="51" s="1"/>
  <c r="R109" i="51"/>
  <c r="G15" i="51"/>
  <c r="P15" i="51" s="1"/>
  <c r="F20" i="8" s="1"/>
  <c r="A20" i="8" s="1"/>
  <c r="N15" i="51"/>
  <c r="D20" i="8" s="1"/>
  <c r="G11" i="51"/>
  <c r="P11" i="51" s="1"/>
  <c r="F16" i="8" s="1"/>
  <c r="A16" i="8" s="1"/>
  <c r="A25" i="51"/>
  <c r="A12" i="51"/>
  <c r="Q99" i="51"/>
  <c r="K99" i="51"/>
  <c r="S99" i="51" s="1"/>
  <c r="I18" i="49"/>
  <c r="N19" i="51"/>
  <c r="D24" i="8" s="1"/>
  <c r="O32" i="51"/>
  <c r="Q115" i="51"/>
  <c r="K115" i="51"/>
  <c r="S115" i="51" s="1"/>
  <c r="Q96" i="51"/>
  <c r="K96" i="51"/>
  <c r="I101" i="51"/>
  <c r="F19" i="49"/>
  <c r="P25" i="58" s="1"/>
  <c r="R25" i="58" s="1"/>
  <c r="N11" i="51"/>
  <c r="D16" i="8" s="1"/>
  <c r="G18" i="51"/>
  <c r="P18" i="51" s="1"/>
  <c r="F23" i="8" s="1"/>
  <c r="A23" i="8" s="1"/>
  <c r="K114" i="51"/>
  <c r="S114" i="51" s="1"/>
  <c r="Q114" i="51"/>
  <c r="J101" i="51"/>
  <c r="R96" i="51"/>
  <c r="G9" i="51"/>
  <c r="P9" i="51" s="1"/>
  <c r="F14" i="8" s="1"/>
  <c r="A14" i="8" s="1"/>
  <c r="Q113" i="51"/>
  <c r="K113" i="51"/>
  <c r="S113" i="51" s="1"/>
  <c r="Q112" i="51"/>
  <c r="K112" i="51"/>
  <c r="S112" i="51" s="1"/>
  <c r="Q111" i="51"/>
  <c r="K111" i="51"/>
  <c r="S111" i="51" s="1"/>
  <c r="Q98" i="51"/>
  <c r="K98" i="51"/>
  <c r="S98" i="51" s="1"/>
  <c r="G13" i="51"/>
  <c r="A13" i="14"/>
  <c r="A38" i="46"/>
  <c r="O10" i="51"/>
  <c r="E15" i="8" s="1"/>
  <c r="A14" i="51"/>
  <c r="A265" i="46"/>
  <c r="K128" i="51"/>
  <c r="G128" i="51"/>
  <c r="P53" i="52"/>
  <c r="A53" i="52" s="1"/>
  <c r="K122" i="51"/>
  <c r="A14" i="14"/>
  <c r="I19" i="49"/>
  <c r="V25" i="58" s="1"/>
  <c r="W25" i="58" s="1"/>
  <c r="A12" i="14"/>
  <c r="R13" i="51"/>
  <c r="H18" i="8" s="1"/>
  <c r="H33" i="8" s="1"/>
  <c r="J28" i="51"/>
  <c r="G18" i="8"/>
  <c r="G33" i="8" s="1"/>
  <c r="I28" i="51"/>
  <c r="P21" i="51"/>
  <c r="F26" i="8" s="1"/>
  <c r="A26" i="8" s="1"/>
  <c r="A21" i="51"/>
  <c r="O13" i="51"/>
  <c r="E18" i="8" s="1"/>
  <c r="F28" i="51"/>
  <c r="N13" i="51"/>
  <c r="D18" i="8" s="1"/>
  <c r="E28" i="51"/>
  <c r="I28" i="49"/>
  <c r="V34" i="58" s="1"/>
  <c r="X34" i="58" s="1"/>
  <c r="F28" i="49"/>
  <c r="P34" i="58" s="1"/>
  <c r="R34" i="58" s="1"/>
  <c r="I17" i="49"/>
  <c r="V23" i="58" s="1"/>
  <c r="X23" i="58" s="1"/>
  <c r="A23" i="14"/>
  <c r="J255" i="46"/>
  <c r="I337" i="46" s="1"/>
  <c r="P78" i="52"/>
  <c r="A78" i="52" s="1"/>
  <c r="P23" i="52"/>
  <c r="A23" i="52" s="1"/>
  <c r="N80" i="52"/>
  <c r="N68" i="51"/>
  <c r="I209" i="46"/>
  <c r="I80" i="52"/>
  <c r="I84" i="52" s="1"/>
  <c r="I92" i="52" s="1"/>
  <c r="A314" i="50"/>
  <c r="A357" i="53"/>
  <c r="A458" i="50"/>
  <c r="A446" i="50" s="1"/>
  <c r="K391" i="50"/>
  <c r="A364" i="50"/>
  <c r="P17" i="52"/>
  <c r="A17" i="52" s="1"/>
  <c r="D348" i="29"/>
  <c r="H339" i="50"/>
  <c r="L339" i="50" s="1"/>
  <c r="D358" i="29"/>
  <c r="A444" i="50"/>
  <c r="P55" i="52"/>
  <c r="A55" i="52" s="1"/>
  <c r="M34" i="52"/>
  <c r="D353" i="29"/>
  <c r="I40" i="46"/>
  <c r="J41" i="46" s="1"/>
  <c r="J301" i="53"/>
  <c r="A295" i="53" s="1"/>
  <c r="A89" i="46"/>
  <c r="A269" i="46"/>
  <c r="G511" i="50"/>
  <c r="P18" i="52"/>
  <c r="A18" i="52" s="1"/>
  <c r="H145" i="8"/>
  <c r="G113" i="51"/>
  <c r="P113" i="51" s="1"/>
  <c r="N109" i="51"/>
  <c r="A85" i="51"/>
  <c r="P109" i="51"/>
  <c r="A86" i="51"/>
  <c r="A70" i="14"/>
  <c r="A133" i="51"/>
  <c r="N73" i="14"/>
  <c r="G73" i="14"/>
  <c r="A295" i="50"/>
  <c r="M33" i="52"/>
  <c r="P33" i="52" s="1"/>
  <c r="A90" i="51"/>
  <c r="G91" i="51"/>
  <c r="P91" i="51" s="1"/>
  <c r="A381" i="53"/>
  <c r="J400" i="53"/>
  <c r="A395" i="53" s="1"/>
  <c r="K509" i="50"/>
  <c r="K511" i="50" s="1"/>
  <c r="K408" i="50"/>
  <c r="G42" i="51"/>
  <c r="P42" i="51" s="1"/>
  <c r="A282" i="46"/>
  <c r="A252" i="46"/>
  <c r="J231" i="46"/>
  <c r="J237" i="46" s="1"/>
  <c r="K275" i="46"/>
  <c r="J331" i="46" s="1"/>
  <c r="A261" i="46"/>
  <c r="D343" i="29"/>
  <c r="A408" i="50"/>
  <c r="A391" i="50"/>
  <c r="A359" i="50"/>
  <c r="M39" i="52"/>
  <c r="P39" i="52" s="1"/>
  <c r="G173" i="50"/>
  <c r="K173" i="50" s="1"/>
  <c r="G125" i="50"/>
  <c r="K125" i="50" s="1"/>
  <c r="K286" i="53"/>
  <c r="M20" i="52"/>
  <c r="P20" i="52" s="1"/>
  <c r="J286" i="53" s="1"/>
  <c r="J257" i="53" s="1"/>
  <c r="I43" i="46"/>
  <c r="J484" i="46" s="1"/>
  <c r="F84" i="52"/>
  <c r="F92" i="52" s="1"/>
  <c r="K283" i="53"/>
  <c r="M91" i="52"/>
  <c r="P91" i="52" s="1"/>
  <c r="G29" i="50"/>
  <c r="K29" i="50" s="1"/>
  <c r="S13" i="51"/>
  <c r="I18" i="8" s="1"/>
  <c r="H170" i="8"/>
  <c r="A504" i="46"/>
  <c r="R32" i="51"/>
  <c r="Q44" i="51"/>
  <c r="K44" i="51"/>
  <c r="S44" i="51" s="1"/>
  <c r="Q43" i="51"/>
  <c r="K43" i="51"/>
  <c r="K230" i="50"/>
  <c r="J91" i="50"/>
  <c r="H28" i="52" s="1"/>
  <c r="A91" i="50"/>
  <c r="Q68" i="51"/>
  <c r="I71" i="51"/>
  <c r="Q71" i="51" s="1"/>
  <c r="K69" i="51"/>
  <c r="S69" i="51" s="1"/>
  <c r="K78" i="53" s="1"/>
  <c r="Q69" i="51"/>
  <c r="A200" i="50"/>
  <c r="J200" i="50"/>
  <c r="N12" i="52" s="1"/>
  <c r="J43" i="50"/>
  <c r="F28" i="52" s="1"/>
  <c r="A43" i="50"/>
  <c r="K233" i="50"/>
  <c r="G254" i="50"/>
  <c r="K254" i="50" s="1"/>
  <c r="K258" i="50"/>
  <c r="O48" i="52" s="1"/>
  <c r="O49" i="52" s="1"/>
  <c r="O61" i="52" s="1"/>
  <c r="O84" i="52" s="1"/>
  <c r="O92" i="52" s="1"/>
  <c r="G279" i="50"/>
  <c r="G53" i="50"/>
  <c r="K53" i="50" s="1"/>
  <c r="J426" i="50"/>
  <c r="A426" i="50"/>
  <c r="J67" i="50"/>
  <c r="G28" i="52" s="1"/>
  <c r="A67" i="50"/>
  <c r="K200" i="50"/>
  <c r="N48" i="52" s="1"/>
  <c r="N49" i="52" s="1"/>
  <c r="N61" i="52" s="1"/>
  <c r="G221" i="50"/>
  <c r="K221" i="50" s="1"/>
  <c r="J57" i="51"/>
  <c r="R57" i="51" s="1"/>
  <c r="R49" i="51"/>
  <c r="N54" i="51"/>
  <c r="G54" i="51"/>
  <c r="O105" i="51"/>
  <c r="F107" i="51"/>
  <c r="O107" i="51" s="1"/>
  <c r="K51" i="51"/>
  <c r="S51" i="51" s="1"/>
  <c r="Q51" i="51"/>
  <c r="K80" i="50"/>
  <c r="H48" i="52" s="1"/>
  <c r="H49" i="52" s="1"/>
  <c r="H61" i="52" s="1"/>
  <c r="H84" i="52" s="1"/>
  <c r="H92" i="52" s="1"/>
  <c r="G101" i="50"/>
  <c r="K101" i="50" s="1"/>
  <c r="A233" i="50"/>
  <c r="J233" i="50"/>
  <c r="E49" i="52"/>
  <c r="N97" i="51"/>
  <c r="G97" i="51"/>
  <c r="R62" i="51"/>
  <c r="J65" i="51"/>
  <c r="R65" i="51" s="1"/>
  <c r="Q50" i="51"/>
  <c r="K50" i="51"/>
  <c r="S50" i="51" s="1"/>
  <c r="K163" i="50"/>
  <c r="K67" i="52" s="1"/>
  <c r="K68" i="52" s="1"/>
  <c r="K80" i="52" s="1"/>
  <c r="A163" i="50"/>
  <c r="N40" i="51"/>
  <c r="G40" i="51"/>
  <c r="K68" i="51"/>
  <c r="R68" i="51"/>
  <c r="J71" i="51"/>
  <c r="R71" i="51" s="1"/>
  <c r="N53" i="51"/>
  <c r="G53" i="51"/>
  <c r="A211" i="50"/>
  <c r="J211" i="50"/>
  <c r="N28" i="52" s="1"/>
  <c r="A195" i="46"/>
  <c r="A207" i="46"/>
  <c r="A56" i="50"/>
  <c r="J56" i="50"/>
  <c r="G12" i="52" s="1"/>
  <c r="K55" i="51"/>
  <c r="S55" i="51" s="1"/>
  <c r="Q55" i="51"/>
  <c r="N55" i="51"/>
  <c r="G55" i="51"/>
  <c r="Q41" i="51"/>
  <c r="K41" i="51"/>
  <c r="S41" i="51" s="1"/>
  <c r="G105" i="51"/>
  <c r="N105" i="51"/>
  <c r="Q52" i="51"/>
  <c r="K52" i="51"/>
  <c r="S52" i="51" s="1"/>
  <c r="A19" i="50"/>
  <c r="J19" i="50"/>
  <c r="E28" i="52" s="1"/>
  <c r="I65" i="51"/>
  <c r="Q65" i="51" s="1"/>
  <c r="Q62" i="51"/>
  <c r="K62" i="51"/>
  <c r="G33" i="51"/>
  <c r="N33" i="51"/>
  <c r="G62" i="51"/>
  <c r="N62" i="51"/>
  <c r="E65" i="51"/>
  <c r="N65" i="51" s="1"/>
  <c r="J269" i="50"/>
  <c r="O28" i="52" s="1"/>
  <c r="A269" i="50"/>
  <c r="K152" i="50"/>
  <c r="K48" i="52" s="1"/>
  <c r="K49" i="52" s="1"/>
  <c r="K61" i="52" s="1"/>
  <c r="A152" i="50"/>
  <c r="J104" i="50"/>
  <c r="I12" i="52" s="1"/>
  <c r="A104" i="50"/>
  <c r="K40" i="51"/>
  <c r="Q40" i="51"/>
  <c r="I46" i="51"/>
  <c r="Q46" i="51" s="1"/>
  <c r="K34" i="51"/>
  <c r="S34" i="51" s="1"/>
  <c r="Q34" i="51"/>
  <c r="Q42" i="51"/>
  <c r="K42" i="51"/>
  <c r="L447" i="50"/>
  <c r="L458" i="50" s="1"/>
  <c r="Q33" i="51"/>
  <c r="K33" i="51"/>
  <c r="S33" i="51" s="1"/>
  <c r="K176" i="50"/>
  <c r="L48" i="52" s="1"/>
  <c r="L49" i="52" s="1"/>
  <c r="L61" i="52" s="1"/>
  <c r="G197" i="50"/>
  <c r="K197" i="50" s="1"/>
  <c r="J187" i="50"/>
  <c r="L28" i="52" s="1"/>
  <c r="A187" i="50"/>
  <c r="N44" i="51"/>
  <c r="G44" i="51"/>
  <c r="K54" i="51"/>
  <c r="S54" i="51" s="1"/>
  <c r="Q54" i="51"/>
  <c r="A8" i="50"/>
  <c r="J8" i="50"/>
  <c r="E12" i="52" s="1"/>
  <c r="A128" i="50"/>
  <c r="J537" i="46"/>
  <c r="A531" i="46"/>
  <c r="A124" i="46"/>
  <c r="N52" i="51"/>
  <c r="G52" i="51"/>
  <c r="Q32" i="51"/>
  <c r="K32" i="51"/>
  <c r="G115" i="51"/>
  <c r="N115" i="51"/>
  <c r="O62" i="51"/>
  <c r="F65" i="51"/>
  <c r="O65" i="51" s="1"/>
  <c r="J258" i="50"/>
  <c r="O12" i="52" s="1"/>
  <c r="A258" i="50"/>
  <c r="K139" i="50"/>
  <c r="J67" i="52" s="1"/>
  <c r="A139" i="50"/>
  <c r="K56" i="50"/>
  <c r="G48" i="52" s="1"/>
  <c r="G77" i="50"/>
  <c r="K77" i="50" s="1"/>
  <c r="A80" i="50"/>
  <c r="J80" i="50"/>
  <c r="H12" i="52" s="1"/>
  <c r="J115" i="50"/>
  <c r="I28" i="52" s="1"/>
  <c r="A115" i="50"/>
  <c r="Q53" i="51"/>
  <c r="K53" i="51"/>
  <c r="S53" i="51" s="1"/>
  <c r="N73" i="51"/>
  <c r="G73" i="51"/>
  <c r="J46" i="51"/>
  <c r="R46" i="51" s="1"/>
  <c r="R40" i="51"/>
  <c r="J32" i="50"/>
  <c r="F12" i="52" s="1"/>
  <c r="A32" i="50"/>
  <c r="K63" i="51"/>
  <c r="Q63" i="51"/>
  <c r="J176" i="50"/>
  <c r="L12" i="52" s="1"/>
  <c r="A176" i="50"/>
  <c r="Q49" i="51"/>
  <c r="K49" i="51"/>
  <c r="S49" i="51" s="1"/>
  <c r="I57" i="51"/>
  <c r="Q73" i="51"/>
  <c r="K73" i="51"/>
  <c r="S73" i="51" s="1"/>
  <c r="G51" i="51"/>
  <c r="N51" i="51"/>
  <c r="A244" i="50"/>
  <c r="J244" i="50"/>
  <c r="G149" i="50"/>
  <c r="K149" i="50" s="1"/>
  <c r="A251" i="46"/>
  <c r="G112" i="51"/>
  <c r="N112" i="51"/>
  <c r="N111" i="51"/>
  <c r="G111" i="51"/>
  <c r="P22" i="51"/>
  <c r="F27" i="8" s="1"/>
  <c r="A27" i="8" s="1"/>
  <c r="P26" i="51"/>
  <c r="F31" i="8" s="1"/>
  <c r="A31" i="8" s="1"/>
  <c r="G150" i="8"/>
  <c r="A360" i="53"/>
  <c r="A361" i="53" s="1"/>
  <c r="A355" i="53"/>
  <c r="A267" i="46"/>
  <c r="K244" i="46"/>
  <c r="K346" i="53" s="1"/>
  <c r="A242" i="46"/>
  <c r="A243" i="46" s="1"/>
  <c r="A57" i="46"/>
  <c r="K255" i="46"/>
  <c r="K289" i="46"/>
  <c r="J46" i="46"/>
  <c r="J483" i="46" s="1"/>
  <c r="J421" i="50"/>
  <c r="A421" i="50"/>
  <c r="A416" i="50"/>
  <c r="J416" i="50"/>
  <c r="F431" i="50"/>
  <c r="F436" i="50" s="1"/>
  <c r="A411" i="50"/>
  <c r="J411" i="50"/>
  <c r="J258" i="53"/>
  <c r="J369" i="53"/>
  <c r="A51" i="46"/>
  <c r="K369" i="53"/>
  <c r="K371" i="53" s="1"/>
  <c r="K258" i="53"/>
  <c r="A511" i="46"/>
  <c r="J516" i="46"/>
  <c r="H107" i="8"/>
  <c r="H106" i="8"/>
  <c r="M32" i="52"/>
  <c r="P32" i="52" s="1"/>
  <c r="M31" i="52"/>
  <c r="P31" i="52" s="1"/>
  <c r="N114" i="51"/>
  <c r="G114" i="51"/>
  <c r="N110" i="51"/>
  <c r="E116" i="51"/>
  <c r="N116" i="51" s="1"/>
  <c r="G110" i="51"/>
  <c r="O110" i="51"/>
  <c r="F116" i="51"/>
  <c r="O116" i="51" s="1"/>
  <c r="G99" i="51"/>
  <c r="N99" i="51"/>
  <c r="O98" i="51"/>
  <c r="F101" i="51"/>
  <c r="G98" i="51"/>
  <c r="N98" i="51"/>
  <c r="E101" i="51"/>
  <c r="O69" i="51"/>
  <c r="F71" i="51"/>
  <c r="O71" i="51" s="1"/>
  <c r="E71" i="51"/>
  <c r="N71" i="51" s="1"/>
  <c r="G69" i="51"/>
  <c r="N69" i="51"/>
  <c r="N50" i="51"/>
  <c r="G50" i="51"/>
  <c r="E57" i="51"/>
  <c r="G49" i="51"/>
  <c r="N49" i="51"/>
  <c r="O49" i="51"/>
  <c r="F57" i="51"/>
  <c r="O57" i="51" s="1"/>
  <c r="N41" i="51"/>
  <c r="G41" i="51"/>
  <c r="E46" i="51"/>
  <c r="O41" i="51"/>
  <c r="F46" i="51"/>
  <c r="O46" i="51" s="1"/>
  <c r="G34" i="51"/>
  <c r="N34" i="51"/>
  <c r="O34" i="51"/>
  <c r="A105" i="46"/>
  <c r="A103" i="46"/>
  <c r="A97" i="46"/>
  <c r="A378" i="46"/>
  <c r="A399" i="46"/>
  <c r="A384" i="46"/>
  <c r="A111" i="46"/>
  <c r="A108" i="46"/>
  <c r="A114" i="46"/>
  <c r="A113" i="46"/>
  <c r="A374" i="46"/>
  <c r="G153" i="8"/>
  <c r="A385" i="53"/>
  <c r="A386" i="53" s="1"/>
  <c r="A379" i="53"/>
  <c r="A427" i="13"/>
  <c r="A339" i="50"/>
  <c r="A89" i="51"/>
  <c r="K91" i="51"/>
  <c r="S91" i="51" s="1"/>
  <c r="Q91" i="51"/>
  <c r="A84" i="51"/>
  <c r="P84" i="51"/>
  <c r="R87" i="51"/>
  <c r="K87" i="51"/>
  <c r="O87" i="51"/>
  <c r="G87" i="51"/>
  <c r="A430" i="13"/>
  <c r="A421" i="13"/>
  <c r="A426" i="13"/>
  <c r="A425" i="13"/>
  <c r="K431" i="13"/>
  <c r="H138" i="49" s="1"/>
  <c r="A416" i="13"/>
  <c r="A417" i="13"/>
  <c r="F431" i="13"/>
  <c r="J431" i="13" s="1"/>
  <c r="G138" i="49" s="1"/>
  <c r="I404" i="5"/>
  <c r="E4" i="47"/>
  <c r="E6" i="47" s="1"/>
  <c r="A20" i="46"/>
  <c r="A21" i="46" s="1"/>
  <c r="A23" i="46"/>
  <c r="A26" i="46"/>
  <c r="A27" i="46" s="1"/>
  <c r="A30" i="46"/>
  <c r="A31" i="46" s="1"/>
  <c r="D30" i="46"/>
  <c r="A48" i="31"/>
  <c r="B61" i="46"/>
  <c r="B10" i="31"/>
  <c r="D26" i="46"/>
  <c r="D20" i="46"/>
  <c r="D48" i="31"/>
  <c r="I68" i="46"/>
  <c r="G68" i="46"/>
  <c r="G69" i="46"/>
  <c r="I69" i="46"/>
  <c r="I74" i="46"/>
  <c r="I75" i="46"/>
  <c r="G74" i="46"/>
  <c r="G75" i="46"/>
  <c r="I76" i="46"/>
  <c r="G76" i="46"/>
  <c r="G73" i="46"/>
  <c r="I73" i="46"/>
  <c r="G67" i="46"/>
  <c r="I67" i="46"/>
  <c r="J13" i="31"/>
  <c r="B8" i="46"/>
  <c r="B6" i="46"/>
  <c r="P5" i="46"/>
  <c r="R1" i="46"/>
  <c r="Q1" i="46"/>
  <c r="P1" i="46"/>
  <c r="O1" i="46"/>
  <c r="N1" i="46"/>
  <c r="M1" i="46"/>
  <c r="L1" i="46"/>
  <c r="K1" i="46"/>
  <c r="J1" i="46"/>
  <c r="I1" i="46"/>
  <c r="H1" i="46"/>
  <c r="J1" i="47"/>
  <c r="I1" i="47"/>
  <c r="H1" i="47"/>
  <c r="A65" i="8" l="1"/>
  <c r="J327" i="53"/>
  <c r="H147" i="8"/>
  <c r="P34" i="52"/>
  <c r="J316" i="53" s="1"/>
  <c r="A104" i="51"/>
  <c r="P104" i="51"/>
  <c r="K43" i="53"/>
  <c r="K45" i="53" s="1"/>
  <c r="K53" i="53" s="1"/>
  <c r="K56" i="53"/>
  <c r="K58" i="53" s="1"/>
  <c r="L84" i="52"/>
  <c r="L92" i="52" s="1"/>
  <c r="N84" i="52"/>
  <c r="N92" i="52" s="1"/>
  <c r="A31" i="52"/>
  <c r="A34" i="52"/>
  <c r="A20" i="52"/>
  <c r="A33" i="52"/>
  <c r="A39" i="52"/>
  <c r="A32" i="52"/>
  <c r="J147" i="46"/>
  <c r="J171" i="46" s="1"/>
  <c r="H117" i="8"/>
  <c r="K436" i="50"/>
  <c r="G106" i="8"/>
  <c r="K124" i="51"/>
  <c r="A169" i="46"/>
  <c r="A168" i="46" s="1"/>
  <c r="A151" i="46"/>
  <c r="A130" i="46"/>
  <c r="E80" i="52"/>
  <c r="I12" i="8"/>
  <c r="I33" i="8" s="1"/>
  <c r="W37" i="58"/>
  <c r="A29" i="49"/>
  <c r="P20" i="51"/>
  <c r="F25" i="8" s="1"/>
  <c r="A25" i="8" s="1"/>
  <c r="A31" i="49"/>
  <c r="A30" i="49"/>
  <c r="W36" i="58"/>
  <c r="K249" i="53"/>
  <c r="J49" i="46"/>
  <c r="A19" i="51"/>
  <c r="Q34" i="58"/>
  <c r="W23" i="58"/>
  <c r="Q23" i="58"/>
  <c r="Q25" i="58"/>
  <c r="X25" i="58"/>
  <c r="Q24" i="58"/>
  <c r="W34" i="58"/>
  <c r="X35" i="58"/>
  <c r="W35" i="58"/>
  <c r="A18" i="49"/>
  <c r="V24" i="58"/>
  <c r="E118" i="51"/>
  <c r="N118" i="51" s="1"/>
  <c r="D43" i="8" s="1"/>
  <c r="I65" i="8"/>
  <c r="P16" i="51"/>
  <c r="F21" i="8" s="1"/>
  <c r="A21" i="8" s="1"/>
  <c r="A17" i="51"/>
  <c r="A9" i="51"/>
  <c r="A11" i="51"/>
  <c r="A7" i="51"/>
  <c r="A10" i="51"/>
  <c r="A8" i="51"/>
  <c r="A18" i="51"/>
  <c r="A15" i="51"/>
  <c r="A19" i="49"/>
  <c r="G28" i="51"/>
  <c r="S96" i="51"/>
  <c r="K101" i="51"/>
  <c r="N46" i="51"/>
  <c r="F118" i="51"/>
  <c r="O118" i="51" s="1"/>
  <c r="E43" i="8" s="1"/>
  <c r="A96" i="51"/>
  <c r="S104" i="51"/>
  <c r="K107" i="51"/>
  <c r="S107" i="51" s="1"/>
  <c r="K248" i="53"/>
  <c r="K280" i="53"/>
  <c r="H70" i="8" s="1"/>
  <c r="K116" i="51"/>
  <c r="S116" i="51" s="1"/>
  <c r="J48" i="46" s="1"/>
  <c r="S109" i="51"/>
  <c r="D33" i="8"/>
  <c r="R101" i="51"/>
  <c r="J118" i="51"/>
  <c r="R118" i="51" s="1"/>
  <c r="H43" i="8" s="1"/>
  <c r="I118" i="51"/>
  <c r="Q118" i="51" s="1"/>
  <c r="G43" i="8" s="1"/>
  <c r="Q101" i="51"/>
  <c r="K316" i="53"/>
  <c r="E33" i="8"/>
  <c r="A255" i="46"/>
  <c r="A256" i="46" s="1"/>
  <c r="G122" i="51"/>
  <c r="A28" i="49"/>
  <c r="K28" i="51"/>
  <c r="S28" i="51" s="1"/>
  <c r="P24" i="51"/>
  <c r="F29" i="8" s="1"/>
  <c r="A29" i="8" s="1"/>
  <c r="A24" i="51"/>
  <c r="A13" i="51"/>
  <c r="G145" i="8"/>
  <c r="A113" i="51"/>
  <c r="J476" i="46"/>
  <c r="H116" i="8"/>
  <c r="A231" i="46"/>
  <c r="A264" i="46"/>
  <c r="G40" i="46"/>
  <c r="A40" i="46" s="1"/>
  <c r="H514" i="31"/>
  <c r="G152" i="8"/>
  <c r="A400" i="53"/>
  <c r="A401" i="53" s="1"/>
  <c r="A91" i="51"/>
  <c r="J316" i="46"/>
  <c r="J44" i="46"/>
  <c r="K84" i="52"/>
  <c r="K92" i="52" s="1"/>
  <c r="I485" i="46"/>
  <c r="A485" i="46" s="1"/>
  <c r="G43" i="46"/>
  <c r="A43" i="46" s="1"/>
  <c r="J283" i="53"/>
  <c r="A283" i="53" s="1"/>
  <c r="A286" i="53"/>
  <c r="G281" i="50"/>
  <c r="K281" i="50" s="1"/>
  <c r="H95" i="8" s="1"/>
  <c r="H102" i="8" s="1"/>
  <c r="R28" i="51"/>
  <c r="Q28" i="51"/>
  <c r="P73" i="51"/>
  <c r="A73" i="51"/>
  <c r="P52" i="51"/>
  <c r="A52" i="51"/>
  <c r="M12" i="52"/>
  <c r="P12" i="52" s="1"/>
  <c r="P44" i="51"/>
  <c r="A44" i="51"/>
  <c r="S40" i="51"/>
  <c r="K46" i="51"/>
  <c r="S46" i="51" s="1"/>
  <c r="S62" i="51"/>
  <c r="K65" i="51"/>
  <c r="S65" i="51" s="1"/>
  <c r="P40" i="51"/>
  <c r="A40" i="51"/>
  <c r="A54" i="51"/>
  <c r="P54" i="51"/>
  <c r="S43" i="51"/>
  <c r="A43" i="51"/>
  <c r="A505" i="46"/>
  <c r="A497" i="46"/>
  <c r="Q57" i="51"/>
  <c r="K57" i="51"/>
  <c r="S57" i="51" s="1"/>
  <c r="G49" i="52"/>
  <c r="M49" i="52" s="1"/>
  <c r="M61" i="52" s="1"/>
  <c r="P115" i="51"/>
  <c r="A115" i="51"/>
  <c r="A62" i="51"/>
  <c r="G65" i="51"/>
  <c r="P62" i="51"/>
  <c r="M28" i="52"/>
  <c r="P28" i="52" s="1"/>
  <c r="P55" i="51"/>
  <c r="A55" i="51"/>
  <c r="P51" i="51"/>
  <c r="A51" i="51"/>
  <c r="S32" i="51"/>
  <c r="A32" i="51"/>
  <c r="H174" i="8"/>
  <c r="A537" i="46"/>
  <c r="S42" i="51"/>
  <c r="A42" i="51"/>
  <c r="P105" i="51"/>
  <c r="A105" i="51"/>
  <c r="G107" i="51"/>
  <c r="P97" i="51"/>
  <c r="A97" i="51"/>
  <c r="E61" i="52"/>
  <c r="S63" i="51"/>
  <c r="A63" i="51"/>
  <c r="J68" i="52"/>
  <c r="J80" i="52" s="1"/>
  <c r="J84" i="52" s="1"/>
  <c r="J92" i="52" s="1"/>
  <c r="M67" i="52"/>
  <c r="P67" i="52" s="1"/>
  <c r="P33" i="51"/>
  <c r="A33" i="51"/>
  <c r="P53" i="51"/>
  <c r="A53" i="51"/>
  <c r="A68" i="51"/>
  <c r="S68" i="51"/>
  <c r="K77" i="53" s="1"/>
  <c r="M48" i="52"/>
  <c r="K279" i="50"/>
  <c r="K322" i="50" s="1"/>
  <c r="G322" i="50"/>
  <c r="A258" i="53"/>
  <c r="P111" i="51"/>
  <c r="A111" i="51"/>
  <c r="P112" i="51"/>
  <c r="A112" i="51"/>
  <c r="A356" i="53"/>
  <c r="A351" i="53"/>
  <c r="A352" i="53" s="1"/>
  <c r="A248" i="46"/>
  <c r="A249" i="46" s="1"/>
  <c r="J337" i="46"/>
  <c r="J340" i="46" s="1"/>
  <c r="I51" i="8" s="1"/>
  <c r="J315" i="46"/>
  <c r="J330" i="46"/>
  <c r="J333" i="46" s="1"/>
  <c r="I340" i="46"/>
  <c r="J240" i="46"/>
  <c r="A237" i="46"/>
  <c r="A238" i="46" s="1"/>
  <c r="A239" i="46"/>
  <c r="A230" i="46"/>
  <c r="A431" i="50"/>
  <c r="A410" i="50" s="1"/>
  <c r="J431" i="50"/>
  <c r="J436" i="50" s="1"/>
  <c r="A436" i="50"/>
  <c r="H151" i="8"/>
  <c r="J368" i="53"/>
  <c r="A369" i="53"/>
  <c r="A370" i="53" s="1"/>
  <c r="J209" i="46"/>
  <c r="A209" i="46" s="1"/>
  <c r="A208" i="46" s="1"/>
  <c r="A190" i="46"/>
  <c r="A516" i="46"/>
  <c r="G180" i="8"/>
  <c r="P114" i="51"/>
  <c r="A114" i="51"/>
  <c r="P110" i="51"/>
  <c r="A110" i="51"/>
  <c r="G116" i="51"/>
  <c r="P99" i="51"/>
  <c r="A99" i="51"/>
  <c r="P98" i="51"/>
  <c r="G101" i="51"/>
  <c r="A98" i="51"/>
  <c r="O101" i="51"/>
  <c r="N101" i="51"/>
  <c r="P69" i="51"/>
  <c r="J78" i="53" s="1"/>
  <c r="A69" i="51"/>
  <c r="P50" i="51"/>
  <c r="A50" i="51"/>
  <c r="P49" i="51"/>
  <c r="A49" i="51"/>
  <c r="G57" i="51"/>
  <c r="N57" i="51"/>
  <c r="P41" i="51"/>
  <c r="G46" i="51"/>
  <c r="A41" i="51"/>
  <c r="P34" i="51"/>
  <c r="A34" i="51"/>
  <c r="O28" i="51"/>
  <c r="N28" i="51"/>
  <c r="P13" i="51"/>
  <c r="F18" i="8" s="1"/>
  <c r="A73" i="46"/>
  <c r="K256" i="53"/>
  <c r="A380" i="53"/>
  <c r="A373" i="53"/>
  <c r="A374" i="53" s="1"/>
  <c r="A296" i="53"/>
  <c r="A293" i="53"/>
  <c r="A294" i="53" s="1"/>
  <c r="A396" i="53"/>
  <c r="A387" i="53"/>
  <c r="A388" i="53" s="1"/>
  <c r="E5" i="47"/>
  <c r="A69" i="46"/>
  <c r="A138" i="49"/>
  <c r="A68" i="46"/>
  <c r="A67" i="46"/>
  <c r="S87" i="51"/>
  <c r="K92" i="51"/>
  <c r="S92" i="51" s="1"/>
  <c r="P87" i="51"/>
  <c r="A87" i="51"/>
  <c r="G92" i="51"/>
  <c r="P92" i="51" s="1"/>
  <c r="A75" i="46"/>
  <c r="A74" i="46"/>
  <c r="A76" i="46"/>
  <c r="I71" i="46"/>
  <c r="A24" i="46"/>
  <c r="A25" i="46" s="1"/>
  <c r="A28" i="46"/>
  <c r="A29" i="46" s="1"/>
  <c r="A10" i="46"/>
  <c r="A11" i="46" s="1"/>
  <c r="G78" i="46"/>
  <c r="G71" i="46"/>
  <c r="I78" i="46"/>
  <c r="K1269" i="5"/>
  <c r="J1269" i="5"/>
  <c r="K1046" i="5"/>
  <c r="J1046" i="5"/>
  <c r="B440" i="5"/>
  <c r="K351" i="5"/>
  <c r="J351" i="5"/>
  <c r="F367" i="5"/>
  <c r="J417" i="29"/>
  <c r="L417" i="29" s="1"/>
  <c r="M417" i="29"/>
  <c r="B603" i="5"/>
  <c r="B655" i="5"/>
  <c r="B1009" i="5"/>
  <c r="M418" i="29"/>
  <c r="J418" i="29"/>
  <c r="L418" i="29" s="1"/>
  <c r="F508" i="13" s="1"/>
  <c r="M412" i="29"/>
  <c r="J412" i="29"/>
  <c r="L412" i="29" s="1"/>
  <c r="M396" i="29"/>
  <c r="M410" i="29"/>
  <c r="L410" i="29"/>
  <c r="L396" i="29"/>
  <c r="K79" i="53" l="1"/>
  <c r="A77" i="53"/>
  <c r="A78" i="53"/>
  <c r="J79" i="53"/>
  <c r="A79" i="53" s="1"/>
  <c r="G124" i="51"/>
  <c r="J328" i="53"/>
  <c r="A328" i="53" s="1"/>
  <c r="A327" i="53"/>
  <c r="A147" i="46"/>
  <c r="A127" i="46" s="1"/>
  <c r="P48" i="52"/>
  <c r="A48" i="52" s="1"/>
  <c r="A28" i="52"/>
  <c r="I171" i="46"/>
  <c r="A171" i="46" s="1"/>
  <c r="A172" i="46" s="1"/>
  <c r="A149" i="46"/>
  <c r="A150" i="46"/>
  <c r="A170" i="46"/>
  <c r="E84" i="52"/>
  <c r="X24" i="58"/>
  <c r="W24" i="58"/>
  <c r="G118" i="51"/>
  <c r="A316" i="53"/>
  <c r="P46" i="51"/>
  <c r="K118" i="51"/>
  <c r="S118" i="51" s="1"/>
  <c r="I43" i="8" s="1"/>
  <c r="S101" i="51"/>
  <c r="J59" i="46"/>
  <c r="D70" i="8" s="1"/>
  <c r="G70" i="8" s="1"/>
  <c r="A18" i="8"/>
  <c r="F33" i="8"/>
  <c r="I476" i="46"/>
  <c r="I484" i="46"/>
  <c r="A484" i="46" s="1"/>
  <c r="J317" i="46"/>
  <c r="J320" i="46" s="1"/>
  <c r="H41" i="46"/>
  <c r="A41" i="46" s="1"/>
  <c r="H44" i="46"/>
  <c r="A44" i="46" s="1"/>
  <c r="M68" i="52"/>
  <c r="M80" i="52" s="1"/>
  <c r="A67" i="52"/>
  <c r="P107" i="51"/>
  <c r="A107" i="51"/>
  <c r="P65" i="51"/>
  <c r="A65" i="51"/>
  <c r="A67" i="51" s="1"/>
  <c r="A525" i="46"/>
  <c r="A536" i="46"/>
  <c r="A526" i="46"/>
  <c r="A538" i="46"/>
  <c r="G61" i="52"/>
  <c r="A12" i="52"/>
  <c r="F500" i="13"/>
  <c r="O410" i="29"/>
  <c r="F500" i="50" s="1"/>
  <c r="AD410" i="29"/>
  <c r="O418" i="29"/>
  <c r="F508" i="50" s="1"/>
  <c r="J508" i="50" s="1"/>
  <c r="AD418" i="29"/>
  <c r="A337" i="46"/>
  <c r="J342" i="46"/>
  <c r="I342" i="46" s="1"/>
  <c r="A335" i="46" s="1"/>
  <c r="A336" i="46" s="1"/>
  <c r="F507" i="13"/>
  <c r="J507" i="13" s="1"/>
  <c r="AD417" i="29"/>
  <c r="O417" i="29"/>
  <c r="F507" i="50" s="1"/>
  <c r="K347" i="53"/>
  <c r="K349" i="53" s="1"/>
  <c r="H149" i="8" s="1"/>
  <c r="AD412" i="29"/>
  <c r="O412" i="29"/>
  <c r="F502" i="50" s="1"/>
  <c r="F502" i="13"/>
  <c r="F485" i="13"/>
  <c r="AD396" i="29"/>
  <c r="O396" i="29"/>
  <c r="F485" i="50" s="1"/>
  <c r="H46" i="46"/>
  <c r="J244" i="46"/>
  <c r="A240" i="46"/>
  <c r="F51" i="8"/>
  <c r="J347" i="53"/>
  <c r="A340" i="46"/>
  <c r="A341" i="46" s="1"/>
  <c r="G117" i="8"/>
  <c r="A206" i="46"/>
  <c r="A210" i="46"/>
  <c r="A211" i="46" s="1"/>
  <c r="J371" i="53"/>
  <c r="A368" i="53"/>
  <c r="A192" i="46"/>
  <c r="A193" i="46"/>
  <c r="A194" i="46"/>
  <c r="A517" i="46"/>
  <c r="A508" i="46"/>
  <c r="A509" i="46" s="1"/>
  <c r="A510" i="46" s="1"/>
  <c r="J249" i="53"/>
  <c r="A249" i="53" s="1"/>
  <c r="H49" i="46"/>
  <c r="A49" i="46" s="1"/>
  <c r="P116" i="51"/>
  <c r="H48" i="46" s="1"/>
  <c r="A116" i="51"/>
  <c r="J248" i="53"/>
  <c r="A248" i="53" s="1"/>
  <c r="J280" i="53"/>
  <c r="A101" i="51"/>
  <c r="P101" i="51"/>
  <c r="P57" i="51"/>
  <c r="A57" i="51"/>
  <c r="A71" i="46"/>
  <c r="A70" i="46" s="1"/>
  <c r="A78" i="46"/>
  <c r="J331" i="53" l="1"/>
  <c r="A331" i="53" s="1"/>
  <c r="A75" i="53"/>
  <c r="A76" i="53" s="1"/>
  <c r="A80" i="53"/>
  <c r="A128" i="46"/>
  <c r="A148" i="46"/>
  <c r="A146" i="46"/>
  <c r="A129" i="46"/>
  <c r="G147" i="8"/>
  <c r="A325" i="53"/>
  <c r="P49" i="52"/>
  <c r="A476" i="46"/>
  <c r="E92" i="52"/>
  <c r="I70" i="8"/>
  <c r="A70" i="8"/>
  <c r="A28" i="51"/>
  <c r="P68" i="52"/>
  <c r="A68" i="52" s="1"/>
  <c r="G84" i="52"/>
  <c r="J500" i="50"/>
  <c r="J279" i="46" s="1"/>
  <c r="A279" i="46" s="1"/>
  <c r="A500" i="50"/>
  <c r="J345" i="53"/>
  <c r="A345" i="53" s="1"/>
  <c r="J287" i="46"/>
  <c r="A287" i="46" s="1"/>
  <c r="A288" i="46" s="1"/>
  <c r="A508" i="50"/>
  <c r="J507" i="50"/>
  <c r="J286" i="46" s="1"/>
  <c r="A286" i="46" s="1"/>
  <c r="A507" i="50"/>
  <c r="A342" i="46"/>
  <c r="A343" i="46" s="1"/>
  <c r="A344" i="46" s="1"/>
  <c r="A345" i="46" s="1"/>
  <c r="J502" i="50"/>
  <c r="F509" i="50"/>
  <c r="A509" i="50" s="1"/>
  <c r="A502" i="50"/>
  <c r="A485" i="50"/>
  <c r="J485" i="50"/>
  <c r="F498" i="50"/>
  <c r="J346" i="53"/>
  <c r="H80" i="8" s="1"/>
  <c r="A244" i="46"/>
  <c r="A245" i="46" s="1"/>
  <c r="A349" i="53"/>
  <c r="A350" i="53" s="1"/>
  <c r="A347" i="53"/>
  <c r="A348" i="53" s="1"/>
  <c r="I483" i="46"/>
  <c r="A483" i="46" s="1"/>
  <c r="A46" i="46"/>
  <c r="A371" i="53"/>
  <c r="A372" i="53" s="1"/>
  <c r="A366" i="53"/>
  <c r="G151" i="8"/>
  <c r="A280" i="53"/>
  <c r="H59" i="46"/>
  <c r="D80" i="8" s="1"/>
  <c r="G80" i="8" s="1"/>
  <c r="A48" i="46"/>
  <c r="P118" i="51"/>
  <c r="F43" i="8" s="1"/>
  <c r="A118" i="51"/>
  <c r="A61" i="46"/>
  <c r="A62" i="46" s="1"/>
  <c r="A63" i="46" s="1"/>
  <c r="A64" i="46" s="1"/>
  <c r="A65" i="46" s="1"/>
  <c r="A66" i="46" s="1"/>
  <c r="A77" i="46"/>
  <c r="A72" i="46"/>
  <c r="I363" i="7"/>
  <c r="A340" i="53" l="1"/>
  <c r="A332" i="53"/>
  <c r="A326" i="53"/>
  <c r="A321" i="53"/>
  <c r="A322" i="53" s="1"/>
  <c r="P61" i="52"/>
  <c r="A61" i="52" s="1"/>
  <c r="A49" i="52"/>
  <c r="I80" i="8"/>
  <c r="A80" i="8"/>
  <c r="G92" i="52"/>
  <c r="M84" i="52"/>
  <c r="P80" i="52"/>
  <c r="A80" i="52" s="1"/>
  <c r="J281" i="46"/>
  <c r="J509" i="50"/>
  <c r="J256" i="53"/>
  <c r="A256" i="53" s="1"/>
  <c r="A346" i="53"/>
  <c r="A498" i="50"/>
  <c r="F511" i="50"/>
  <c r="J260" i="46"/>
  <c r="J498" i="50"/>
  <c r="J349" i="53"/>
  <c r="G149" i="8" s="1"/>
  <c r="A367" i="53"/>
  <c r="A362" i="53"/>
  <c r="A363" i="53" s="1"/>
  <c r="D16" i="35"/>
  <c r="D15" i="35"/>
  <c r="D14" i="35"/>
  <c r="D13" i="35"/>
  <c r="D12" i="35"/>
  <c r="A12" i="35"/>
  <c r="A13" i="35" s="1"/>
  <c r="A14" i="35" s="1"/>
  <c r="A15" i="35" s="1"/>
  <c r="A16" i="35" s="1"/>
  <c r="A17" i="35" s="1"/>
  <c r="A1" i="35"/>
  <c r="A511" i="50" l="1"/>
  <c r="M92" i="52"/>
  <c r="P92" i="52" s="1"/>
  <c r="P84" i="52"/>
  <c r="A84" i="52" s="1"/>
  <c r="J511" i="50"/>
  <c r="A281" i="46"/>
  <c r="J289" i="46"/>
  <c r="A341" i="53"/>
  <c r="A342" i="53" s="1"/>
  <c r="A343" i="53"/>
  <c r="A344" i="53" s="1"/>
  <c r="J275" i="46"/>
  <c r="A260" i="46"/>
  <c r="C3" i="45"/>
  <c r="I315" i="46" l="1"/>
  <c r="A315" i="46" s="1"/>
  <c r="I330" i="46"/>
  <c r="A330" i="46" s="1"/>
  <c r="A289" i="46"/>
  <c r="A290" i="46" s="1"/>
  <c r="A277" i="46"/>
  <c r="A278" i="46" s="1"/>
  <c r="I316" i="46"/>
  <c r="I331" i="46"/>
  <c r="A257" i="46"/>
  <c r="A212" i="46" s="1"/>
  <c r="A213" i="46" s="1"/>
  <c r="A275" i="46"/>
  <c r="A276" i="46" s="1"/>
  <c r="S310" i="29"/>
  <c r="M310" i="29" s="1"/>
  <c r="P310" i="29"/>
  <c r="J310" i="29" l="1"/>
  <c r="L310" i="29" s="1"/>
  <c r="R310" i="29"/>
  <c r="I333" i="46"/>
  <c r="A331" i="46"/>
  <c r="A332" i="46" s="1"/>
  <c r="I317" i="46"/>
  <c r="A316" i="46"/>
  <c r="L391" i="29"/>
  <c r="L386" i="29"/>
  <c r="L381" i="29"/>
  <c r="M376" i="29"/>
  <c r="O376" i="29" s="1"/>
  <c r="F461" i="50" s="1"/>
  <c r="M244" i="29"/>
  <c r="L244" i="29"/>
  <c r="M233" i="29"/>
  <c r="J233" i="29"/>
  <c r="L233" i="29" s="1"/>
  <c r="M222" i="29"/>
  <c r="L222" i="29"/>
  <c r="M211" i="29"/>
  <c r="J211" i="29"/>
  <c r="L211" i="29" s="1"/>
  <c r="M204" i="29"/>
  <c r="L204" i="29"/>
  <c r="M193" i="29"/>
  <c r="L193" i="29"/>
  <c r="M182" i="29"/>
  <c r="L182" i="29"/>
  <c r="M171" i="29"/>
  <c r="L171" i="29"/>
  <c r="M160" i="29"/>
  <c r="J160" i="29"/>
  <c r="L160" i="29" s="1"/>
  <c r="M149" i="29"/>
  <c r="L149" i="29"/>
  <c r="M138" i="29"/>
  <c r="J138" i="29"/>
  <c r="L138" i="29" s="1"/>
  <c r="M127" i="29"/>
  <c r="L127" i="29"/>
  <c r="M116" i="29"/>
  <c r="L116" i="29"/>
  <c r="M105" i="29"/>
  <c r="L105" i="29"/>
  <c r="M94" i="29"/>
  <c r="J94" i="29"/>
  <c r="L94" i="29" s="1"/>
  <c r="M83" i="29"/>
  <c r="L83" i="29"/>
  <c r="M72" i="29"/>
  <c r="J72" i="29"/>
  <c r="L72" i="29" s="1"/>
  <c r="M17" i="29"/>
  <c r="L17" i="29"/>
  <c r="M39" i="29"/>
  <c r="L39" i="29"/>
  <c r="M61" i="29"/>
  <c r="L61" i="29"/>
  <c r="M50" i="29"/>
  <c r="J50" i="29"/>
  <c r="L50" i="29" s="1"/>
  <c r="M28" i="29"/>
  <c r="J28" i="29"/>
  <c r="L28" i="29" s="1"/>
  <c r="M6" i="29"/>
  <c r="J6" i="29"/>
  <c r="L6" i="29" s="1"/>
  <c r="F476" i="13" l="1"/>
  <c r="AD391" i="29"/>
  <c r="O391" i="29"/>
  <c r="F476" i="50" s="1"/>
  <c r="F18" i="13"/>
  <c r="AD17" i="29"/>
  <c r="O17" i="29"/>
  <c r="F18" i="50" s="1"/>
  <c r="F90" i="13"/>
  <c r="AD83" i="29"/>
  <c r="O83" i="29"/>
  <c r="F90" i="50" s="1"/>
  <c r="F138" i="13"/>
  <c r="AD127" i="29"/>
  <c r="O127" i="29"/>
  <c r="F138" i="50" s="1"/>
  <c r="F162" i="13"/>
  <c r="AD149" i="29"/>
  <c r="O149" i="29"/>
  <c r="F162" i="50" s="1"/>
  <c r="F186" i="13"/>
  <c r="AD171" i="29"/>
  <c r="O171" i="29"/>
  <c r="F186" i="50" s="1"/>
  <c r="F210" i="13"/>
  <c r="AD193" i="29"/>
  <c r="O193" i="29"/>
  <c r="F210" i="50" s="1"/>
  <c r="F268" i="13"/>
  <c r="AD244" i="29"/>
  <c r="O244" i="29"/>
  <c r="F268" i="50" s="1"/>
  <c r="G367" i="13"/>
  <c r="AE310" i="29"/>
  <c r="U310" i="29"/>
  <c r="G367" i="50" s="1"/>
  <c r="F79" i="13"/>
  <c r="H95" i="52" s="1"/>
  <c r="AD72" i="29"/>
  <c r="O72" i="29"/>
  <c r="F79" i="50" s="1"/>
  <c r="F257" i="13"/>
  <c r="O95" i="52" s="1"/>
  <c r="AD233" i="29"/>
  <c r="O233" i="29"/>
  <c r="F257" i="50" s="1"/>
  <c r="J461" i="50"/>
  <c r="A461" i="50"/>
  <c r="F367" i="13"/>
  <c r="AD310" i="29"/>
  <c r="O310" i="29"/>
  <c r="F367" i="50" s="1"/>
  <c r="F471" i="13"/>
  <c r="AD386" i="29"/>
  <c r="O386" i="29"/>
  <c r="F471" i="50" s="1"/>
  <c r="F466" i="13"/>
  <c r="O381" i="29"/>
  <c r="F466" i="50" s="1"/>
  <c r="AD381" i="29"/>
  <c r="I320" i="46"/>
  <c r="A320" i="46" s="1"/>
  <c r="A321" i="46" s="1"/>
  <c r="A322" i="46" s="1"/>
  <c r="A317" i="46"/>
  <c r="A328" i="46"/>
  <c r="A329" i="46" s="1"/>
  <c r="A333" i="46"/>
  <c r="A334" i="46" s="1"/>
  <c r="F243" i="13"/>
  <c r="O222" i="29"/>
  <c r="F243" i="50" s="1"/>
  <c r="AD222" i="29"/>
  <c r="AD211" i="29"/>
  <c r="O211" i="29"/>
  <c r="F232" i="50" s="1"/>
  <c r="F232" i="13"/>
  <c r="F223" i="13"/>
  <c r="AD204" i="29"/>
  <c r="O204" i="29"/>
  <c r="F223" i="50" s="1"/>
  <c r="F230" i="50" s="1"/>
  <c r="O182" i="29"/>
  <c r="F199" i="50" s="1"/>
  <c r="F199" i="13"/>
  <c r="AD182" i="29"/>
  <c r="AD160" i="29"/>
  <c r="O160" i="29"/>
  <c r="F175" i="50" s="1"/>
  <c r="F175" i="13"/>
  <c r="AD138" i="29"/>
  <c r="O138" i="29"/>
  <c r="F151" i="50" s="1"/>
  <c r="F151" i="13"/>
  <c r="F127" i="13"/>
  <c r="J95" i="52" s="1"/>
  <c r="AD116" i="29"/>
  <c r="O116" i="29"/>
  <c r="F127" i="50" s="1"/>
  <c r="AD105" i="29"/>
  <c r="F114" i="13"/>
  <c r="O105" i="29"/>
  <c r="F114" i="50" s="1"/>
  <c r="AD94" i="29"/>
  <c r="F103" i="13"/>
  <c r="O94" i="29"/>
  <c r="F103" i="50" s="1"/>
  <c r="F66" i="13"/>
  <c r="AD61" i="29"/>
  <c r="O61" i="29"/>
  <c r="F66" i="50" s="1"/>
  <c r="F55" i="13"/>
  <c r="AD50" i="29"/>
  <c r="O50" i="29"/>
  <c r="F55" i="50" s="1"/>
  <c r="F42" i="13"/>
  <c r="AD39" i="29"/>
  <c r="O39" i="29"/>
  <c r="F42" i="50" s="1"/>
  <c r="AD28" i="29"/>
  <c r="F31" i="13"/>
  <c r="O28" i="29"/>
  <c r="F31" i="50" s="1"/>
  <c r="F7" i="13"/>
  <c r="AD6" i="29"/>
  <c r="O6" i="29"/>
  <c r="V4" i="29"/>
  <c r="P4" i="29"/>
  <c r="J4" i="29"/>
  <c r="J5" i="1"/>
  <c r="F230" i="13" l="1"/>
  <c r="K95" i="52"/>
  <c r="F95" i="52"/>
  <c r="F29" i="13"/>
  <c r="N95" i="52"/>
  <c r="L95" i="52"/>
  <c r="E95" i="52"/>
  <c r="J257" i="50"/>
  <c r="O11" i="52" s="1"/>
  <c r="O13" i="52" s="1"/>
  <c r="O24" i="52" s="1"/>
  <c r="A257" i="50"/>
  <c r="F279" i="50"/>
  <c r="F322" i="50" s="1"/>
  <c r="A322" i="50" s="1"/>
  <c r="J138" i="50"/>
  <c r="J27" i="52" s="1"/>
  <c r="J29" i="52" s="1"/>
  <c r="J40" i="52" s="1"/>
  <c r="A138" i="50"/>
  <c r="A268" i="50"/>
  <c r="J268" i="50"/>
  <c r="O27" i="52" s="1"/>
  <c r="O29" i="52" s="1"/>
  <c r="O40" i="52" s="1"/>
  <c r="A162" i="50"/>
  <c r="J162" i="50"/>
  <c r="K27" i="52" s="1"/>
  <c r="K29" i="52" s="1"/>
  <c r="K40" i="52" s="1"/>
  <c r="A476" i="50"/>
  <c r="J476" i="50"/>
  <c r="K367" i="50"/>
  <c r="G378" i="50"/>
  <c r="G386" i="50" s="1"/>
  <c r="J186" i="50"/>
  <c r="L27" i="52" s="1"/>
  <c r="L29" i="52" s="1"/>
  <c r="L40" i="52" s="1"/>
  <c r="A186" i="50"/>
  <c r="J18" i="50"/>
  <c r="E27" i="52" s="1"/>
  <c r="A18" i="50"/>
  <c r="J367" i="50"/>
  <c r="F378" i="50"/>
  <c r="F386" i="50" s="1"/>
  <c r="A367" i="50"/>
  <c r="J79" i="50"/>
  <c r="H11" i="52" s="1"/>
  <c r="H13" i="52" s="1"/>
  <c r="H24" i="52" s="1"/>
  <c r="A79" i="50"/>
  <c r="F101" i="50"/>
  <c r="J101" i="50" s="1"/>
  <c r="A210" i="50"/>
  <c r="J210" i="50"/>
  <c r="N27" i="52" s="1"/>
  <c r="N29" i="52" s="1"/>
  <c r="N40" i="52" s="1"/>
  <c r="J90" i="50"/>
  <c r="H27" i="52" s="1"/>
  <c r="H29" i="52" s="1"/>
  <c r="H40" i="52" s="1"/>
  <c r="A90" i="50"/>
  <c r="A471" i="50"/>
  <c r="J471" i="50"/>
  <c r="A466" i="50"/>
  <c r="J466" i="50"/>
  <c r="F481" i="50"/>
  <c r="I95" i="52"/>
  <c r="G95" i="52"/>
  <c r="A243" i="50"/>
  <c r="J243" i="50"/>
  <c r="J232" i="50"/>
  <c r="A232" i="50"/>
  <c r="F254" i="50"/>
  <c r="J254" i="50" s="1"/>
  <c r="J223" i="50"/>
  <c r="J87" i="53" s="1"/>
  <c r="J230" i="50"/>
  <c r="A223" i="50"/>
  <c r="A199" i="50"/>
  <c r="F221" i="50"/>
  <c r="J221" i="50" s="1"/>
  <c r="J199" i="50"/>
  <c r="N11" i="52" s="1"/>
  <c r="N13" i="52" s="1"/>
  <c r="N24" i="52" s="1"/>
  <c r="J175" i="50"/>
  <c r="L11" i="52" s="1"/>
  <c r="L13" i="52" s="1"/>
  <c r="L24" i="52" s="1"/>
  <c r="F197" i="50"/>
  <c r="J197" i="50" s="1"/>
  <c r="A175" i="50"/>
  <c r="J151" i="50"/>
  <c r="K11" i="52" s="1"/>
  <c r="K13" i="52" s="1"/>
  <c r="K24" i="52" s="1"/>
  <c r="A151" i="50"/>
  <c r="F173" i="50"/>
  <c r="J173" i="50" s="1"/>
  <c r="J127" i="50"/>
  <c r="J11" i="52" s="1"/>
  <c r="J13" i="52" s="1"/>
  <c r="J24" i="52" s="1"/>
  <c r="F149" i="50"/>
  <c r="J149" i="50" s="1"/>
  <c r="A127" i="50"/>
  <c r="A114" i="50"/>
  <c r="J114" i="50"/>
  <c r="I27" i="52" s="1"/>
  <c r="I29" i="52" s="1"/>
  <c r="I40" i="52" s="1"/>
  <c r="F125" i="50"/>
  <c r="J125" i="50" s="1"/>
  <c r="A103" i="50"/>
  <c r="J103" i="50"/>
  <c r="I11" i="52" s="1"/>
  <c r="I13" i="52" s="1"/>
  <c r="I24" i="52" s="1"/>
  <c r="J66" i="50"/>
  <c r="G27" i="52" s="1"/>
  <c r="G29" i="52" s="1"/>
  <c r="G40" i="52" s="1"/>
  <c r="A66" i="50"/>
  <c r="A55" i="50"/>
  <c r="F77" i="50"/>
  <c r="J77" i="50" s="1"/>
  <c r="J55" i="50"/>
  <c r="G11" i="52" s="1"/>
  <c r="G13" i="52" s="1"/>
  <c r="G24" i="52" s="1"/>
  <c r="J42" i="50"/>
  <c r="F27" i="52" s="1"/>
  <c r="A42" i="50"/>
  <c r="J31" i="50"/>
  <c r="F11" i="52" s="1"/>
  <c r="F13" i="52" s="1"/>
  <c r="F24" i="52" s="1"/>
  <c r="A31" i="50"/>
  <c r="F53" i="50"/>
  <c r="J53" i="50" s="1"/>
  <c r="F7" i="50"/>
  <c r="AG6" i="29"/>
  <c r="A513" i="31"/>
  <c r="A503" i="31"/>
  <c r="A501" i="31"/>
  <c r="C51" i="8"/>
  <c r="C49" i="8"/>
  <c r="C47" i="8"/>
  <c r="C43" i="8"/>
  <c r="B443" i="31"/>
  <c r="B560" i="31"/>
  <c r="B532" i="31"/>
  <c r="B483" i="31"/>
  <c r="B494" i="31"/>
  <c r="C37" i="8"/>
  <c r="B417" i="7"/>
  <c r="C35" i="8"/>
  <c r="B389" i="7"/>
  <c r="C16" i="8"/>
  <c r="C15" i="8"/>
  <c r="C14" i="8"/>
  <c r="C13" i="8"/>
  <c r="C12" i="8"/>
  <c r="H163" i="43"/>
  <c r="F911" i="5" s="1"/>
  <c r="H111" i="42"/>
  <c r="E79" i="42"/>
  <c r="E77" i="42"/>
  <c r="E74" i="42"/>
  <c r="H70" i="42"/>
  <c r="H67" i="42"/>
  <c r="H64" i="42"/>
  <c r="H61" i="42"/>
  <c r="S145" i="14"/>
  <c r="S148" i="14"/>
  <c r="AB118" i="1"/>
  <c r="AB117" i="1"/>
  <c r="AA118" i="1"/>
  <c r="AA117" i="1"/>
  <c r="R105" i="14"/>
  <c r="R106" i="14"/>
  <c r="Q101" i="14"/>
  <c r="Q102" i="14"/>
  <c r="Q100" i="14"/>
  <c r="O105" i="14"/>
  <c r="O106" i="14"/>
  <c r="N101" i="14"/>
  <c r="N102" i="14"/>
  <c r="N103" i="14"/>
  <c r="N100" i="14"/>
  <c r="J107" i="14"/>
  <c r="R107" i="14" s="1"/>
  <c r="I103" i="14"/>
  <c r="O107" i="14"/>
  <c r="C106" i="14"/>
  <c r="C105" i="14"/>
  <c r="C102" i="14"/>
  <c r="C101" i="14"/>
  <c r="C100" i="14"/>
  <c r="AB99" i="1"/>
  <c r="AB100" i="1"/>
  <c r="AB101" i="1"/>
  <c r="AA102" i="1"/>
  <c r="AB103" i="1"/>
  <c r="E522" i="31"/>
  <c r="E521" i="31"/>
  <c r="E518" i="31"/>
  <c r="E517" i="31"/>
  <c r="E516" i="31"/>
  <c r="F920" i="5" l="1"/>
  <c r="J911" i="5"/>
  <c r="A87" i="53"/>
  <c r="J94" i="53"/>
  <c r="A94" i="53" s="1"/>
  <c r="J44" i="53"/>
  <c r="A44" i="53" s="1"/>
  <c r="J57" i="53"/>
  <c r="A57" i="53" s="1"/>
  <c r="J56" i="53"/>
  <c r="J43" i="53"/>
  <c r="E29" i="52"/>
  <c r="H86" i="52"/>
  <c r="H96" i="52" s="1"/>
  <c r="H43" i="52"/>
  <c r="H1" i="52"/>
  <c r="K378" i="50"/>
  <c r="J279" i="50"/>
  <c r="J322" i="50" s="1"/>
  <c r="J378" i="50"/>
  <c r="A378" i="50"/>
  <c r="O43" i="52"/>
  <c r="O86" i="52"/>
  <c r="O96" i="52" s="1"/>
  <c r="O1" i="52"/>
  <c r="J481" i="50"/>
  <c r="G123" i="8" s="1"/>
  <c r="A481" i="50"/>
  <c r="M95" i="52"/>
  <c r="P95" i="52" s="1"/>
  <c r="N1" i="52"/>
  <c r="N43" i="52"/>
  <c r="N86" i="52"/>
  <c r="N96" i="52" s="1"/>
  <c r="L86" i="52"/>
  <c r="L96" i="52" s="1"/>
  <c r="L43" i="52"/>
  <c r="L1" i="52"/>
  <c r="K1" i="52"/>
  <c r="K86" i="52"/>
  <c r="K96" i="52" s="1"/>
  <c r="K43" i="52"/>
  <c r="J86" i="52"/>
  <c r="J96" i="52" s="1"/>
  <c r="J1" i="52"/>
  <c r="J43" i="52"/>
  <c r="I86" i="52"/>
  <c r="I96" i="52" s="1"/>
  <c r="I43" i="52"/>
  <c r="I1" i="52"/>
  <c r="G1" i="52"/>
  <c r="G43" i="52"/>
  <c r="G86" i="52"/>
  <c r="G96" i="52" s="1"/>
  <c r="F29" i="52"/>
  <c r="F40" i="52" s="1"/>
  <c r="F43" i="52" s="1"/>
  <c r="M27" i="52"/>
  <c r="F1" i="52"/>
  <c r="A7" i="50"/>
  <c r="F29" i="50"/>
  <c r="J7" i="50"/>
  <c r="E11" i="52" s="1"/>
  <c r="I105" i="14"/>
  <c r="K105" i="14" s="1"/>
  <c r="S105" i="14" s="1"/>
  <c r="E105" i="14"/>
  <c r="G105" i="14" s="1"/>
  <c r="J100" i="14"/>
  <c r="R100" i="14" s="1"/>
  <c r="F100" i="14"/>
  <c r="I106" i="14"/>
  <c r="Q106" i="14" s="1"/>
  <c r="E106" i="14"/>
  <c r="N106" i="14" s="1"/>
  <c r="F101" i="14"/>
  <c r="J101" i="14"/>
  <c r="R101" i="14" s="1"/>
  <c r="F102" i="14"/>
  <c r="J102" i="14"/>
  <c r="R102" i="14" s="1"/>
  <c r="D99" i="1"/>
  <c r="P147" i="14"/>
  <c r="D102" i="1"/>
  <c r="D100" i="1"/>
  <c r="AB102" i="1"/>
  <c r="AA100" i="1"/>
  <c r="S147" i="14"/>
  <c r="D117" i="1"/>
  <c r="D118" i="1"/>
  <c r="Q103" i="14"/>
  <c r="AA103" i="1"/>
  <c r="D103" i="1"/>
  <c r="D101" i="1"/>
  <c r="AA101" i="1"/>
  <c r="AA99" i="1"/>
  <c r="K101" i="14" l="1"/>
  <c r="S101" i="14" s="1"/>
  <c r="A911" i="5"/>
  <c r="J920" i="5"/>
  <c r="A920" i="5" s="1"/>
  <c r="A85" i="53"/>
  <c r="A95" i="53"/>
  <c r="A43" i="53"/>
  <c r="J45" i="53"/>
  <c r="A56" i="53"/>
  <c r="J58" i="53"/>
  <c r="A58" i="53" s="1"/>
  <c r="G108" i="8"/>
  <c r="G112" i="8" s="1"/>
  <c r="J386" i="50"/>
  <c r="H108" i="8"/>
  <c r="K386" i="50"/>
  <c r="E40" i="52"/>
  <c r="G106" i="14"/>
  <c r="P106" i="14" s="1"/>
  <c r="N107" i="14"/>
  <c r="N105" i="14"/>
  <c r="K102" i="14"/>
  <c r="S102" i="14" s="1"/>
  <c r="A386" i="50"/>
  <c r="F86" i="52"/>
  <c r="F96" i="52" s="1"/>
  <c r="M29" i="52"/>
  <c r="M40" i="52" s="1"/>
  <c r="P40" i="52" s="1"/>
  <c r="P27" i="52"/>
  <c r="P29" i="52" s="1"/>
  <c r="M11" i="52"/>
  <c r="E13" i="52"/>
  <c r="F281" i="50"/>
  <c r="J281" i="50" s="1"/>
  <c r="G95" i="8" s="1"/>
  <c r="G102" i="8" s="1"/>
  <c r="J29" i="50"/>
  <c r="K100" i="14"/>
  <c r="S100" i="14" s="1"/>
  <c r="K106" i="14"/>
  <c r="S106" i="14" s="1"/>
  <c r="J103" i="14"/>
  <c r="R103" i="14" s="1"/>
  <c r="A147" i="14"/>
  <c r="P148" i="14"/>
  <c r="A148" i="14"/>
  <c r="A105" i="14"/>
  <c r="A525" i="31"/>
  <c r="K149" i="14"/>
  <c r="S149" i="14" s="1"/>
  <c r="I72" i="49" s="1"/>
  <c r="G149" i="14"/>
  <c r="I107" i="14"/>
  <c r="K107" i="14" s="1"/>
  <c r="Q105" i="14"/>
  <c r="G103" i="14"/>
  <c r="O101" i="14"/>
  <c r="G101" i="14"/>
  <c r="A101" i="14" s="1"/>
  <c r="P105" i="14"/>
  <c r="A521" i="31" s="1"/>
  <c r="G102" i="14"/>
  <c r="O102" i="14"/>
  <c r="G107" i="14"/>
  <c r="G100" i="14"/>
  <c r="O100" i="14"/>
  <c r="A908" i="5" l="1"/>
  <c r="A917" i="5"/>
  <c r="A921" i="5"/>
  <c r="A922" i="5" s="1"/>
  <c r="A86" i="53"/>
  <c r="A71" i="53"/>
  <c r="A72" i="53" s="1"/>
  <c r="A59" i="53"/>
  <c r="A55" i="53"/>
  <c r="J53" i="53"/>
  <c r="A53" i="53" s="1"/>
  <c r="A45" i="53"/>
  <c r="A40" i="52"/>
  <c r="A29" i="52"/>
  <c r="A27" i="52"/>
  <c r="A106" i="14"/>
  <c r="A100" i="14"/>
  <c r="A102" i="14"/>
  <c r="A526" i="31"/>
  <c r="A527" i="31" s="1"/>
  <c r="E24" i="52"/>
  <c r="P11" i="52"/>
  <c r="A11" i="52" s="1"/>
  <c r="M13" i="52"/>
  <c r="M24" i="52" s="1"/>
  <c r="A522" i="31"/>
  <c r="K103" i="14"/>
  <c r="S103" i="14" s="1"/>
  <c r="Q107" i="14"/>
  <c r="P149" i="14"/>
  <c r="A149" i="14"/>
  <c r="A107" i="14"/>
  <c r="O103" i="14"/>
  <c r="P101" i="14"/>
  <c r="P102" i="14"/>
  <c r="A518" i="31" s="1"/>
  <c r="S107" i="14"/>
  <c r="P100" i="14"/>
  <c r="A516" i="31" s="1"/>
  <c r="P107" i="14"/>
  <c r="D56" i="49" s="1"/>
  <c r="G108" i="14"/>
  <c r="P108" i="14" s="1"/>
  <c r="P103" i="14"/>
  <c r="A909" i="5" l="1"/>
  <c r="A910" i="5" s="1"/>
  <c r="A934" i="5"/>
  <c r="A928" i="5"/>
  <c r="A932" i="5"/>
  <c r="A926" i="5"/>
  <c r="A930" i="5"/>
  <c r="A924" i="5"/>
  <c r="A933" i="5"/>
  <c r="A927" i="5"/>
  <c r="A925" i="5"/>
  <c r="A935" i="5"/>
  <c r="A936" i="5" s="1"/>
  <c r="A931" i="5"/>
  <c r="A929" i="5"/>
  <c r="A923" i="5"/>
  <c r="A30" i="53"/>
  <c r="A31" i="53" s="1"/>
  <c r="A42" i="53"/>
  <c r="A40" i="53"/>
  <c r="A41" i="53" s="1"/>
  <c r="A54" i="53"/>
  <c r="A517" i="31"/>
  <c r="G56" i="49"/>
  <c r="A284" i="31"/>
  <c r="P24" i="52"/>
  <c r="A24" i="52" s="1"/>
  <c r="M43" i="52"/>
  <c r="M1" i="52"/>
  <c r="P13" i="52"/>
  <c r="A13" i="52" s="1"/>
  <c r="E1" i="52"/>
  <c r="E43" i="52"/>
  <c r="E86" i="52"/>
  <c r="K108" i="14"/>
  <c r="S108" i="14" s="1"/>
  <c r="H56" i="49"/>
  <c r="A103" i="14"/>
  <c r="E56" i="49"/>
  <c r="F56" i="49"/>
  <c r="F72" i="49"/>
  <c r="A72" i="49" s="1"/>
  <c r="A73" i="49" s="1"/>
  <c r="A499" i="31"/>
  <c r="A497" i="31"/>
  <c r="AG260" i="29"/>
  <c r="AG261" i="29"/>
  <c r="J294" i="13"/>
  <c r="A509" i="31" s="1"/>
  <c r="AG259" i="29"/>
  <c r="M86" i="52" l="1"/>
  <c r="M96" i="52" s="1"/>
  <c r="P96" i="52" s="1"/>
  <c r="E96" i="52"/>
  <c r="P86" i="52"/>
  <c r="P43" i="52"/>
  <c r="A43" i="52" s="1"/>
  <c r="P1" i="52"/>
  <c r="I56" i="49"/>
  <c r="A523" i="31"/>
  <c r="A524" i="31" s="1"/>
  <c r="A519" i="31"/>
  <c r="A528" i="31"/>
  <c r="A514" i="31" s="1"/>
  <c r="A515" i="31" s="1"/>
  <c r="K292" i="13"/>
  <c r="K291" i="13"/>
  <c r="AH262" i="29"/>
  <c r="K294" i="13"/>
  <c r="K293" i="13"/>
  <c r="AH260" i="29"/>
  <c r="D259" i="29"/>
  <c r="AH259" i="29"/>
  <c r="D261" i="29"/>
  <c r="J293" i="13"/>
  <c r="A508" i="31" s="1"/>
  <c r="D260" i="29"/>
  <c r="D262" i="29"/>
  <c r="AH261" i="29"/>
  <c r="AG262" i="29"/>
  <c r="A86" i="52" l="1"/>
  <c r="A56" i="49"/>
  <c r="A291" i="13"/>
  <c r="A294" i="13"/>
  <c r="G295" i="13"/>
  <c r="K295" i="13" s="1"/>
  <c r="A293" i="13"/>
  <c r="J292" i="13"/>
  <c r="A507" i="31" s="1"/>
  <c r="A292" i="13"/>
  <c r="J291" i="13"/>
  <c r="A506" i="31" s="1"/>
  <c r="A504" i="31" s="1"/>
  <c r="J295" i="13"/>
  <c r="G118" i="49" s="1"/>
  <c r="H118" i="49" l="1"/>
  <c r="A510" i="31"/>
  <c r="A295" i="13"/>
  <c r="A118" i="49" l="1"/>
  <c r="A511" i="31"/>
  <c r="A494" i="31"/>
  <c r="A495" i="31" s="1"/>
  <c r="J1" i="41"/>
  <c r="I1" i="41"/>
  <c r="H1" i="41"/>
  <c r="J1" i="43"/>
  <c r="I1" i="43"/>
  <c r="H1" i="43"/>
  <c r="J1" i="42"/>
  <c r="I1" i="42"/>
  <c r="H1" i="42"/>
  <c r="I1" i="40"/>
  <c r="H1" i="40"/>
  <c r="L5" i="13" l="1"/>
  <c r="H5" i="13"/>
  <c r="K5" i="13"/>
  <c r="G5" i="13"/>
  <c r="J5" i="13"/>
  <c r="F5" i="13"/>
  <c r="C23" i="38" l="1"/>
  <c r="C22" i="38"/>
  <c r="C21" i="38"/>
  <c r="C20" i="38"/>
  <c r="C13" i="38"/>
  <c r="C12" i="38"/>
  <c r="C11" i="38"/>
  <c r="C10" i="38"/>
  <c r="B23" i="38"/>
  <c r="B22" i="38"/>
  <c r="B21" i="38"/>
  <c r="B20" i="38"/>
  <c r="B19" i="38"/>
  <c r="G81" i="51"/>
  <c r="S113" i="14"/>
  <c r="O90" i="14"/>
  <c r="P81" i="51" l="1"/>
  <c r="F39" i="8" s="1"/>
  <c r="A39" i="39"/>
  <c r="D13" i="17"/>
  <c r="D14" i="17"/>
  <c r="D11" i="17"/>
  <c r="D12" i="17"/>
  <c r="C13" i="19" l="1"/>
  <c r="C554" i="19"/>
  <c r="A227" i="31"/>
  <c r="A228" i="31" s="1"/>
  <c r="A203" i="31"/>
  <c r="A204" i="31" s="1"/>
  <c r="D227" i="31"/>
  <c r="J208" i="31"/>
  <c r="K208" i="31"/>
  <c r="J209" i="31"/>
  <c r="K209" i="31"/>
  <c r="J210" i="31"/>
  <c r="K210" i="31"/>
  <c r="J211" i="31"/>
  <c r="K211" i="31"/>
  <c r="J212" i="31"/>
  <c r="K212" i="31"/>
  <c r="J213" i="31"/>
  <c r="K213" i="31"/>
  <c r="J214" i="31"/>
  <c r="K214" i="31"/>
  <c r="J215" i="31"/>
  <c r="K215" i="31"/>
  <c r="J216" i="31"/>
  <c r="K216" i="31"/>
  <c r="J217" i="31"/>
  <c r="K217" i="31"/>
  <c r="J218" i="31"/>
  <c r="K218" i="31"/>
  <c r="J219" i="31"/>
  <c r="K219" i="31"/>
  <c r="J220" i="31"/>
  <c r="K220" i="31"/>
  <c r="J221" i="31"/>
  <c r="K221" i="31"/>
  <c r="J222" i="31"/>
  <c r="K222" i="31"/>
  <c r="J223" i="31"/>
  <c r="K223" i="31"/>
  <c r="K207" i="31"/>
  <c r="J207" i="31"/>
  <c r="D232" i="31"/>
  <c r="C201" i="31"/>
  <c r="C178" i="31"/>
  <c r="A394" i="18"/>
  <c r="A395" i="18" s="1"/>
  <c r="A396" i="18"/>
  <c r="A397" i="18" s="1"/>
  <c r="E394" i="18"/>
  <c r="E396" i="18"/>
  <c r="I441" i="5"/>
  <c r="I491" i="5" s="1"/>
  <c r="J423" i="5"/>
  <c r="I423" i="5"/>
  <c r="I380" i="5"/>
  <c r="J380" i="5"/>
  <c r="G93" i="8"/>
  <c r="H93" i="8"/>
  <c r="N93" i="31"/>
  <c r="K101" i="31"/>
  <c r="M93" i="31"/>
  <c r="K182" i="31" l="1"/>
  <c r="K293" i="31"/>
  <c r="K301" i="31"/>
  <c r="A222" i="31"/>
  <c r="A220" i="31"/>
  <c r="A216" i="31"/>
  <c r="A214" i="31"/>
  <c r="A212" i="31"/>
  <c r="A210" i="31"/>
  <c r="J225" i="31"/>
  <c r="A223" i="31"/>
  <c r="A213" i="31"/>
  <c r="A211" i="31"/>
  <c r="A209" i="31"/>
  <c r="A208" i="31"/>
  <c r="A207" i="31"/>
  <c r="A218" i="31"/>
  <c r="A221" i="31"/>
  <c r="A219" i="31"/>
  <c r="A217" i="31"/>
  <c r="A215" i="31"/>
  <c r="K225" i="31"/>
  <c r="J427" i="29" s="1"/>
  <c r="L427" i="29" s="1"/>
  <c r="I509" i="5"/>
  <c r="I500" i="5"/>
  <c r="I462" i="5"/>
  <c r="A141" i="7"/>
  <c r="J1271" i="5"/>
  <c r="K1271" i="5"/>
  <c r="A238" i="18"/>
  <c r="A228" i="18"/>
  <c r="AI283" i="29"/>
  <c r="AI284" i="29"/>
  <c r="AI285" i="29"/>
  <c r="AI286" i="29"/>
  <c r="D91" i="1"/>
  <c r="F540" i="13" l="1"/>
  <c r="J540" i="13" s="1"/>
  <c r="AD427" i="29"/>
  <c r="O427" i="29"/>
  <c r="A225" i="31"/>
  <c r="A201" i="31" s="1"/>
  <c r="A202" i="31" s="1"/>
  <c r="J500" i="5"/>
  <c r="J509" i="5"/>
  <c r="I518" i="5"/>
  <c r="I532" i="5"/>
  <c r="I539" i="5" s="1"/>
  <c r="I551" i="5" s="1"/>
  <c r="K171" i="31"/>
  <c r="J171" i="31"/>
  <c r="K161" i="31"/>
  <c r="K1051" i="5"/>
  <c r="F783" i="5" l="1"/>
  <c r="F809" i="5"/>
  <c r="F735" i="5"/>
  <c r="F766" i="5"/>
  <c r="I574" i="5"/>
  <c r="J1268" i="5" s="1"/>
  <c r="J1281" i="5" s="1"/>
  <c r="F711" i="5"/>
  <c r="A171" i="31"/>
  <c r="F540" i="50"/>
  <c r="J540" i="50" s="1"/>
  <c r="AG427" i="29"/>
  <c r="D427" i="29"/>
  <c r="A205" i="31"/>
  <c r="A206" i="31" s="1"/>
  <c r="A224" i="31"/>
  <c r="A226" i="31"/>
  <c r="J518" i="5"/>
  <c r="J532" i="5"/>
  <c r="J1196" i="5"/>
  <c r="K1196" i="5"/>
  <c r="J1181" i="5"/>
  <c r="K1181" i="5"/>
  <c r="AG404" i="29"/>
  <c r="J1290" i="5" l="1"/>
  <c r="J1301" i="5" s="1"/>
  <c r="J551" i="5"/>
  <c r="J539" i="5"/>
  <c r="J441" i="5"/>
  <c r="J462" i="5" s="1"/>
  <c r="AH410" i="29"/>
  <c r="G380" i="29"/>
  <c r="G379" i="29"/>
  <c r="G378" i="29"/>
  <c r="G377" i="29"/>
  <c r="H783" i="5" l="1"/>
  <c r="F839" i="5" s="1"/>
  <c r="H735" i="5"/>
  <c r="H766" i="5"/>
  <c r="J574" i="5"/>
  <c r="K1268" i="5" s="1"/>
  <c r="K1281" i="5" s="1"/>
  <c r="H711" i="5"/>
  <c r="K50" i="31"/>
  <c r="K55" i="31"/>
  <c r="J55" i="31"/>
  <c r="I55" i="31"/>
  <c r="H164" i="8"/>
  <c r="G164" i="8"/>
  <c r="K41" i="31"/>
  <c r="J39" i="31"/>
  <c r="K18" i="31"/>
  <c r="K1290" i="5" l="1"/>
  <c r="K1301" i="5" s="1"/>
  <c r="J1252" i="5"/>
  <c r="J1253" i="5"/>
  <c r="J1254" i="5"/>
  <c r="J1255" i="5"/>
  <c r="J1256" i="5"/>
  <c r="J1257" i="5"/>
  <c r="I1253" i="5"/>
  <c r="I1254" i="5"/>
  <c r="I1255" i="5"/>
  <c r="I1256" i="5"/>
  <c r="I1257" i="5"/>
  <c r="J1185" i="5"/>
  <c r="J1186" i="5"/>
  <c r="K1185" i="5"/>
  <c r="K1186" i="5"/>
  <c r="J1189" i="5"/>
  <c r="J1190" i="5"/>
  <c r="K1189" i="5"/>
  <c r="K1190" i="5"/>
  <c r="J1192" i="5"/>
  <c r="J1193" i="5"/>
  <c r="J1195" i="5"/>
  <c r="K1195" i="5"/>
  <c r="K1193" i="5"/>
  <c r="K1192" i="5"/>
  <c r="J1199" i="5"/>
  <c r="J1200" i="5"/>
  <c r="K1200" i="5"/>
  <c r="K1199" i="5"/>
  <c r="J1099" i="5"/>
  <c r="I1099" i="5"/>
  <c r="C336" i="13"/>
  <c r="C337" i="13"/>
  <c r="C338" i="13"/>
  <c r="C335" i="13"/>
  <c r="AG283" i="29"/>
  <c r="AG284" i="29"/>
  <c r="AG286" i="29"/>
  <c r="J389" i="5"/>
  <c r="I389" i="5"/>
  <c r="J382" i="5"/>
  <c r="I269" i="5"/>
  <c r="J269" i="5"/>
  <c r="I273" i="5"/>
  <c r="J273" i="5"/>
  <c r="I253" i="5"/>
  <c r="D243" i="5"/>
  <c r="D253" i="5" s="1"/>
  <c r="D232" i="5"/>
  <c r="D246" i="5" s="1"/>
  <c r="J350" i="7"/>
  <c r="J347" i="7"/>
  <c r="J348" i="7"/>
  <c r="J349" i="7"/>
  <c r="I350" i="7"/>
  <c r="I349" i="7"/>
  <c r="I348" i="7"/>
  <c r="A1099" i="5" l="1"/>
  <c r="A350" i="7"/>
  <c r="A389" i="5"/>
  <c r="A1257" i="5"/>
  <c r="A1253" i="5"/>
  <c r="G337" i="13"/>
  <c r="K337" i="13" s="1"/>
  <c r="J429" i="5" s="1"/>
  <c r="H337" i="13"/>
  <c r="L337" i="13" s="1"/>
  <c r="F337" i="13"/>
  <c r="J337" i="13" s="1"/>
  <c r="I429" i="5" s="1"/>
  <c r="G338" i="13"/>
  <c r="K338" i="13" s="1"/>
  <c r="J430" i="5" s="1"/>
  <c r="H338" i="13"/>
  <c r="L338" i="13" s="1"/>
  <c r="F338" i="13"/>
  <c r="J338" i="13" s="1"/>
  <c r="I430" i="5" s="1"/>
  <c r="G336" i="13"/>
  <c r="H336" i="13"/>
  <c r="L336" i="13" s="1"/>
  <c r="F336" i="13"/>
  <c r="J336" i="13" s="1"/>
  <c r="I428" i="5" s="1"/>
  <c r="H335" i="13"/>
  <c r="L335" i="13" s="1"/>
  <c r="G335" i="13"/>
  <c r="K335" i="13" s="1"/>
  <c r="J427" i="5" s="1"/>
  <c r="F335" i="13"/>
  <c r="AH285" i="29"/>
  <c r="AH284" i="29"/>
  <c r="AH286" i="29"/>
  <c r="AH283" i="29"/>
  <c r="D285" i="29"/>
  <c r="AG285" i="29"/>
  <c r="D284" i="29"/>
  <c r="J1258" i="5"/>
  <c r="D283" i="29"/>
  <c r="D428" i="5"/>
  <c r="D430" i="5"/>
  <c r="D429" i="5"/>
  <c r="A349" i="7"/>
  <c r="D427" i="5"/>
  <c r="D286" i="29"/>
  <c r="I130" i="7"/>
  <c r="I127" i="7"/>
  <c r="I126" i="7"/>
  <c r="G126" i="7"/>
  <c r="G127" i="7"/>
  <c r="I120" i="7"/>
  <c r="G120" i="7"/>
  <c r="K285" i="31"/>
  <c r="I124" i="7"/>
  <c r="G124" i="7"/>
  <c r="K105" i="31" l="1"/>
  <c r="J105" i="31"/>
  <c r="A120" i="7"/>
  <c r="A130" i="7"/>
  <c r="A430" i="5"/>
  <c r="A126" i="7"/>
  <c r="A429" i="5"/>
  <c r="A337" i="13"/>
  <c r="A338" i="13"/>
  <c r="A336" i="13"/>
  <c r="K336" i="13"/>
  <c r="J428" i="5" s="1"/>
  <c r="A428" i="5" s="1"/>
  <c r="J335" i="13"/>
  <c r="I427" i="5" s="1"/>
  <c r="A427" i="5" s="1"/>
  <c r="A335" i="13"/>
  <c r="J127" i="7"/>
  <c r="H127" i="7"/>
  <c r="A105" i="31" l="1"/>
  <c r="A185" i="53"/>
  <c r="A127" i="7"/>
  <c r="A125" i="7"/>
  <c r="AH404" i="29"/>
  <c r="I222" i="5"/>
  <c r="D226" i="5"/>
  <c r="D225" i="5"/>
  <c r="D212" i="5"/>
  <c r="D222" i="5" s="1"/>
  <c r="D201" i="5"/>
  <c r="D215" i="5" s="1"/>
  <c r="F161" i="5"/>
  <c r="AG310" i="29"/>
  <c r="AI310" i="29"/>
  <c r="AI311" i="29"/>
  <c r="AI312" i="29"/>
  <c r="AI313" i="29"/>
  <c r="AI314" i="29"/>
  <c r="AI315" i="29"/>
  <c r="AI316" i="29"/>
  <c r="AI317" i="29"/>
  <c r="AI318" i="29"/>
  <c r="AI319" i="29"/>
  <c r="AI320" i="29"/>
  <c r="AG317" i="29"/>
  <c r="A365" i="13"/>
  <c r="A366" i="13"/>
  <c r="I144" i="5" l="1"/>
  <c r="J73" i="5"/>
  <c r="AH318" i="29"/>
  <c r="K375" i="13"/>
  <c r="I240" i="5" s="1"/>
  <c r="J377" i="13"/>
  <c r="I211" i="5" s="1"/>
  <c r="AG320" i="29"/>
  <c r="J373" i="13"/>
  <c r="I207" i="5" s="1"/>
  <c r="AG316" i="29"/>
  <c r="J369" i="13"/>
  <c r="I203" i="5" s="1"/>
  <c r="AG312" i="29"/>
  <c r="K367" i="13"/>
  <c r="I232" i="5" s="1"/>
  <c r="AH310" i="29"/>
  <c r="K1032" i="5"/>
  <c r="K59" i="51" s="1"/>
  <c r="J376" i="13"/>
  <c r="I210" i="5" s="1"/>
  <c r="AG319" i="29"/>
  <c r="AG315" i="29"/>
  <c r="J368" i="13"/>
  <c r="I202" i="5" s="1"/>
  <c r="AG311" i="29"/>
  <c r="K370" i="13"/>
  <c r="I235" i="5" s="1"/>
  <c r="AH313" i="29"/>
  <c r="J375" i="13"/>
  <c r="I209" i="5" s="1"/>
  <c r="AG318" i="29"/>
  <c r="J371" i="13"/>
  <c r="I205" i="5" s="1"/>
  <c r="AG314" i="29"/>
  <c r="K377" i="13"/>
  <c r="I242" i="5" s="1"/>
  <c r="AH320" i="29"/>
  <c r="K373" i="13"/>
  <c r="I238" i="5" s="1"/>
  <c r="AH316" i="29"/>
  <c r="K369" i="13"/>
  <c r="AH312" i="29"/>
  <c r="J370" i="13"/>
  <c r="I204" i="5" s="1"/>
  <c r="AG313" i="29"/>
  <c r="K376" i="13"/>
  <c r="I241" i="5" s="1"/>
  <c r="AH319" i="29"/>
  <c r="K372" i="13"/>
  <c r="I237" i="5" s="1"/>
  <c r="AH315" i="29"/>
  <c r="K368" i="13"/>
  <c r="AH311" i="29"/>
  <c r="J350" i="5"/>
  <c r="F366" i="5"/>
  <c r="K371" i="13"/>
  <c r="I236" i="5" s="1"/>
  <c r="AH314" i="29"/>
  <c r="K374" i="13"/>
  <c r="I239" i="5" s="1"/>
  <c r="AH317" i="29"/>
  <c r="D317" i="29"/>
  <c r="D314" i="29"/>
  <c r="D318" i="29"/>
  <c r="J1032" i="5"/>
  <c r="D404" i="29"/>
  <c r="D315" i="29"/>
  <c r="D319" i="29"/>
  <c r="D311" i="29"/>
  <c r="D313" i="29"/>
  <c r="J374" i="13"/>
  <c r="I208" i="5" s="1"/>
  <c r="D320" i="29"/>
  <c r="D316" i="29"/>
  <c r="D312" i="29"/>
  <c r="D310" i="29"/>
  <c r="O46" i="14"/>
  <c r="R46" i="14"/>
  <c r="J59" i="51" l="1"/>
  <c r="S59" i="51"/>
  <c r="I59" i="51"/>
  <c r="E450" i="7"/>
  <c r="G59" i="51"/>
  <c r="A376" i="13"/>
  <c r="A373" i="13"/>
  <c r="A370" i="13"/>
  <c r="A368" i="13"/>
  <c r="A372" i="13"/>
  <c r="A377" i="13"/>
  <c r="J372" i="13"/>
  <c r="I206" i="5" s="1"/>
  <c r="A369" i="13"/>
  <c r="A371" i="13"/>
  <c r="I243" i="5"/>
  <c r="G378" i="13"/>
  <c r="K378" i="13" s="1"/>
  <c r="A375" i="13"/>
  <c r="A374" i="13"/>
  <c r="J367" i="13"/>
  <c r="I201" i="5" s="1"/>
  <c r="A367" i="13"/>
  <c r="F378" i="13"/>
  <c r="J378" i="13" s="1"/>
  <c r="Q59" i="51" l="1"/>
  <c r="G129" i="49"/>
  <c r="P59" i="51"/>
  <c r="E59" i="51"/>
  <c r="F59" i="51"/>
  <c r="H129" i="49"/>
  <c r="R59" i="51"/>
  <c r="A378" i="13"/>
  <c r="I226" i="5"/>
  <c r="I212" i="5"/>
  <c r="I225" i="5" s="1"/>
  <c r="A523" i="13"/>
  <c r="G525" i="13"/>
  <c r="K525" i="13" s="1"/>
  <c r="F525" i="13"/>
  <c r="G519" i="13"/>
  <c r="F519" i="13"/>
  <c r="K1293" i="5"/>
  <c r="J1293" i="5"/>
  <c r="D1277" i="5"/>
  <c r="A129" i="49" l="1"/>
  <c r="AH419" i="29"/>
  <c r="G518" i="50"/>
  <c r="K518" i="50" s="1"/>
  <c r="A108" i="8"/>
  <c r="O59" i="51"/>
  <c r="N59" i="51"/>
  <c r="A59" i="51"/>
  <c r="O121" i="14"/>
  <c r="N121" i="14"/>
  <c r="Q121" i="14"/>
  <c r="R121" i="14"/>
  <c r="G518" i="13"/>
  <c r="K1270" i="5"/>
  <c r="A525" i="13"/>
  <c r="J525" i="13"/>
  <c r="D105" i="1"/>
  <c r="G121" i="14" l="1"/>
  <c r="P121" i="14" s="1"/>
  <c r="E499" i="7" s="1"/>
  <c r="K121" i="14"/>
  <c r="S121" i="14" s="1"/>
  <c r="A558" i="31"/>
  <c r="F499" i="7" l="1"/>
  <c r="A499" i="7" s="1"/>
  <c r="A121" i="14"/>
  <c r="A559" i="31"/>
  <c r="C359" i="31"/>
  <c r="C345" i="31"/>
  <c r="C334" i="31"/>
  <c r="C323" i="31"/>
  <c r="C309" i="31"/>
  <c r="C289" i="31"/>
  <c r="C270" i="31"/>
  <c r="C258" i="31"/>
  <c r="C230" i="31"/>
  <c r="B229" i="31"/>
  <c r="C165" i="31"/>
  <c r="C146" i="31"/>
  <c r="C127" i="31"/>
  <c r="C113" i="31"/>
  <c r="C95" i="31"/>
  <c r="B94" i="31"/>
  <c r="C83" i="31"/>
  <c r="C68" i="31"/>
  <c r="C61" i="31"/>
  <c r="C46" i="31"/>
  <c r="C11" i="31"/>
  <c r="B1309" i="5"/>
  <c r="B1290" i="5"/>
  <c r="B1268" i="5"/>
  <c r="C1260" i="5"/>
  <c r="C1246" i="5"/>
  <c r="C1172" i="5"/>
  <c r="C1125" i="5"/>
  <c r="C1055" i="5"/>
  <c r="C1017" i="5"/>
  <c r="C1011" i="5"/>
  <c r="C596" i="5"/>
  <c r="C574" i="5"/>
  <c r="C551" i="5"/>
  <c r="B550" i="5"/>
  <c r="C539" i="5"/>
  <c r="C532" i="5"/>
  <c r="B531" i="5"/>
  <c r="C509" i="5"/>
  <c r="C491" i="5"/>
  <c r="B490" i="5"/>
  <c r="C462" i="5"/>
  <c r="C441" i="5"/>
  <c r="C297" i="5"/>
  <c r="C262" i="5"/>
  <c r="C196" i="5"/>
  <c r="C172" i="5"/>
  <c r="B10" i="5"/>
  <c r="C534" i="7"/>
  <c r="C525" i="7"/>
  <c r="C514" i="7"/>
  <c r="C494" i="7"/>
  <c r="B492" i="7"/>
  <c r="C463" i="7"/>
  <c r="C454" i="7"/>
  <c r="C446" i="7"/>
  <c r="C431" i="7"/>
  <c r="C419" i="7"/>
  <c r="C400" i="7"/>
  <c r="C391" i="7"/>
  <c r="C372" i="7"/>
  <c r="C354" i="7"/>
  <c r="C342" i="7"/>
  <c r="C297" i="7"/>
  <c r="C282" i="7"/>
  <c r="B281" i="7"/>
  <c r="C256" i="7"/>
  <c r="C220" i="7"/>
  <c r="C203" i="7"/>
  <c r="C164" i="7"/>
  <c r="B162" i="7"/>
  <c r="C148" i="7"/>
  <c r="C139" i="7"/>
  <c r="B137" i="7"/>
  <c r="C116" i="7"/>
  <c r="C88" i="7"/>
  <c r="B87" i="7"/>
  <c r="D432" i="18"/>
  <c r="D428" i="18"/>
  <c r="D424" i="18"/>
  <c r="D420" i="18"/>
  <c r="C408" i="18"/>
  <c r="C398" i="18"/>
  <c r="C386" i="18"/>
  <c r="C362" i="18"/>
  <c r="C356" i="18"/>
  <c r="C350" i="18"/>
  <c r="C338" i="18"/>
  <c r="C328" i="18"/>
  <c r="C274" i="18"/>
  <c r="C258" i="18"/>
  <c r="C220" i="18"/>
  <c r="C216" i="18"/>
  <c r="C208" i="18"/>
  <c r="C198" i="18"/>
  <c r="C186" i="18"/>
  <c r="C176" i="18"/>
  <c r="C172" i="18"/>
  <c r="C114" i="18"/>
  <c r="C106" i="18"/>
  <c r="C102" i="18"/>
  <c r="C96" i="18"/>
  <c r="C58" i="18"/>
  <c r="C52" i="18"/>
  <c r="C46" i="18"/>
  <c r="C40" i="18"/>
  <c r="C36" i="18"/>
  <c r="C30" i="18"/>
  <c r="C16" i="18"/>
  <c r="C9" i="18"/>
  <c r="B7" i="18"/>
  <c r="C40" i="9" l="1"/>
  <c r="C38" i="9"/>
  <c r="E366" i="18"/>
  <c r="C37" i="9"/>
  <c r="E362" i="18"/>
  <c r="C36" i="9"/>
  <c r="E356" i="18"/>
  <c r="C35" i="9"/>
  <c r="E350" i="18"/>
  <c r="C34" i="9"/>
  <c r="E338" i="18"/>
  <c r="C33" i="9"/>
  <c r="E328" i="18"/>
  <c r="C32" i="9"/>
  <c r="E278" i="18"/>
  <c r="C31" i="9"/>
  <c r="E274" i="18"/>
  <c r="C30" i="9"/>
  <c r="E258" i="18"/>
  <c r="C29" i="9"/>
  <c r="E220" i="18"/>
  <c r="C28" i="9"/>
  <c r="E216" i="18"/>
  <c r="C27" i="9"/>
  <c r="E208" i="18"/>
  <c r="C26" i="9"/>
  <c r="E198" i="18"/>
  <c r="E176" i="18"/>
  <c r="C23" i="9"/>
  <c r="E172" i="18"/>
  <c r="E126" i="18"/>
  <c r="C22" i="9"/>
  <c r="C21" i="9"/>
  <c r="E106" i="18"/>
  <c r="C20" i="9"/>
  <c r="E102" i="18"/>
  <c r="C19" i="9"/>
  <c r="E96" i="18"/>
  <c r="C18" i="9"/>
  <c r="E58" i="18"/>
  <c r="C17" i="9"/>
  <c r="E52" i="18"/>
  <c r="C16" i="9"/>
  <c r="E46" i="18"/>
  <c r="C15" i="9"/>
  <c r="E40" i="18"/>
  <c r="C14" i="9"/>
  <c r="E36" i="18"/>
  <c r="E559" i="19" l="1"/>
  <c r="C536" i="19"/>
  <c r="C537" i="19"/>
  <c r="D504" i="19"/>
  <c r="A4" i="35"/>
  <c r="A4" i="17"/>
  <c r="B12" i="38"/>
  <c r="B11" i="38"/>
  <c r="B10" i="38"/>
  <c r="B9" i="38"/>
  <c r="J1" i="23" l="1"/>
  <c r="I1" i="23"/>
  <c r="H1" i="23"/>
  <c r="AB6" i="1"/>
  <c r="AA6" i="1"/>
  <c r="J358" i="7" l="1"/>
  <c r="J362" i="7"/>
  <c r="J363" i="7"/>
  <c r="J367" i="7"/>
  <c r="J368" i="7"/>
  <c r="I362" i="7"/>
  <c r="I367" i="7"/>
  <c r="I368" i="7"/>
  <c r="I358" i="7"/>
  <c r="I347" i="7"/>
  <c r="J344" i="7"/>
  <c r="J345" i="7"/>
  <c r="J346" i="7"/>
  <c r="I345" i="7"/>
  <c r="I346" i="7"/>
  <c r="I344" i="7"/>
  <c r="A97" i="31"/>
  <c r="D42" i="6"/>
  <c r="D21" i="6"/>
  <c r="D37" i="6" s="1"/>
  <c r="D9" i="6"/>
  <c r="K1025" i="5"/>
  <c r="J1025" i="5"/>
  <c r="F620" i="5"/>
  <c r="K604" i="5"/>
  <c r="F604" i="5"/>
  <c r="K367" i="31"/>
  <c r="J351" i="31"/>
  <c r="B8" i="31"/>
  <c r="B7" i="31"/>
  <c r="B6" i="31"/>
  <c r="B8" i="5"/>
  <c r="B7" i="5"/>
  <c r="B6" i="5"/>
  <c r="D5" i="6"/>
  <c r="D4" i="6"/>
  <c r="D3" i="6"/>
  <c r="B4" i="7"/>
  <c r="B6" i="7"/>
  <c r="B5" i="7"/>
  <c r="D4" i="18"/>
  <c r="D3" i="18"/>
  <c r="B6" i="8"/>
  <c r="B90" i="8"/>
  <c r="B161" i="8"/>
  <c r="G9" i="8"/>
  <c r="D9" i="8"/>
  <c r="C1" i="9"/>
  <c r="C3" i="13"/>
  <c r="C1" i="13"/>
  <c r="I5" i="14"/>
  <c r="E5" i="14"/>
  <c r="C3" i="14"/>
  <c r="C1" i="14"/>
  <c r="G97" i="14"/>
  <c r="K73" i="5" l="1"/>
  <c r="J144" i="5"/>
  <c r="J1075" i="5"/>
  <c r="I1093" i="5"/>
  <c r="J1093" i="5"/>
  <c r="K1075" i="5"/>
  <c r="AB98" i="1"/>
  <c r="K81" i="51"/>
  <c r="O481" i="31"/>
  <c r="M481" i="31"/>
  <c r="H504" i="31"/>
  <c r="H471" i="31"/>
  <c r="D74" i="6"/>
  <c r="K350" i="5"/>
  <c r="A366" i="7"/>
  <c r="A359" i="7"/>
  <c r="I50" i="31"/>
  <c r="A368" i="7"/>
  <c r="A346" i="7"/>
  <c r="I352" i="7"/>
  <c r="J352" i="7"/>
  <c r="A364" i="7"/>
  <c r="A363" i="7"/>
  <c r="A361" i="7"/>
  <c r="A360" i="7"/>
  <c r="A367" i="7"/>
  <c r="A344" i="7"/>
  <c r="A345" i="7"/>
  <c r="J370" i="7"/>
  <c r="A358" i="7"/>
  <c r="A365" i="7"/>
  <c r="A362" i="7"/>
  <c r="AA98" i="1"/>
  <c r="P97" i="14"/>
  <c r="K97" i="14"/>
  <c r="S97" i="14" s="1"/>
  <c r="D98" i="1"/>
  <c r="K118" i="31"/>
  <c r="K351" i="31"/>
  <c r="K150" i="31"/>
  <c r="K327" i="31"/>
  <c r="K260" i="31"/>
  <c r="I370" i="7"/>
  <c r="J68" i="31"/>
  <c r="J242" i="31"/>
  <c r="J280" i="31"/>
  <c r="J311" i="31"/>
  <c r="J338" i="31"/>
  <c r="J367" i="31"/>
  <c r="K167" i="31"/>
  <c r="K311" i="31"/>
  <c r="K338" i="31"/>
  <c r="J36" i="31"/>
  <c r="J61" i="31"/>
  <c r="J83" i="31"/>
  <c r="J182" i="31"/>
  <c r="J205" i="31" s="1"/>
  <c r="J260" i="31"/>
  <c r="J327" i="31"/>
  <c r="J1056" i="5"/>
  <c r="K1056" i="5"/>
  <c r="J1175" i="5"/>
  <c r="I402" i="5"/>
  <c r="J1045" i="5"/>
  <c r="K1175" i="5"/>
  <c r="J402" i="5"/>
  <c r="K1045" i="5"/>
  <c r="J77" i="31"/>
  <c r="K77" i="31"/>
  <c r="L343" i="13"/>
  <c r="L344" i="13"/>
  <c r="L345" i="13"/>
  <c r="L346" i="13"/>
  <c r="L347" i="13"/>
  <c r="L348" i="13"/>
  <c r="L349" i="13"/>
  <c r="L350" i="13"/>
  <c r="L351" i="13"/>
  <c r="L352" i="13"/>
  <c r="L353" i="13"/>
  <c r="L354" i="13"/>
  <c r="L355" i="13"/>
  <c r="L356" i="13"/>
  <c r="L357" i="13"/>
  <c r="J1126" i="5" l="1"/>
  <c r="J1133" i="5"/>
  <c r="J1111" i="5"/>
  <c r="J1167" i="5" s="1"/>
  <c r="I1111" i="5"/>
  <c r="I1167" i="5" s="1"/>
  <c r="I1126" i="5"/>
  <c r="I1133" i="5"/>
  <c r="S81" i="51"/>
  <c r="I39" i="8" s="1"/>
  <c r="A39" i="8" s="1"/>
  <c r="A81" i="51"/>
  <c r="F54" i="49"/>
  <c r="I386" i="31" s="1"/>
  <c r="K386" i="31" s="1"/>
  <c r="I54" i="49"/>
  <c r="A97" i="14"/>
  <c r="J297" i="7"/>
  <c r="J334" i="7" s="1"/>
  <c r="F505" i="7" s="1"/>
  <c r="A370" i="7"/>
  <c r="A352" i="7"/>
  <c r="L342" i="13"/>
  <c r="L359" i="13" s="1"/>
  <c r="D556" i="31"/>
  <c r="A556" i="31"/>
  <c r="A557" i="31" s="1"/>
  <c r="D554" i="31"/>
  <c r="A554" i="31"/>
  <c r="A555" i="31" s="1"/>
  <c r="D552" i="31"/>
  <c r="A552" i="31"/>
  <c r="A553" i="31" s="1"/>
  <c r="D550" i="31"/>
  <c r="A550" i="31"/>
  <c r="A551" i="31" s="1"/>
  <c r="D548" i="31"/>
  <c r="A548" i="31"/>
  <c r="A549" i="31" s="1"/>
  <c r="D546" i="31"/>
  <c r="A546" i="31"/>
  <c r="A547" i="31" s="1"/>
  <c r="A544" i="31"/>
  <c r="A545" i="31" s="1"/>
  <c r="D540" i="31"/>
  <c r="A540" i="31"/>
  <c r="A542" i="31" s="1"/>
  <c r="A543" i="31" s="1"/>
  <c r="A538" i="31"/>
  <c r="A539" i="31" s="1"/>
  <c r="D536" i="31"/>
  <c r="A536" i="31"/>
  <c r="A537" i="31" s="1"/>
  <c r="D534" i="31"/>
  <c r="A534" i="31"/>
  <c r="A492" i="31"/>
  <c r="D489" i="31"/>
  <c r="A489" i="31"/>
  <c r="D487" i="31"/>
  <c r="A487" i="31"/>
  <c r="A488" i="31" s="1"/>
  <c r="A485" i="31"/>
  <c r="K478" i="31"/>
  <c r="J478" i="31"/>
  <c r="I478" i="31"/>
  <c r="H478" i="31"/>
  <c r="D478" i="31"/>
  <c r="K477" i="31"/>
  <c r="J477" i="31"/>
  <c r="I477" i="31"/>
  <c r="H477" i="31"/>
  <c r="D477" i="31"/>
  <c r="K476" i="31"/>
  <c r="J476" i="31"/>
  <c r="I476" i="31"/>
  <c r="H476" i="31"/>
  <c r="D476" i="31"/>
  <c r="K475" i="31"/>
  <c r="J475" i="31"/>
  <c r="I475" i="31"/>
  <c r="H475" i="31"/>
  <c r="D475" i="31"/>
  <c r="A473" i="31"/>
  <c r="A474" i="31" s="1"/>
  <c r="D469" i="31"/>
  <c r="A469" i="31"/>
  <c r="A470" i="31" s="1"/>
  <c r="D467" i="31"/>
  <c r="A467" i="31"/>
  <c r="A468" i="31" s="1"/>
  <c r="D465" i="31"/>
  <c r="A465" i="31"/>
  <c r="A466" i="31" s="1"/>
  <c r="D463" i="31"/>
  <c r="A463" i="31"/>
  <c r="A464" i="31" s="1"/>
  <c r="D461" i="31"/>
  <c r="A461" i="31"/>
  <c r="A462" i="31" s="1"/>
  <c r="D459" i="31"/>
  <c r="A459" i="31"/>
  <c r="A460" i="31" s="1"/>
  <c r="D457" i="31"/>
  <c r="A457" i="31"/>
  <c r="A458" i="31" s="1"/>
  <c r="D455" i="31"/>
  <c r="A455" i="31"/>
  <c r="A456" i="31" s="1"/>
  <c r="D453" i="31"/>
  <c r="A453" i="31"/>
  <c r="A454" i="31" s="1"/>
  <c r="D451" i="31"/>
  <c r="A451" i="31"/>
  <c r="A452" i="31" s="1"/>
  <c r="D449" i="31"/>
  <c r="A449" i="31"/>
  <c r="A450" i="31" s="1"/>
  <c r="D447" i="31"/>
  <c r="A447" i="31"/>
  <c r="A448" i="31" s="1"/>
  <c r="A445" i="31"/>
  <c r="A365" i="31"/>
  <c r="A366" i="31" s="1"/>
  <c r="D363" i="31"/>
  <c r="A363" i="31"/>
  <c r="A364" i="31" s="1"/>
  <c r="D361" i="31"/>
  <c r="A361" i="31"/>
  <c r="K355" i="31"/>
  <c r="J355" i="31"/>
  <c r="D349" i="31"/>
  <c r="A349" i="31"/>
  <c r="A350" i="31" s="1"/>
  <c r="A347" i="31"/>
  <c r="A348" i="31" s="1"/>
  <c r="D336" i="31"/>
  <c r="A336" i="31"/>
  <c r="K330" i="31"/>
  <c r="H93" i="49" s="1"/>
  <c r="J330" i="31"/>
  <c r="H103" i="49" s="1"/>
  <c r="D325" i="31"/>
  <c r="A325" i="31"/>
  <c r="K297" i="31"/>
  <c r="A297" i="31" s="1"/>
  <c r="D278" i="31"/>
  <c r="A278" i="31"/>
  <c r="A279" i="31" s="1"/>
  <c r="D276" i="31"/>
  <c r="A276" i="31"/>
  <c r="A277" i="31" s="1"/>
  <c r="D274" i="31"/>
  <c r="A274" i="31"/>
  <c r="A275" i="31" s="1"/>
  <c r="D272" i="31"/>
  <c r="A272" i="31"/>
  <c r="A268" i="31"/>
  <c r="A269" i="31" s="1"/>
  <c r="K253" i="31"/>
  <c r="K246" i="31"/>
  <c r="J246" i="31"/>
  <c r="D240" i="31"/>
  <c r="A240" i="31"/>
  <c r="A241" i="31" s="1"/>
  <c r="D238" i="31"/>
  <c r="A238" i="31"/>
  <c r="D236" i="31"/>
  <c r="A236" i="31"/>
  <c r="A237" i="31" s="1"/>
  <c r="D234" i="31"/>
  <c r="A234" i="31"/>
  <c r="A235" i="31" s="1"/>
  <c r="A232" i="31"/>
  <c r="A233" i="31" s="1"/>
  <c r="D180" i="31"/>
  <c r="D175" i="31"/>
  <c r="A161" i="31"/>
  <c r="K160" i="31"/>
  <c r="A160" i="31" s="1"/>
  <c r="K159" i="31"/>
  <c r="A159" i="31" s="1"/>
  <c r="K154" i="31"/>
  <c r="J154" i="31"/>
  <c r="D148" i="31"/>
  <c r="A148" i="31"/>
  <c r="A149" i="31" s="1"/>
  <c r="K142" i="31"/>
  <c r="A142" i="31" s="1"/>
  <c r="K141" i="31"/>
  <c r="K140" i="31"/>
  <c r="A140" i="31" s="1"/>
  <c r="K135" i="31"/>
  <c r="J135" i="31"/>
  <c r="D129" i="31"/>
  <c r="A129" i="31"/>
  <c r="A130" i="31" s="1"/>
  <c r="K123" i="31"/>
  <c r="J123" i="31"/>
  <c r="D116" i="31"/>
  <c r="A116" i="31"/>
  <c r="A117" i="31" s="1"/>
  <c r="D114" i="31"/>
  <c r="A114" i="31"/>
  <c r="A115" i="31" s="1"/>
  <c r="D99" i="31"/>
  <c r="A99" i="31"/>
  <c r="A100" i="31" s="1"/>
  <c r="D97" i="31"/>
  <c r="A98" i="31"/>
  <c r="K89" i="31"/>
  <c r="J89" i="31"/>
  <c r="K88" i="31"/>
  <c r="J88" i="31"/>
  <c r="K87" i="31"/>
  <c r="J87" i="31"/>
  <c r="K86" i="31"/>
  <c r="J86" i="31"/>
  <c r="K85" i="31"/>
  <c r="J85" i="31"/>
  <c r="K78" i="31"/>
  <c r="J78" i="31"/>
  <c r="A77" i="31"/>
  <c r="K76" i="31"/>
  <c r="J76" i="31"/>
  <c r="K75" i="31"/>
  <c r="J75" i="31"/>
  <c r="K73" i="31"/>
  <c r="J73" i="31"/>
  <c r="K72" i="31"/>
  <c r="J72" i="31"/>
  <c r="K71" i="31"/>
  <c r="J71" i="31"/>
  <c r="J70" i="31"/>
  <c r="K65" i="31"/>
  <c r="J65" i="31"/>
  <c r="K63" i="31"/>
  <c r="J63" i="31"/>
  <c r="A49" i="31"/>
  <c r="K39" i="31"/>
  <c r="K38" i="31"/>
  <c r="J38" i="31"/>
  <c r="K27" i="31"/>
  <c r="J27" i="31"/>
  <c r="A17" i="31"/>
  <c r="N5" i="31"/>
  <c r="P1" i="31"/>
  <c r="O1" i="31"/>
  <c r="N1" i="31"/>
  <c r="M1" i="31"/>
  <c r="L1" i="31"/>
  <c r="K1" i="31"/>
  <c r="J1" i="31"/>
  <c r="I1" i="31"/>
  <c r="H1" i="31"/>
  <c r="G1" i="31"/>
  <c r="F1" i="31"/>
  <c r="S126" i="51" l="1"/>
  <c r="I49" i="8" s="1"/>
  <c r="K142" i="14"/>
  <c r="J254" i="31"/>
  <c r="A38" i="31"/>
  <c r="A54" i="49"/>
  <c r="A486" i="31"/>
  <c r="A483" i="31"/>
  <c r="A484" i="31" s="1"/>
  <c r="A478" i="31"/>
  <c r="A479" i="31" s="1"/>
  <c r="K254" i="31"/>
  <c r="J394" i="5" s="1"/>
  <c r="J409" i="7"/>
  <c r="F433" i="7"/>
  <c r="F448" i="7"/>
  <c r="F393" i="7"/>
  <c r="F402" i="7"/>
  <c r="J342" i="7"/>
  <c r="A532" i="31"/>
  <c r="A529" i="31" s="1"/>
  <c r="A561" i="31"/>
  <c r="K109" i="31"/>
  <c r="F93" i="49" s="1"/>
  <c r="J109" i="31"/>
  <c r="F103" i="49" s="1"/>
  <c r="A89" i="31"/>
  <c r="A90" i="31" s="1"/>
  <c r="A123" i="31"/>
  <c r="A124" i="31" s="1"/>
  <c r="A63" i="31"/>
  <c r="A64" i="31" s="1"/>
  <c r="I480" i="31"/>
  <c r="A355" i="31"/>
  <c r="A477" i="31"/>
  <c r="S142" i="14"/>
  <c r="I68" i="49" s="1"/>
  <c r="A155" i="31"/>
  <c r="K143" i="31"/>
  <c r="A143" i="31" s="1"/>
  <c r="A144" i="31" s="1"/>
  <c r="A145" i="31" s="1"/>
  <c r="A285" i="31"/>
  <c r="A286" i="31" s="1"/>
  <c r="A330" i="31"/>
  <c r="A331" i="31" s="1"/>
  <c r="A26" i="31"/>
  <c r="A88" i="31"/>
  <c r="A135" i="31"/>
  <c r="A136" i="31" s="1"/>
  <c r="A55" i="31"/>
  <c r="A75" i="31"/>
  <c r="A298" i="31"/>
  <c r="J480" i="31"/>
  <c r="A246" i="31"/>
  <c r="A475" i="31"/>
  <c r="A65" i="31"/>
  <c r="A67" i="31" s="1"/>
  <c r="A73" i="31"/>
  <c r="K91" i="31"/>
  <c r="H200" i="49" s="1"/>
  <c r="A87" i="31"/>
  <c r="K162" i="31"/>
  <c r="A162" i="31" s="1"/>
  <c r="A163" i="31" s="1"/>
  <c r="A164" i="31" s="1"/>
  <c r="K480" i="31"/>
  <c r="A39" i="31"/>
  <c r="A70" i="31"/>
  <c r="A76" i="31"/>
  <c r="A141" i="31"/>
  <c r="A139" i="31" s="1"/>
  <c r="A253" i="31"/>
  <c r="A490" i="31"/>
  <c r="A85" i="31"/>
  <c r="J91" i="31"/>
  <c r="G200" i="49" s="1"/>
  <c r="I436" i="31" s="1"/>
  <c r="K436" i="31" s="1"/>
  <c r="A27" i="31"/>
  <c r="A239" i="31"/>
  <c r="A362" i="31"/>
  <c r="A71" i="31"/>
  <c r="A72" i="31"/>
  <c r="A326" i="31"/>
  <c r="A337" i="31"/>
  <c r="H480" i="31"/>
  <c r="A476" i="31"/>
  <c r="A535" i="31"/>
  <c r="A78" i="31"/>
  <c r="A79" i="31" s="1"/>
  <c r="A86" i="31"/>
  <c r="A273" i="31"/>
  <c r="A446" i="31"/>
  <c r="A408" i="18"/>
  <c r="A398" i="18"/>
  <c r="A386" i="18"/>
  <c r="A366" i="18"/>
  <c r="A362" i="18"/>
  <c r="A356" i="18"/>
  <c r="A350" i="18"/>
  <c r="A338" i="18"/>
  <c r="A328" i="18"/>
  <c r="A324" i="18"/>
  <c r="A320" i="18"/>
  <c r="A312" i="18"/>
  <c r="A304" i="18"/>
  <c r="A286" i="18"/>
  <c r="A278" i="18"/>
  <c r="A274" i="18"/>
  <c r="A258" i="18"/>
  <c r="A252" i="18"/>
  <c r="I394" i="5" l="1"/>
  <c r="P126" i="51"/>
  <c r="F49" i="8" s="1"/>
  <c r="A126" i="51"/>
  <c r="A533" i="31"/>
  <c r="A520" i="31"/>
  <c r="A505" i="31" s="1"/>
  <c r="A254" i="31"/>
  <c r="A255" i="31" s="1"/>
  <c r="F516" i="7"/>
  <c r="F465" i="7"/>
  <c r="F496" i="7"/>
  <c r="F456" i="7"/>
  <c r="J356" i="7"/>
  <c r="N550" i="7" s="1"/>
  <c r="A109" i="31"/>
  <c r="A110" i="31" s="1"/>
  <c r="A66" i="31"/>
  <c r="A158" i="31"/>
  <c r="A61" i="31"/>
  <c r="A62" i="31" s="1"/>
  <c r="A480" i="31"/>
  <c r="A481" i="31" s="1"/>
  <c r="A482" i="31" s="1"/>
  <c r="A471" i="31"/>
  <c r="A443" i="31" s="1"/>
  <c r="A444" i="31" s="1"/>
  <c r="A83" i="31"/>
  <c r="A84" i="31" s="1"/>
  <c r="A91" i="31"/>
  <c r="A253" i="18"/>
  <c r="A242" i="18"/>
  <c r="A243" i="18" s="1"/>
  <c r="E242" i="18"/>
  <c r="A229" i="18"/>
  <c r="A208" i="18"/>
  <c r="A209" i="18" s="1"/>
  <c r="A186" i="18"/>
  <c r="A187" i="18" s="1"/>
  <c r="A153" i="18"/>
  <c r="A142" i="18"/>
  <c r="A143" i="18" s="1"/>
  <c r="A127" i="18"/>
  <c r="A114" i="18"/>
  <c r="A115" i="18" s="1"/>
  <c r="A106" i="18"/>
  <c r="A107" i="18" s="1"/>
  <c r="A102" i="18"/>
  <c r="A103" i="18" s="1"/>
  <c r="A96" i="18"/>
  <c r="A97" i="18" s="1"/>
  <c r="A72" i="18"/>
  <c r="A73" i="18" s="1"/>
  <c r="E72" i="18"/>
  <c r="A68" i="18"/>
  <c r="A69" i="18" s="1"/>
  <c r="E68" i="18"/>
  <c r="A62" i="18"/>
  <c r="A63" i="18" s="1"/>
  <c r="E62" i="18"/>
  <c r="A58" i="18"/>
  <c r="A59" i="18" s="1"/>
  <c r="A52" i="18"/>
  <c r="A53" i="18" s="1"/>
  <c r="A46" i="18"/>
  <c r="A47" i="18" s="1"/>
  <c r="A36" i="18"/>
  <c r="A37" i="18" s="1"/>
  <c r="A40" i="18"/>
  <c r="A41" i="18" s="1"/>
  <c r="A30" i="18"/>
  <c r="A31" i="18" s="1"/>
  <c r="E30" i="18"/>
  <c r="A16" i="18"/>
  <c r="A14" i="18"/>
  <c r="A15" i="18" s="1"/>
  <c r="E14" i="18"/>
  <c r="A413" i="18"/>
  <c r="A420" i="18"/>
  <c r="A421" i="18" s="1"/>
  <c r="E420" i="18"/>
  <c r="A424" i="18"/>
  <c r="A425" i="18" s="1"/>
  <c r="E424" i="18"/>
  <c r="A428" i="18"/>
  <c r="A429" i="18" s="1"/>
  <c r="E428" i="18"/>
  <c r="A432" i="18"/>
  <c r="A433" i="18" s="1"/>
  <c r="E432" i="18"/>
  <c r="E408" i="18"/>
  <c r="E398" i="18"/>
  <c r="E386" i="18"/>
  <c r="E324" i="18"/>
  <c r="E320" i="18"/>
  <c r="E312" i="18"/>
  <c r="E304" i="18"/>
  <c r="E286" i="18"/>
  <c r="E282" i="18"/>
  <c r="E252" i="18"/>
  <c r="E228" i="18"/>
  <c r="E9" i="18"/>
  <c r="A9" i="18" s="1"/>
  <c r="A7" i="18"/>
  <c r="E7" i="18"/>
  <c r="A409" i="18"/>
  <c r="A399" i="18"/>
  <c r="A387" i="18"/>
  <c r="A371" i="18"/>
  <c r="A367" i="18"/>
  <c r="A363" i="18"/>
  <c r="A357" i="18"/>
  <c r="A351" i="18"/>
  <c r="A339" i="18"/>
  <c r="A329" i="18"/>
  <c r="A325" i="18"/>
  <c r="A321" i="18"/>
  <c r="A313" i="18"/>
  <c r="A305" i="18"/>
  <c r="A287" i="18"/>
  <c r="A279" i="18"/>
  <c r="A275" i="18"/>
  <c r="A259" i="18"/>
  <c r="A239" i="18"/>
  <c r="A88" i="18"/>
  <c r="A89" i="18" s="1"/>
  <c r="A94" i="18"/>
  <c r="A95" i="18" s="1"/>
  <c r="A92" i="18"/>
  <c r="A93" i="18" s="1"/>
  <c r="A90" i="18"/>
  <c r="A91" i="18" s="1"/>
  <c r="E94" i="18"/>
  <c r="E92" i="18"/>
  <c r="E90" i="18"/>
  <c r="A99" i="18"/>
  <c r="A101" i="18"/>
  <c r="A104" i="18"/>
  <c r="A105" i="18" s="1"/>
  <c r="A108" i="18"/>
  <c r="A109" i="18" s="1"/>
  <c r="A110" i="18"/>
  <c r="A111" i="18" s="1"/>
  <c r="A112" i="18"/>
  <c r="A113" i="18" s="1"/>
  <c r="A116" i="18"/>
  <c r="A117" i="18" s="1"/>
  <c r="A118" i="18"/>
  <c r="A119" i="18" s="1"/>
  <c r="A120" i="18"/>
  <c r="A121" i="18" s="1"/>
  <c r="A122" i="18"/>
  <c r="A123" i="18" s="1"/>
  <c r="A124" i="18"/>
  <c r="A125" i="18" s="1"/>
  <c r="A149" i="18"/>
  <c r="A151" i="18"/>
  <c r="A155" i="18"/>
  <c r="A157" i="18"/>
  <c r="A159" i="18"/>
  <c r="A161" i="18"/>
  <c r="A163" i="18"/>
  <c r="A188" i="18"/>
  <c r="A189" i="18" s="1"/>
  <c r="A190" i="18"/>
  <c r="A191" i="18" s="1"/>
  <c r="A192" i="18"/>
  <c r="A193" i="18" s="1"/>
  <c r="A194" i="18"/>
  <c r="A195" i="18" s="1"/>
  <c r="A196" i="18"/>
  <c r="A197" i="18" s="1"/>
  <c r="A210" i="18"/>
  <c r="A211" i="18" s="1"/>
  <c r="A212" i="18"/>
  <c r="A213" i="18" s="1"/>
  <c r="A214" i="18"/>
  <c r="A215" i="18" s="1"/>
  <c r="A227" i="18"/>
  <c r="A230" i="18"/>
  <c r="A231" i="18" s="1"/>
  <c r="A232" i="18"/>
  <c r="A233" i="18" s="1"/>
  <c r="A234" i="18"/>
  <c r="A235" i="18" s="1"/>
  <c r="A236" i="18"/>
  <c r="A237" i="18" s="1"/>
  <c r="A240" i="18"/>
  <c r="A241" i="18" s="1"/>
  <c r="A244" i="18"/>
  <c r="A245" i="18" s="1"/>
  <c r="A246" i="18"/>
  <c r="A247" i="18" s="1"/>
  <c r="A248" i="18"/>
  <c r="A249" i="18" s="1"/>
  <c r="A250" i="18"/>
  <c r="A251" i="18" s="1"/>
  <c r="A254" i="18"/>
  <c r="A255" i="18" s="1"/>
  <c r="A256" i="18"/>
  <c r="A257" i="18" s="1"/>
  <c r="A260" i="18"/>
  <c r="A261" i="18" s="1"/>
  <c r="A262" i="18"/>
  <c r="A263" i="18" s="1"/>
  <c r="A264" i="18"/>
  <c r="A265" i="18" s="1"/>
  <c r="A266" i="18"/>
  <c r="A267" i="18" s="1"/>
  <c r="A268" i="18"/>
  <c r="A269" i="18" s="1"/>
  <c r="A270" i="18"/>
  <c r="A271" i="18" s="1"/>
  <c r="A272" i="18"/>
  <c r="A273" i="18" s="1"/>
  <c r="A276" i="18"/>
  <c r="A277" i="18" s="1"/>
  <c r="A280" i="18"/>
  <c r="A281" i="18" s="1"/>
  <c r="A282" i="18" s="1"/>
  <c r="A283" i="18" s="1"/>
  <c r="A284" i="18"/>
  <c r="A285" i="18" s="1"/>
  <c r="A288" i="18"/>
  <c r="A289" i="18" s="1"/>
  <c r="A290" i="18"/>
  <c r="A291" i="18" s="1"/>
  <c r="A292" i="18"/>
  <c r="A293" i="18" s="1"/>
  <c r="A294" i="18"/>
  <c r="A295" i="18" s="1"/>
  <c r="A296" i="18"/>
  <c r="A297" i="18" s="1"/>
  <c r="A298" i="18"/>
  <c r="A299" i="18" s="1"/>
  <c r="A300" i="18"/>
  <c r="A301" i="18" s="1"/>
  <c r="A302" i="18"/>
  <c r="A303" i="18" s="1"/>
  <c r="A306" i="18"/>
  <c r="A307" i="18" s="1"/>
  <c r="A308" i="18"/>
  <c r="A309" i="18" s="1"/>
  <c r="A310" i="18"/>
  <c r="A311" i="18" s="1"/>
  <c r="A314" i="18"/>
  <c r="A315" i="18" s="1"/>
  <c r="A316" i="18"/>
  <c r="A317" i="18" s="1"/>
  <c r="A319" i="18"/>
  <c r="F536" i="7" l="1"/>
  <c r="H479" i="7"/>
  <c r="J546" i="7"/>
  <c r="F527" i="7"/>
  <c r="F421" i="7"/>
  <c r="A17" i="18"/>
  <c r="A92" i="31"/>
  <c r="A93" i="31"/>
  <c r="A322" i="18"/>
  <c r="A323" i="18" s="1"/>
  <c r="A326" i="18"/>
  <c r="A327" i="18" s="1"/>
  <c r="A330" i="18"/>
  <c r="A331" i="18" s="1"/>
  <c r="A336" i="18"/>
  <c r="A337" i="18" s="1"/>
  <c r="A340" i="18"/>
  <c r="A341" i="18" s="1"/>
  <c r="A342" i="18"/>
  <c r="A343" i="18" s="1"/>
  <c r="A344" i="18"/>
  <c r="A345" i="18" s="1"/>
  <c r="A346" i="18"/>
  <c r="A347" i="18" s="1"/>
  <c r="A348" i="18"/>
  <c r="A349" i="18" s="1"/>
  <c r="A352" i="18"/>
  <c r="A353" i="18" s="1"/>
  <c r="A354" i="18"/>
  <c r="A355" i="18" s="1"/>
  <c r="A358" i="18"/>
  <c r="A359" i="18" s="1"/>
  <c r="A360" i="18"/>
  <c r="A361" i="18" s="1"/>
  <c r="A364" i="18"/>
  <c r="A365" i="18" s="1"/>
  <c r="A368" i="18"/>
  <c r="A369" i="18" s="1"/>
  <c r="A372" i="18"/>
  <c r="A373" i="18" s="1"/>
  <c r="A374" i="18"/>
  <c r="A375" i="18" s="1"/>
  <c r="A376" i="18"/>
  <c r="A377" i="18" s="1"/>
  <c r="A388" i="18"/>
  <c r="A389" i="18" s="1"/>
  <c r="A390" i="18"/>
  <c r="A391" i="18" s="1"/>
  <c r="A392" i="18"/>
  <c r="A393" i="18" s="1"/>
  <c r="A400" i="18"/>
  <c r="A401" i="18" s="1"/>
  <c r="A402" i="18"/>
  <c r="A403" i="18" s="1"/>
  <c r="A404" i="18"/>
  <c r="A405" i="18" s="1"/>
  <c r="A406" i="18"/>
  <c r="A407" i="18" s="1"/>
  <c r="A410" i="18"/>
  <c r="A411" i="18" s="1"/>
  <c r="A414" i="18"/>
  <c r="A415" i="18" s="1"/>
  <c r="A422" i="18"/>
  <c r="A423" i="18" s="1"/>
  <c r="A426" i="18"/>
  <c r="A427" i="18" s="1"/>
  <c r="A430" i="18"/>
  <c r="A431" i="18" s="1"/>
  <c r="A434" i="18"/>
  <c r="A435" i="18" s="1"/>
  <c r="A143" i="8" l="1"/>
  <c r="A134" i="8"/>
  <c r="A97" i="8"/>
  <c r="A86" i="18"/>
  <c r="A87" i="18" s="1"/>
  <c r="A84" i="18"/>
  <c r="A85" i="18" s="1"/>
  <c r="A82" i="18"/>
  <c r="A83" i="18" s="1"/>
  <c r="A80" i="18"/>
  <c r="A81" i="18" s="1"/>
  <c r="A78" i="18"/>
  <c r="A79" i="18" s="1"/>
  <c r="A76" i="18"/>
  <c r="A77" i="18" s="1"/>
  <c r="A74" i="18"/>
  <c r="A75" i="18" s="1"/>
  <c r="A70" i="18"/>
  <c r="A71" i="18" s="1"/>
  <c r="A66" i="18"/>
  <c r="A67" i="18" s="1"/>
  <c r="A64" i="18"/>
  <c r="A65" i="18" s="1"/>
  <c r="A60" i="18"/>
  <c r="A61" i="18" s="1"/>
  <c r="A57" i="18"/>
  <c r="E56" i="18"/>
  <c r="E54" i="18"/>
  <c r="A54" i="18"/>
  <c r="A55" i="18" s="1"/>
  <c r="A50" i="18"/>
  <c r="A51" i="18" s="1"/>
  <c r="A48" i="18"/>
  <c r="A49" i="18" s="1"/>
  <c r="E50" i="18"/>
  <c r="E48" i="18"/>
  <c r="A44" i="18"/>
  <c r="A45" i="18" s="1"/>
  <c r="E44" i="18"/>
  <c r="E42" i="18"/>
  <c r="A42" i="18"/>
  <c r="A43" i="18" s="1"/>
  <c r="A38" i="18"/>
  <c r="A39" i="18" s="1"/>
  <c r="A28" i="18"/>
  <c r="A29" i="18" s="1"/>
  <c r="A26" i="18"/>
  <c r="A27" i="18" s="1"/>
  <c r="A24" i="18"/>
  <c r="A25" i="18" s="1"/>
  <c r="A22" i="18"/>
  <c r="A23" i="18" s="1"/>
  <c r="A12" i="18"/>
  <c r="A13" i="18" s="1"/>
  <c r="A10" i="18"/>
  <c r="A11" i="18" s="1"/>
  <c r="A351" i="7" l="1"/>
  <c r="A387" i="7"/>
  <c r="A384" i="7"/>
  <c r="A385" i="7" s="1"/>
  <c r="A382" i="7"/>
  <c r="A383" i="7" s="1"/>
  <c r="A380" i="7"/>
  <c r="A381" i="7" s="1"/>
  <c r="A378" i="7"/>
  <c r="A379" i="7" s="1"/>
  <c r="A376" i="7"/>
  <c r="A377" i="7" s="1"/>
  <c r="A374" i="7"/>
  <c r="A375" i="7" s="1"/>
  <c r="A372" i="7"/>
  <c r="A373" i="7" s="1"/>
  <c r="A295" i="7"/>
  <c r="A296" i="7" s="1"/>
  <c r="A292" i="7"/>
  <c r="A293" i="7" s="1"/>
  <c r="A294" i="7" s="1"/>
  <c r="A290" i="7"/>
  <c r="A291" i="7" s="1"/>
  <c r="A260" i="7"/>
  <c r="A261" i="7" s="1"/>
  <c r="A258" i="7"/>
  <c r="A259" i="7" s="1"/>
  <c r="A232" i="7"/>
  <c r="A233" i="7" s="1"/>
  <c r="A231" i="7"/>
  <c r="A224" i="7"/>
  <c r="A225" i="7" s="1"/>
  <c r="A222" i="7"/>
  <c r="A216" i="7"/>
  <c r="A207" i="7"/>
  <c r="A198" i="7"/>
  <c r="A199" i="7" s="1"/>
  <c r="A196" i="7"/>
  <c r="A197" i="7" s="1"/>
  <c r="A194" i="7"/>
  <c r="A195" i="7" s="1"/>
  <c r="A192" i="7"/>
  <c r="A193" i="7" s="1"/>
  <c r="A171" i="7"/>
  <c r="A369" i="7"/>
  <c r="A168" i="7"/>
  <c r="A169" i="7" s="1"/>
  <c r="A166" i="7"/>
  <c r="A167" i="7" s="1"/>
  <c r="A160" i="7"/>
  <c r="A161" i="7" s="1"/>
  <c r="A150" i="7"/>
  <c r="A145" i="7"/>
  <c r="A143" i="7"/>
  <c r="A8" i="18"/>
  <c r="A77" i="6"/>
  <c r="A1315" i="5"/>
  <c r="A1319" i="5"/>
  <c r="A1320" i="5" s="1"/>
  <c r="A1317" i="5"/>
  <c r="A1318" i="5" s="1"/>
  <c r="A1313" i="5"/>
  <c r="A1311" i="5"/>
  <c r="A1299" i="5"/>
  <c r="A1277" i="5"/>
  <c r="A1293" i="5"/>
  <c r="A1279" i="5"/>
  <c r="A1280" i="5" s="1"/>
  <c r="A1266" i="5"/>
  <c r="A1267" i="5" s="1"/>
  <c r="A1271" i="5"/>
  <c r="A1264" i="5"/>
  <c r="A1265" i="5" s="1"/>
  <c r="A1262" i="5"/>
  <c r="A1263" i="5" s="1"/>
  <c r="A1244" i="5"/>
  <c r="A1245" i="5" s="1"/>
  <c r="A1246" i="5"/>
  <c r="A1249" i="5" s="1"/>
  <c r="A1208" i="5"/>
  <c r="A1209" i="5" s="1"/>
  <c r="J1214" i="5"/>
  <c r="A1207" i="5"/>
  <c r="A1173" i="5"/>
  <c r="A1149" i="5"/>
  <c r="A1165" i="5"/>
  <c r="A1162" i="5"/>
  <c r="A1147" i="5"/>
  <c r="A1107" i="5"/>
  <c r="A1109" i="5"/>
  <c r="A1105" i="5"/>
  <c r="A1103" i="5"/>
  <c r="A1089" i="5"/>
  <c r="A1091" i="5"/>
  <c r="A1023" i="5"/>
  <c r="A1043" i="5"/>
  <c r="A1038" i="5"/>
  <c r="A1031" i="5"/>
  <c r="A1021" i="5"/>
  <c r="A1019" i="5"/>
  <c r="A1015" i="5"/>
  <c r="A1013" i="5"/>
  <c r="A658" i="5"/>
  <c r="D658" i="5"/>
  <c r="A653" i="5"/>
  <c r="A654" i="5" s="1"/>
  <c r="D653" i="5"/>
  <c r="A649" i="5"/>
  <c r="A647" i="5" s="1"/>
  <c r="A648" i="5" s="1"/>
  <c r="D649" i="5"/>
  <c r="A645" i="5"/>
  <c r="A643" i="5" s="1"/>
  <c r="A644" i="5" s="1"/>
  <c r="D645" i="5"/>
  <c r="A641" i="5"/>
  <c r="A639" i="5" s="1"/>
  <c r="A640" i="5" s="1"/>
  <c r="D641" i="5"/>
  <c r="A637" i="5"/>
  <c r="A635" i="5" s="1"/>
  <c r="D637" i="5"/>
  <c r="A600" i="5"/>
  <c r="A601" i="5" s="1"/>
  <c r="D600" i="5"/>
  <c r="A598" i="5"/>
  <c r="A599" i="5" s="1"/>
  <c r="D598" i="5"/>
  <c r="A594" i="5"/>
  <c r="A595" i="5" s="1"/>
  <c r="D594" i="5"/>
  <c r="A592" i="5"/>
  <c r="D592" i="5"/>
  <c r="A572" i="5"/>
  <c r="A573" i="5" s="1"/>
  <c r="D572" i="5"/>
  <c r="A570" i="5"/>
  <c r="A571" i="5" s="1"/>
  <c r="D570" i="5"/>
  <c r="A529" i="5"/>
  <c r="A530" i="5" s="1"/>
  <c r="D529" i="5"/>
  <c r="A527" i="5"/>
  <c r="A528" i="5" s="1"/>
  <c r="D527" i="5"/>
  <c r="A507" i="5"/>
  <c r="A508" i="5" s="1"/>
  <c r="D507" i="5"/>
  <c r="A488" i="5"/>
  <c r="A489" i="5" s="1"/>
  <c r="D488" i="5"/>
  <c r="A486" i="5"/>
  <c r="A487" i="5" s="1"/>
  <c r="D486" i="5"/>
  <c r="A220" i="7" l="1"/>
  <c r="A221" i="7" s="1"/>
  <c r="A1247" i="5"/>
  <c r="A1248" i="5"/>
  <c r="A217" i="7"/>
  <c r="A218" i="7" s="1"/>
  <c r="A208" i="7"/>
  <c r="A388" i="7"/>
  <c r="A223" i="7"/>
  <c r="A1309" i="5"/>
  <c r="A1276" i="5"/>
  <c r="A1260" i="5"/>
  <c r="A1261" i="5" s="1"/>
  <c r="A1011" i="5"/>
  <c r="A642" i="5"/>
  <c r="A646" i="5"/>
  <c r="A651" i="5"/>
  <c r="A652" i="5" s="1"/>
  <c r="A596" i="5"/>
  <c r="A597" i="5" s="1"/>
  <c r="A438" i="5"/>
  <c r="A439" i="5" s="1"/>
  <c r="A442" i="5" s="1"/>
  <c r="D438" i="5"/>
  <c r="A436" i="5"/>
  <c r="A437" i="5" s="1"/>
  <c r="D436" i="5"/>
  <c r="A434" i="5"/>
  <c r="A435" i="5" s="1"/>
  <c r="D434" i="5"/>
  <c r="A414" i="5"/>
  <c r="A415" i="5" s="1"/>
  <c r="D414" i="5"/>
  <c r="A412" i="5"/>
  <c r="A410" i="5" s="1"/>
  <c r="A411" i="5" s="1"/>
  <c r="D412" i="5"/>
  <c r="A378" i="5"/>
  <c r="A379" i="5" s="1"/>
  <c r="D378" i="5"/>
  <c r="A374" i="5"/>
  <c r="A375" i="5" s="1"/>
  <c r="D374" i="5"/>
  <c r="A372" i="5"/>
  <c r="A373" i="5" s="1"/>
  <c r="D372" i="5"/>
  <c r="A369" i="5"/>
  <c r="A370" i="5" s="1"/>
  <c r="D369" i="5"/>
  <c r="A368" i="5"/>
  <c r="D368" i="5"/>
  <c r="A364" i="5"/>
  <c r="A365" i="5" s="1"/>
  <c r="D364" i="5"/>
  <c r="A362" i="5"/>
  <c r="A363" i="5" s="1"/>
  <c r="D362" i="5"/>
  <c r="A360" i="5"/>
  <c r="A361" i="5" s="1"/>
  <c r="D360" i="5"/>
  <c r="D348" i="5"/>
  <c r="D344" i="5"/>
  <c r="D342" i="5"/>
  <c r="D340" i="5"/>
  <c r="D338" i="5"/>
  <c r="D336" i="5"/>
  <c r="D334" i="5"/>
  <c r="D332" i="5"/>
  <c r="D330" i="5"/>
  <c r="D328" i="5"/>
  <c r="D326" i="5"/>
  <c r="D324" i="5"/>
  <c r="D322" i="5"/>
  <c r="D321" i="5"/>
  <c r="D319" i="5"/>
  <c r="D317" i="5"/>
  <c r="D315" i="5"/>
  <c r="D303" i="5"/>
  <c r="D310" i="5" s="1"/>
  <c r="D297" i="5"/>
  <c r="A260" i="5"/>
  <c r="A261" i="5" s="1"/>
  <c r="D260" i="5"/>
  <c r="A258" i="5"/>
  <c r="A259" i="5" s="1"/>
  <c r="D258" i="5"/>
  <c r="A256" i="5"/>
  <c r="A257" i="5" s="1"/>
  <c r="D256" i="5"/>
  <c r="A196" i="5"/>
  <c r="A197" i="5" s="1"/>
  <c r="D196" i="5"/>
  <c r="D198" i="5" s="1"/>
  <c r="D229" i="5" s="1"/>
  <c r="A194" i="5"/>
  <c r="A195" i="5" s="1"/>
  <c r="D194" i="5"/>
  <c r="A192" i="5"/>
  <c r="A193" i="5" s="1"/>
  <c r="D192" i="5"/>
  <c r="A190" i="5"/>
  <c r="A191" i="5" s="1"/>
  <c r="D190" i="5"/>
  <c r="A188" i="5"/>
  <c r="A189" i="5" s="1"/>
  <c r="D188" i="5"/>
  <c r="A184" i="5"/>
  <c r="A185" i="5" s="1"/>
  <c r="D184" i="5"/>
  <c r="A182" i="5"/>
  <c r="A180" i="5" s="1"/>
  <c r="A181" i="5" s="1"/>
  <c r="D182" i="5"/>
  <c r="A175" i="5"/>
  <c r="D174" i="5"/>
  <c r="A36" i="5"/>
  <c r="A37" i="5" s="1"/>
  <c r="A34" i="5"/>
  <c r="A35" i="5" s="1"/>
  <c r="A32" i="5"/>
  <c r="A33" i="5" s="1"/>
  <c r="D1266" i="5"/>
  <c r="D1264" i="5"/>
  <c r="D1262" i="5"/>
  <c r="A1316" i="5"/>
  <c r="D384" i="7"/>
  <c r="D382" i="7"/>
  <c r="D380" i="7"/>
  <c r="D378" i="7"/>
  <c r="D376" i="7"/>
  <c r="D374" i="7"/>
  <c r="A117" i="5" l="1"/>
  <c r="A366" i="5"/>
  <c r="A367" i="5" s="1"/>
  <c r="A413" i="5"/>
  <c r="A371" i="5"/>
  <c r="A183" i="5"/>
  <c r="A186" i="5"/>
  <c r="A187" i="5" s="1"/>
  <c r="J406" i="5"/>
  <c r="J405" i="5"/>
  <c r="I405" i="5"/>
  <c r="I406" i="5"/>
  <c r="J404" i="5"/>
  <c r="A122" i="14"/>
  <c r="A124" i="14"/>
  <c r="I398" i="5"/>
  <c r="J392" i="5"/>
  <c r="I392" i="5"/>
  <c r="J388" i="5"/>
  <c r="I388" i="5"/>
  <c r="J408" i="5" l="1"/>
  <c r="I408" i="5"/>
  <c r="J107" i="31"/>
  <c r="J252" i="31"/>
  <c r="K252" i="31"/>
  <c r="K107" i="31"/>
  <c r="A371" i="7"/>
  <c r="A406" i="5"/>
  <c r="A407" i="5" s="1"/>
  <c r="A404" i="5"/>
  <c r="A405" i="5"/>
  <c r="A397" i="5"/>
  <c r="A398" i="5"/>
  <c r="A399" i="5" s="1"/>
  <c r="A388" i="5"/>
  <c r="A390" i="5" s="1"/>
  <c r="A173" i="5"/>
  <c r="I1252" i="5"/>
  <c r="I1258" i="5" s="1"/>
  <c r="D1244" i="5"/>
  <c r="K1238" i="5"/>
  <c r="K1239" i="5"/>
  <c r="K1240" i="5"/>
  <c r="K1241" i="5"/>
  <c r="K1242" i="5"/>
  <c r="J1239" i="5"/>
  <c r="J1240" i="5"/>
  <c r="J1241" i="5"/>
  <c r="J1242" i="5"/>
  <c r="J1238" i="5"/>
  <c r="K1230" i="5"/>
  <c r="K1231" i="5"/>
  <c r="K1232" i="5"/>
  <c r="K1233" i="5"/>
  <c r="K1234" i="5"/>
  <c r="J1231" i="5"/>
  <c r="J1232" i="5"/>
  <c r="J1233" i="5"/>
  <c r="J1234" i="5"/>
  <c r="J1230" i="5"/>
  <c r="K1222" i="5"/>
  <c r="K1223" i="5"/>
  <c r="K1224" i="5"/>
  <c r="K1225" i="5"/>
  <c r="K1226" i="5"/>
  <c r="J1223" i="5"/>
  <c r="J1224" i="5"/>
  <c r="J1225" i="5"/>
  <c r="J1226" i="5"/>
  <c r="A1227" i="5" s="1"/>
  <c r="J1222" i="5"/>
  <c r="K1214" i="5"/>
  <c r="A1214" i="5" s="1"/>
  <c r="K1215" i="5"/>
  <c r="K1216" i="5"/>
  <c r="K1217" i="5"/>
  <c r="K1218" i="5"/>
  <c r="J1215" i="5"/>
  <c r="J1216" i="5"/>
  <c r="J1217" i="5"/>
  <c r="J1218" i="5"/>
  <c r="D1208" i="5"/>
  <c r="D1206" i="5"/>
  <c r="D1204" i="5"/>
  <c r="K1194" i="5"/>
  <c r="J1194" i="5"/>
  <c r="K1177" i="5"/>
  <c r="K1178" i="5"/>
  <c r="K1179" i="5"/>
  <c r="K1180" i="5"/>
  <c r="J1178" i="5"/>
  <c r="J1179" i="5"/>
  <c r="J1180" i="5"/>
  <c r="J1177" i="5"/>
  <c r="D1165" i="5"/>
  <c r="D1162" i="5"/>
  <c r="K1156" i="5"/>
  <c r="K1157" i="5"/>
  <c r="K1158" i="5"/>
  <c r="K1155" i="5"/>
  <c r="J1158" i="5"/>
  <c r="J1156" i="5"/>
  <c r="J1157" i="5"/>
  <c r="J1155" i="5"/>
  <c r="D1149" i="5"/>
  <c r="D1147" i="5"/>
  <c r="J1144" i="5"/>
  <c r="J1145" i="5"/>
  <c r="I1145" i="5"/>
  <c r="I1144" i="5"/>
  <c r="I1137" i="5"/>
  <c r="J1137" i="5"/>
  <c r="J1136" i="5"/>
  <c r="I1136" i="5"/>
  <c r="J1122" i="5"/>
  <c r="J1123" i="5" s="1"/>
  <c r="H146" i="49" s="1"/>
  <c r="I1122" i="5"/>
  <c r="I1121" i="5"/>
  <c r="I1117" i="5"/>
  <c r="J1117" i="5"/>
  <c r="J1116" i="5"/>
  <c r="I1116" i="5"/>
  <c r="D1107" i="5"/>
  <c r="D1103" i="5"/>
  <c r="J1095" i="5"/>
  <c r="J1096" i="5"/>
  <c r="J1097" i="5"/>
  <c r="J1098" i="5"/>
  <c r="I1096" i="5"/>
  <c r="I1097" i="5"/>
  <c r="I1098" i="5"/>
  <c r="I1095" i="5"/>
  <c r="D1091" i="5"/>
  <c r="D1089" i="5"/>
  <c r="D1043" i="5"/>
  <c r="K1030" i="5"/>
  <c r="J1030" i="5"/>
  <c r="D1023" i="5"/>
  <c r="D1021" i="5"/>
  <c r="D1019" i="5"/>
  <c r="D1015" i="5"/>
  <c r="D1013" i="5"/>
  <c r="J1160" i="5" l="1"/>
  <c r="K1160" i="5"/>
  <c r="A396" i="5"/>
  <c r="A187" i="53"/>
  <c r="A184" i="53" s="1"/>
  <c r="K191" i="53"/>
  <c r="A287" i="53"/>
  <c r="K291" i="53"/>
  <c r="A1225" i="5"/>
  <c r="A1241" i="5"/>
  <c r="A1215" i="5"/>
  <c r="A1155" i="5"/>
  <c r="A1224" i="5"/>
  <c r="A1218" i="5"/>
  <c r="A1216" i="5"/>
  <c r="J1101" i="5"/>
  <c r="I1101" i="5"/>
  <c r="A1239" i="5"/>
  <c r="A1231" i="5"/>
  <c r="A1223" i="5"/>
  <c r="A1217" i="5"/>
  <c r="A1234" i="5"/>
  <c r="A1235" i="5" s="1"/>
  <c r="A1232" i="5"/>
  <c r="A1233" i="5"/>
  <c r="A107" i="31"/>
  <c r="A1240" i="5"/>
  <c r="A252" i="31"/>
  <c r="A1030" i="5"/>
  <c r="A1230" i="5"/>
  <c r="A1097" i="5"/>
  <c r="A1121" i="5"/>
  <c r="A1144" i="5"/>
  <c r="A1180" i="5"/>
  <c r="A1181" i="5" s="1"/>
  <c r="A1182" i="5" s="1"/>
  <c r="A1195" i="5"/>
  <c r="A1196" i="5" s="1"/>
  <c r="A1197" i="5" s="1"/>
  <c r="A1200" i="5"/>
  <c r="A1201" i="5" s="1"/>
  <c r="A1255" i="5"/>
  <c r="A1096" i="5"/>
  <c r="A1122" i="5"/>
  <c r="A1145" i="5"/>
  <c r="A1157" i="5"/>
  <c r="A1186" i="5"/>
  <c r="A1187" i="5" s="1"/>
  <c r="A1254" i="5"/>
  <c r="A1177" i="5"/>
  <c r="A1192" i="5"/>
  <c r="A1156" i="5"/>
  <c r="A1199" i="5"/>
  <c r="A1242" i="5"/>
  <c r="A1243" i="5" s="1"/>
  <c r="A1179" i="5"/>
  <c r="A1194" i="5"/>
  <c r="A1095" i="5"/>
  <c r="A1116" i="5"/>
  <c r="A1136" i="5"/>
  <c r="A1178" i="5"/>
  <c r="A1190" i="5"/>
  <c r="A1191" i="5" s="1"/>
  <c r="A1193" i="5"/>
  <c r="A1252" i="5"/>
  <c r="A1098" i="5"/>
  <c r="A1117" i="5"/>
  <c r="A1137" i="5"/>
  <c r="A1158" i="5"/>
  <c r="A1185" i="5"/>
  <c r="A1189" i="5"/>
  <c r="A1222" i="5"/>
  <c r="A1238" i="5"/>
  <c r="A1256" i="5"/>
  <c r="I1123" i="5"/>
  <c r="G146" i="49" s="1"/>
  <c r="H135" i="8" l="1"/>
  <c r="J183" i="53"/>
  <c r="J279" i="53"/>
  <c r="A291" i="53"/>
  <c r="A292" i="53" s="1"/>
  <c r="H144" i="8"/>
  <c r="A1212" i="5"/>
  <c r="A1213" i="5" s="1"/>
  <c r="A1220" i="5"/>
  <c r="A1221" i="5" s="1"/>
  <c r="A1228" i="5"/>
  <c r="A1229" i="5" s="1"/>
  <c r="A1198" i="5"/>
  <c r="A1183" i="5"/>
  <c r="A1184" i="5" s="1"/>
  <c r="A1188" i="5"/>
  <c r="A1236" i="5"/>
  <c r="A1237" i="5" s="1"/>
  <c r="A1123" i="5"/>
  <c r="A1111" i="5"/>
  <c r="A1250" i="5"/>
  <c r="A1251" i="5" s="1"/>
  <c r="A1151" i="5"/>
  <c r="A1160" i="5"/>
  <c r="A1153" i="5"/>
  <c r="A1154" i="5"/>
  <c r="A1258" i="5"/>
  <c r="A1259" i="5" s="1"/>
  <c r="K369" i="5"/>
  <c r="J369" i="5"/>
  <c r="I369" i="5"/>
  <c r="G369" i="5"/>
  <c r="F369" i="5"/>
  <c r="K368" i="5"/>
  <c r="J368" i="5"/>
  <c r="I368" i="5"/>
  <c r="G368" i="5"/>
  <c r="F368" i="5"/>
  <c r="K352" i="5"/>
  <c r="K353" i="5"/>
  <c r="K354" i="5"/>
  <c r="K355" i="5"/>
  <c r="K356" i="5"/>
  <c r="K357" i="5"/>
  <c r="J353" i="5"/>
  <c r="J354" i="5"/>
  <c r="J355" i="5"/>
  <c r="J356" i="5"/>
  <c r="J357" i="5"/>
  <c r="G313" i="5"/>
  <c r="G306" i="5"/>
  <c r="J312" i="5"/>
  <c r="I312" i="5"/>
  <c r="G312" i="5"/>
  <c r="J311" i="5"/>
  <c r="I311" i="5"/>
  <c r="G311" i="5"/>
  <c r="J310" i="5"/>
  <c r="I310" i="5"/>
  <c r="G310" i="5"/>
  <c r="J305" i="5"/>
  <c r="I305" i="5"/>
  <c r="G305" i="5"/>
  <c r="J304" i="5"/>
  <c r="I304" i="5"/>
  <c r="G304" i="5"/>
  <c r="J303" i="5"/>
  <c r="I303" i="5"/>
  <c r="G303" i="5"/>
  <c r="D305" i="5"/>
  <c r="D312" i="5" s="1"/>
  <c r="D304" i="5"/>
  <c r="D311" i="5" s="1"/>
  <c r="J352" i="5"/>
  <c r="A279" i="53" l="1"/>
  <c r="J291" i="53"/>
  <c r="A183" i="53"/>
  <c r="J191" i="53"/>
  <c r="A1175" i="5"/>
  <c r="A352" i="5"/>
  <c r="A1210" i="5"/>
  <c r="A1211" i="5" s="1"/>
  <c r="A355" i="5"/>
  <c r="A354" i="5"/>
  <c r="A357" i="5"/>
  <c r="A353" i="5"/>
  <c r="A356" i="5"/>
  <c r="J358" i="5"/>
  <c r="K311" i="5"/>
  <c r="A311" i="5" s="1"/>
  <c r="K358" i="5"/>
  <c r="K304" i="5"/>
  <c r="J306" i="5"/>
  <c r="K303" i="5"/>
  <c r="K312" i="5"/>
  <c r="A312" i="5" s="1"/>
  <c r="I313" i="5"/>
  <c r="I306" i="5"/>
  <c r="J313" i="5"/>
  <c r="K305" i="5"/>
  <c r="K310" i="5"/>
  <c r="A310" i="5" s="1"/>
  <c r="D186" i="5"/>
  <c r="D180" i="5"/>
  <c r="G135" i="8" l="1"/>
  <c r="A181" i="53"/>
  <c r="A191" i="53"/>
  <c r="A192" i="53" s="1"/>
  <c r="A277" i="53"/>
  <c r="G144" i="8"/>
  <c r="A358" i="5"/>
  <c r="A359" i="5" s="1"/>
  <c r="A350" i="5"/>
  <c r="A351" i="5" s="1"/>
  <c r="K306" i="5"/>
  <c r="A301" i="5" s="1"/>
  <c r="A302" i="5" s="1"/>
  <c r="K313" i="5"/>
  <c r="A308" i="5" s="1"/>
  <c r="A309" i="5" s="1"/>
  <c r="E374" i="18"/>
  <c r="E372" i="18"/>
  <c r="A313" i="5" l="1"/>
  <c r="A314" i="5" s="1"/>
  <c r="A306" i="5"/>
  <c r="A307" i="5" s="1"/>
  <c r="A265" i="53"/>
  <c r="A266" i="53" s="1"/>
  <c r="A278" i="53"/>
  <c r="A175" i="53"/>
  <c r="A182" i="53"/>
  <c r="AI282" i="29" l="1"/>
  <c r="AI287" i="29"/>
  <c r="AI288" i="29"/>
  <c r="AI289" i="29"/>
  <c r="AI290" i="29"/>
  <c r="AI291" i="29"/>
  <c r="AI292" i="29"/>
  <c r="AI293" i="29"/>
  <c r="AI294" i="29"/>
  <c r="AI295" i="29"/>
  <c r="AI296" i="29"/>
  <c r="AI297" i="29"/>
  <c r="AI298" i="29"/>
  <c r="AI299" i="29"/>
  <c r="AI300" i="29"/>
  <c r="AI301" i="29"/>
  <c r="AI302" i="29"/>
  <c r="AI373" i="29"/>
  <c r="AI372" i="29"/>
  <c r="AI371" i="29"/>
  <c r="AI370" i="29"/>
  <c r="AI369" i="29"/>
  <c r="AI368" i="29"/>
  <c r="AI367" i="29"/>
  <c r="AI366" i="29"/>
  <c r="AI365" i="29"/>
  <c r="AI341" i="29"/>
  <c r="AI340" i="29"/>
  <c r="AI339" i="29"/>
  <c r="AI338" i="29"/>
  <c r="AI337" i="29"/>
  <c r="AI336" i="29"/>
  <c r="AI335" i="29"/>
  <c r="AI334" i="29"/>
  <c r="AI333" i="29"/>
  <c r="AI332" i="29"/>
  <c r="AI331" i="29"/>
  <c r="AI330" i="29"/>
  <c r="AI329" i="29"/>
  <c r="AI328" i="29"/>
  <c r="AI327" i="29"/>
  <c r="AI326" i="29"/>
  <c r="AI325" i="29"/>
  <c r="AI309" i="29"/>
  <c r="AI308" i="29"/>
  <c r="AI307" i="29"/>
  <c r="AI306" i="29"/>
  <c r="D1319" i="5"/>
  <c r="D1317" i="5"/>
  <c r="D1315" i="5"/>
  <c r="D1313" i="5"/>
  <c r="D1311" i="5"/>
  <c r="K1304" i="5"/>
  <c r="K1305" i="5"/>
  <c r="K1303" i="5"/>
  <c r="J1304" i="5"/>
  <c r="J1305" i="5"/>
  <c r="J1303" i="5"/>
  <c r="D1298" i="5"/>
  <c r="D1299" i="5"/>
  <c r="K1284" i="5"/>
  <c r="K1285" i="5"/>
  <c r="K1283" i="5"/>
  <c r="J1284" i="5"/>
  <c r="J1285" i="5"/>
  <c r="J1283" i="5"/>
  <c r="D1279" i="5"/>
  <c r="D1276" i="5"/>
  <c r="L390" i="13" l="1"/>
  <c r="AI324" i="29"/>
  <c r="L389" i="13"/>
  <c r="K56" i="31" s="1"/>
  <c r="AI323" i="29"/>
  <c r="L401" i="13"/>
  <c r="AI304" i="29"/>
  <c r="L402" i="13"/>
  <c r="L399" i="13"/>
  <c r="L397" i="13"/>
  <c r="L398" i="13"/>
  <c r="L406" i="13"/>
  <c r="AI305" i="29"/>
  <c r="L363" i="13"/>
  <c r="K54" i="31" s="1"/>
  <c r="L395" i="13"/>
  <c r="L403" i="13"/>
  <c r="L396" i="13"/>
  <c r="L400" i="13"/>
  <c r="L404" i="13"/>
  <c r="A1283" i="5"/>
  <c r="A1284" i="5"/>
  <c r="A1303" i="5"/>
  <c r="A1305" i="5"/>
  <c r="A1287" i="5"/>
  <c r="A1285" i="5"/>
  <c r="A1304" i="5"/>
  <c r="J1287" i="5"/>
  <c r="K1287" i="5"/>
  <c r="J1307" i="5"/>
  <c r="K1307" i="5"/>
  <c r="D651" i="5"/>
  <c r="D635" i="5"/>
  <c r="D647" i="5"/>
  <c r="D643" i="5"/>
  <c r="D639" i="5"/>
  <c r="D609" i="5"/>
  <c r="D608" i="5"/>
  <c r="D607" i="5"/>
  <c r="D606" i="5"/>
  <c r="L405" i="13" l="1"/>
  <c r="H391" i="13"/>
  <c r="L362" i="13"/>
  <c r="H364" i="13"/>
  <c r="L391" i="13"/>
  <c r="L394" i="13"/>
  <c r="A1281" i="5"/>
  <c r="A1307" i="5"/>
  <c r="A1301" i="5"/>
  <c r="A1298" i="5" s="1"/>
  <c r="J535" i="5"/>
  <c r="I535" i="5"/>
  <c r="J521" i="5"/>
  <c r="J520" i="5"/>
  <c r="I521" i="5"/>
  <c r="I520" i="5"/>
  <c r="J503" i="5"/>
  <c r="J502" i="5"/>
  <c r="I503" i="5"/>
  <c r="I502" i="5"/>
  <c r="C334" i="13"/>
  <c r="C333" i="13"/>
  <c r="A1025" i="5"/>
  <c r="I419" i="5"/>
  <c r="I418" i="5"/>
  <c r="H419" i="5"/>
  <c r="H418" i="5"/>
  <c r="J291" i="5"/>
  <c r="J290" i="5"/>
  <c r="J289" i="5"/>
  <c r="I290" i="5"/>
  <c r="I291" i="5"/>
  <c r="I289" i="5"/>
  <c r="J285" i="5"/>
  <c r="J284" i="5"/>
  <c r="J283" i="5"/>
  <c r="I285" i="5"/>
  <c r="I284" i="5"/>
  <c r="I283" i="5"/>
  <c r="J274" i="5"/>
  <c r="I274" i="5"/>
  <c r="J268" i="5"/>
  <c r="I268" i="5"/>
  <c r="J272" i="5"/>
  <c r="I272" i="5"/>
  <c r="J267" i="5"/>
  <c r="I267" i="5"/>
  <c r="D292" i="5"/>
  <c r="H334" i="13" l="1"/>
  <c r="G334" i="13"/>
  <c r="F334" i="13"/>
  <c r="H333" i="13"/>
  <c r="G333" i="13"/>
  <c r="F333" i="13"/>
  <c r="L408" i="13"/>
  <c r="K53" i="31"/>
  <c r="K58" i="31" s="1"/>
  <c r="L364" i="13"/>
  <c r="I286" i="5"/>
  <c r="D425" i="5"/>
  <c r="D426" i="5"/>
  <c r="A535" i="5"/>
  <c r="A536" i="5" s="1"/>
  <c r="A502" i="5"/>
  <c r="A520" i="5"/>
  <c r="A503" i="5"/>
  <c r="A504" i="5" s="1"/>
  <c r="A521" i="5"/>
  <c r="A522" i="5" s="1"/>
  <c r="K291" i="5"/>
  <c r="A291" i="5" s="1"/>
  <c r="I505" i="5"/>
  <c r="J505" i="5"/>
  <c r="J523" i="5"/>
  <c r="K273" i="5"/>
  <c r="A273" i="5" s="1"/>
  <c r="H421" i="5"/>
  <c r="I523" i="5"/>
  <c r="I421" i="5"/>
  <c r="K268" i="5"/>
  <c r="A268" i="5" s="1"/>
  <c r="K284" i="5"/>
  <c r="A284" i="5" s="1"/>
  <c r="J418" i="5"/>
  <c r="A418" i="5" s="1"/>
  <c r="K283" i="5"/>
  <c r="A283" i="5" s="1"/>
  <c r="J292" i="5"/>
  <c r="K285" i="5"/>
  <c r="A285" i="5" s="1"/>
  <c r="J286" i="5"/>
  <c r="K269" i="5"/>
  <c r="A269" i="5" s="1"/>
  <c r="K272" i="5"/>
  <c r="A272" i="5" s="1"/>
  <c r="K289" i="5"/>
  <c r="A289" i="5" s="1"/>
  <c r="K290" i="5"/>
  <c r="A290" i="5" s="1"/>
  <c r="J270" i="5"/>
  <c r="I270" i="5"/>
  <c r="I292" i="5"/>
  <c r="J275" i="5"/>
  <c r="K274" i="5"/>
  <c r="A274" i="5" s="1"/>
  <c r="I275" i="5"/>
  <c r="K267" i="5"/>
  <c r="A267" i="5" s="1"/>
  <c r="H204" i="49" l="1"/>
  <c r="L333" i="13"/>
  <c r="H339" i="13"/>
  <c r="L339" i="13" s="1"/>
  <c r="I277" i="5"/>
  <c r="L334" i="13"/>
  <c r="A523" i="5"/>
  <c r="A524" i="5" s="1"/>
  <c r="A518" i="5"/>
  <c r="A519" i="5" s="1"/>
  <c r="A505" i="5"/>
  <c r="A506" i="5" s="1"/>
  <c r="A500" i="5"/>
  <c r="A501" i="5" s="1"/>
  <c r="I525" i="5"/>
  <c r="J525" i="5"/>
  <c r="J294" i="5"/>
  <c r="K270" i="5"/>
  <c r="A270" i="5" s="1"/>
  <c r="K286" i="5"/>
  <c r="A286" i="5" s="1"/>
  <c r="K292" i="5"/>
  <c r="A292" i="5" s="1"/>
  <c r="K275" i="5"/>
  <c r="A275" i="5" s="1"/>
  <c r="J277" i="5"/>
  <c r="I294" i="5"/>
  <c r="J63" i="5"/>
  <c r="K63" i="5"/>
  <c r="J64" i="5"/>
  <c r="K64" i="5"/>
  <c r="K62" i="5"/>
  <c r="J62" i="5"/>
  <c r="E63" i="5"/>
  <c r="E64" i="5"/>
  <c r="E62" i="5"/>
  <c r="A10" i="17"/>
  <c r="A11" i="17" s="1"/>
  <c r="A12" i="17" s="1"/>
  <c r="A13" i="17" s="1"/>
  <c r="A14" i="17" s="1"/>
  <c r="A15" i="17" s="1"/>
  <c r="J67" i="5" l="1"/>
  <c r="K67" i="5"/>
  <c r="A525" i="5"/>
  <c r="A526" i="5" s="1"/>
  <c r="A62" i="5"/>
  <c r="A63" i="5"/>
  <c r="A64" i="5"/>
  <c r="K277" i="5"/>
  <c r="A262" i="5" s="1"/>
  <c r="K294" i="5"/>
  <c r="D44" i="6"/>
  <c r="J337" i="7"/>
  <c r="I337" i="7"/>
  <c r="J336" i="7"/>
  <c r="I336" i="7"/>
  <c r="A295" i="5" l="1"/>
  <c r="A288" i="5"/>
  <c r="A296" i="5"/>
  <c r="A293" i="5"/>
  <c r="A294" i="5"/>
  <c r="J339" i="7"/>
  <c r="A301" i="7"/>
  <c r="A337" i="7"/>
  <c r="A338" i="7" s="1"/>
  <c r="A336" i="7"/>
  <c r="A302" i="7"/>
  <c r="A279" i="5"/>
  <c r="A276" i="5"/>
  <c r="A264" i="5"/>
  <c r="A278" i="5"/>
  <c r="A271" i="5"/>
  <c r="A263" i="5"/>
  <c r="A277" i="5"/>
  <c r="A266" i="5"/>
  <c r="A265" i="5"/>
  <c r="A287" i="5"/>
  <c r="A280" i="5"/>
  <c r="A282" i="5"/>
  <c r="A281" i="5"/>
  <c r="A67" i="5"/>
  <c r="A68" i="5" s="1"/>
  <c r="A66" i="5"/>
  <c r="A60" i="5"/>
  <c r="A61" i="5"/>
  <c r="A11" i="5"/>
  <c r="D58" i="6"/>
  <c r="I339" i="7"/>
  <c r="D295" i="7"/>
  <c r="D292" i="7"/>
  <c r="J286" i="7"/>
  <c r="I286" i="7"/>
  <c r="J285" i="7"/>
  <c r="I285" i="7"/>
  <c r="J284" i="7"/>
  <c r="I284" i="7"/>
  <c r="I277" i="7"/>
  <c r="G277" i="7"/>
  <c r="A277" i="7" s="1"/>
  <c r="I276" i="7"/>
  <c r="G276" i="7"/>
  <c r="A276" i="7" s="1"/>
  <c r="I275" i="7"/>
  <c r="G275" i="7"/>
  <c r="D258" i="7"/>
  <c r="I278" i="7" l="1"/>
  <c r="G278" i="7"/>
  <c r="A275" i="7"/>
  <c r="A286" i="7"/>
  <c r="A287" i="7" s="1"/>
  <c r="A284" i="7"/>
  <c r="A339" i="7"/>
  <c r="A340" i="7" s="1"/>
  <c r="A341" i="7" s="1"/>
  <c r="A332" i="7"/>
  <c r="A333" i="7" s="1"/>
  <c r="J288" i="7"/>
  <c r="I14" i="7" s="1"/>
  <c r="A285" i="7"/>
  <c r="I288" i="7"/>
  <c r="G14" i="7" s="1"/>
  <c r="D224" i="7"/>
  <c r="D222" i="7"/>
  <c r="D216" i="7"/>
  <c r="I213" i="7"/>
  <c r="G213" i="7"/>
  <c r="I212" i="7"/>
  <c r="G212" i="7"/>
  <c r="I211" i="7"/>
  <c r="G211" i="7"/>
  <c r="A211" i="7" s="1"/>
  <c r="D207" i="7"/>
  <c r="D205" i="7"/>
  <c r="D200" i="7"/>
  <c r="D198" i="7"/>
  <c r="D196" i="7"/>
  <c r="J178" i="7"/>
  <c r="J177" i="7"/>
  <c r="J176" i="7"/>
  <c r="I178" i="7"/>
  <c r="I177" i="7"/>
  <c r="I176" i="7"/>
  <c r="D170" i="7"/>
  <c r="D168" i="7"/>
  <c r="D166" i="7"/>
  <c r="D160" i="7"/>
  <c r="D150" i="7"/>
  <c r="J156" i="7"/>
  <c r="J155" i="7"/>
  <c r="J154" i="7"/>
  <c r="D145" i="7"/>
  <c r="D143" i="7"/>
  <c r="D141" i="7"/>
  <c r="I121" i="7"/>
  <c r="J111" i="7"/>
  <c r="J108" i="7"/>
  <c r="J109" i="7"/>
  <c r="H108" i="7"/>
  <c r="J196" i="31" s="1"/>
  <c r="J107" i="7"/>
  <c r="H107" i="7"/>
  <c r="J105" i="7"/>
  <c r="H105" i="7"/>
  <c r="K247" i="31"/>
  <c r="K187" i="31" s="1"/>
  <c r="J100" i="7"/>
  <c r="H100" i="7"/>
  <c r="J195" i="31" s="1"/>
  <c r="J97" i="7"/>
  <c r="H97" i="7"/>
  <c r="E434" i="18"/>
  <c r="E426" i="18"/>
  <c r="E422" i="18"/>
  <c r="E410" i="18"/>
  <c r="E406" i="18"/>
  <c r="E404" i="18"/>
  <c r="E402" i="18"/>
  <c r="E400" i="18"/>
  <c r="E392" i="18"/>
  <c r="E390" i="18"/>
  <c r="E388" i="18"/>
  <c r="A213" i="7" l="1"/>
  <c r="A278" i="7"/>
  <c r="A273" i="7" s="1"/>
  <c r="A274" i="7" s="1"/>
  <c r="A212" i="7"/>
  <c r="A176" i="7"/>
  <c r="I180" i="7"/>
  <c r="J180" i="7"/>
  <c r="P66" i="57"/>
  <c r="Q66" i="57" s="1"/>
  <c r="P21" i="57"/>
  <c r="R21" i="57" s="1"/>
  <c r="A14" i="7"/>
  <c r="A154" i="7"/>
  <c r="A111" i="7"/>
  <c r="A178" i="7"/>
  <c r="A156" i="7"/>
  <c r="A100" i="7"/>
  <c r="A105" i="7"/>
  <c r="A109" i="7"/>
  <c r="J108" i="31"/>
  <c r="A107" i="7"/>
  <c r="A297" i="7"/>
  <c r="A112" i="7"/>
  <c r="A288" i="7"/>
  <c r="A289" i="7" s="1"/>
  <c r="A279" i="7"/>
  <c r="A177" i="7"/>
  <c r="J158" i="7"/>
  <c r="A155" i="7"/>
  <c r="A108" i="7"/>
  <c r="J250" i="31"/>
  <c r="J190" i="31" s="1"/>
  <c r="A97" i="7"/>
  <c r="K250" i="31"/>
  <c r="K108" i="31"/>
  <c r="J264" i="31"/>
  <c r="J249" i="31"/>
  <c r="J189" i="31"/>
  <c r="K354" i="31"/>
  <c r="A187" i="31"/>
  <c r="K370" i="31"/>
  <c r="K196" i="31"/>
  <c r="K264" i="31"/>
  <c r="J370" i="31"/>
  <c r="K249" i="31"/>
  <c r="K189" i="31"/>
  <c r="I297" i="7"/>
  <c r="I214" i="7"/>
  <c r="G214" i="7"/>
  <c r="E368" i="18"/>
  <c r="E364" i="18"/>
  <c r="E360" i="18"/>
  <c r="E358" i="18"/>
  <c r="E354" i="18"/>
  <c r="E352" i="18"/>
  <c r="E348" i="18"/>
  <c r="E346" i="18"/>
  <c r="E344" i="18"/>
  <c r="E342" i="18"/>
  <c r="E340" i="18"/>
  <c r="E336" i="18"/>
  <c r="E330" i="18"/>
  <c r="E326" i="18"/>
  <c r="E322" i="18"/>
  <c r="E316" i="18"/>
  <c r="E314" i="18"/>
  <c r="E310" i="18"/>
  <c r="E308" i="18"/>
  <c r="E306" i="18"/>
  <c r="E302" i="18"/>
  <c r="E300" i="18"/>
  <c r="E298" i="18"/>
  <c r="E296" i="18"/>
  <c r="E294" i="18"/>
  <c r="E290" i="18"/>
  <c r="E288" i="18"/>
  <c r="E284" i="18"/>
  <c r="E280" i="18"/>
  <c r="A256" i="7" l="1"/>
  <c r="A257" i="7" s="1"/>
  <c r="A180" i="7"/>
  <c r="A172" i="7" s="1"/>
  <c r="A214" i="7"/>
  <c r="A203" i="7" s="1"/>
  <c r="R66" i="57"/>
  <c r="Q21" i="57"/>
  <c r="A299" i="7"/>
  <c r="A298" i="7"/>
  <c r="A189" i="31"/>
  <c r="A108" i="31"/>
  <c r="A179" i="7"/>
  <c r="A175" i="7"/>
  <c r="A250" i="31"/>
  <c r="K190" i="31"/>
  <c r="A190" i="31" s="1"/>
  <c r="A370" i="31"/>
  <c r="A371" i="31" s="1"/>
  <c r="A196" i="31"/>
  <c r="A197" i="31" s="1"/>
  <c r="A249" i="31"/>
  <c r="A354" i="31"/>
  <c r="A281" i="7"/>
  <c r="A247" i="31"/>
  <c r="A266" i="31"/>
  <c r="A267" i="31" s="1"/>
  <c r="A264" i="31"/>
  <c r="A265" i="31" s="1"/>
  <c r="A235" i="7"/>
  <c r="A280" i="7"/>
  <c r="E276" i="18"/>
  <c r="E272" i="18"/>
  <c r="E270" i="18"/>
  <c r="E268" i="18"/>
  <c r="E266" i="18"/>
  <c r="E264" i="18"/>
  <c r="E262" i="18"/>
  <c r="E260" i="18"/>
  <c r="E256" i="18"/>
  <c r="E254" i="18"/>
  <c r="E250" i="18"/>
  <c r="E248" i="18"/>
  <c r="E246" i="18"/>
  <c r="E244" i="18"/>
  <c r="E236" i="18"/>
  <c r="E234" i="18"/>
  <c r="E232" i="18"/>
  <c r="E230" i="18"/>
  <c r="E226" i="18"/>
  <c r="E224" i="18"/>
  <c r="E222" i="18"/>
  <c r="E218" i="18"/>
  <c r="E214" i="18"/>
  <c r="E212" i="18"/>
  <c r="E210" i="18"/>
  <c r="E202" i="18"/>
  <c r="E200" i="18"/>
  <c r="E194" i="18"/>
  <c r="E192" i="18"/>
  <c r="E190" i="18"/>
  <c r="E188" i="18"/>
  <c r="E184" i="18"/>
  <c r="E182" i="18"/>
  <c r="E180" i="18"/>
  <c r="E178" i="18"/>
  <c r="E174" i="18"/>
  <c r="E124" i="18"/>
  <c r="E122" i="18"/>
  <c r="E120" i="18"/>
  <c r="E118" i="18"/>
  <c r="E116" i="18"/>
  <c r="E112" i="18"/>
  <c r="E110" i="18"/>
  <c r="E108" i="18"/>
  <c r="E104" i="18"/>
  <c r="E88" i="18"/>
  <c r="E84" i="18"/>
  <c r="E82" i="18"/>
  <c r="E76" i="18"/>
  <c r="E70" i="18"/>
  <c r="E66" i="18"/>
  <c r="E64" i="18"/>
  <c r="E38" i="18"/>
  <c r="E28" i="18"/>
  <c r="E26" i="18"/>
  <c r="E24" i="18"/>
  <c r="E22" i="18"/>
  <c r="A219" i="7" l="1"/>
  <c r="A181" i="7"/>
  <c r="A164" i="7"/>
  <c r="A165" i="7" s="1"/>
  <c r="A204" i="7"/>
  <c r="A202" i="7"/>
  <c r="A283" i="7"/>
  <c r="A282" i="7"/>
  <c r="A146" i="49"/>
  <c r="A241" i="7"/>
  <c r="A209" i="7"/>
  <c r="A210" i="7" s="1"/>
  <c r="A215" i="7"/>
  <c r="AH194" i="29"/>
  <c r="AH245" i="29"/>
  <c r="G524" i="50"/>
  <c r="K524" i="50" s="1"/>
  <c r="AH421" i="29"/>
  <c r="AH422" i="29"/>
  <c r="AH423" i="29"/>
  <c r="AH424" i="29"/>
  <c r="AH425" i="29"/>
  <c r="AH426" i="29"/>
  <c r="AH428" i="29"/>
  <c r="AH429" i="29"/>
  <c r="AH430" i="29"/>
  <c r="AH431" i="29"/>
  <c r="AH433" i="29"/>
  <c r="AH434" i="29"/>
  <c r="AH435" i="29"/>
  <c r="AH436" i="29"/>
  <c r="J161" i="13"/>
  <c r="AG194" i="29"/>
  <c r="J242" i="13"/>
  <c r="AG245" i="29"/>
  <c r="J287" i="13"/>
  <c r="J356" i="13"/>
  <c r="J362" i="13"/>
  <c r="I53" i="31" s="1"/>
  <c r="AG329" i="29"/>
  <c r="AG399" i="29"/>
  <c r="A163" i="7" l="1"/>
  <c r="A162" i="7" s="1"/>
  <c r="AB7" i="1"/>
  <c r="O66" i="14"/>
  <c r="R66" i="14"/>
  <c r="R59" i="14"/>
  <c r="O59" i="14"/>
  <c r="AG7" i="29"/>
  <c r="J503" i="13"/>
  <c r="AG413" i="29"/>
  <c r="AG407" i="29"/>
  <c r="AG402" i="29"/>
  <c r="AG397" i="29"/>
  <c r="AG393" i="29"/>
  <c r="AG383" i="29"/>
  <c r="AG378" i="29"/>
  <c r="AG416" i="29"/>
  <c r="AG411" i="29"/>
  <c r="AG406" i="29"/>
  <c r="AG401" i="29"/>
  <c r="AG392" i="29"/>
  <c r="AG387" i="29"/>
  <c r="AG377" i="29"/>
  <c r="AG388" i="29"/>
  <c r="AG382" i="29"/>
  <c r="AG415" i="29"/>
  <c r="AG409" i="29"/>
  <c r="AG405" i="29"/>
  <c r="AG400" i="29"/>
  <c r="AG395" i="29"/>
  <c r="AG390" i="29"/>
  <c r="AG385" i="29"/>
  <c r="AG380" i="29"/>
  <c r="AG398" i="29"/>
  <c r="AG414" i="29"/>
  <c r="AG403" i="29"/>
  <c r="AG394" i="29"/>
  <c r="AG389" i="29"/>
  <c r="AG384" i="29"/>
  <c r="AG379" i="29"/>
  <c r="AH416" i="29"/>
  <c r="AH412" i="29"/>
  <c r="AH407" i="29"/>
  <c r="AH402" i="29"/>
  <c r="AH398" i="29"/>
  <c r="AH394" i="29"/>
  <c r="AH390" i="29"/>
  <c r="AH386" i="29"/>
  <c r="AH382" i="29"/>
  <c r="AH378" i="29"/>
  <c r="L455" i="13"/>
  <c r="L451" i="13"/>
  <c r="G524" i="13"/>
  <c r="K524" i="13" s="1"/>
  <c r="AH420" i="29"/>
  <c r="AH415" i="29"/>
  <c r="AH411" i="29"/>
  <c r="AH406" i="29"/>
  <c r="AH401" i="29"/>
  <c r="AH397" i="29"/>
  <c r="AH393" i="29"/>
  <c r="AH389" i="29"/>
  <c r="AH385" i="29"/>
  <c r="AH381" i="29"/>
  <c r="AH377" i="29"/>
  <c r="L454" i="13"/>
  <c r="L450" i="13"/>
  <c r="K554" i="13"/>
  <c r="K353" i="31" s="1"/>
  <c r="K357" i="31" s="1"/>
  <c r="H175" i="49" s="1"/>
  <c r="AH437" i="29"/>
  <c r="AH418" i="29"/>
  <c r="AH414" i="29"/>
  <c r="AH409" i="29"/>
  <c r="AH405" i="29"/>
  <c r="AH400" i="29"/>
  <c r="AH396" i="29"/>
  <c r="AH392" i="29"/>
  <c r="AH388" i="29"/>
  <c r="AH384" i="29"/>
  <c r="AH380" i="29"/>
  <c r="AH376" i="29"/>
  <c r="L453" i="13"/>
  <c r="L449" i="13"/>
  <c r="AH417" i="29"/>
  <c r="AH413" i="29"/>
  <c r="AH408" i="29"/>
  <c r="AH403" i="29"/>
  <c r="AH399" i="29"/>
  <c r="AH395" i="29"/>
  <c r="AH391" i="29"/>
  <c r="AH387" i="29"/>
  <c r="AH383" i="29"/>
  <c r="AH379" i="29"/>
  <c r="L456" i="13"/>
  <c r="L452" i="13"/>
  <c r="L448" i="13"/>
  <c r="G329" i="13"/>
  <c r="G288" i="13"/>
  <c r="K356" i="13"/>
  <c r="K242" i="13"/>
  <c r="K161" i="13"/>
  <c r="AH7" i="29"/>
  <c r="AG396" i="29"/>
  <c r="AG9" i="29"/>
  <c r="AG370" i="29"/>
  <c r="AG366" i="29"/>
  <c r="AG340" i="29"/>
  <c r="AG336" i="29"/>
  <c r="AG332" i="29"/>
  <c r="AG328" i="29"/>
  <c r="AG324" i="29"/>
  <c r="AG251" i="29"/>
  <c r="AG247" i="29"/>
  <c r="AG200" i="29"/>
  <c r="AG196" i="29"/>
  <c r="AH372" i="29"/>
  <c r="AH368" i="29"/>
  <c r="AH364" i="29"/>
  <c r="AH338" i="29"/>
  <c r="AH334" i="29"/>
  <c r="AH330" i="29"/>
  <c r="AH326" i="29"/>
  <c r="AH253" i="29"/>
  <c r="AH249" i="29"/>
  <c r="AH200" i="29"/>
  <c r="AG373" i="29"/>
  <c r="AG369" i="29"/>
  <c r="AG365" i="29"/>
  <c r="AG339" i="29"/>
  <c r="AG335" i="29"/>
  <c r="AG331" i="29"/>
  <c r="AG327" i="29"/>
  <c r="AG323" i="29"/>
  <c r="AG254" i="29"/>
  <c r="AG250" i="29"/>
  <c r="AG246" i="29"/>
  <c r="AG203" i="29"/>
  <c r="AG199" i="29"/>
  <c r="AG195" i="29"/>
  <c r="AH371" i="29"/>
  <c r="AH367" i="29"/>
  <c r="AH341" i="29"/>
  <c r="AH337" i="29"/>
  <c r="AH333" i="29"/>
  <c r="AH329" i="29"/>
  <c r="AH325" i="29"/>
  <c r="AH252" i="29"/>
  <c r="AH244" i="29"/>
  <c r="AH203" i="29"/>
  <c r="AH199" i="29"/>
  <c r="AG372" i="29"/>
  <c r="AG368" i="29"/>
  <c r="AG364" i="29"/>
  <c r="AG338" i="29"/>
  <c r="AG334" i="29"/>
  <c r="AG330" i="29"/>
  <c r="AG326" i="29"/>
  <c r="AG253" i="29"/>
  <c r="AG249" i="29"/>
  <c r="AG202" i="29"/>
  <c r="AG198" i="29"/>
  <c r="AH370" i="29"/>
  <c r="AH366" i="29"/>
  <c r="AH340" i="29"/>
  <c r="AH336" i="29"/>
  <c r="AH332" i="29"/>
  <c r="AH328" i="29"/>
  <c r="AH324" i="29"/>
  <c r="AH251" i="29"/>
  <c r="AH202" i="29"/>
  <c r="AH198" i="29"/>
  <c r="AG371" i="29"/>
  <c r="AG367" i="29"/>
  <c r="AG341" i="29"/>
  <c r="AG337" i="29"/>
  <c r="AG333" i="29"/>
  <c r="AG325" i="29"/>
  <c r="AG252" i="29"/>
  <c r="AG248" i="29"/>
  <c r="AG201" i="29"/>
  <c r="AG197" i="29"/>
  <c r="AH373" i="29"/>
  <c r="AH369" i="29"/>
  <c r="AH365" i="29"/>
  <c r="AH339" i="29"/>
  <c r="AH335" i="29"/>
  <c r="AH331" i="29"/>
  <c r="AH327" i="29"/>
  <c r="AH323" i="29"/>
  <c r="K278" i="13"/>
  <c r="J252" i="5" s="1"/>
  <c r="AH254" i="29"/>
  <c r="AH250" i="29"/>
  <c r="AH201" i="29"/>
  <c r="AH193" i="29"/>
  <c r="AH197" i="29"/>
  <c r="AH196" i="29"/>
  <c r="AH195" i="29"/>
  <c r="AH248" i="29"/>
  <c r="AH247" i="29"/>
  <c r="AH246" i="29"/>
  <c r="G339" i="13"/>
  <c r="F339" i="13"/>
  <c r="AG238" i="29"/>
  <c r="AG235" i="29"/>
  <c r="K1292" i="5"/>
  <c r="AH306" i="29"/>
  <c r="AH309" i="29"/>
  <c r="AH307" i="29"/>
  <c r="AH308" i="29"/>
  <c r="AG306" i="29"/>
  <c r="AG309" i="29"/>
  <c r="AG307" i="29"/>
  <c r="AG308" i="29"/>
  <c r="G197" i="13" l="1"/>
  <c r="K197" i="13" s="1"/>
  <c r="K84" i="14"/>
  <c r="O120" i="1"/>
  <c r="F61" i="14"/>
  <c r="O61" i="14" s="1"/>
  <c r="Q59" i="14"/>
  <c r="K59" i="14"/>
  <c r="S59" i="14" s="1"/>
  <c r="F427" i="7" s="1"/>
  <c r="N59" i="14"/>
  <c r="G59" i="14"/>
  <c r="P59" i="14" s="1"/>
  <c r="E427" i="7" s="1"/>
  <c r="G84" i="14"/>
  <c r="J437" i="29"/>
  <c r="L437" i="29" s="1"/>
  <c r="F554" i="13" s="1"/>
  <c r="J353" i="31"/>
  <c r="AG412" i="29"/>
  <c r="AG418" i="29"/>
  <c r="G498" i="13"/>
  <c r="L447" i="13"/>
  <c r="L458" i="13" s="1"/>
  <c r="G279" i="13"/>
  <c r="G322" i="13" s="1"/>
  <c r="G101" i="13"/>
  <c r="K101" i="13" s="1"/>
  <c r="G173" i="13"/>
  <c r="K173" i="13" s="1"/>
  <c r="G254" i="13"/>
  <c r="K254" i="13" s="1"/>
  <c r="G149" i="13"/>
  <c r="K149" i="13" s="1"/>
  <c r="K230" i="13"/>
  <c r="G125" i="13"/>
  <c r="K125" i="13" s="1"/>
  <c r="G221" i="13"/>
  <c r="K221" i="13" s="1"/>
  <c r="K29" i="13"/>
  <c r="G53" i="13"/>
  <c r="K53" i="13" s="1"/>
  <c r="G77" i="13"/>
  <c r="K77" i="13" s="1"/>
  <c r="K414" i="13"/>
  <c r="I630" i="5" s="1"/>
  <c r="K415" i="13"/>
  <c r="J415" i="13"/>
  <c r="J414" i="13"/>
  <c r="K539" i="13"/>
  <c r="O437" i="29" l="1"/>
  <c r="F554" i="50" s="1"/>
  <c r="AD437" i="29"/>
  <c r="I614" i="5"/>
  <c r="J630" i="5"/>
  <c r="J614" i="5"/>
  <c r="A427" i="7"/>
  <c r="A59" i="14"/>
  <c r="K481" i="13"/>
  <c r="K184" i="31"/>
  <c r="N60" i="58" s="1"/>
  <c r="A415" i="13"/>
  <c r="A414" i="13"/>
  <c r="J60" i="58" l="1"/>
  <c r="D86" i="49"/>
  <c r="J554" i="50"/>
  <c r="A554" i="50"/>
  <c r="H144" i="49"/>
  <c r="D418" i="29"/>
  <c r="D416" i="29"/>
  <c r="D415" i="29"/>
  <c r="D414" i="29"/>
  <c r="D413" i="29"/>
  <c r="D412" i="29"/>
  <c r="D411" i="29"/>
  <c r="D409" i="29"/>
  <c r="D407" i="29"/>
  <c r="D406" i="29"/>
  <c r="D405" i="29"/>
  <c r="D403" i="29"/>
  <c r="D402" i="29"/>
  <c r="D401" i="29"/>
  <c r="D400" i="29"/>
  <c r="D399" i="29"/>
  <c r="D398" i="29"/>
  <c r="D397" i="29"/>
  <c r="D396" i="29"/>
  <c r="G395" i="29"/>
  <c r="D395" i="29"/>
  <c r="G394" i="29"/>
  <c r="D394" i="29"/>
  <c r="G393" i="29"/>
  <c r="D393" i="29"/>
  <c r="G392" i="29"/>
  <c r="D392" i="29"/>
  <c r="G390" i="29"/>
  <c r="D390" i="29"/>
  <c r="G389" i="29"/>
  <c r="D389" i="29"/>
  <c r="G388" i="29"/>
  <c r="D388" i="29"/>
  <c r="G387" i="29"/>
  <c r="D387" i="29"/>
  <c r="G385" i="29"/>
  <c r="D385" i="29"/>
  <c r="G384" i="29"/>
  <c r="D384" i="29"/>
  <c r="G383" i="29"/>
  <c r="D383" i="29"/>
  <c r="G382" i="29"/>
  <c r="D382" i="29"/>
  <c r="D380" i="29"/>
  <c r="D379" i="29"/>
  <c r="D378" i="29"/>
  <c r="D377" i="29"/>
  <c r="D373" i="29"/>
  <c r="D372" i="29"/>
  <c r="D371" i="29"/>
  <c r="D370" i="29"/>
  <c r="D369" i="29"/>
  <c r="D368" i="29"/>
  <c r="D367" i="29"/>
  <c r="D366" i="29"/>
  <c r="D365" i="29"/>
  <c r="D364" i="29"/>
  <c r="D341" i="29"/>
  <c r="D340" i="29"/>
  <c r="D339" i="29"/>
  <c r="D338" i="29"/>
  <c r="D337" i="29"/>
  <c r="D336" i="29"/>
  <c r="D335" i="29"/>
  <c r="D334" i="29"/>
  <c r="D333" i="29"/>
  <c r="D332" i="29"/>
  <c r="D331" i="29"/>
  <c r="D330" i="29"/>
  <c r="D329" i="29"/>
  <c r="D328" i="29"/>
  <c r="D327" i="29"/>
  <c r="D326" i="29"/>
  <c r="D325" i="29"/>
  <c r="D324" i="29"/>
  <c r="D323" i="29"/>
  <c r="D309" i="29"/>
  <c r="D308" i="29"/>
  <c r="D307" i="29"/>
  <c r="D306" i="29"/>
  <c r="AH305" i="29"/>
  <c r="AG305" i="29"/>
  <c r="D305" i="29"/>
  <c r="AH304" i="29"/>
  <c r="AG304" i="29"/>
  <c r="D304" i="29"/>
  <c r="AH302" i="29"/>
  <c r="AG302" i="29"/>
  <c r="D302" i="29"/>
  <c r="AH301" i="29"/>
  <c r="AG301" i="29"/>
  <c r="D301" i="29"/>
  <c r="AH300" i="29"/>
  <c r="AG300" i="29"/>
  <c r="D300" i="29"/>
  <c r="AH299" i="29"/>
  <c r="AG299" i="29"/>
  <c r="D299" i="29"/>
  <c r="AH298" i="29"/>
  <c r="AG298" i="29"/>
  <c r="D298" i="29"/>
  <c r="AH297" i="29"/>
  <c r="AG297" i="29"/>
  <c r="D297" i="29"/>
  <c r="AH296" i="29"/>
  <c r="AG296" i="29"/>
  <c r="D296" i="29"/>
  <c r="AH295" i="29"/>
  <c r="AG295" i="29"/>
  <c r="D295" i="29"/>
  <c r="AH294" i="29"/>
  <c r="AG294" i="29"/>
  <c r="D294" i="29"/>
  <c r="AH293" i="29"/>
  <c r="AG293" i="29"/>
  <c r="D293" i="29"/>
  <c r="AH292" i="29"/>
  <c r="AG292" i="29"/>
  <c r="D292" i="29"/>
  <c r="AH291" i="29"/>
  <c r="AG291" i="29"/>
  <c r="D291" i="29"/>
  <c r="AH290" i="29"/>
  <c r="AG290" i="29"/>
  <c r="D290" i="29"/>
  <c r="AH289" i="29"/>
  <c r="AG289" i="29"/>
  <c r="D289" i="29"/>
  <c r="AH288" i="29"/>
  <c r="AG288" i="29"/>
  <c r="D288" i="29"/>
  <c r="AH287" i="29"/>
  <c r="AG287" i="29"/>
  <c r="D287" i="29"/>
  <c r="AH282" i="29"/>
  <c r="AG282" i="29"/>
  <c r="D282" i="29"/>
  <c r="AH281" i="29"/>
  <c r="AG281" i="29"/>
  <c r="D281" i="29"/>
  <c r="AH277" i="29"/>
  <c r="AG277" i="29"/>
  <c r="D277" i="29"/>
  <c r="AH276" i="29"/>
  <c r="AG276" i="29"/>
  <c r="D276" i="29"/>
  <c r="AH275" i="29"/>
  <c r="AG275" i="29"/>
  <c r="D275" i="29"/>
  <c r="AH274" i="29"/>
  <c r="AG274" i="29"/>
  <c r="D274" i="29"/>
  <c r="AH273" i="29"/>
  <c r="AG273" i="29"/>
  <c r="D273" i="29"/>
  <c r="AH272" i="29"/>
  <c r="AG272" i="29"/>
  <c r="D272" i="29"/>
  <c r="AH271" i="29"/>
  <c r="AG271" i="29"/>
  <c r="D271" i="29"/>
  <c r="AH270" i="29"/>
  <c r="AG270" i="29"/>
  <c r="D270" i="29"/>
  <c r="AH269" i="29"/>
  <c r="AG269" i="29"/>
  <c r="D269" i="29"/>
  <c r="AH268" i="29"/>
  <c r="AG268" i="29"/>
  <c r="D268" i="29"/>
  <c r="AH267" i="29"/>
  <c r="AG267" i="29"/>
  <c r="D267" i="29"/>
  <c r="AH266" i="29"/>
  <c r="AG266" i="29"/>
  <c r="D266" i="29"/>
  <c r="AH265" i="29"/>
  <c r="AG265" i="29"/>
  <c r="D265" i="29"/>
  <c r="AH264" i="29"/>
  <c r="AG264" i="29"/>
  <c r="D264" i="29"/>
  <c r="AH263" i="29"/>
  <c r="AG263" i="29"/>
  <c r="D263" i="29"/>
  <c r="AH258" i="29"/>
  <c r="AG258" i="29"/>
  <c r="D258" i="29"/>
  <c r="AH257" i="29"/>
  <c r="AG257" i="29"/>
  <c r="D257" i="29"/>
  <c r="AH256" i="29"/>
  <c r="AG256" i="29"/>
  <c r="D256" i="29"/>
  <c r="AH255" i="29"/>
  <c r="AG255" i="29"/>
  <c r="D255" i="29"/>
  <c r="D254" i="29"/>
  <c r="D253" i="29"/>
  <c r="D252" i="29"/>
  <c r="D251" i="29"/>
  <c r="D250" i="29"/>
  <c r="D249" i="29"/>
  <c r="D248" i="29"/>
  <c r="D247" i="29"/>
  <c r="D246" i="29"/>
  <c r="D245" i="29"/>
  <c r="AH243" i="29"/>
  <c r="AG243" i="29"/>
  <c r="D243" i="29"/>
  <c r="AH242" i="29"/>
  <c r="AG242" i="29"/>
  <c r="D242" i="29"/>
  <c r="AH241" i="29"/>
  <c r="AG241" i="29"/>
  <c r="D241" i="29"/>
  <c r="AH240" i="29"/>
  <c r="AG240" i="29"/>
  <c r="D240" i="29"/>
  <c r="AH239" i="29"/>
  <c r="AG239" i="29"/>
  <c r="D239" i="29"/>
  <c r="AH238" i="29"/>
  <c r="D238" i="29"/>
  <c r="AH237" i="29"/>
  <c r="AG237" i="29"/>
  <c r="D237" i="29"/>
  <c r="AH236" i="29"/>
  <c r="AG236" i="29"/>
  <c r="D236" i="29"/>
  <c r="AH235" i="29"/>
  <c r="D235" i="29"/>
  <c r="AH234" i="29"/>
  <c r="AG234" i="29"/>
  <c r="D234" i="29"/>
  <c r="AH233" i="29"/>
  <c r="AH232" i="29"/>
  <c r="AG232" i="29"/>
  <c r="D232" i="29"/>
  <c r="AH231" i="29"/>
  <c r="AG231" i="29"/>
  <c r="D231" i="29"/>
  <c r="AH230" i="29"/>
  <c r="AG230" i="29"/>
  <c r="D230" i="29"/>
  <c r="AH229" i="29"/>
  <c r="AG229" i="29"/>
  <c r="D229" i="29"/>
  <c r="AH228" i="29"/>
  <c r="AG228" i="29"/>
  <c r="D228" i="29"/>
  <c r="AH227" i="29"/>
  <c r="AG227" i="29"/>
  <c r="D227" i="29"/>
  <c r="AH226" i="29"/>
  <c r="AG226" i="29"/>
  <c r="D226" i="29"/>
  <c r="AH225" i="29"/>
  <c r="AG225" i="29"/>
  <c r="D225" i="29"/>
  <c r="AG224" i="29"/>
  <c r="D224" i="29"/>
  <c r="AH223" i="29"/>
  <c r="AG223" i="29"/>
  <c r="D223" i="29"/>
  <c r="AH222" i="29"/>
  <c r="AH221" i="29"/>
  <c r="AG221" i="29"/>
  <c r="D221" i="29"/>
  <c r="AH220" i="29"/>
  <c r="AG220" i="29"/>
  <c r="D220" i="29"/>
  <c r="AH219" i="29"/>
  <c r="AG219" i="29"/>
  <c r="D219" i="29"/>
  <c r="AH218" i="29"/>
  <c r="AG218" i="29"/>
  <c r="D218" i="29"/>
  <c r="AH217" i="29"/>
  <c r="AG217" i="29"/>
  <c r="D217" i="29"/>
  <c r="AH216" i="29"/>
  <c r="AG216" i="29"/>
  <c r="D216" i="29"/>
  <c r="AH215" i="29"/>
  <c r="AG215" i="29"/>
  <c r="D215" i="29"/>
  <c r="AH214" i="29"/>
  <c r="AG214" i="29"/>
  <c r="D214" i="29"/>
  <c r="AG213" i="29"/>
  <c r="AH213" i="29"/>
  <c r="AH212" i="29"/>
  <c r="AG212" i="29"/>
  <c r="D212" i="29"/>
  <c r="AH211" i="29"/>
  <c r="AH210" i="29"/>
  <c r="AG210" i="29"/>
  <c r="D210" i="29"/>
  <c r="AH209" i="29"/>
  <c r="AG209" i="29"/>
  <c r="D209" i="29"/>
  <c r="AH208" i="29"/>
  <c r="AG208" i="29"/>
  <c r="D208" i="29"/>
  <c r="AH207" i="29"/>
  <c r="AG207" i="29"/>
  <c r="D207" i="29"/>
  <c r="AH206" i="29"/>
  <c r="AG206" i="29"/>
  <c r="D206" i="29"/>
  <c r="AG205" i="29"/>
  <c r="AH205" i="29"/>
  <c r="AH204" i="29"/>
  <c r="D203" i="29"/>
  <c r="D202" i="29"/>
  <c r="D201" i="29"/>
  <c r="D200" i="29"/>
  <c r="D199" i="29"/>
  <c r="D198" i="29"/>
  <c r="D197" i="29"/>
  <c r="D196" i="29"/>
  <c r="D195" i="29"/>
  <c r="D194" i="29"/>
  <c r="AH192" i="29"/>
  <c r="AG192" i="29"/>
  <c r="D192" i="29"/>
  <c r="AH191" i="29"/>
  <c r="AG191" i="29"/>
  <c r="D191" i="29"/>
  <c r="AH190" i="29"/>
  <c r="AG190" i="29"/>
  <c r="D190" i="29"/>
  <c r="AH189" i="29"/>
  <c r="AG189" i="29"/>
  <c r="D189" i="29"/>
  <c r="AH188" i="29"/>
  <c r="AG188" i="29"/>
  <c r="D188" i="29"/>
  <c r="AH187" i="29"/>
  <c r="AG187" i="29"/>
  <c r="D187" i="29"/>
  <c r="AH186" i="29"/>
  <c r="AG186" i="29"/>
  <c r="D186" i="29"/>
  <c r="AH185" i="29"/>
  <c r="AG185" i="29"/>
  <c r="D185" i="29"/>
  <c r="AG184" i="29"/>
  <c r="AH184" i="29"/>
  <c r="AH183" i="29"/>
  <c r="AG183" i="29"/>
  <c r="D183" i="29"/>
  <c r="AH182" i="29"/>
  <c r="AH181" i="29"/>
  <c r="AG181" i="29"/>
  <c r="D181" i="29"/>
  <c r="AH180" i="29"/>
  <c r="AG180" i="29"/>
  <c r="D180" i="29"/>
  <c r="AH179" i="29"/>
  <c r="AG179" i="29"/>
  <c r="D179" i="29"/>
  <c r="AH178" i="29"/>
  <c r="AG178" i="29"/>
  <c r="D178" i="29"/>
  <c r="AH177" i="29"/>
  <c r="AG177" i="29"/>
  <c r="D177" i="29"/>
  <c r="AH176" i="29"/>
  <c r="AG176" i="29"/>
  <c r="D176" i="29"/>
  <c r="AH175" i="29"/>
  <c r="AG175" i="29"/>
  <c r="D175" i="29"/>
  <c r="AH174" i="29"/>
  <c r="AG174" i="29"/>
  <c r="D174" i="29"/>
  <c r="AG173" i="29"/>
  <c r="D173" i="29"/>
  <c r="AH172" i="29"/>
  <c r="AG172" i="29"/>
  <c r="D172" i="29"/>
  <c r="AH171" i="29"/>
  <c r="AH170" i="29"/>
  <c r="AG170" i="29"/>
  <c r="D170" i="29"/>
  <c r="AH169" i="29"/>
  <c r="AG169" i="29"/>
  <c r="D169" i="29"/>
  <c r="AH168" i="29"/>
  <c r="AG168" i="29"/>
  <c r="D168" i="29"/>
  <c r="AH167" i="29"/>
  <c r="AG167" i="29"/>
  <c r="D167" i="29"/>
  <c r="AH166" i="29"/>
  <c r="AG166" i="29"/>
  <c r="D166" i="29"/>
  <c r="AH165" i="29"/>
  <c r="AG165" i="29"/>
  <c r="D165" i="29"/>
  <c r="AH164" i="29"/>
  <c r="AG164" i="29"/>
  <c r="D164" i="29"/>
  <c r="AH163" i="29"/>
  <c r="AG163" i="29"/>
  <c r="D163" i="29"/>
  <c r="AG162" i="29"/>
  <c r="AH162" i="29"/>
  <c r="D162" i="29"/>
  <c r="AH161" i="29"/>
  <c r="AG161" i="29"/>
  <c r="AH160" i="29"/>
  <c r="D160" i="29"/>
  <c r="AH159" i="29"/>
  <c r="AG159" i="29"/>
  <c r="D159" i="29"/>
  <c r="AH158" i="29"/>
  <c r="AG158" i="29"/>
  <c r="D158" i="29"/>
  <c r="AH157" i="29"/>
  <c r="AG157" i="29"/>
  <c r="D157" i="29"/>
  <c r="AH156" i="29"/>
  <c r="AG156" i="29"/>
  <c r="D156" i="29"/>
  <c r="AH155" i="29"/>
  <c r="AG155" i="29"/>
  <c r="D155" i="29"/>
  <c r="AH154" i="29"/>
  <c r="AG154" i="29"/>
  <c r="D154" i="29"/>
  <c r="AH153" i="29"/>
  <c r="AG153" i="29"/>
  <c r="D153" i="29"/>
  <c r="AH152" i="29"/>
  <c r="AG152" i="29"/>
  <c r="D152" i="29"/>
  <c r="AG151" i="29"/>
  <c r="D151" i="29"/>
  <c r="AH150" i="29"/>
  <c r="AG150" i="29"/>
  <c r="D150" i="29"/>
  <c r="AH149" i="29"/>
  <c r="AH148" i="29"/>
  <c r="AG148" i="29"/>
  <c r="D148" i="29"/>
  <c r="AH147" i="29"/>
  <c r="AG147" i="29"/>
  <c r="D147" i="29"/>
  <c r="AH146" i="29"/>
  <c r="AG146" i="29"/>
  <c r="D146" i="29"/>
  <c r="AH145" i="29"/>
  <c r="AG145" i="29"/>
  <c r="D145" i="29"/>
  <c r="AH144" i="29"/>
  <c r="AG144" i="29"/>
  <c r="D144" i="29"/>
  <c r="AH143" i="29"/>
  <c r="AG143" i="29"/>
  <c r="D143" i="29"/>
  <c r="AH142" i="29"/>
  <c r="AG142" i="29"/>
  <c r="D142" i="29"/>
  <c r="AH141" i="29"/>
  <c r="AG141" i="29"/>
  <c r="D141" i="29"/>
  <c r="AG140" i="29"/>
  <c r="AH140" i="29"/>
  <c r="AH139" i="29"/>
  <c r="AG139" i="29"/>
  <c r="D139" i="29"/>
  <c r="AH138" i="29"/>
  <c r="AH137" i="29"/>
  <c r="AG137" i="29"/>
  <c r="D137" i="29"/>
  <c r="AH136" i="29"/>
  <c r="AG136" i="29"/>
  <c r="D136" i="29"/>
  <c r="AH135" i="29"/>
  <c r="AG135" i="29"/>
  <c r="D135" i="29"/>
  <c r="AH134" i="29"/>
  <c r="AG134" i="29"/>
  <c r="D134" i="29"/>
  <c r="AH133" i="29"/>
  <c r="AG133" i="29"/>
  <c r="D133" i="29"/>
  <c r="AH132" i="29"/>
  <c r="AG132" i="29"/>
  <c r="D132" i="29"/>
  <c r="AH131" i="29"/>
  <c r="AG131" i="29"/>
  <c r="D131" i="29"/>
  <c r="AH130" i="29"/>
  <c r="AG130" i="29"/>
  <c r="D130" i="29"/>
  <c r="AG129" i="29"/>
  <c r="D129" i="29"/>
  <c r="AH128" i="29"/>
  <c r="AG128" i="29"/>
  <c r="D128" i="29"/>
  <c r="AH127" i="29"/>
  <c r="AH126" i="29"/>
  <c r="AG126" i="29"/>
  <c r="D126" i="29"/>
  <c r="AH125" i="29"/>
  <c r="AG125" i="29"/>
  <c r="D125" i="29"/>
  <c r="AH124" i="29"/>
  <c r="AG124" i="29"/>
  <c r="D124" i="29"/>
  <c r="AH123" i="29"/>
  <c r="AG123" i="29"/>
  <c r="D123" i="29"/>
  <c r="AH122" i="29"/>
  <c r="AG122" i="29"/>
  <c r="D122" i="29"/>
  <c r="AH121" i="29"/>
  <c r="AG121" i="29"/>
  <c r="D121" i="29"/>
  <c r="AH120" i="29"/>
  <c r="AG120" i="29"/>
  <c r="D120" i="29"/>
  <c r="AH119" i="29"/>
  <c r="AG119" i="29"/>
  <c r="D119" i="29"/>
  <c r="AG118" i="29"/>
  <c r="D118" i="29"/>
  <c r="AH117" i="29"/>
  <c r="AG117" i="29"/>
  <c r="D117" i="29"/>
  <c r="AH116" i="29"/>
  <c r="AH115" i="29"/>
  <c r="AG115" i="29"/>
  <c r="D115" i="29"/>
  <c r="AH114" i="29"/>
  <c r="AG114" i="29"/>
  <c r="D114" i="29"/>
  <c r="AH113" i="29"/>
  <c r="AG113" i="29"/>
  <c r="D113" i="29"/>
  <c r="AH112" i="29"/>
  <c r="AG112" i="29"/>
  <c r="D112" i="29"/>
  <c r="AH111" i="29"/>
  <c r="AG111" i="29"/>
  <c r="D111" i="29"/>
  <c r="AH110" i="29"/>
  <c r="AG110" i="29"/>
  <c r="D110" i="29"/>
  <c r="AH109" i="29"/>
  <c r="AG109" i="29"/>
  <c r="D109" i="29"/>
  <c r="AH108" i="29"/>
  <c r="AG108" i="29"/>
  <c r="D108" i="29"/>
  <c r="AG107" i="29"/>
  <c r="D107" i="29"/>
  <c r="AH106" i="29"/>
  <c r="AG106" i="29"/>
  <c r="D106" i="29"/>
  <c r="AH105" i="29"/>
  <c r="AH104" i="29"/>
  <c r="AG104" i="29"/>
  <c r="D104" i="29"/>
  <c r="AH103" i="29"/>
  <c r="AG103" i="29"/>
  <c r="D103" i="29"/>
  <c r="AH102" i="29"/>
  <c r="AG102" i="29"/>
  <c r="D102" i="29"/>
  <c r="AH101" i="29"/>
  <c r="AG101" i="29"/>
  <c r="D101" i="29"/>
  <c r="AH100" i="29"/>
  <c r="AG100" i="29"/>
  <c r="D100" i="29"/>
  <c r="AH99" i="29"/>
  <c r="AG99" i="29"/>
  <c r="D99" i="29"/>
  <c r="AH98" i="29"/>
  <c r="AG98" i="29"/>
  <c r="D98" i="29"/>
  <c r="AH97" i="29"/>
  <c r="AG97" i="29"/>
  <c r="D97" i="29"/>
  <c r="AG96" i="29"/>
  <c r="AH96" i="29"/>
  <c r="AH95" i="29"/>
  <c r="AG95" i="29"/>
  <c r="D95" i="29"/>
  <c r="AH94" i="29"/>
  <c r="AH93" i="29"/>
  <c r="AG93" i="29"/>
  <c r="D93" i="29"/>
  <c r="AH92" i="29"/>
  <c r="AG92" i="29"/>
  <c r="D92" i="29"/>
  <c r="AH91" i="29"/>
  <c r="AG91" i="29"/>
  <c r="D91" i="29"/>
  <c r="AH90" i="29"/>
  <c r="AG90" i="29"/>
  <c r="D90" i="29"/>
  <c r="AH89" i="29"/>
  <c r="AG89" i="29"/>
  <c r="D89" i="29"/>
  <c r="AH88" i="29"/>
  <c r="AG88" i="29"/>
  <c r="D88" i="29"/>
  <c r="AH87" i="29"/>
  <c r="AG87" i="29"/>
  <c r="D87" i="29"/>
  <c r="AH86" i="29"/>
  <c r="AG86" i="29"/>
  <c r="D86" i="29"/>
  <c r="AG85" i="29"/>
  <c r="D85" i="29"/>
  <c r="AH84" i="29"/>
  <c r="AG84" i="29"/>
  <c r="D84" i="29"/>
  <c r="AH83" i="29"/>
  <c r="AH82" i="29"/>
  <c r="AG82" i="29"/>
  <c r="D82" i="29"/>
  <c r="AH81" i="29"/>
  <c r="AG81" i="29"/>
  <c r="D81" i="29"/>
  <c r="AH80" i="29"/>
  <c r="AG80" i="29"/>
  <c r="D80" i="29"/>
  <c r="AH79" i="29"/>
  <c r="AG79" i="29"/>
  <c r="D79" i="29"/>
  <c r="AH78" i="29"/>
  <c r="AG78" i="29"/>
  <c r="D78" i="29"/>
  <c r="AH77" i="29"/>
  <c r="AG77" i="29"/>
  <c r="D77" i="29"/>
  <c r="AH76" i="29"/>
  <c r="AG76" i="29"/>
  <c r="D76" i="29"/>
  <c r="AH75" i="29"/>
  <c r="AG75" i="29"/>
  <c r="D75" i="29"/>
  <c r="AG74" i="29"/>
  <c r="AH74" i="29"/>
  <c r="AH73" i="29"/>
  <c r="AG73" i="29"/>
  <c r="D73" i="29"/>
  <c r="AH72" i="29"/>
  <c r="AH71" i="29"/>
  <c r="AG71" i="29"/>
  <c r="D71" i="29"/>
  <c r="AH70" i="29"/>
  <c r="AG70" i="29"/>
  <c r="D70" i="29"/>
  <c r="AH69" i="29"/>
  <c r="AG69" i="29"/>
  <c r="D69" i="29"/>
  <c r="AH68" i="29"/>
  <c r="AG68" i="29"/>
  <c r="D68" i="29"/>
  <c r="D67" i="29"/>
  <c r="AH66" i="29"/>
  <c r="AG66" i="29"/>
  <c r="D66" i="29"/>
  <c r="D65" i="29"/>
  <c r="AH64" i="29"/>
  <c r="AG64" i="29"/>
  <c r="D64" i="29"/>
  <c r="AG63" i="29"/>
  <c r="D63" i="29"/>
  <c r="D62" i="29"/>
  <c r="AH61" i="29"/>
  <c r="AH60" i="29"/>
  <c r="AG60" i="29"/>
  <c r="D60" i="29"/>
  <c r="AH59" i="29"/>
  <c r="AG59" i="29"/>
  <c r="D59" i="29"/>
  <c r="AH58" i="29"/>
  <c r="AG58" i="29"/>
  <c r="D58" i="29"/>
  <c r="AH57" i="29"/>
  <c r="AG57" i="29"/>
  <c r="D57" i="29"/>
  <c r="AH56" i="29"/>
  <c r="AG56" i="29"/>
  <c r="D56" i="29"/>
  <c r="D55" i="29"/>
  <c r="AH54" i="29"/>
  <c r="AG54" i="29"/>
  <c r="D54" i="29"/>
  <c r="D53" i="29"/>
  <c r="AG52" i="29"/>
  <c r="D52" i="29"/>
  <c r="AG51" i="29"/>
  <c r="D51" i="29"/>
  <c r="AH50" i="29"/>
  <c r="AH49" i="29"/>
  <c r="AG49" i="29"/>
  <c r="D49" i="29"/>
  <c r="AH48" i="29"/>
  <c r="AG48" i="29"/>
  <c r="D48" i="29"/>
  <c r="AH47" i="29"/>
  <c r="AG47" i="29"/>
  <c r="D47" i="29"/>
  <c r="AH46" i="29"/>
  <c r="AG46" i="29"/>
  <c r="D46" i="29"/>
  <c r="AH45" i="29"/>
  <c r="AG45" i="29"/>
  <c r="D45" i="29"/>
  <c r="AH44" i="29"/>
  <c r="AG44" i="29"/>
  <c r="D44" i="29"/>
  <c r="D43" i="29"/>
  <c r="AH42" i="29"/>
  <c r="AG42" i="29"/>
  <c r="D42" i="29"/>
  <c r="AG41" i="29"/>
  <c r="D41" i="29"/>
  <c r="AH40" i="29"/>
  <c r="AG40" i="29"/>
  <c r="D40" i="29"/>
  <c r="AH39" i="29"/>
  <c r="AH38" i="29"/>
  <c r="AG38" i="29"/>
  <c r="D38" i="29"/>
  <c r="AH37" i="29"/>
  <c r="AG37" i="29"/>
  <c r="D37" i="29"/>
  <c r="AH36" i="29"/>
  <c r="AG36" i="29"/>
  <c r="D36" i="29"/>
  <c r="AH35" i="29"/>
  <c r="AG35" i="29"/>
  <c r="D35" i="29"/>
  <c r="AH34" i="29"/>
  <c r="AG34" i="29"/>
  <c r="D34" i="29"/>
  <c r="AH33" i="29"/>
  <c r="AG33" i="29"/>
  <c r="D33" i="29"/>
  <c r="AH32" i="29"/>
  <c r="AG32" i="29"/>
  <c r="D32" i="29"/>
  <c r="AH31" i="29"/>
  <c r="AG31" i="29"/>
  <c r="D31" i="29"/>
  <c r="AG30" i="29"/>
  <c r="D30" i="29"/>
  <c r="AH29" i="29"/>
  <c r="AG29" i="29"/>
  <c r="D29" i="29"/>
  <c r="AH28" i="29"/>
  <c r="AH27" i="29"/>
  <c r="AG27" i="29"/>
  <c r="D27" i="29"/>
  <c r="AH26" i="29"/>
  <c r="AG26" i="29"/>
  <c r="D26" i="29"/>
  <c r="AH25" i="29"/>
  <c r="AG25" i="29"/>
  <c r="D25" i="29"/>
  <c r="AH24" i="29"/>
  <c r="AG24" i="29"/>
  <c r="D24" i="29"/>
  <c r="AH23" i="29"/>
  <c r="AG23" i="29"/>
  <c r="D23" i="29"/>
  <c r="AH22" i="29"/>
  <c r="AG22" i="29"/>
  <c r="D22" i="29"/>
  <c r="D21" i="29"/>
  <c r="AH20" i="29"/>
  <c r="AG20" i="29"/>
  <c r="D20" i="29"/>
  <c r="AG19" i="29"/>
  <c r="D19" i="29"/>
  <c r="AG18" i="29"/>
  <c r="D18" i="29"/>
  <c r="AH17" i="29"/>
  <c r="AH16" i="29"/>
  <c r="AG16" i="29"/>
  <c r="D16" i="29"/>
  <c r="AH15" i="29"/>
  <c r="AG15" i="29"/>
  <c r="D15" i="29"/>
  <c r="AH14" i="29"/>
  <c r="AG14" i="29"/>
  <c r="D14" i="29"/>
  <c r="AH13" i="29"/>
  <c r="AG13" i="29"/>
  <c r="D13" i="29"/>
  <c r="AH12" i="29"/>
  <c r="AG12" i="29"/>
  <c r="D12" i="29"/>
  <c r="D11" i="29"/>
  <c r="AH10" i="29"/>
  <c r="AG10" i="29"/>
  <c r="D10" i="29"/>
  <c r="D9" i="29"/>
  <c r="AG8" i="29"/>
  <c r="AH8" i="29"/>
  <c r="D7" i="29"/>
  <c r="D184" i="29" l="1"/>
  <c r="D8" i="29"/>
  <c r="D74" i="29"/>
  <c r="AH107" i="29"/>
  <c r="AH118" i="29"/>
  <c r="D96" i="29"/>
  <c r="AH30" i="29"/>
  <c r="AH19" i="29"/>
  <c r="D205" i="29"/>
  <c r="AH41" i="29"/>
  <c r="AH52" i="29"/>
  <c r="AH63" i="29"/>
  <c r="D140" i="29"/>
  <c r="AH151" i="29"/>
  <c r="D213" i="29"/>
  <c r="AH224" i="29"/>
  <c r="AH85" i="29"/>
  <c r="AH129" i="29"/>
  <c r="AH173" i="29"/>
  <c r="K53" i="6" l="1"/>
  <c r="K20" i="6"/>
  <c r="AG391" i="29" l="1"/>
  <c r="AG386" i="29"/>
  <c r="AG376" i="29" l="1"/>
  <c r="AG381" i="29"/>
  <c r="D391" i="29"/>
  <c r="D386" i="29"/>
  <c r="D376" i="29"/>
  <c r="D381" i="29"/>
  <c r="AG437" i="29" l="1"/>
  <c r="F481" i="13"/>
  <c r="D437" i="29"/>
  <c r="J481" i="13" l="1"/>
  <c r="AG410" i="29"/>
  <c r="D410" i="29"/>
  <c r="J357" i="31"/>
  <c r="G175" i="49" s="1"/>
  <c r="J554" i="13"/>
  <c r="A554" i="13"/>
  <c r="K268" i="13"/>
  <c r="J246" i="5" s="1"/>
  <c r="J269" i="13"/>
  <c r="J216" i="5" s="1"/>
  <c r="K269" i="13"/>
  <c r="J247" i="5" s="1"/>
  <c r="J270" i="13"/>
  <c r="O27" i="6" s="1"/>
  <c r="K270" i="13"/>
  <c r="O61" i="6" s="1"/>
  <c r="J271" i="13"/>
  <c r="O28" i="6" s="1"/>
  <c r="J272" i="13"/>
  <c r="O29" i="6" s="1"/>
  <c r="K272" i="13"/>
  <c r="O63" i="6" s="1"/>
  <c r="J273" i="13"/>
  <c r="J217" i="5" s="1"/>
  <c r="J274" i="13"/>
  <c r="O30" i="6" s="1"/>
  <c r="K274" i="13"/>
  <c r="O64" i="6" s="1"/>
  <c r="J275" i="13"/>
  <c r="J218" i="5" s="1"/>
  <c r="K276" i="13"/>
  <c r="J250" i="5" s="1"/>
  <c r="J277" i="13"/>
  <c r="J220" i="5" s="1"/>
  <c r="J278" i="13"/>
  <c r="J221" i="5" s="1"/>
  <c r="K210" i="13"/>
  <c r="N58" i="6" s="1"/>
  <c r="J211" i="13"/>
  <c r="N25" i="6" s="1"/>
  <c r="J212" i="13"/>
  <c r="N27" i="6" s="1"/>
  <c r="K212" i="13"/>
  <c r="N61" i="6" s="1"/>
  <c r="J213" i="13"/>
  <c r="N28" i="6" s="1"/>
  <c r="J214" i="13"/>
  <c r="N29" i="6" s="1"/>
  <c r="K214" i="13"/>
  <c r="N63" i="6" s="1"/>
  <c r="J215" i="13"/>
  <c r="N31" i="6" s="1"/>
  <c r="J216" i="13"/>
  <c r="N30" i="6" s="1"/>
  <c r="K216" i="13"/>
  <c r="N64" i="6" s="1"/>
  <c r="J217" i="13"/>
  <c r="N32" i="6" s="1"/>
  <c r="J218" i="13"/>
  <c r="N33" i="6" s="1"/>
  <c r="K218" i="13"/>
  <c r="N67" i="6" s="1"/>
  <c r="J219" i="13"/>
  <c r="N34" i="6" s="1"/>
  <c r="J220" i="13"/>
  <c r="N35" i="6" s="1"/>
  <c r="A340" i="13"/>
  <c r="A324" i="13"/>
  <c r="A290" i="13"/>
  <c r="AA107" i="1"/>
  <c r="AB107" i="1"/>
  <c r="A175" i="49" l="1"/>
  <c r="G144" i="49"/>
  <c r="A144" i="49" s="1"/>
  <c r="K247" i="5"/>
  <c r="K250" i="5"/>
  <c r="K252" i="5"/>
  <c r="K221" i="5"/>
  <c r="K220" i="5"/>
  <c r="K216" i="5"/>
  <c r="K217" i="5"/>
  <c r="K218" i="5"/>
  <c r="K246" i="5"/>
  <c r="A351" i="31"/>
  <c r="A357" i="31"/>
  <c r="A358" i="31" s="1"/>
  <c r="A277" i="13"/>
  <c r="A275" i="13"/>
  <c r="A273" i="13"/>
  <c r="A271" i="13"/>
  <c r="A212" i="13"/>
  <c r="A272" i="13"/>
  <c r="A218" i="13"/>
  <c r="A216" i="13"/>
  <c r="A214" i="13"/>
  <c r="A220" i="13"/>
  <c r="A219" i="13"/>
  <c r="A217" i="13"/>
  <c r="A215" i="13"/>
  <c r="A213" i="13"/>
  <c r="A211" i="13"/>
  <c r="K220" i="13"/>
  <c r="N69" i="6" s="1"/>
  <c r="K277" i="13"/>
  <c r="J251" i="5" s="1"/>
  <c r="A276" i="13"/>
  <c r="A274" i="13"/>
  <c r="J276" i="13"/>
  <c r="J219" i="5" s="1"/>
  <c r="K275" i="13"/>
  <c r="J249" i="5" s="1"/>
  <c r="K273" i="13"/>
  <c r="J248" i="5" s="1"/>
  <c r="K271" i="13"/>
  <c r="O62" i="6" s="1"/>
  <c r="A278" i="13"/>
  <c r="A270" i="13"/>
  <c r="K219" i="13"/>
  <c r="N68" i="6" s="1"/>
  <c r="K217" i="13"/>
  <c r="N66" i="6" s="1"/>
  <c r="K215" i="13"/>
  <c r="N65" i="6" s="1"/>
  <c r="K213" i="13"/>
  <c r="N62" i="6" s="1"/>
  <c r="K211" i="13"/>
  <c r="N59" i="6" s="1"/>
  <c r="N60" i="6" s="1"/>
  <c r="A269" i="13"/>
  <c r="AA110" i="1"/>
  <c r="AB110" i="1"/>
  <c r="AA111" i="1"/>
  <c r="AB111" i="1"/>
  <c r="AA112" i="1"/>
  <c r="AB112" i="1"/>
  <c r="AA113" i="1"/>
  <c r="AB113" i="1"/>
  <c r="AA114" i="1"/>
  <c r="AB114" i="1"/>
  <c r="AA115" i="1"/>
  <c r="AB115" i="1"/>
  <c r="AA116" i="1"/>
  <c r="AB116" i="1"/>
  <c r="A221" i="5" l="1"/>
  <c r="O35" i="6"/>
  <c r="A252" i="5"/>
  <c r="O69" i="6"/>
  <c r="A220" i="5"/>
  <c r="O34" i="6"/>
  <c r="A250" i="5"/>
  <c r="O67" i="6"/>
  <c r="A216" i="5"/>
  <c r="O25" i="6"/>
  <c r="A246" i="5"/>
  <c r="O58" i="6"/>
  <c r="A247" i="5"/>
  <c r="O59" i="6"/>
  <c r="A218" i="5"/>
  <c r="O32" i="6"/>
  <c r="A217" i="5"/>
  <c r="O31" i="6"/>
  <c r="K248" i="5"/>
  <c r="O65" i="6" s="1"/>
  <c r="K249" i="5"/>
  <c r="K251" i="5"/>
  <c r="K219" i="5"/>
  <c r="J253" i="5"/>
  <c r="A352" i="31"/>
  <c r="A345" i="31"/>
  <c r="A346" i="31" s="1"/>
  <c r="J479" i="13"/>
  <c r="K479" i="13"/>
  <c r="I625" i="5" s="1"/>
  <c r="J480" i="13"/>
  <c r="J609" i="5" s="1"/>
  <c r="J474" i="13"/>
  <c r="I608" i="5" s="1"/>
  <c r="K474" i="13"/>
  <c r="I624" i="5" s="1"/>
  <c r="J475" i="13"/>
  <c r="J608" i="5" s="1"/>
  <c r="J469" i="13"/>
  <c r="I607" i="5" s="1"/>
  <c r="K469" i="13"/>
  <c r="I623" i="5" s="1"/>
  <c r="J470" i="13"/>
  <c r="J607" i="5" s="1"/>
  <c r="K470" i="13"/>
  <c r="J623" i="5" s="1"/>
  <c r="K465" i="13"/>
  <c r="J465" i="13"/>
  <c r="J464" i="13"/>
  <c r="I606" i="5" s="1"/>
  <c r="K464" i="13"/>
  <c r="J419" i="5"/>
  <c r="K328" i="13"/>
  <c r="J514" i="5" s="1"/>
  <c r="K327" i="13"/>
  <c r="J513" i="5" s="1"/>
  <c r="K326" i="13"/>
  <c r="J512" i="5" s="1"/>
  <c r="K325" i="13"/>
  <c r="J511" i="5" s="1"/>
  <c r="K285" i="13"/>
  <c r="J494" i="5" s="1"/>
  <c r="K286" i="13"/>
  <c r="J495" i="5" s="1"/>
  <c r="K287" i="13"/>
  <c r="J496" i="5" s="1"/>
  <c r="K284" i="13"/>
  <c r="J493" i="5" s="1"/>
  <c r="Q113" i="14"/>
  <c r="R113" i="14"/>
  <c r="O60" i="6" l="1"/>
  <c r="A219" i="5"/>
  <c r="O33" i="6"/>
  <c r="A251" i="5"/>
  <c r="O68" i="6"/>
  <c r="A249" i="5"/>
  <c r="O66" i="6"/>
  <c r="I622" i="5"/>
  <c r="I627" i="5" s="1"/>
  <c r="I631" i="5"/>
  <c r="I615" i="5"/>
  <c r="I617" i="5" s="1"/>
  <c r="I609" i="5"/>
  <c r="I611" i="5" s="1"/>
  <c r="J615" i="5"/>
  <c r="J606" i="5"/>
  <c r="J611" i="5" s="1"/>
  <c r="J622" i="5"/>
  <c r="K253" i="5"/>
  <c r="A253" i="5" s="1"/>
  <c r="A254" i="5" s="1"/>
  <c r="A255" i="5" s="1"/>
  <c r="A248" i="5"/>
  <c r="A153" i="8"/>
  <c r="J421" i="5"/>
  <c r="A419" i="5"/>
  <c r="A475" i="13"/>
  <c r="J325" i="13"/>
  <c r="I511" i="5" s="1"/>
  <c r="A511" i="5" s="1"/>
  <c r="A325" i="13"/>
  <c r="I496" i="5"/>
  <c r="A496" i="5" s="1"/>
  <c r="A497" i="5" s="1"/>
  <c r="A287" i="13"/>
  <c r="J326" i="13"/>
  <c r="I512" i="5" s="1"/>
  <c r="A512" i="5" s="1"/>
  <c r="A326" i="13"/>
  <c r="J286" i="13"/>
  <c r="I495" i="5" s="1"/>
  <c r="A495" i="5" s="1"/>
  <c r="A286" i="13"/>
  <c r="J327" i="13"/>
  <c r="I513" i="5" s="1"/>
  <c r="A513" i="5" s="1"/>
  <c r="A327" i="13"/>
  <c r="J284" i="13"/>
  <c r="I493" i="5" s="1"/>
  <c r="A493" i="5" s="1"/>
  <c r="A284" i="13"/>
  <c r="J285" i="13"/>
  <c r="I494" i="5" s="1"/>
  <c r="A494" i="5" s="1"/>
  <c r="A285" i="13"/>
  <c r="J328" i="13"/>
  <c r="I514" i="5" s="1"/>
  <c r="A514" i="5" s="1"/>
  <c r="A515" i="5" s="1"/>
  <c r="A328" i="13"/>
  <c r="A480" i="13"/>
  <c r="A479" i="13"/>
  <c r="A474" i="13"/>
  <c r="K475" i="13"/>
  <c r="J624" i="5" s="1"/>
  <c r="A469" i="13"/>
  <c r="A470" i="13"/>
  <c r="K480" i="13"/>
  <c r="J625" i="5" s="1"/>
  <c r="A465" i="13"/>
  <c r="A464" i="13"/>
  <c r="J516" i="5"/>
  <c r="J498" i="5"/>
  <c r="F540" i="7"/>
  <c r="K329" i="13"/>
  <c r="K288" i="13"/>
  <c r="F288" i="13"/>
  <c r="K333" i="13"/>
  <c r="J425" i="5" s="1"/>
  <c r="K334" i="13"/>
  <c r="J426" i="5" s="1"/>
  <c r="J333" i="13"/>
  <c r="I425" i="5" s="1"/>
  <c r="J334" i="13"/>
  <c r="I426" i="5" s="1"/>
  <c r="H117" i="49" l="1"/>
  <c r="H125" i="49"/>
  <c r="J631" i="5"/>
  <c r="A426" i="5"/>
  <c r="A431" i="5" s="1"/>
  <c r="J329" i="13"/>
  <c r="A416" i="5"/>
  <c r="A417" i="5" s="1"/>
  <c r="A421" i="5"/>
  <c r="A422" i="5" s="1"/>
  <c r="I498" i="5"/>
  <c r="A490" i="5" s="1"/>
  <c r="I516" i="5"/>
  <c r="J288" i="13"/>
  <c r="K46" i="13"/>
  <c r="F63" i="6" s="1"/>
  <c r="K22" i="13"/>
  <c r="E63" i="6" s="1"/>
  <c r="K118" i="13"/>
  <c r="I63" i="6" s="1"/>
  <c r="K94" i="13"/>
  <c r="H63" i="6" s="1"/>
  <c r="K70" i="13"/>
  <c r="G63" i="6" s="1"/>
  <c r="K142" i="13"/>
  <c r="J63" i="6" s="1"/>
  <c r="K166" i="13"/>
  <c r="K63" i="6" s="1"/>
  <c r="K180" i="13"/>
  <c r="L48" i="6" s="1"/>
  <c r="K178" i="13"/>
  <c r="L46" i="6" s="1"/>
  <c r="K190" i="13"/>
  <c r="L63" i="6" s="1"/>
  <c r="K200" i="13"/>
  <c r="N43" i="6" s="1"/>
  <c r="K209" i="13"/>
  <c r="N53" i="6" s="1"/>
  <c r="K227" i="13"/>
  <c r="K247" i="13"/>
  <c r="K260" i="13"/>
  <c r="J235" i="5" s="1"/>
  <c r="K261" i="13"/>
  <c r="J236" i="5" s="1"/>
  <c r="K267" i="13"/>
  <c r="J242" i="5" s="1"/>
  <c r="K253" i="13"/>
  <c r="K252" i="13"/>
  <c r="K251" i="13"/>
  <c r="K250" i="13"/>
  <c r="K249" i="13"/>
  <c r="K248" i="13"/>
  <c r="K246" i="13"/>
  <c r="K245" i="13"/>
  <c r="K244" i="13"/>
  <c r="K243" i="13"/>
  <c r="K196" i="13"/>
  <c r="L69" i="6" s="1"/>
  <c r="K195" i="13"/>
  <c r="L68" i="6" s="1"/>
  <c r="K194" i="13"/>
  <c r="L67" i="6" s="1"/>
  <c r="K193" i="13"/>
  <c r="L66" i="6" s="1"/>
  <c r="K192" i="13"/>
  <c r="L64" i="6" s="1"/>
  <c r="K191" i="13"/>
  <c r="L65" i="6" s="1"/>
  <c r="K189" i="13"/>
  <c r="L62" i="6" s="1"/>
  <c r="K188" i="13"/>
  <c r="L61" i="6" s="1"/>
  <c r="K187" i="13"/>
  <c r="L59" i="6" s="1"/>
  <c r="K186" i="13"/>
  <c r="L58" i="6" s="1"/>
  <c r="K172" i="13"/>
  <c r="K69" i="6" s="1"/>
  <c r="K171" i="13"/>
  <c r="K68" i="6" s="1"/>
  <c r="K170" i="13"/>
  <c r="K67" i="6" s="1"/>
  <c r="K169" i="13"/>
  <c r="K66" i="6" s="1"/>
  <c r="K168" i="13"/>
  <c r="K64" i="6" s="1"/>
  <c r="K167" i="13"/>
  <c r="K65" i="6" s="1"/>
  <c r="K165" i="13"/>
  <c r="K62" i="6" s="1"/>
  <c r="K164" i="13"/>
  <c r="K61" i="6" s="1"/>
  <c r="K148" i="13"/>
  <c r="J69" i="6" s="1"/>
  <c r="K147" i="13"/>
  <c r="J68" i="6" s="1"/>
  <c r="K146" i="13"/>
  <c r="J67" i="6" s="1"/>
  <c r="K145" i="13"/>
  <c r="J66" i="6" s="1"/>
  <c r="K144" i="13"/>
  <c r="J64" i="6" s="1"/>
  <c r="K143" i="13"/>
  <c r="J65" i="6" s="1"/>
  <c r="K141" i="13"/>
  <c r="J62" i="6" s="1"/>
  <c r="K140" i="13"/>
  <c r="J61" i="6" s="1"/>
  <c r="K139" i="13"/>
  <c r="J59" i="6" s="1"/>
  <c r="K138" i="13"/>
  <c r="J58" i="6" s="1"/>
  <c r="K124" i="13"/>
  <c r="I69" i="6" s="1"/>
  <c r="K123" i="13"/>
  <c r="I68" i="6" s="1"/>
  <c r="K122" i="13"/>
  <c r="I67" i="6" s="1"/>
  <c r="K121" i="13"/>
  <c r="I66" i="6" s="1"/>
  <c r="K120" i="13"/>
  <c r="I64" i="6" s="1"/>
  <c r="K119" i="13"/>
  <c r="I65" i="6" s="1"/>
  <c r="K117" i="13"/>
  <c r="I62" i="6" s="1"/>
  <c r="K116" i="13"/>
  <c r="I61" i="6" s="1"/>
  <c r="K115" i="13"/>
  <c r="I59" i="6" s="1"/>
  <c r="K114" i="13"/>
  <c r="I58" i="6" s="1"/>
  <c r="K100" i="13"/>
  <c r="H69" i="6" s="1"/>
  <c r="K99" i="13"/>
  <c r="H68" i="6" s="1"/>
  <c r="K98" i="13"/>
  <c r="H67" i="6" s="1"/>
  <c r="K97" i="13"/>
  <c r="H66" i="6" s="1"/>
  <c r="K96" i="13"/>
  <c r="H64" i="6" s="1"/>
  <c r="K95" i="13"/>
  <c r="H65" i="6" s="1"/>
  <c r="K93" i="13"/>
  <c r="H62" i="6" s="1"/>
  <c r="K92" i="13"/>
  <c r="H61" i="6" s="1"/>
  <c r="K76" i="13"/>
  <c r="G69" i="6" s="1"/>
  <c r="K75" i="13"/>
  <c r="G68" i="6" s="1"/>
  <c r="K74" i="13"/>
  <c r="G67" i="6" s="1"/>
  <c r="K73" i="13"/>
  <c r="G66" i="6" s="1"/>
  <c r="K72" i="13"/>
  <c r="G64" i="6" s="1"/>
  <c r="K71" i="13"/>
  <c r="G65" i="6" s="1"/>
  <c r="K69" i="13"/>
  <c r="G62" i="6" s="1"/>
  <c r="K68" i="13"/>
  <c r="G61" i="6" s="1"/>
  <c r="K52" i="13"/>
  <c r="F69" i="6" s="1"/>
  <c r="K51" i="13"/>
  <c r="F68" i="6" s="1"/>
  <c r="K50" i="13"/>
  <c r="F67" i="6" s="1"/>
  <c r="K49" i="13"/>
  <c r="F66" i="6" s="1"/>
  <c r="K48" i="13"/>
  <c r="F64" i="6" s="1"/>
  <c r="K47" i="13"/>
  <c r="F65" i="6" s="1"/>
  <c r="K45" i="13"/>
  <c r="F62" i="6" s="1"/>
  <c r="K44" i="13"/>
  <c r="F61" i="6" s="1"/>
  <c r="K43" i="13"/>
  <c r="F59" i="6" s="1"/>
  <c r="K42" i="13"/>
  <c r="F58" i="6" s="1"/>
  <c r="K28" i="13"/>
  <c r="E69" i="6" s="1"/>
  <c r="K27" i="13"/>
  <c r="E68" i="6" s="1"/>
  <c r="K26" i="13"/>
  <c r="E67" i="6" s="1"/>
  <c r="K25" i="13"/>
  <c r="E66" i="6" s="1"/>
  <c r="K24" i="13"/>
  <c r="E64" i="6" s="1"/>
  <c r="K23" i="13"/>
  <c r="K21" i="13"/>
  <c r="E62" i="6" s="1"/>
  <c r="K20" i="13"/>
  <c r="K19" i="13"/>
  <c r="E59" i="6" s="1"/>
  <c r="K18" i="13"/>
  <c r="E58" i="6" s="1"/>
  <c r="K152" i="13"/>
  <c r="K43" i="6" s="1"/>
  <c r="K81" i="13"/>
  <c r="H45" i="6" s="1"/>
  <c r="K82" i="13"/>
  <c r="H46" i="6" s="1"/>
  <c r="K83" i="13"/>
  <c r="H47" i="6" s="1"/>
  <c r="K84" i="13"/>
  <c r="H48" i="6" s="1"/>
  <c r="K85" i="13"/>
  <c r="K86" i="13"/>
  <c r="H50" i="6" s="1"/>
  <c r="K87" i="13"/>
  <c r="H51" i="6" s="1"/>
  <c r="K88" i="13"/>
  <c r="H52" i="6" s="1"/>
  <c r="K89" i="13"/>
  <c r="H53" i="6" s="1"/>
  <c r="K90" i="13"/>
  <c r="H58" i="6" s="1"/>
  <c r="K91" i="13"/>
  <c r="H59" i="6" s="1"/>
  <c r="K80" i="13"/>
  <c r="H43" i="6" s="1"/>
  <c r="K258" i="13"/>
  <c r="J233" i="5" s="1"/>
  <c r="K237" i="13"/>
  <c r="K235" i="13"/>
  <c r="K233" i="13"/>
  <c r="K225" i="13"/>
  <c r="K204" i="13"/>
  <c r="N48" i="6" s="1"/>
  <c r="K202" i="13"/>
  <c r="N46" i="6" s="1"/>
  <c r="K185" i="13"/>
  <c r="L53" i="6" s="1"/>
  <c r="K176" i="13"/>
  <c r="L43" i="6" s="1"/>
  <c r="K162" i="13"/>
  <c r="K58" i="6" s="1"/>
  <c r="K163" i="13"/>
  <c r="K59" i="6" s="1"/>
  <c r="K156" i="13"/>
  <c r="K48" i="6" s="1"/>
  <c r="K154" i="13"/>
  <c r="K46" i="6" s="1"/>
  <c r="K137" i="13"/>
  <c r="J53" i="6" s="1"/>
  <c r="K132" i="13"/>
  <c r="J48" i="6" s="1"/>
  <c r="K130" i="13"/>
  <c r="J46" i="6" s="1"/>
  <c r="K128" i="13"/>
  <c r="J43" i="6" s="1"/>
  <c r="K113" i="13"/>
  <c r="I53" i="6" s="1"/>
  <c r="K108" i="13"/>
  <c r="I47" i="6" s="1"/>
  <c r="K109" i="13"/>
  <c r="K110" i="13"/>
  <c r="I49" i="6" s="1"/>
  <c r="K106" i="13"/>
  <c r="I46" i="6" s="1"/>
  <c r="K104" i="13"/>
  <c r="I43" i="6" s="1"/>
  <c r="K67" i="13"/>
  <c r="G59" i="6" s="1"/>
  <c r="K60" i="13"/>
  <c r="G48" i="6" s="1"/>
  <c r="K58" i="13"/>
  <c r="G46" i="6" s="1"/>
  <c r="K56" i="13"/>
  <c r="G43" i="6" s="1"/>
  <c r="K36" i="13"/>
  <c r="F48" i="6" s="1"/>
  <c r="K34" i="13"/>
  <c r="F46" i="6" s="1"/>
  <c r="K32" i="13"/>
  <c r="F43" i="6" s="1"/>
  <c r="K12" i="13"/>
  <c r="K10" i="13"/>
  <c r="E46" i="6" s="1"/>
  <c r="K8" i="13"/>
  <c r="E43" i="6" s="1"/>
  <c r="I93" i="7" l="1"/>
  <c r="S77" i="51"/>
  <c r="K89" i="5"/>
  <c r="K90" i="14"/>
  <c r="K87" i="5"/>
  <c r="K49" i="5"/>
  <c r="K55" i="5"/>
  <c r="K42" i="5"/>
  <c r="K47" i="5"/>
  <c r="K45" i="5"/>
  <c r="A96" i="8"/>
  <c r="G117" i="49"/>
  <c r="A117" i="49" s="1"/>
  <c r="A104" i="8"/>
  <c r="G125" i="49"/>
  <c r="J77" i="51"/>
  <c r="I77" i="51"/>
  <c r="K233" i="5"/>
  <c r="K235" i="5"/>
  <c r="K236" i="5"/>
  <c r="K242" i="5"/>
  <c r="A492" i="5"/>
  <c r="A491" i="5"/>
  <c r="M69" i="6"/>
  <c r="P69" i="6" s="1"/>
  <c r="M66" i="6"/>
  <c r="P66" i="6" s="1"/>
  <c r="M64" i="6"/>
  <c r="P64" i="6" s="1"/>
  <c r="M59" i="6"/>
  <c r="P59" i="6" s="1"/>
  <c r="M43" i="6"/>
  <c r="A516" i="5"/>
  <c r="A517" i="5" s="1"/>
  <c r="A509" i="5"/>
  <c r="A510" i="5" s="1"/>
  <c r="M68" i="6"/>
  <c r="P68" i="6" s="1"/>
  <c r="J60" i="6"/>
  <c r="E61" i="6"/>
  <c r="F60" i="6"/>
  <c r="K79" i="13"/>
  <c r="H42" i="6" s="1"/>
  <c r="H44" i="6" s="1"/>
  <c r="E48" i="6"/>
  <c r="M62" i="6"/>
  <c r="P62" i="6" s="1"/>
  <c r="M67" i="6"/>
  <c r="P67" i="6" s="1"/>
  <c r="K60" i="6"/>
  <c r="H60" i="6"/>
  <c r="E60" i="6"/>
  <c r="E65" i="6"/>
  <c r="I60" i="6"/>
  <c r="L60" i="6"/>
  <c r="M63" i="6"/>
  <c r="P63" i="6" s="1"/>
  <c r="H49" i="6"/>
  <c r="I48" i="6"/>
  <c r="A242" i="13"/>
  <c r="J260" i="13"/>
  <c r="J204" i="5" s="1"/>
  <c r="A260" i="13"/>
  <c r="J261" i="13"/>
  <c r="J205" i="5" s="1"/>
  <c r="A261" i="13"/>
  <c r="J267" i="13"/>
  <c r="J211" i="5" s="1"/>
  <c r="A267" i="13"/>
  <c r="J84" i="13"/>
  <c r="H15" i="6" s="1"/>
  <c r="A84" i="13"/>
  <c r="J28" i="13"/>
  <c r="E35" i="6" s="1"/>
  <c r="A28" i="13"/>
  <c r="J72" i="13"/>
  <c r="G30" i="6" s="1"/>
  <c r="A72" i="13"/>
  <c r="J98" i="13"/>
  <c r="H33" i="6" s="1"/>
  <c r="A98" i="13"/>
  <c r="J124" i="13"/>
  <c r="I35" i="6" s="1"/>
  <c r="A124" i="13"/>
  <c r="J171" i="13"/>
  <c r="K34" i="6" s="1"/>
  <c r="A171" i="13"/>
  <c r="J195" i="13"/>
  <c r="L34" i="6" s="1"/>
  <c r="A195" i="13"/>
  <c r="J20" i="13"/>
  <c r="A20" i="13"/>
  <c r="J200" i="13"/>
  <c r="A200" i="13"/>
  <c r="J22" i="13"/>
  <c r="E29" i="6" s="1"/>
  <c r="A22" i="13"/>
  <c r="J51" i="13"/>
  <c r="F34" i="6" s="1"/>
  <c r="A51" i="13"/>
  <c r="J95" i="13"/>
  <c r="H31" i="6" s="1"/>
  <c r="A95" i="13"/>
  <c r="J121" i="13"/>
  <c r="I32" i="6" s="1"/>
  <c r="A121" i="13"/>
  <c r="J168" i="13"/>
  <c r="K30" i="6" s="1"/>
  <c r="A168" i="13"/>
  <c r="J196" i="13"/>
  <c r="L35" i="6" s="1"/>
  <c r="A196" i="13"/>
  <c r="J88" i="13"/>
  <c r="H19" i="6" s="1"/>
  <c r="A88" i="13"/>
  <c r="J24" i="13"/>
  <c r="E30" i="6" s="1"/>
  <c r="A24" i="13"/>
  <c r="J45" i="13"/>
  <c r="F28" i="6" s="1"/>
  <c r="A45" i="13"/>
  <c r="J67" i="13"/>
  <c r="G25" i="6" s="1"/>
  <c r="A67" i="13"/>
  <c r="J93" i="13"/>
  <c r="H28" i="6" s="1"/>
  <c r="A93" i="13"/>
  <c r="J115" i="13"/>
  <c r="I25" i="6" s="1"/>
  <c r="A115" i="13"/>
  <c r="J144" i="13"/>
  <c r="J30" i="6" s="1"/>
  <c r="A144" i="13"/>
  <c r="J167" i="13"/>
  <c r="K31" i="6" s="1"/>
  <c r="A167" i="13"/>
  <c r="J245" i="13"/>
  <c r="A245" i="13"/>
  <c r="J166" i="13"/>
  <c r="K29" i="6" s="1"/>
  <c r="A166" i="13"/>
  <c r="J94" i="13"/>
  <c r="H29" i="6" s="1"/>
  <c r="A94" i="13"/>
  <c r="J87" i="13"/>
  <c r="H18" i="6" s="1"/>
  <c r="A87" i="13"/>
  <c r="J152" i="13"/>
  <c r="A152" i="13"/>
  <c r="J68" i="13"/>
  <c r="G27" i="6" s="1"/>
  <c r="A68" i="13"/>
  <c r="J99" i="13"/>
  <c r="H34" i="6" s="1"/>
  <c r="A99" i="13"/>
  <c r="J140" i="13"/>
  <c r="J27" i="6" s="1"/>
  <c r="A140" i="13"/>
  <c r="J192" i="13"/>
  <c r="L30" i="6" s="1"/>
  <c r="A192" i="13"/>
  <c r="J246" i="13"/>
  <c r="A246" i="13"/>
  <c r="J82" i="13"/>
  <c r="H13" i="6" s="1"/>
  <c r="A82" i="13"/>
  <c r="J86" i="13"/>
  <c r="H17" i="6" s="1"/>
  <c r="A86" i="13"/>
  <c r="J21" i="13"/>
  <c r="E28" i="6" s="1"/>
  <c r="A21" i="13"/>
  <c r="J26" i="13"/>
  <c r="E33" i="6" s="1"/>
  <c r="A26" i="13"/>
  <c r="J43" i="13"/>
  <c r="F25" i="6" s="1"/>
  <c r="A43" i="13"/>
  <c r="J48" i="13"/>
  <c r="F30" i="6" s="1"/>
  <c r="A48" i="13"/>
  <c r="J52" i="13"/>
  <c r="F35" i="6" s="1"/>
  <c r="A52" i="13"/>
  <c r="J69" i="13"/>
  <c r="G28" i="6" s="1"/>
  <c r="A69" i="13"/>
  <c r="J74" i="13"/>
  <c r="G33" i="6" s="1"/>
  <c r="A74" i="13"/>
  <c r="J91" i="13"/>
  <c r="H25" i="6" s="1"/>
  <c r="A91" i="13"/>
  <c r="J96" i="13"/>
  <c r="H30" i="6" s="1"/>
  <c r="A96" i="13"/>
  <c r="J100" i="13"/>
  <c r="H35" i="6" s="1"/>
  <c r="A100" i="13"/>
  <c r="J117" i="13"/>
  <c r="I28" i="6" s="1"/>
  <c r="A117" i="13"/>
  <c r="J122" i="13"/>
  <c r="I33" i="6" s="1"/>
  <c r="A122" i="13"/>
  <c r="J141" i="13"/>
  <c r="J28" i="6" s="1"/>
  <c r="A141" i="13"/>
  <c r="J146" i="13"/>
  <c r="J33" i="6" s="1"/>
  <c r="A146" i="13"/>
  <c r="J164" i="13"/>
  <c r="K27" i="6" s="1"/>
  <c r="A164" i="13"/>
  <c r="J169" i="13"/>
  <c r="K32" i="6" s="1"/>
  <c r="A169" i="13"/>
  <c r="J188" i="13"/>
  <c r="L27" i="6" s="1"/>
  <c r="A188" i="13"/>
  <c r="J193" i="13"/>
  <c r="L32" i="6" s="1"/>
  <c r="A193" i="13"/>
  <c r="J248" i="13"/>
  <c r="A248" i="13"/>
  <c r="J252" i="13"/>
  <c r="A252" i="13"/>
  <c r="J247" i="13"/>
  <c r="A247" i="13"/>
  <c r="J209" i="13"/>
  <c r="N20" i="6" s="1"/>
  <c r="A209" i="13"/>
  <c r="J190" i="13"/>
  <c r="L29" i="6" s="1"/>
  <c r="A190" i="13"/>
  <c r="J180" i="13"/>
  <c r="L15" i="6" s="1"/>
  <c r="A180" i="13"/>
  <c r="A161" i="13"/>
  <c r="J70" i="13"/>
  <c r="G29" i="6" s="1"/>
  <c r="A70" i="13"/>
  <c r="J118" i="13"/>
  <c r="I29" i="6" s="1"/>
  <c r="A118" i="13"/>
  <c r="J46" i="13"/>
  <c r="F29" i="6" s="1"/>
  <c r="A46" i="13"/>
  <c r="J50" i="13"/>
  <c r="F33" i="6" s="1"/>
  <c r="A50" i="13"/>
  <c r="J76" i="13"/>
  <c r="G35" i="6" s="1"/>
  <c r="A76" i="13"/>
  <c r="J120" i="13"/>
  <c r="I30" i="6" s="1"/>
  <c r="A120" i="13"/>
  <c r="J148" i="13"/>
  <c r="J35" i="6" s="1"/>
  <c r="A148" i="13"/>
  <c r="J191" i="13"/>
  <c r="L31" i="6" s="1"/>
  <c r="A191" i="13"/>
  <c r="J250" i="13"/>
  <c r="A250" i="13"/>
  <c r="J227" i="13"/>
  <c r="J89" i="5" s="1"/>
  <c r="A227" i="13"/>
  <c r="J178" i="13"/>
  <c r="L13" i="6" s="1"/>
  <c r="A178" i="13"/>
  <c r="J142" i="13"/>
  <c r="J29" i="6" s="1"/>
  <c r="A142" i="13"/>
  <c r="J81" i="13"/>
  <c r="H12" i="6" s="1"/>
  <c r="A81" i="13"/>
  <c r="J83" i="13"/>
  <c r="H14" i="6" s="1"/>
  <c r="A83" i="13"/>
  <c r="J25" i="13"/>
  <c r="E32" i="6" s="1"/>
  <c r="A25" i="13"/>
  <c r="J47" i="13"/>
  <c r="A47" i="13"/>
  <c r="J73" i="13"/>
  <c r="G32" i="6" s="1"/>
  <c r="A73" i="13"/>
  <c r="J116" i="13"/>
  <c r="I27" i="6" s="1"/>
  <c r="A116" i="13"/>
  <c r="J145" i="13"/>
  <c r="J32" i="6" s="1"/>
  <c r="A145" i="13"/>
  <c r="J172" i="13"/>
  <c r="K35" i="6" s="1"/>
  <c r="A172" i="13"/>
  <c r="J251" i="13"/>
  <c r="A251" i="13"/>
  <c r="J89" i="13"/>
  <c r="H20" i="6" s="1"/>
  <c r="A89" i="13"/>
  <c r="J85" i="13"/>
  <c r="H16" i="6" s="1"/>
  <c r="A85" i="13"/>
  <c r="J23" i="13"/>
  <c r="A23" i="13"/>
  <c r="J27" i="13"/>
  <c r="E34" i="6" s="1"/>
  <c r="A27" i="13"/>
  <c r="J44" i="13"/>
  <c r="F27" i="6" s="1"/>
  <c r="A44" i="13"/>
  <c r="J49" i="13"/>
  <c r="F32" i="6" s="1"/>
  <c r="A49" i="13"/>
  <c r="J71" i="13"/>
  <c r="G31" i="6" s="1"/>
  <c r="A71" i="13"/>
  <c r="J75" i="13"/>
  <c r="G34" i="6" s="1"/>
  <c r="A75" i="13"/>
  <c r="J92" i="13"/>
  <c r="H27" i="6" s="1"/>
  <c r="A92" i="13"/>
  <c r="J97" i="13"/>
  <c r="H32" i="6" s="1"/>
  <c r="A97" i="13"/>
  <c r="J119" i="13"/>
  <c r="I31" i="6" s="1"/>
  <c r="A119" i="13"/>
  <c r="J123" i="13"/>
  <c r="I34" i="6" s="1"/>
  <c r="A123" i="13"/>
  <c r="J143" i="13"/>
  <c r="J31" i="6" s="1"/>
  <c r="A143" i="13"/>
  <c r="J147" i="13"/>
  <c r="J34" i="6" s="1"/>
  <c r="A147" i="13"/>
  <c r="J165" i="13"/>
  <c r="K28" i="6" s="1"/>
  <c r="A165" i="13"/>
  <c r="J170" i="13"/>
  <c r="K33" i="6" s="1"/>
  <c r="A170" i="13"/>
  <c r="J189" i="13"/>
  <c r="L28" i="6" s="1"/>
  <c r="A189" i="13"/>
  <c r="J194" i="13"/>
  <c r="L33" i="6" s="1"/>
  <c r="A194" i="13"/>
  <c r="J244" i="13"/>
  <c r="A244" i="13"/>
  <c r="J249" i="13"/>
  <c r="A249" i="13"/>
  <c r="J253" i="13"/>
  <c r="A253" i="13"/>
  <c r="J19" i="13"/>
  <c r="E25" i="6" s="1"/>
  <c r="A19" i="13"/>
  <c r="A339" i="13"/>
  <c r="K339" i="13"/>
  <c r="J339" i="13"/>
  <c r="G126" i="49" s="1"/>
  <c r="A242" i="5" l="1"/>
  <c r="O53" i="6"/>
  <c r="A236" i="5"/>
  <c r="O47" i="6"/>
  <c r="A235" i="5"/>
  <c r="O46" i="6"/>
  <c r="A233" i="5"/>
  <c r="O43" i="6"/>
  <c r="P43" i="6" s="1"/>
  <c r="A43" i="6" s="1"/>
  <c r="A125" i="49"/>
  <c r="G93" i="7"/>
  <c r="A64" i="6"/>
  <c r="A66" i="6"/>
  <c r="A59" i="6"/>
  <c r="A63" i="6"/>
  <c r="A62" i="6"/>
  <c r="A67" i="6"/>
  <c r="A69" i="6"/>
  <c r="A68" i="6"/>
  <c r="J49" i="5"/>
  <c r="A49" i="5" s="1"/>
  <c r="J47" i="5"/>
  <c r="A47" i="5" s="1"/>
  <c r="J45" i="5"/>
  <c r="A45" i="5" s="1"/>
  <c r="F31" i="6"/>
  <c r="H126" i="49"/>
  <c r="A126" i="49" s="1"/>
  <c r="Q77" i="51"/>
  <c r="K140" i="14"/>
  <c r="S140" i="14" s="1"/>
  <c r="I66" i="49" s="1"/>
  <c r="S124" i="51"/>
  <c r="R77" i="51"/>
  <c r="J79" i="51"/>
  <c r="K211" i="5"/>
  <c r="K205" i="5"/>
  <c r="M65" i="6"/>
  <c r="P65" i="6" s="1"/>
  <c r="M61" i="6"/>
  <c r="P61" i="6" s="1"/>
  <c r="I96" i="7" s="1"/>
  <c r="M28" i="6"/>
  <c r="P28" i="6" s="1"/>
  <c r="M29" i="6"/>
  <c r="P29" i="6" s="1"/>
  <c r="M35" i="6"/>
  <c r="M34" i="6"/>
  <c r="P34" i="6" s="1"/>
  <c r="M32" i="6"/>
  <c r="P32" i="6" s="1"/>
  <c r="M33" i="6"/>
  <c r="P33" i="6" s="1"/>
  <c r="M30" i="6"/>
  <c r="P30" i="6" s="1"/>
  <c r="H55" i="6"/>
  <c r="E31" i="6"/>
  <c r="E27" i="6"/>
  <c r="N10" i="6"/>
  <c r="K10" i="6"/>
  <c r="J258" i="13"/>
  <c r="J202" i="5" s="1"/>
  <c r="A258" i="13"/>
  <c r="J16" i="13"/>
  <c r="E19" i="6" s="1"/>
  <c r="J8" i="13"/>
  <c r="E10" i="6" s="1"/>
  <c r="A8" i="13"/>
  <c r="J106" i="13"/>
  <c r="I13" i="6" s="1"/>
  <c r="A106" i="13"/>
  <c r="J237" i="13"/>
  <c r="A237" i="13"/>
  <c r="J185" i="13"/>
  <c r="L20" i="6" s="1"/>
  <c r="A185" i="13"/>
  <c r="J137" i="13"/>
  <c r="J20" i="6" s="1"/>
  <c r="A137" i="13"/>
  <c r="J15" i="13"/>
  <c r="J32" i="13"/>
  <c r="A32" i="13"/>
  <c r="J104" i="13"/>
  <c r="A104" i="13"/>
  <c r="J176" i="13"/>
  <c r="A176" i="13"/>
  <c r="J14" i="13"/>
  <c r="J10" i="13"/>
  <c r="E13" i="6" s="1"/>
  <c r="A10" i="13"/>
  <c r="J34" i="13"/>
  <c r="F13" i="6" s="1"/>
  <c r="A34" i="13"/>
  <c r="J60" i="13"/>
  <c r="G15" i="6" s="1"/>
  <c r="A60" i="13"/>
  <c r="J110" i="13"/>
  <c r="I16" i="6" s="1"/>
  <c r="A110" i="13"/>
  <c r="J233" i="13"/>
  <c r="A233" i="13"/>
  <c r="J187" i="13"/>
  <c r="L25" i="6" s="1"/>
  <c r="A187" i="13"/>
  <c r="J163" i="13"/>
  <c r="K25" i="6" s="1"/>
  <c r="A163" i="13"/>
  <c r="J139" i="13"/>
  <c r="J25" i="6" s="1"/>
  <c r="A139" i="13"/>
  <c r="J130" i="13"/>
  <c r="J13" i="6" s="1"/>
  <c r="A130" i="13"/>
  <c r="J12" i="13"/>
  <c r="A12" i="13"/>
  <c r="J56" i="13"/>
  <c r="A56" i="13"/>
  <c r="J108" i="13"/>
  <c r="I14" i="6" s="1"/>
  <c r="A108" i="13"/>
  <c r="J204" i="13"/>
  <c r="N15" i="6" s="1"/>
  <c r="A204" i="13"/>
  <c r="J156" i="13"/>
  <c r="K15" i="6" s="1"/>
  <c r="A156" i="13"/>
  <c r="J58" i="13"/>
  <c r="G13" i="6" s="1"/>
  <c r="A58" i="13"/>
  <c r="J113" i="13"/>
  <c r="I20" i="6" s="1"/>
  <c r="A113" i="13"/>
  <c r="J202" i="13"/>
  <c r="N13" i="6" s="1"/>
  <c r="A202" i="13"/>
  <c r="J154" i="13"/>
  <c r="K13" i="6" s="1"/>
  <c r="A154" i="13"/>
  <c r="J132" i="13"/>
  <c r="J15" i="6" s="1"/>
  <c r="A132" i="13"/>
  <c r="J17" i="13"/>
  <c r="E20" i="6" s="1"/>
  <c r="J13" i="13"/>
  <c r="E16" i="6" s="1"/>
  <c r="J9" i="13"/>
  <c r="E12" i="6" s="1"/>
  <c r="J36" i="13"/>
  <c r="F15" i="6" s="1"/>
  <c r="A36" i="13"/>
  <c r="J80" i="13"/>
  <c r="A80" i="13"/>
  <c r="J109" i="13"/>
  <c r="I15" i="6" s="1"/>
  <c r="A109" i="13"/>
  <c r="J235" i="13"/>
  <c r="A235" i="13"/>
  <c r="J225" i="13"/>
  <c r="A225" i="13"/>
  <c r="J128" i="13"/>
  <c r="A128" i="13"/>
  <c r="A205" i="5" l="1"/>
  <c r="O14" i="6"/>
  <c r="A211" i="5"/>
  <c r="O20" i="6"/>
  <c r="J87" i="5"/>
  <c r="G90" i="14"/>
  <c r="A34" i="6"/>
  <c r="A65" i="6"/>
  <c r="A61" i="6"/>
  <c r="A30" i="6"/>
  <c r="A29" i="6"/>
  <c r="A32" i="6"/>
  <c r="A33" i="6"/>
  <c r="A28" i="6"/>
  <c r="P35" i="6"/>
  <c r="A35" i="6" s="1"/>
  <c r="K15" i="31"/>
  <c r="A93" i="7"/>
  <c r="R79" i="51"/>
  <c r="H37" i="8" s="1"/>
  <c r="J120" i="51"/>
  <c r="R120" i="51" s="1"/>
  <c r="G140" i="14"/>
  <c r="P140" i="14" s="1"/>
  <c r="F66" i="49" s="1"/>
  <c r="P124" i="51"/>
  <c r="F77" i="51"/>
  <c r="E77" i="51"/>
  <c r="P77" i="51"/>
  <c r="AG72" i="29"/>
  <c r="D72" i="29"/>
  <c r="K204" i="5"/>
  <c r="A105" i="8"/>
  <c r="A18" i="31"/>
  <c r="M31" i="6"/>
  <c r="P31" i="6" s="1"/>
  <c r="M27" i="6"/>
  <c r="P27" i="6" s="1"/>
  <c r="M25" i="6"/>
  <c r="P25" i="6" s="1"/>
  <c r="E17" i="6"/>
  <c r="E15" i="6"/>
  <c r="E18" i="6"/>
  <c r="M13" i="6"/>
  <c r="H10" i="6"/>
  <c r="J10" i="6"/>
  <c r="I10" i="6"/>
  <c r="L10" i="6"/>
  <c r="F10" i="6"/>
  <c r="G10" i="6"/>
  <c r="Q126" i="14"/>
  <c r="R126" i="14"/>
  <c r="R127" i="14"/>
  <c r="Q128" i="14"/>
  <c r="R129" i="14"/>
  <c r="Q130" i="14"/>
  <c r="R130" i="14"/>
  <c r="Q131" i="14"/>
  <c r="R131" i="14"/>
  <c r="Q85" i="14"/>
  <c r="R85" i="14"/>
  <c r="A204" i="5" l="1"/>
  <c r="O13" i="6"/>
  <c r="G96" i="7"/>
  <c r="J15" i="31" s="1"/>
  <c r="A15" i="31" s="1"/>
  <c r="A67" i="49"/>
  <c r="A66" i="49"/>
  <c r="A31" i="6"/>
  <c r="A27" i="6"/>
  <c r="A25" i="6"/>
  <c r="I17" i="7"/>
  <c r="D11" i="35"/>
  <c r="D17" i="35" s="1"/>
  <c r="N77" i="51"/>
  <c r="A77" i="51"/>
  <c r="O77" i="51"/>
  <c r="F79" i="51"/>
  <c r="J79" i="13"/>
  <c r="H9" i="6" s="1"/>
  <c r="H11" i="6" s="1"/>
  <c r="H21" i="6" s="1"/>
  <c r="A79" i="13"/>
  <c r="K202" i="5"/>
  <c r="K129" i="14"/>
  <c r="S129" i="14" s="1"/>
  <c r="Q129" i="14"/>
  <c r="K127" i="14"/>
  <c r="S127" i="14" s="1"/>
  <c r="Q127" i="14"/>
  <c r="K128" i="14"/>
  <c r="S128" i="14" s="1"/>
  <c r="R128" i="14"/>
  <c r="K130" i="14"/>
  <c r="S130" i="14" s="1"/>
  <c r="K126" i="14"/>
  <c r="S126" i="14" s="1"/>
  <c r="K131" i="14"/>
  <c r="S131" i="14" s="1"/>
  <c r="F530" i="7" s="1"/>
  <c r="K85" i="14"/>
  <c r="S85" i="14" s="1"/>
  <c r="K76" i="5" s="1"/>
  <c r="A202" i="5" l="1"/>
  <c r="O10" i="6"/>
  <c r="G17" i="7"/>
  <c r="A17" i="7" s="1"/>
  <c r="G520" i="50"/>
  <c r="K520" i="50" s="1"/>
  <c r="K521" i="50" s="1"/>
  <c r="H127" i="8" s="1"/>
  <c r="K1272" i="5"/>
  <c r="G520" i="13"/>
  <c r="G521" i="13" s="1"/>
  <c r="G526" i="50"/>
  <c r="G527" i="50" s="1"/>
  <c r="K527" i="50" s="1"/>
  <c r="H128" i="8" s="1"/>
  <c r="K1294" i="5"/>
  <c r="K1296" i="5" s="1"/>
  <c r="J420" i="29" s="1"/>
  <c r="G526" i="13"/>
  <c r="D9" i="17"/>
  <c r="O79" i="51"/>
  <c r="E37" i="8" s="1"/>
  <c r="F120" i="51"/>
  <c r="O120" i="51" s="1"/>
  <c r="F520" i="7"/>
  <c r="F519" i="7"/>
  <c r="F521" i="7"/>
  <c r="F529" i="7"/>
  <c r="F532" i="7" s="1"/>
  <c r="K122" i="31" s="1"/>
  <c r="E91" i="49" s="1"/>
  <c r="E92" i="49" s="1"/>
  <c r="K186" i="31"/>
  <c r="F518" i="7"/>
  <c r="J393" i="5"/>
  <c r="F468" i="7"/>
  <c r="J104" i="7"/>
  <c r="G521" i="50" l="1"/>
  <c r="K526" i="50"/>
  <c r="G529" i="50"/>
  <c r="K529" i="50" s="1"/>
  <c r="K531" i="50" s="1"/>
  <c r="K1274" i="5"/>
  <c r="J488" i="46" s="1"/>
  <c r="J494" i="46" s="1"/>
  <c r="K28" i="31"/>
  <c r="L420" i="29"/>
  <c r="E16" i="35"/>
  <c r="F523" i="7"/>
  <c r="J550" i="7" s="1"/>
  <c r="K526" i="13"/>
  <c r="G527" i="13"/>
  <c r="K527" i="13" s="1"/>
  <c r="N126" i="14"/>
  <c r="O126" i="14"/>
  <c r="N127" i="14"/>
  <c r="O127" i="14"/>
  <c r="N128" i="14"/>
  <c r="O128" i="14"/>
  <c r="N129" i="14"/>
  <c r="O129" i="14"/>
  <c r="N130" i="14"/>
  <c r="O130" i="14"/>
  <c r="N131" i="14"/>
  <c r="O131" i="14"/>
  <c r="D110" i="1"/>
  <c r="D111" i="1"/>
  <c r="D112" i="1"/>
  <c r="D113" i="1"/>
  <c r="D114" i="1"/>
  <c r="D115" i="1"/>
  <c r="N113" i="14"/>
  <c r="O113" i="14"/>
  <c r="D107" i="1"/>
  <c r="O85" i="14"/>
  <c r="J419" i="29" l="1"/>
  <c r="L419" i="29" s="1"/>
  <c r="H168" i="8"/>
  <c r="J1270" i="5"/>
  <c r="K205" i="53"/>
  <c r="O420" i="29"/>
  <c r="F524" i="13" s="1"/>
  <c r="AD420" i="29"/>
  <c r="G531" i="50"/>
  <c r="H149" i="49"/>
  <c r="N85" i="14"/>
  <c r="G85" i="14"/>
  <c r="G130" i="14"/>
  <c r="P130" i="14" s="1"/>
  <c r="G126" i="14"/>
  <c r="P126" i="14" s="1"/>
  <c r="G129" i="14"/>
  <c r="P129" i="14" s="1"/>
  <c r="G131" i="14"/>
  <c r="G128" i="14"/>
  <c r="P128" i="14" s="1"/>
  <c r="E520" i="7" s="1"/>
  <c r="G127" i="14"/>
  <c r="P127" i="14" s="1"/>
  <c r="G113" i="14"/>
  <c r="P113" i="14" s="1"/>
  <c r="E540" i="7" s="1"/>
  <c r="F526" i="13" l="1"/>
  <c r="J1294" i="5"/>
  <c r="F520" i="50"/>
  <c r="A520" i="50" s="1"/>
  <c r="J1272" i="5"/>
  <c r="J28" i="31" s="1"/>
  <c r="F520" i="13"/>
  <c r="J200" i="53"/>
  <c r="H136" i="8"/>
  <c r="J524" i="13"/>
  <c r="A524" i="13"/>
  <c r="O419" i="29"/>
  <c r="F518" i="13" s="1"/>
  <c r="AD419" i="29"/>
  <c r="F524" i="50"/>
  <c r="AG420" i="29"/>
  <c r="J1292" i="5"/>
  <c r="A1292" i="5" s="1"/>
  <c r="D420" i="29"/>
  <c r="E519" i="7"/>
  <c r="A519" i="7" s="1"/>
  <c r="F526" i="50"/>
  <c r="P131" i="14"/>
  <c r="J186" i="31" s="1"/>
  <c r="A186" i="31" s="1"/>
  <c r="A131" i="14"/>
  <c r="A85" i="14"/>
  <c r="P85" i="14"/>
  <c r="E521" i="7"/>
  <c r="A521" i="7" s="1"/>
  <c r="E529" i="7"/>
  <c r="E518" i="7"/>
  <c r="I393" i="5"/>
  <c r="A129" i="14"/>
  <c r="A127" i="14"/>
  <c r="A126" i="14"/>
  <c r="A128" i="14"/>
  <c r="A520" i="7"/>
  <c r="A130" i="14"/>
  <c r="A113" i="14"/>
  <c r="A540" i="7"/>
  <c r="O21" i="14"/>
  <c r="E26" i="49" s="1"/>
  <c r="O18" i="14"/>
  <c r="E23" i="49" s="1"/>
  <c r="O17" i="14"/>
  <c r="E22" i="49" s="1"/>
  <c r="O16" i="14"/>
  <c r="E21" i="49" s="1"/>
  <c r="AB60" i="1"/>
  <c r="AA60" i="1"/>
  <c r="D60" i="1"/>
  <c r="AB57" i="1"/>
  <c r="AA57" i="1"/>
  <c r="D57" i="1"/>
  <c r="AB55" i="1"/>
  <c r="AA55" i="1"/>
  <c r="D55" i="1"/>
  <c r="AB53" i="1"/>
  <c r="AA53" i="1"/>
  <c r="D53" i="1"/>
  <c r="AB50" i="1"/>
  <c r="AA50" i="1"/>
  <c r="D50" i="1"/>
  <c r="AB49" i="1"/>
  <c r="AA49" i="1"/>
  <c r="D49" i="1"/>
  <c r="AB48" i="1"/>
  <c r="AA48" i="1"/>
  <c r="D48" i="1"/>
  <c r="AB47" i="1"/>
  <c r="AA47" i="1"/>
  <c r="D47" i="1"/>
  <c r="E468" i="7" l="1"/>
  <c r="J76" i="5"/>
  <c r="A76" i="5" s="1"/>
  <c r="J520" i="50"/>
  <c r="F518" i="50"/>
  <c r="F521" i="50" s="1"/>
  <c r="E530" i="7"/>
  <c r="A530" i="7" s="1"/>
  <c r="H104" i="7"/>
  <c r="A104" i="7" s="1"/>
  <c r="A200" i="53"/>
  <c r="AG419" i="29"/>
  <c r="D419" i="29"/>
  <c r="J524" i="50"/>
  <c r="A524" i="50"/>
  <c r="A526" i="50"/>
  <c r="J526" i="50"/>
  <c r="F527" i="50"/>
  <c r="J526" i="13"/>
  <c r="A526" i="13"/>
  <c r="F527" i="13"/>
  <c r="A28" i="31"/>
  <c r="A1272" i="5"/>
  <c r="A1294" i="5"/>
  <c r="J1296" i="5"/>
  <c r="J520" i="13"/>
  <c r="F521" i="13"/>
  <c r="A468" i="7"/>
  <c r="A529" i="7"/>
  <c r="A518" i="7"/>
  <c r="E523" i="7"/>
  <c r="A523" i="7" s="1"/>
  <c r="P16" i="14"/>
  <c r="G27" i="58" s="1"/>
  <c r="E27" i="58" s="1"/>
  <c r="P18" i="14"/>
  <c r="G29" i="58" s="1"/>
  <c r="E29" i="58" s="1"/>
  <c r="P21" i="14"/>
  <c r="G32" i="58" s="1"/>
  <c r="E32" i="58" s="1"/>
  <c r="O15" i="14"/>
  <c r="E20" i="49" s="1"/>
  <c r="N17" i="14"/>
  <c r="D22" i="49" s="1"/>
  <c r="P17" i="14"/>
  <c r="G28" i="58" s="1"/>
  <c r="E28" i="58" s="1"/>
  <c r="S15" i="14"/>
  <c r="J26" i="58" s="1"/>
  <c r="H26" i="58" s="1"/>
  <c r="S18" i="14"/>
  <c r="J29" i="58" s="1"/>
  <c r="H29" i="58" s="1"/>
  <c r="S16" i="14"/>
  <c r="J27" i="58" s="1"/>
  <c r="H27" i="58" s="1"/>
  <c r="S21" i="14"/>
  <c r="J32" i="58" s="1"/>
  <c r="H32" i="58" s="1"/>
  <c r="S17" i="14"/>
  <c r="J28" i="58" s="1"/>
  <c r="H28" i="58" s="1"/>
  <c r="N21" i="14"/>
  <c r="D26" i="49" s="1"/>
  <c r="N18" i="14"/>
  <c r="D23" i="49" s="1"/>
  <c r="N16" i="14"/>
  <c r="D21" i="49" s="1"/>
  <c r="N15" i="14"/>
  <c r="D20" i="49" s="1"/>
  <c r="A521" i="50" l="1"/>
  <c r="F529" i="50"/>
  <c r="J529" i="50" s="1"/>
  <c r="I23" i="49"/>
  <c r="V29" i="58" s="1"/>
  <c r="X29" i="58" s="1"/>
  <c r="I22" i="49"/>
  <c r="V28" i="58" s="1"/>
  <c r="W28" i="58" s="1"/>
  <c r="I20" i="49"/>
  <c r="V26" i="58" s="1"/>
  <c r="X26" i="58" s="1"/>
  <c r="I21" i="49"/>
  <c r="V27" i="58" s="1"/>
  <c r="X27" i="58" s="1"/>
  <c r="F23" i="49"/>
  <c r="P29" i="58" s="1"/>
  <c r="R29" i="58" s="1"/>
  <c r="F21" i="49"/>
  <c r="I26" i="49"/>
  <c r="V32" i="58" s="1"/>
  <c r="X32" i="58" s="1"/>
  <c r="F22" i="49"/>
  <c r="F26" i="49"/>
  <c r="A518" i="50"/>
  <c r="J518" i="50"/>
  <c r="J521" i="50" s="1"/>
  <c r="G127" i="8" s="1"/>
  <c r="E532" i="7"/>
  <c r="J122" i="31" s="1"/>
  <c r="E101" i="49" s="1"/>
  <c r="E102" i="49" s="1"/>
  <c r="A527" i="50"/>
  <c r="J527" i="50"/>
  <c r="G128" i="8" s="1"/>
  <c r="A1296" i="5"/>
  <c r="A1290" i="5"/>
  <c r="A527" i="13"/>
  <c r="J527" i="13"/>
  <c r="A524" i="7"/>
  <c r="A514" i="7"/>
  <c r="A515" i="7" s="1"/>
  <c r="A516" i="7" s="1"/>
  <c r="A517" i="7" s="1"/>
  <c r="A522" i="7"/>
  <c r="P15" i="14"/>
  <c r="G26" i="58" s="1"/>
  <c r="E26" i="58" s="1"/>
  <c r="A21" i="14"/>
  <c r="A18" i="14"/>
  <c r="A17" i="14"/>
  <c r="A15" i="14"/>
  <c r="A16" i="14"/>
  <c r="AB25" i="1"/>
  <c r="AA25" i="1"/>
  <c r="D25" i="1"/>
  <c r="AB22" i="1"/>
  <c r="AA22" i="1"/>
  <c r="D22" i="1"/>
  <c r="AB20" i="1"/>
  <c r="AA20" i="1"/>
  <c r="D20" i="1"/>
  <c r="AB15" i="1"/>
  <c r="AA15" i="1"/>
  <c r="D15" i="1"/>
  <c r="AB14" i="1"/>
  <c r="AA14" i="1"/>
  <c r="D14" i="1"/>
  <c r="AB13" i="1"/>
  <c r="AA13" i="1"/>
  <c r="D13" i="1"/>
  <c r="AB12" i="1"/>
  <c r="AA12" i="1"/>
  <c r="D12" i="1"/>
  <c r="F531" i="50" l="1"/>
  <c r="A531" i="50" s="1"/>
  <c r="Q29" i="58"/>
  <c r="W26" i="58"/>
  <c r="W27" i="58"/>
  <c r="A21" i="49"/>
  <c r="P27" i="58"/>
  <c r="X28" i="58"/>
  <c r="A22" i="49"/>
  <c r="P28" i="58"/>
  <c r="W29" i="58"/>
  <c r="W32" i="58"/>
  <c r="A26" i="49"/>
  <c r="P32" i="58"/>
  <c r="A23" i="49"/>
  <c r="F20" i="49"/>
  <c r="J531" i="50"/>
  <c r="I550" i="7"/>
  <c r="A550" i="7" s="1"/>
  <c r="A532" i="7"/>
  <c r="A531" i="7" s="1"/>
  <c r="A529" i="50"/>
  <c r="J205" i="53"/>
  <c r="A122" i="31"/>
  <c r="A121" i="31" s="1"/>
  <c r="G149" i="49"/>
  <c r="A149" i="49" s="1"/>
  <c r="E14" i="17"/>
  <c r="A20" i="49" l="1"/>
  <c r="P26" i="58"/>
  <c r="Q27" i="58"/>
  <c r="R27" i="58"/>
  <c r="R32" i="58"/>
  <c r="Q32" i="58"/>
  <c r="Q28" i="58"/>
  <c r="R28" i="58"/>
  <c r="A527" i="7"/>
  <c r="A528" i="7"/>
  <c r="A525" i="7"/>
  <c r="A526" i="7" s="1"/>
  <c r="A533" i="7"/>
  <c r="A202" i="53"/>
  <c r="A201" i="53" s="1"/>
  <c r="A198" i="53"/>
  <c r="G136" i="8"/>
  <c r="A205" i="53"/>
  <c r="A206" i="53" s="1"/>
  <c r="R26" i="58" l="1"/>
  <c r="Q26" i="58"/>
  <c r="A199" i="53"/>
  <c r="A193" i="53"/>
  <c r="J342" i="13" l="1"/>
  <c r="J343" i="13"/>
  <c r="J344" i="13"/>
  <c r="J345" i="13"/>
  <c r="J346" i="13"/>
  <c r="J347" i="13"/>
  <c r="J349" i="13"/>
  <c r="J350" i="13"/>
  <c r="J351" i="13"/>
  <c r="J352" i="13"/>
  <c r="J353" i="13"/>
  <c r="J354" i="13"/>
  <c r="J357" i="13"/>
  <c r="K342" i="13"/>
  <c r="K343" i="13"/>
  <c r="K344" i="13"/>
  <c r="K345" i="13"/>
  <c r="K346" i="13"/>
  <c r="K347" i="13"/>
  <c r="K349" i="13"/>
  <c r="K350" i="13"/>
  <c r="K351" i="13"/>
  <c r="K352" i="13"/>
  <c r="K353" i="13"/>
  <c r="K354" i="13"/>
  <c r="K357" i="13"/>
  <c r="J348" i="13"/>
  <c r="D625" i="5"/>
  <c r="D624" i="5"/>
  <c r="D622" i="5"/>
  <c r="J617" i="5"/>
  <c r="J355" i="13"/>
  <c r="K355" i="13"/>
  <c r="K473" i="13"/>
  <c r="H624" i="5" s="1"/>
  <c r="A473" i="13"/>
  <c r="K472" i="13"/>
  <c r="G624" i="5" s="1"/>
  <c r="K471" i="13"/>
  <c r="F624" i="5" s="1"/>
  <c r="A471" i="13"/>
  <c r="K468" i="13"/>
  <c r="H623" i="5" s="1"/>
  <c r="K467" i="13"/>
  <c r="G623" i="5" s="1"/>
  <c r="A467" i="13"/>
  <c r="K466" i="13"/>
  <c r="F623" i="5" s="1"/>
  <c r="A13" i="13"/>
  <c r="K157" i="13"/>
  <c r="K49" i="6" s="1"/>
  <c r="K228" i="13"/>
  <c r="K90" i="5" s="1"/>
  <c r="K263" i="13"/>
  <c r="J238" i="5" s="1"/>
  <c r="A181" i="13"/>
  <c r="A263" i="13"/>
  <c r="J298" i="13"/>
  <c r="J299" i="13"/>
  <c r="J300" i="13"/>
  <c r="J301" i="13"/>
  <c r="J302" i="13"/>
  <c r="J303" i="13"/>
  <c r="J305" i="13"/>
  <c r="J306" i="13"/>
  <c r="J307" i="13"/>
  <c r="J308" i="13"/>
  <c r="J309" i="13"/>
  <c r="J311" i="13"/>
  <c r="K298" i="13"/>
  <c r="K299" i="13"/>
  <c r="K300" i="13"/>
  <c r="K301" i="13"/>
  <c r="K302" i="13"/>
  <c r="K303" i="13"/>
  <c r="K304" i="13"/>
  <c r="K307" i="13"/>
  <c r="K308" i="13"/>
  <c r="K309" i="13"/>
  <c r="K311" i="13"/>
  <c r="K312" i="13"/>
  <c r="J394" i="13"/>
  <c r="J395" i="13"/>
  <c r="J396" i="13"/>
  <c r="I555" i="5" s="1"/>
  <c r="J397" i="13"/>
  <c r="J398" i="13"/>
  <c r="I558" i="5" s="1"/>
  <c r="J399" i="13"/>
  <c r="J400" i="13"/>
  <c r="J401" i="13"/>
  <c r="J403" i="13"/>
  <c r="I562" i="5" s="1"/>
  <c r="J404" i="13"/>
  <c r="I563" i="5" s="1"/>
  <c r="J447" i="13"/>
  <c r="J448" i="13"/>
  <c r="I577" i="5" s="1"/>
  <c r="J449" i="13"/>
  <c r="J450" i="13"/>
  <c r="J451" i="13"/>
  <c r="J452" i="13"/>
  <c r="J453" i="13"/>
  <c r="J454" i="13"/>
  <c r="I583" i="5" s="1"/>
  <c r="J455" i="13"/>
  <c r="J456" i="13"/>
  <c r="I585" i="5" s="1"/>
  <c r="K394" i="13"/>
  <c r="K395" i="13"/>
  <c r="K396" i="13"/>
  <c r="K397" i="13"/>
  <c r="K398" i="13"/>
  <c r="K399" i="13"/>
  <c r="J557" i="5" s="1"/>
  <c r="K400" i="13"/>
  <c r="K401" i="13"/>
  <c r="K402" i="13"/>
  <c r="J561" i="5" s="1"/>
  <c r="K403" i="13"/>
  <c r="J562" i="5" s="1"/>
  <c r="K404" i="13"/>
  <c r="K447" i="13"/>
  <c r="K448" i="13"/>
  <c r="K449" i="13"/>
  <c r="K450" i="13"/>
  <c r="J579" i="5" s="1"/>
  <c r="K451" i="13"/>
  <c r="K452" i="13"/>
  <c r="J581" i="5" s="1"/>
  <c r="K453" i="13"/>
  <c r="K454" i="13"/>
  <c r="K455" i="13"/>
  <c r="K456" i="13"/>
  <c r="J486" i="13"/>
  <c r="J493" i="13"/>
  <c r="J1029" i="5" s="1"/>
  <c r="K135" i="13"/>
  <c r="J51" i="6" s="1"/>
  <c r="K240" i="13"/>
  <c r="K107" i="13"/>
  <c r="I50" i="6" s="1"/>
  <c r="K134" i="13"/>
  <c r="J50" i="6" s="1"/>
  <c r="K229" i="13"/>
  <c r="K91" i="5" s="1"/>
  <c r="K239" i="13"/>
  <c r="K486" i="13"/>
  <c r="K1028" i="5" s="1"/>
  <c r="K493" i="13"/>
  <c r="K1029" i="5" s="1"/>
  <c r="J485" i="13"/>
  <c r="J487" i="13"/>
  <c r="J488" i="13"/>
  <c r="J489" i="13"/>
  <c r="J1047" i="5" s="1"/>
  <c r="J490" i="13"/>
  <c r="J1048" i="5" s="1"/>
  <c r="J491" i="13"/>
  <c r="J1049" i="5" s="1"/>
  <c r="J492" i="13"/>
  <c r="J494" i="13"/>
  <c r="J495" i="13"/>
  <c r="J497" i="13"/>
  <c r="J1071" i="5" s="1"/>
  <c r="J501" i="13"/>
  <c r="J505" i="13"/>
  <c r="J1050" i="5" s="1"/>
  <c r="J506" i="13"/>
  <c r="J508" i="13"/>
  <c r="J1085" i="5" s="1"/>
  <c r="K485" i="13"/>
  <c r="K487" i="13"/>
  <c r="K488" i="13"/>
  <c r="K489" i="13"/>
  <c r="K1047" i="5" s="1"/>
  <c r="K490" i="13"/>
  <c r="K1048" i="5" s="1"/>
  <c r="K491" i="13"/>
  <c r="K1049" i="5" s="1"/>
  <c r="K492" i="13"/>
  <c r="K1066" i="5" s="1"/>
  <c r="K494" i="13"/>
  <c r="K1068" i="5" s="1"/>
  <c r="K495" i="13"/>
  <c r="K496" i="13"/>
  <c r="K497" i="13"/>
  <c r="K1071" i="5" s="1"/>
  <c r="K500" i="13"/>
  <c r="K1077" i="5" s="1"/>
  <c r="K501" i="13"/>
  <c r="K505" i="13"/>
  <c r="K506" i="13"/>
  <c r="K508" i="13"/>
  <c r="K1085" i="5" s="1"/>
  <c r="K406" i="13"/>
  <c r="J406" i="13"/>
  <c r="K405" i="13"/>
  <c r="J405" i="13"/>
  <c r="K348" i="13"/>
  <c r="K362" i="13"/>
  <c r="J53" i="31" s="1"/>
  <c r="K363" i="13"/>
  <c r="J54" i="31" s="1"/>
  <c r="K389" i="13"/>
  <c r="J363" i="13"/>
  <c r="I54" i="31" s="1"/>
  <c r="J389" i="13"/>
  <c r="K262" i="13"/>
  <c r="J237" i="5" s="1"/>
  <c r="K241" i="13"/>
  <c r="K179" i="13"/>
  <c r="L47" i="6" s="1"/>
  <c r="A17" i="13"/>
  <c r="J11" i="13"/>
  <c r="E14" i="6" s="1"/>
  <c r="A9" i="13"/>
  <c r="K507" i="13"/>
  <c r="K441" i="13"/>
  <c r="J441" i="13"/>
  <c r="K440" i="13"/>
  <c r="J440" i="13"/>
  <c r="K439" i="13"/>
  <c r="J439" i="13"/>
  <c r="K413" i="13"/>
  <c r="J413" i="13"/>
  <c r="K412" i="13"/>
  <c r="J412" i="13"/>
  <c r="K411" i="13"/>
  <c r="J411" i="13"/>
  <c r="K390" i="13"/>
  <c r="J390" i="13"/>
  <c r="K553" i="13"/>
  <c r="K369" i="31" s="1"/>
  <c r="K552" i="13"/>
  <c r="K340" i="31" s="1"/>
  <c r="K551" i="13"/>
  <c r="K329" i="31" s="1"/>
  <c r="J502" i="13"/>
  <c r="J504" i="13"/>
  <c r="K548" i="13"/>
  <c r="K546" i="13"/>
  <c r="K262" i="31" s="1"/>
  <c r="R47" i="14"/>
  <c r="K538" i="13"/>
  <c r="K169" i="31" s="1"/>
  <c r="K537" i="13"/>
  <c r="K152" i="31" s="1"/>
  <c r="K535" i="13"/>
  <c r="K520" i="13"/>
  <c r="K519" i="13"/>
  <c r="J519" i="13"/>
  <c r="K518" i="13"/>
  <c r="J518" i="13"/>
  <c r="K478" i="13"/>
  <c r="K477" i="13"/>
  <c r="G625" i="5" s="1"/>
  <c r="K476" i="13"/>
  <c r="F625" i="5" s="1"/>
  <c r="K463" i="13"/>
  <c r="J463" i="13"/>
  <c r="K462" i="13"/>
  <c r="J462" i="13"/>
  <c r="K461" i="13"/>
  <c r="J461" i="13"/>
  <c r="O20" i="14"/>
  <c r="E25" i="49" s="1"/>
  <c r="O22" i="14"/>
  <c r="E27" i="49" s="1"/>
  <c r="O8" i="14"/>
  <c r="E13" i="49" s="1"/>
  <c r="Q48" i="14"/>
  <c r="Q49" i="14"/>
  <c r="R48" i="14"/>
  <c r="R49" i="14"/>
  <c r="R55" i="14"/>
  <c r="R56" i="14"/>
  <c r="R57" i="14"/>
  <c r="R58" i="14"/>
  <c r="R64" i="14"/>
  <c r="R65" i="14"/>
  <c r="R67" i="14"/>
  <c r="R68" i="14"/>
  <c r="R69" i="14"/>
  <c r="R71" i="14"/>
  <c r="R112" i="14"/>
  <c r="R114" i="14"/>
  <c r="R115" i="14"/>
  <c r="Q55" i="14"/>
  <c r="Q56" i="14"/>
  <c r="Q57" i="14"/>
  <c r="Q58" i="14"/>
  <c r="K71" i="14"/>
  <c r="S71" i="14" s="1"/>
  <c r="F442" i="7" s="1"/>
  <c r="Q78" i="14"/>
  <c r="Q79" i="14"/>
  <c r="I87" i="14"/>
  <c r="Q87" i="14" s="1"/>
  <c r="Q112" i="14"/>
  <c r="Q114" i="14"/>
  <c r="Q115" i="14"/>
  <c r="N49" i="14"/>
  <c r="O48" i="14"/>
  <c r="O49" i="14"/>
  <c r="O55" i="14"/>
  <c r="O56" i="14"/>
  <c r="O57" i="14"/>
  <c r="O58" i="14"/>
  <c r="O64" i="14"/>
  <c r="O65" i="14"/>
  <c r="O68" i="14"/>
  <c r="O69" i="14"/>
  <c r="O71" i="14"/>
  <c r="O112" i="14"/>
  <c r="O114" i="14"/>
  <c r="O115" i="14"/>
  <c r="N56" i="14"/>
  <c r="N57" i="14"/>
  <c r="N58" i="14"/>
  <c r="G64" i="14"/>
  <c r="P64" i="14" s="1"/>
  <c r="E435" i="7" s="1"/>
  <c r="N78" i="14"/>
  <c r="N79" i="14"/>
  <c r="P84" i="14"/>
  <c r="N112" i="14"/>
  <c r="N114" i="14"/>
  <c r="N115" i="14"/>
  <c r="E123" i="14"/>
  <c r="N123" i="14" s="1"/>
  <c r="E132" i="14"/>
  <c r="C539" i="19"/>
  <c r="P142" i="14"/>
  <c r="F1" i="5"/>
  <c r="G1" i="5"/>
  <c r="H1" i="5"/>
  <c r="I1" i="5"/>
  <c r="J1" i="5"/>
  <c r="K1" i="5"/>
  <c r="L1" i="5"/>
  <c r="M1" i="5"/>
  <c r="N1" i="5"/>
  <c r="O1" i="5"/>
  <c r="P1" i="5"/>
  <c r="N5" i="5"/>
  <c r="A394" i="5"/>
  <c r="A395" i="5" s="1"/>
  <c r="A481" i="5"/>
  <c r="A593" i="5"/>
  <c r="I633" i="5"/>
  <c r="J627" i="5"/>
  <c r="J633" i="5" s="1"/>
  <c r="A636" i="5"/>
  <c r="A638" i="5"/>
  <c r="A650" i="5"/>
  <c r="A1014" i="5"/>
  <c r="A1016" i="5"/>
  <c r="A1020" i="5"/>
  <c r="A1022" i="5"/>
  <c r="A1024" i="5"/>
  <c r="A1044" i="5"/>
  <c r="A1090" i="5"/>
  <c r="A1092" i="5"/>
  <c r="A1100" i="5"/>
  <c r="A1104" i="5"/>
  <c r="A1106" i="5"/>
  <c r="A1108" i="5"/>
  <c r="A1110" i="5"/>
  <c r="A1124" i="5"/>
  <c r="A1146" i="5"/>
  <c r="A1148" i="5"/>
  <c r="A1150" i="5"/>
  <c r="A1152" i="5"/>
  <c r="A1159" i="5"/>
  <c r="A1161" i="5"/>
  <c r="A1163" i="5"/>
  <c r="A1174" i="5"/>
  <c r="A1219" i="5"/>
  <c r="A1273" i="5"/>
  <c r="J1274" i="5"/>
  <c r="I488" i="46" s="1"/>
  <c r="I494" i="46" s="1"/>
  <c r="A1278" i="5"/>
  <c r="A1286" i="5"/>
  <c r="A1295" i="5"/>
  <c r="A1297" i="5"/>
  <c r="A1300" i="5"/>
  <c r="A1306" i="5"/>
  <c r="A1310" i="5"/>
  <c r="A1312" i="5"/>
  <c r="A1314" i="5"/>
  <c r="M46" i="6"/>
  <c r="M10" i="6"/>
  <c r="O78" i="14"/>
  <c r="O79" i="14"/>
  <c r="R79" i="14"/>
  <c r="G1" i="18"/>
  <c r="H1" i="18"/>
  <c r="I1" i="18"/>
  <c r="J1" i="18"/>
  <c r="K1" i="18"/>
  <c r="L1" i="18"/>
  <c r="M1" i="18"/>
  <c r="N1" i="18"/>
  <c r="O1" i="18"/>
  <c r="P1" i="18"/>
  <c r="Q1" i="18"/>
  <c r="D1" i="19"/>
  <c r="E1" i="19"/>
  <c r="F1" i="19"/>
  <c r="G1" i="19"/>
  <c r="H1" i="19"/>
  <c r="I1" i="19"/>
  <c r="J1" i="19"/>
  <c r="K1" i="19"/>
  <c r="L1" i="19"/>
  <c r="M1" i="19"/>
  <c r="N1" i="19"/>
  <c r="A282" i="13"/>
  <c r="A296" i="13"/>
  <c r="A334" i="13"/>
  <c r="A360" i="13"/>
  <c r="A388" i="13"/>
  <c r="A392" i="13"/>
  <c r="A432" i="13"/>
  <c r="A435" i="13"/>
  <c r="A437" i="13"/>
  <c r="A459" i="13"/>
  <c r="A512" i="13"/>
  <c r="A542" i="13"/>
  <c r="A543" i="13"/>
  <c r="A142" i="14"/>
  <c r="AA8" i="1"/>
  <c r="AA9" i="1"/>
  <c r="AA10" i="1"/>
  <c r="AA11" i="1"/>
  <c r="AA16" i="1"/>
  <c r="AA17" i="1"/>
  <c r="AA19" i="1"/>
  <c r="AA18" i="1"/>
  <c r="AA21" i="1"/>
  <c r="AA23" i="1"/>
  <c r="AA24" i="1"/>
  <c r="AA26" i="1"/>
  <c r="AA42" i="1"/>
  <c r="AA43" i="1"/>
  <c r="AA44" i="1"/>
  <c r="AA45" i="1"/>
  <c r="AA46" i="1"/>
  <c r="AA51" i="1"/>
  <c r="AA52" i="1"/>
  <c r="AA54" i="1"/>
  <c r="AA56" i="1"/>
  <c r="AA58" i="1"/>
  <c r="AA59" i="1"/>
  <c r="AA61" i="1"/>
  <c r="AA78" i="1"/>
  <c r="AA79" i="1"/>
  <c r="AA80" i="1"/>
  <c r="AA81" i="1"/>
  <c r="AA82" i="1"/>
  <c r="AA83" i="1"/>
  <c r="AA84" i="1"/>
  <c r="AA85" i="1"/>
  <c r="AA86" i="1"/>
  <c r="AA87" i="1"/>
  <c r="AA88" i="1"/>
  <c r="AA89" i="1"/>
  <c r="AA90" i="1"/>
  <c r="AA92" i="1"/>
  <c r="AA93" i="1"/>
  <c r="AA94" i="1"/>
  <c r="AA95" i="1"/>
  <c r="AA96" i="1"/>
  <c r="AA97" i="1"/>
  <c r="AA104" i="1"/>
  <c r="AA106" i="1"/>
  <c r="AA108" i="1"/>
  <c r="AA109" i="1"/>
  <c r="AB8" i="1"/>
  <c r="AB9" i="1"/>
  <c r="AB10" i="1"/>
  <c r="AB11" i="1"/>
  <c r="AB16" i="1"/>
  <c r="AB17" i="1"/>
  <c r="AB19" i="1"/>
  <c r="AB18" i="1"/>
  <c r="AB21" i="1"/>
  <c r="AB23" i="1"/>
  <c r="AB24" i="1"/>
  <c r="AB26" i="1"/>
  <c r="AB42" i="1"/>
  <c r="AB43" i="1"/>
  <c r="AB44" i="1"/>
  <c r="AB45" i="1"/>
  <c r="AB46" i="1"/>
  <c r="AB51" i="1"/>
  <c r="AB52" i="1"/>
  <c r="AB54" i="1"/>
  <c r="AB56" i="1"/>
  <c r="AB58" i="1"/>
  <c r="AB59" i="1"/>
  <c r="AB61" i="1"/>
  <c r="AB78" i="1"/>
  <c r="AB79" i="1"/>
  <c r="AB80" i="1"/>
  <c r="AB81" i="1"/>
  <c r="AB82" i="1"/>
  <c r="AB83" i="1"/>
  <c r="AB84" i="1"/>
  <c r="AB85" i="1"/>
  <c r="AB86" i="1"/>
  <c r="AB87" i="1"/>
  <c r="AB88" i="1"/>
  <c r="AB89" i="1"/>
  <c r="AB90" i="1"/>
  <c r="AB92" i="1"/>
  <c r="AB93" i="1"/>
  <c r="AB94" i="1"/>
  <c r="AB95" i="1"/>
  <c r="AB96" i="1"/>
  <c r="AB97" i="1"/>
  <c r="AB104" i="1"/>
  <c r="AB106" i="1"/>
  <c r="AB108" i="1"/>
  <c r="AB109" i="1"/>
  <c r="D7" i="1"/>
  <c r="D8" i="1"/>
  <c r="D9" i="1"/>
  <c r="D10" i="1"/>
  <c r="D11" i="1"/>
  <c r="D16" i="1"/>
  <c r="D17" i="1"/>
  <c r="D19" i="1"/>
  <c r="D18" i="1"/>
  <c r="D21" i="1"/>
  <c r="D23" i="1"/>
  <c r="D24" i="1"/>
  <c r="D26" i="1"/>
  <c r="D42" i="1"/>
  <c r="D43" i="1"/>
  <c r="D44" i="1"/>
  <c r="D45" i="1"/>
  <c r="D46" i="1"/>
  <c r="D51" i="1"/>
  <c r="D52" i="1"/>
  <c r="D54" i="1"/>
  <c r="D56" i="1"/>
  <c r="D58" i="1"/>
  <c r="D59" i="1"/>
  <c r="D61" i="1"/>
  <c r="D78" i="1"/>
  <c r="D79" i="1"/>
  <c r="D80" i="1"/>
  <c r="D81" i="1"/>
  <c r="D82" i="1"/>
  <c r="D83" i="1"/>
  <c r="D84" i="1"/>
  <c r="D85" i="1"/>
  <c r="D86" i="1"/>
  <c r="D87" i="1"/>
  <c r="D88" i="1"/>
  <c r="D89" i="1"/>
  <c r="D90" i="1"/>
  <c r="D92" i="1"/>
  <c r="D93" i="1"/>
  <c r="D94" i="1"/>
  <c r="D95" i="1"/>
  <c r="D96" i="1"/>
  <c r="D97" i="1"/>
  <c r="D104" i="1"/>
  <c r="D106" i="1"/>
  <c r="D108" i="1"/>
  <c r="D109" i="1"/>
  <c r="D116" i="1"/>
  <c r="E467" i="7" l="1"/>
  <c r="E469" i="7" s="1"/>
  <c r="J75" i="5"/>
  <c r="K295" i="31"/>
  <c r="K299" i="31" s="1"/>
  <c r="J1053" i="5"/>
  <c r="G144" i="14" s="1"/>
  <c r="K1082" i="5"/>
  <c r="K1050" i="5"/>
  <c r="K1053" i="5" s="1"/>
  <c r="K144" i="14" s="1"/>
  <c r="J1135" i="5"/>
  <c r="J1138" i="5" s="1"/>
  <c r="J458" i="13"/>
  <c r="K458" i="13"/>
  <c r="P10" i="6"/>
  <c r="A10" i="6" s="1"/>
  <c r="K50" i="5"/>
  <c r="I1135" i="5"/>
  <c r="A1048" i="5"/>
  <c r="J1082" i="5"/>
  <c r="A174" i="7"/>
  <c r="A173" i="7"/>
  <c r="A562" i="5"/>
  <c r="G631" i="5"/>
  <c r="A488" i="46"/>
  <c r="AA120" i="1"/>
  <c r="F68" i="49"/>
  <c r="A68" i="49" s="1"/>
  <c r="A69" i="49" s="1"/>
  <c r="I56" i="31"/>
  <c r="I58" i="31" s="1"/>
  <c r="G135" i="49"/>
  <c r="H128" i="49"/>
  <c r="G128" i="49"/>
  <c r="J56" i="31"/>
  <c r="A56" i="31" s="1"/>
  <c r="A57" i="31" s="1"/>
  <c r="H135" i="49"/>
  <c r="S90" i="14"/>
  <c r="K623" i="5"/>
  <c r="H606" i="5"/>
  <c r="H614" i="5"/>
  <c r="K624" i="5"/>
  <c r="H622" i="5"/>
  <c r="H630" i="5"/>
  <c r="H631" i="5"/>
  <c r="H625" i="5"/>
  <c r="K625" i="5" s="1"/>
  <c r="F631" i="5"/>
  <c r="G630" i="5"/>
  <c r="G622" i="5"/>
  <c r="F606" i="5"/>
  <c r="F614" i="5"/>
  <c r="F622" i="5"/>
  <c r="F630" i="5"/>
  <c r="G606" i="5"/>
  <c r="G614" i="5"/>
  <c r="N132" i="14"/>
  <c r="E61" i="14"/>
  <c r="K238" i="5"/>
  <c r="N71" i="14"/>
  <c r="G71" i="14"/>
  <c r="P71" i="14" s="1"/>
  <c r="E442" i="7" s="1"/>
  <c r="A442" i="7" s="1"/>
  <c r="N66" i="14"/>
  <c r="G66" i="14"/>
  <c r="P66" i="14" s="1"/>
  <c r="E437" i="7" s="1"/>
  <c r="Q69" i="14"/>
  <c r="K69" i="14"/>
  <c r="S69" i="14" s="1"/>
  <c r="Q65" i="14"/>
  <c r="K65" i="14"/>
  <c r="S65" i="14" s="1"/>
  <c r="F436" i="7" s="1"/>
  <c r="N69" i="14"/>
  <c r="G69" i="14"/>
  <c r="P69" i="14" s="1"/>
  <c r="N65" i="14"/>
  <c r="G65" i="14"/>
  <c r="P65" i="14" s="1"/>
  <c r="E436" i="7" s="1"/>
  <c r="Q68" i="14"/>
  <c r="K68" i="14"/>
  <c r="S68" i="14" s="1"/>
  <c r="I123" i="7" s="1"/>
  <c r="Q64" i="14"/>
  <c r="K64" i="14"/>
  <c r="S64" i="14" s="1"/>
  <c r="F435" i="7" s="1"/>
  <c r="N68" i="14"/>
  <c r="G68" i="14"/>
  <c r="P68" i="14" s="1"/>
  <c r="Q67" i="14"/>
  <c r="K67" i="14"/>
  <c r="S67" i="14" s="1"/>
  <c r="I119" i="7" s="1"/>
  <c r="N67" i="14"/>
  <c r="G67" i="14"/>
  <c r="P67" i="14" s="1"/>
  <c r="Q66" i="14"/>
  <c r="K66" i="14"/>
  <c r="S66" i="14" s="1"/>
  <c r="F437" i="7" s="1"/>
  <c r="N55" i="14"/>
  <c r="G55" i="14"/>
  <c r="O89" i="14"/>
  <c r="F123" i="14"/>
  <c r="O123" i="14" s="1"/>
  <c r="J123" i="14"/>
  <c r="R123" i="14" s="1"/>
  <c r="I123" i="14"/>
  <c r="Q123" i="14" s="1"/>
  <c r="K266" i="31"/>
  <c r="H167" i="49" s="1"/>
  <c r="K332" i="31"/>
  <c r="H172" i="49" s="1"/>
  <c r="K372" i="31"/>
  <c r="K120" i="31"/>
  <c r="A49" i="8"/>
  <c r="A50" i="8" s="1"/>
  <c r="J1067" i="5"/>
  <c r="J1059" i="5"/>
  <c r="J1028" i="5"/>
  <c r="A1028" i="5" s="1"/>
  <c r="A1093" i="5"/>
  <c r="A1094" i="5" s="1"/>
  <c r="A1101" i="5"/>
  <c r="A1102" i="5" s="1"/>
  <c r="A1012" i="5"/>
  <c r="J560" i="5"/>
  <c r="A241" i="13"/>
  <c r="A160" i="13"/>
  <c r="J442" i="13"/>
  <c r="I544" i="5" s="1"/>
  <c r="K442" i="13"/>
  <c r="J544" i="5" s="1"/>
  <c r="K503" i="13"/>
  <c r="K1080" i="5" s="1"/>
  <c r="A133" i="13"/>
  <c r="S9" i="14"/>
  <c r="J20" i="58" s="1"/>
  <c r="H20" i="58" s="1"/>
  <c r="A238" i="13"/>
  <c r="A228" i="13"/>
  <c r="A61" i="13"/>
  <c r="K71" i="6"/>
  <c r="A40" i="13"/>
  <c r="A264" i="13"/>
  <c r="A64" i="13"/>
  <c r="A157" i="13"/>
  <c r="A224" i="13"/>
  <c r="A159" i="13"/>
  <c r="A62" i="13"/>
  <c r="A182" i="13"/>
  <c r="A131" i="13"/>
  <c r="A57" i="13"/>
  <c r="A65" i="13"/>
  <c r="A184" i="13"/>
  <c r="A33" i="13"/>
  <c r="A112" i="13"/>
  <c r="A153" i="13"/>
  <c r="A234" i="13"/>
  <c r="A266" i="13"/>
  <c r="A203" i="13"/>
  <c r="A226" i="13"/>
  <c r="A262" i="13"/>
  <c r="A259" i="13"/>
  <c r="A265" i="13"/>
  <c r="J129" i="13"/>
  <c r="J12" i="6" s="1"/>
  <c r="A129" i="13"/>
  <c r="J240" i="13"/>
  <c r="A240" i="13"/>
  <c r="J39" i="13"/>
  <c r="A39" i="13"/>
  <c r="K11" i="13"/>
  <c r="A11" i="13"/>
  <c r="A136" i="13"/>
  <c r="J179" i="13"/>
  <c r="L14" i="6" s="1"/>
  <c r="A179" i="13"/>
  <c r="A201" i="13"/>
  <c r="J135" i="13"/>
  <c r="A135" i="13"/>
  <c r="A239" i="13"/>
  <c r="A158" i="13"/>
  <c r="A38" i="13"/>
  <c r="A35" i="13"/>
  <c r="A59" i="13"/>
  <c r="A105" i="13"/>
  <c r="J155" i="13"/>
  <c r="A155" i="13"/>
  <c r="A177" i="13"/>
  <c r="A208" i="13"/>
  <c r="A236" i="13"/>
  <c r="K15" i="13"/>
  <c r="A15" i="13"/>
  <c r="A207" i="13"/>
  <c r="A111" i="13"/>
  <c r="J229" i="13"/>
  <c r="J91" i="5" s="1"/>
  <c r="A229" i="13"/>
  <c r="A134" i="13"/>
  <c r="J205" i="13"/>
  <c r="N16" i="6" s="1"/>
  <c r="A205" i="13"/>
  <c r="K16" i="13"/>
  <c r="A16" i="13"/>
  <c r="J41" i="13"/>
  <c r="A41" i="13"/>
  <c r="K14" i="13"/>
  <c r="A14" i="13"/>
  <c r="A183" i="13"/>
  <c r="A63" i="13"/>
  <c r="A206" i="13"/>
  <c r="J107" i="13"/>
  <c r="A107" i="13"/>
  <c r="J37" i="13"/>
  <c r="F16" i="6" s="1"/>
  <c r="A37" i="13"/>
  <c r="J564" i="5"/>
  <c r="J584" i="5"/>
  <c r="J580" i="5"/>
  <c r="J576" i="5"/>
  <c r="J556" i="5"/>
  <c r="I581" i="5"/>
  <c r="A581" i="5" s="1"/>
  <c r="I553" i="5"/>
  <c r="I565" i="5"/>
  <c r="J583" i="5"/>
  <c r="A583" i="5" s="1"/>
  <c r="J563" i="5"/>
  <c r="A563" i="5" s="1"/>
  <c r="J559" i="5"/>
  <c r="J555" i="5"/>
  <c r="A555" i="5" s="1"/>
  <c r="I584" i="5"/>
  <c r="I580" i="5"/>
  <c r="I576" i="5"/>
  <c r="I560" i="5"/>
  <c r="I556" i="5"/>
  <c r="J449" i="5"/>
  <c r="I448" i="5"/>
  <c r="J565" i="5"/>
  <c r="J582" i="5"/>
  <c r="J578" i="5"/>
  <c r="J554" i="5"/>
  <c r="I579" i="5"/>
  <c r="A579" i="5" s="1"/>
  <c r="I559" i="5"/>
  <c r="J448" i="5"/>
  <c r="J310" i="13"/>
  <c r="I451" i="5"/>
  <c r="I564" i="5"/>
  <c r="J585" i="5"/>
  <c r="A585" i="5" s="1"/>
  <c r="A587" i="5" s="1"/>
  <c r="J577" i="5"/>
  <c r="A577" i="5" s="1"/>
  <c r="J558" i="5"/>
  <c r="A558" i="5" s="1"/>
  <c r="J553" i="5"/>
  <c r="I582" i="5"/>
  <c r="I578" i="5"/>
  <c r="I557" i="5"/>
  <c r="A557" i="5" s="1"/>
  <c r="I554" i="5"/>
  <c r="K310" i="13"/>
  <c r="I450" i="5"/>
  <c r="N9" i="14"/>
  <c r="D14" i="49" s="1"/>
  <c r="P9" i="14"/>
  <c r="G20" i="58" s="1"/>
  <c r="E20" i="58" s="1"/>
  <c r="N8" i="14"/>
  <c r="D13" i="49" s="1"/>
  <c r="P8" i="14"/>
  <c r="G19" i="58" s="1"/>
  <c r="E19" i="58" s="1"/>
  <c r="N22" i="14"/>
  <c r="D27" i="49" s="1"/>
  <c r="P22" i="14"/>
  <c r="G33" i="58" s="1"/>
  <c r="E33" i="58" s="1"/>
  <c r="O11" i="14"/>
  <c r="E16" i="49" s="1"/>
  <c r="O7" i="14"/>
  <c r="N11" i="14"/>
  <c r="D16" i="49" s="1"/>
  <c r="P11" i="14"/>
  <c r="G22" i="58" s="1"/>
  <c r="E22" i="58" s="1"/>
  <c r="N20" i="14"/>
  <c r="D25" i="49" s="1"/>
  <c r="O10" i="14"/>
  <c r="E15" i="49" s="1"/>
  <c r="N10" i="14"/>
  <c r="D15" i="49" s="1"/>
  <c r="P10" i="14"/>
  <c r="G21" i="58" s="1"/>
  <c r="E21" i="58" s="1"/>
  <c r="N19" i="14"/>
  <c r="D24" i="49" s="1"/>
  <c r="O9" i="14"/>
  <c r="E14" i="49" s="1"/>
  <c r="S22" i="14"/>
  <c r="J33" i="58" s="1"/>
  <c r="H33" i="58" s="1"/>
  <c r="S10" i="14"/>
  <c r="J21" i="58" s="1"/>
  <c r="H21" i="58" s="1"/>
  <c r="S19" i="14"/>
  <c r="J30" i="58" s="1"/>
  <c r="H30" i="58" s="1"/>
  <c r="S8" i="14"/>
  <c r="S20" i="14"/>
  <c r="J31" i="58" s="1"/>
  <c r="H31" i="58" s="1"/>
  <c r="S11" i="14"/>
  <c r="J22" i="58" s="1"/>
  <c r="H22" i="58" s="1"/>
  <c r="D71" i="6"/>
  <c r="D11" i="6"/>
  <c r="A1176" i="5"/>
  <c r="J472" i="13"/>
  <c r="G608" i="5" s="1"/>
  <c r="A472" i="13"/>
  <c r="J466" i="13"/>
  <c r="F607" i="5" s="1"/>
  <c r="A466" i="13"/>
  <c r="J468" i="13"/>
  <c r="H607" i="5" s="1"/>
  <c r="A468" i="13"/>
  <c r="J476" i="13"/>
  <c r="F609" i="5" s="1"/>
  <c r="A476" i="13"/>
  <c r="J477" i="13"/>
  <c r="G609" i="5" s="1"/>
  <c r="A477" i="13"/>
  <c r="J478" i="13"/>
  <c r="A478" i="13"/>
  <c r="J469" i="5"/>
  <c r="I471" i="5"/>
  <c r="I472" i="5"/>
  <c r="J473" i="5"/>
  <c r="J468" i="5"/>
  <c r="I469" i="5"/>
  <c r="I470" i="5"/>
  <c r="J471" i="5"/>
  <c r="J470" i="5"/>
  <c r="J472" i="5"/>
  <c r="I473" i="5"/>
  <c r="I468" i="5"/>
  <c r="A498" i="5"/>
  <c r="A499" i="5" s="1"/>
  <c r="R125" i="14"/>
  <c r="J132" i="14"/>
  <c r="R132" i="14" s="1"/>
  <c r="O125" i="14"/>
  <c r="F132" i="14"/>
  <c r="O132" i="14" s="1"/>
  <c r="N125" i="14"/>
  <c r="Q125" i="14"/>
  <c r="I132" i="14"/>
  <c r="Q132" i="14" s="1"/>
  <c r="R120" i="14"/>
  <c r="N120" i="14"/>
  <c r="O120" i="14"/>
  <c r="Q120" i="14"/>
  <c r="K7" i="13"/>
  <c r="J57" i="13"/>
  <c r="G12" i="6" s="1"/>
  <c r="J65" i="13"/>
  <c r="G20" i="6" s="1"/>
  <c r="K127" i="13"/>
  <c r="J42" i="6" s="1"/>
  <c r="J44" i="6" s="1"/>
  <c r="K266" i="13"/>
  <c r="J241" i="5" s="1"/>
  <c r="J40" i="13"/>
  <c r="K105" i="13"/>
  <c r="I45" i="6" s="1"/>
  <c r="K155" i="13"/>
  <c r="K47" i="6" s="1"/>
  <c r="J203" i="13"/>
  <c r="K223" i="13"/>
  <c r="K85" i="5" s="1"/>
  <c r="K232" i="13"/>
  <c r="J259" i="13"/>
  <c r="J203" i="5" s="1"/>
  <c r="K38" i="13"/>
  <c r="F50" i="6" s="1"/>
  <c r="J111" i="13"/>
  <c r="I18" i="6" s="1"/>
  <c r="J33" i="13"/>
  <c r="F12" i="6" s="1"/>
  <c r="J112" i="13"/>
  <c r="I19" i="6" s="1"/>
  <c r="J131" i="13"/>
  <c r="K136" i="13"/>
  <c r="J52" i="6" s="1"/>
  <c r="J153" i="13"/>
  <c r="K12" i="6" s="1"/>
  <c r="J184" i="13"/>
  <c r="K201" i="13"/>
  <c r="N45" i="6" s="1"/>
  <c r="J208" i="13"/>
  <c r="K224" i="13"/>
  <c r="K86" i="5" s="1"/>
  <c r="K234" i="13"/>
  <c r="K44" i="5" s="1"/>
  <c r="K257" i="13"/>
  <c r="J232" i="5" s="1"/>
  <c r="J262" i="13"/>
  <c r="J206" i="5" s="1"/>
  <c r="K264" i="13"/>
  <c r="J239" i="5" s="1"/>
  <c r="K182" i="13"/>
  <c r="L50" i="6" s="1"/>
  <c r="K62" i="13"/>
  <c r="G50" i="6" s="1"/>
  <c r="K159" i="13"/>
  <c r="K39" i="13"/>
  <c r="F51" i="6" s="1"/>
  <c r="J239" i="13"/>
  <c r="J158" i="13"/>
  <c r="K17" i="6" s="1"/>
  <c r="J38" i="13"/>
  <c r="J228" i="13"/>
  <c r="J90" i="5" s="1"/>
  <c r="J133" i="13"/>
  <c r="J16" i="6" s="1"/>
  <c r="K238" i="13"/>
  <c r="K13" i="13"/>
  <c r="K35" i="13"/>
  <c r="F47" i="6" s="1"/>
  <c r="K59" i="13"/>
  <c r="G47" i="6" s="1"/>
  <c r="J64" i="13"/>
  <c r="K66" i="13"/>
  <c r="G58" i="6" s="1"/>
  <c r="J160" i="13"/>
  <c r="K177" i="13"/>
  <c r="L45" i="6" s="1"/>
  <c r="K199" i="13"/>
  <c r="J236" i="13"/>
  <c r="J46" i="5" s="1"/>
  <c r="K158" i="13"/>
  <c r="K50" i="6" s="1"/>
  <c r="J207" i="13"/>
  <c r="N18" i="6" s="1"/>
  <c r="J134" i="13"/>
  <c r="J17" i="6" s="1"/>
  <c r="J61" i="13"/>
  <c r="G16" i="6" s="1"/>
  <c r="K133" i="13"/>
  <c r="K33" i="13"/>
  <c r="F45" i="6" s="1"/>
  <c r="K41" i="13"/>
  <c r="K57" i="13"/>
  <c r="G45" i="6" s="1"/>
  <c r="K65" i="13"/>
  <c r="K103" i="13"/>
  <c r="K112" i="13"/>
  <c r="K131" i="13"/>
  <c r="J136" i="13"/>
  <c r="K153" i="13"/>
  <c r="K45" i="6" s="1"/>
  <c r="K175" i="13"/>
  <c r="L42" i="6" s="1"/>
  <c r="L44" i="6" s="1"/>
  <c r="K184" i="13"/>
  <c r="L52" i="6" s="1"/>
  <c r="J201" i="13"/>
  <c r="N12" i="6" s="1"/>
  <c r="K208" i="13"/>
  <c r="N52" i="6" s="1"/>
  <c r="J224" i="13"/>
  <c r="J86" i="5" s="1"/>
  <c r="J234" i="13"/>
  <c r="J266" i="13"/>
  <c r="J210" i="5" s="1"/>
  <c r="K207" i="13"/>
  <c r="N51" i="6" s="1"/>
  <c r="K111" i="13"/>
  <c r="I51" i="6" s="1"/>
  <c r="J265" i="13"/>
  <c r="J209" i="5" s="1"/>
  <c r="J183" i="13"/>
  <c r="L18" i="6" s="1"/>
  <c r="J63" i="13"/>
  <c r="G18" i="6" s="1"/>
  <c r="J206" i="13"/>
  <c r="N17" i="6" s="1"/>
  <c r="J263" i="13"/>
  <c r="J207" i="5" s="1"/>
  <c r="J181" i="13"/>
  <c r="L16" i="6" s="1"/>
  <c r="K205" i="13"/>
  <c r="K61" i="13"/>
  <c r="K9" i="13"/>
  <c r="E45" i="6" s="1"/>
  <c r="K17" i="13"/>
  <c r="K31" i="13"/>
  <c r="F42" i="6" s="1"/>
  <c r="F44" i="6" s="1"/>
  <c r="J35" i="13"/>
  <c r="K40" i="13"/>
  <c r="F52" i="6" s="1"/>
  <c r="K55" i="13"/>
  <c r="J59" i="13"/>
  <c r="G14" i="6" s="1"/>
  <c r="K64" i="13"/>
  <c r="J105" i="13"/>
  <c r="I12" i="6" s="1"/>
  <c r="K129" i="13"/>
  <c r="J45" i="6" s="1"/>
  <c r="K151" i="13"/>
  <c r="K160" i="13"/>
  <c r="K52" i="6" s="1"/>
  <c r="J177" i="13"/>
  <c r="L12" i="6" s="1"/>
  <c r="K203" i="13"/>
  <c r="N47" i="6" s="1"/>
  <c r="K226" i="13"/>
  <c r="K236" i="13"/>
  <c r="K46" i="5" s="1"/>
  <c r="J241" i="13"/>
  <c r="K259" i="13"/>
  <c r="J234" i="5" s="1"/>
  <c r="K206" i="13"/>
  <c r="N50" i="6" s="1"/>
  <c r="K265" i="13"/>
  <c r="J240" i="5" s="1"/>
  <c r="K183" i="13"/>
  <c r="L51" i="6" s="1"/>
  <c r="K63" i="13"/>
  <c r="G51" i="6" s="1"/>
  <c r="J159" i="13"/>
  <c r="K18" i="6" s="1"/>
  <c r="J264" i="13"/>
  <c r="J208" i="5" s="1"/>
  <c r="J182" i="13"/>
  <c r="L17" i="6" s="1"/>
  <c r="J62" i="13"/>
  <c r="G17" i="6" s="1"/>
  <c r="J238" i="13"/>
  <c r="J157" i="13"/>
  <c r="K16" i="6" s="1"/>
  <c r="K181" i="13"/>
  <c r="K37" i="13"/>
  <c r="R89" i="14"/>
  <c r="R84" i="14"/>
  <c r="J87" i="14"/>
  <c r="R87" i="14" s="1"/>
  <c r="I447" i="5"/>
  <c r="J1080" i="5"/>
  <c r="A508" i="13"/>
  <c r="I476" i="5"/>
  <c r="J456" i="5"/>
  <c r="G89" i="14"/>
  <c r="P89" i="14" s="1"/>
  <c r="N84" i="14"/>
  <c r="E87" i="14"/>
  <c r="N87" i="14" s="1"/>
  <c r="O84" i="14"/>
  <c r="F87" i="14"/>
  <c r="O87" i="14" s="1"/>
  <c r="I475" i="5"/>
  <c r="A453" i="13"/>
  <c r="A395" i="13"/>
  <c r="J465" i="5"/>
  <c r="I446" i="5"/>
  <c r="A353" i="13"/>
  <c r="K1063" i="5"/>
  <c r="A506" i="13"/>
  <c r="A332" i="13"/>
  <c r="A399" i="13"/>
  <c r="A298" i="13"/>
  <c r="J1061" i="5"/>
  <c r="I477" i="5"/>
  <c r="I467" i="5"/>
  <c r="J432" i="5"/>
  <c r="J476" i="5"/>
  <c r="A492" i="13"/>
  <c r="A449" i="13"/>
  <c r="A362" i="13"/>
  <c r="A310" i="13"/>
  <c r="J474" i="5"/>
  <c r="I466" i="5"/>
  <c r="A405" i="13"/>
  <c r="A302" i="13"/>
  <c r="G364" i="13"/>
  <c r="G386" i="13" s="1"/>
  <c r="A494" i="13"/>
  <c r="A355" i="13"/>
  <c r="A311" i="13"/>
  <c r="I479" i="5"/>
  <c r="J467" i="5"/>
  <c r="A404" i="13"/>
  <c r="K364" i="13"/>
  <c r="I541" i="5"/>
  <c r="A400" i="13"/>
  <c r="A345" i="13"/>
  <c r="K1064" i="5"/>
  <c r="J457" i="5"/>
  <c r="J453" i="5"/>
  <c r="A303" i="13"/>
  <c r="J445" i="5"/>
  <c r="J543" i="5"/>
  <c r="J534" i="5"/>
  <c r="J537" i="5" s="1"/>
  <c r="K1061" i="5"/>
  <c r="I454" i="5"/>
  <c r="J447" i="5"/>
  <c r="J443" i="5"/>
  <c r="J1079" i="5"/>
  <c r="A486" i="13"/>
  <c r="A454" i="13"/>
  <c r="A307" i="13"/>
  <c r="K1058" i="5"/>
  <c r="J477" i="5"/>
  <c r="I452" i="5"/>
  <c r="A501" i="13"/>
  <c r="K1078" i="5"/>
  <c r="K1069" i="5"/>
  <c r="A363" i="13"/>
  <c r="K1059" i="5"/>
  <c r="A503" i="13"/>
  <c r="A489" i="13"/>
  <c r="A450" i="13"/>
  <c r="A396" i="13"/>
  <c r="A299" i="13"/>
  <c r="J1063" i="5"/>
  <c r="I456" i="5"/>
  <c r="I444" i="5"/>
  <c r="A461" i="13"/>
  <c r="I542" i="5"/>
  <c r="AB77" i="1"/>
  <c r="A394" i="13"/>
  <c r="K1084" i="5"/>
  <c r="A413" i="13"/>
  <c r="A519" i="13"/>
  <c r="J364" i="13"/>
  <c r="K1083" i="5"/>
  <c r="A497" i="13"/>
  <c r="A488" i="13"/>
  <c r="F364" i="13"/>
  <c r="F386" i="13" s="1"/>
  <c r="J1083" i="5"/>
  <c r="J1065" i="5"/>
  <c r="J1060" i="5"/>
  <c r="J478" i="5"/>
  <c r="A493" i="13"/>
  <c r="A412" i="13"/>
  <c r="K521" i="13"/>
  <c r="I534" i="5"/>
  <c r="A441" i="13"/>
  <c r="K1065" i="5"/>
  <c r="J1064" i="5"/>
  <c r="A462" i="13"/>
  <c r="I543" i="5"/>
  <c r="D77" i="1"/>
  <c r="A485" i="13"/>
  <c r="A439" i="13"/>
  <c r="A308" i="13"/>
  <c r="A301" i="13"/>
  <c r="N47" i="14"/>
  <c r="Q47" i="14"/>
  <c r="K55" i="14"/>
  <c r="S55" i="14" s="1"/>
  <c r="F423" i="7" s="1"/>
  <c r="J1081" i="5"/>
  <c r="K1070" i="5"/>
  <c r="F444" i="13"/>
  <c r="G391" i="13"/>
  <c r="G436" i="13" s="1"/>
  <c r="J541" i="5"/>
  <c r="A456" i="13"/>
  <c r="A452" i="13"/>
  <c r="A448" i="13"/>
  <c r="A442" i="13"/>
  <c r="A397" i="13"/>
  <c r="F391" i="13"/>
  <c r="F436" i="13" s="1"/>
  <c r="A357" i="13"/>
  <c r="A352" i="13"/>
  <c r="A343" i="13"/>
  <c r="A300" i="13"/>
  <c r="K1067" i="5"/>
  <c r="I465" i="5"/>
  <c r="J117" i="14"/>
  <c r="K58" i="14"/>
  <c r="S58" i="14" s="1"/>
  <c r="F426" i="7" s="1"/>
  <c r="A505" i="13"/>
  <c r="A495" i="13"/>
  <c r="A491" i="13"/>
  <c r="A487" i="13"/>
  <c r="A455" i="13"/>
  <c r="A451" i="13"/>
  <c r="A447" i="13"/>
  <c r="A411" i="13"/>
  <c r="A401" i="13"/>
  <c r="J391" i="13"/>
  <c r="A390" i="13"/>
  <c r="A356" i="13"/>
  <c r="A347" i="13"/>
  <c r="A342" i="13"/>
  <c r="J521" i="13"/>
  <c r="J1069" i="5"/>
  <c r="K1060" i="5"/>
  <c r="J479" i="5"/>
  <c r="I478" i="5"/>
  <c r="K57" i="14"/>
  <c r="S57" i="14" s="1"/>
  <c r="F425" i="7" s="1"/>
  <c r="A520" i="13"/>
  <c r="A490" i="13"/>
  <c r="G444" i="13"/>
  <c r="A440" i="13"/>
  <c r="A406" i="13"/>
  <c r="A389" i="13"/>
  <c r="A346" i="13"/>
  <c r="A309" i="13"/>
  <c r="J464" i="5"/>
  <c r="A1291" i="5"/>
  <c r="A1026" i="5"/>
  <c r="A1056" i="5"/>
  <c r="A1057" i="5" s="1"/>
  <c r="A1288" i="5"/>
  <c r="A1289" i="5" s="1"/>
  <c r="J359" i="13"/>
  <c r="I474" i="5"/>
  <c r="G79" i="14"/>
  <c r="P79" i="14" s="1"/>
  <c r="E458" i="7" s="1"/>
  <c r="M483" i="31" s="1"/>
  <c r="G48" i="14"/>
  <c r="P48" i="14" s="1"/>
  <c r="K49" i="14"/>
  <c r="S49" i="14" s="1"/>
  <c r="F404" i="7" s="1"/>
  <c r="K48" i="14"/>
  <c r="S48" i="14" s="1"/>
  <c r="F405" i="7" s="1"/>
  <c r="O47" i="14"/>
  <c r="N48" i="14"/>
  <c r="J542" i="5"/>
  <c r="K79" i="14"/>
  <c r="S79" i="14" s="1"/>
  <c r="F458" i="7" s="1"/>
  <c r="O483" i="31" s="1"/>
  <c r="G49" i="14"/>
  <c r="P49" i="14" s="1"/>
  <c r="E404" i="7" s="1"/>
  <c r="K89" i="14"/>
  <c r="S89" i="14" s="1"/>
  <c r="G78" i="14"/>
  <c r="P78" i="14" s="1"/>
  <c r="E459" i="7" s="1"/>
  <c r="N483" i="31" s="1"/>
  <c r="A518" i="13"/>
  <c r="Q89" i="14"/>
  <c r="I61" i="14"/>
  <c r="Q61" i="14" s="1"/>
  <c r="Q71" i="14"/>
  <c r="N64" i="14"/>
  <c r="E81" i="14"/>
  <c r="N81" i="14" s="1"/>
  <c r="A349" i="13"/>
  <c r="G57" i="14"/>
  <c r="P57" i="14" s="1"/>
  <c r="E425" i="7" s="1"/>
  <c r="A463" i="13"/>
  <c r="G115" i="14"/>
  <c r="P115" i="14" s="1"/>
  <c r="E541" i="7" s="1"/>
  <c r="N89" i="14"/>
  <c r="K78" i="14"/>
  <c r="S78" i="14" s="1"/>
  <c r="A398" i="13"/>
  <c r="A403" i="13"/>
  <c r="A354" i="13"/>
  <c r="J475" i="5"/>
  <c r="A348" i="13"/>
  <c r="A344" i="13"/>
  <c r="I464" i="5"/>
  <c r="A350" i="13"/>
  <c r="A351" i="13"/>
  <c r="J466" i="5"/>
  <c r="K359" i="13"/>
  <c r="I453" i="5"/>
  <c r="J444" i="5"/>
  <c r="J1058" i="5"/>
  <c r="J454" i="5"/>
  <c r="I443" i="5"/>
  <c r="K114" i="14"/>
  <c r="S114" i="14" s="1"/>
  <c r="F539" i="7" s="1"/>
  <c r="G125" i="14"/>
  <c r="K115" i="14"/>
  <c r="S115" i="14" s="1"/>
  <c r="F541" i="7" s="1"/>
  <c r="K112" i="14"/>
  <c r="S112" i="14" s="1"/>
  <c r="F538" i="7" s="1"/>
  <c r="I117" i="14"/>
  <c r="G112" i="14"/>
  <c r="P112" i="14" s="1"/>
  <c r="E538" i="7" s="1"/>
  <c r="K125" i="14"/>
  <c r="K120" i="14"/>
  <c r="F117" i="14"/>
  <c r="O117" i="14" s="1"/>
  <c r="G114" i="14"/>
  <c r="P114" i="14" s="1"/>
  <c r="E539" i="7" s="1"/>
  <c r="E117" i="14"/>
  <c r="Q84" i="14"/>
  <c r="S84" i="14"/>
  <c r="O67" i="14"/>
  <c r="G58" i="14"/>
  <c r="P58" i="14" s="1"/>
  <c r="E426" i="7" s="1"/>
  <c r="G56" i="14"/>
  <c r="P56" i="14" s="1"/>
  <c r="E424" i="7" s="1"/>
  <c r="J61" i="14"/>
  <c r="R61" i="14" s="1"/>
  <c r="K56" i="14"/>
  <c r="S56" i="14" s="1"/>
  <c r="F424" i="7" s="1"/>
  <c r="K391" i="13"/>
  <c r="J1078" i="5"/>
  <c r="K408" i="13"/>
  <c r="J452" i="5"/>
  <c r="I445" i="5"/>
  <c r="J1068" i="5"/>
  <c r="A1068" i="5" s="1"/>
  <c r="J1066" i="5"/>
  <c r="J446" i="5"/>
  <c r="R78" i="14"/>
  <c r="A402" i="13"/>
  <c r="A305" i="13"/>
  <c r="A304" i="13"/>
  <c r="J81" i="14"/>
  <c r="R81" i="14" s="1"/>
  <c r="I81" i="14"/>
  <c r="Q81" i="14" s="1"/>
  <c r="J73" i="14"/>
  <c r="R73" i="14" s="1"/>
  <c r="J402" i="13"/>
  <c r="I561" i="5" s="1"/>
  <c r="A561" i="5" s="1"/>
  <c r="K305" i="13"/>
  <c r="J304" i="13"/>
  <c r="I449" i="5" s="1"/>
  <c r="A392" i="5"/>
  <c r="A617" i="5"/>
  <c r="A618" i="5" s="1"/>
  <c r="F81" i="14"/>
  <c r="O81" i="14" s="1"/>
  <c r="A158" i="7"/>
  <c r="A1308" i="5"/>
  <c r="K498" i="13"/>
  <c r="I73" i="14"/>
  <c r="K306" i="13"/>
  <c r="J451" i="5" s="1"/>
  <c r="A306" i="13"/>
  <c r="N7" i="14"/>
  <c r="O19" i="14"/>
  <c r="E24" i="49" s="1"/>
  <c r="J1039" i="5"/>
  <c r="H102" i="7" s="1"/>
  <c r="J467" i="13"/>
  <c r="G607" i="5" s="1"/>
  <c r="J473" i="13"/>
  <c r="H608" i="5" s="1"/>
  <c r="J471" i="13"/>
  <c r="F608" i="5" s="1"/>
  <c r="A238" i="5" l="1"/>
  <c r="O49" i="6"/>
  <c r="J1140" i="5"/>
  <c r="K315" i="31"/>
  <c r="E439" i="7"/>
  <c r="G119" i="7"/>
  <c r="F441" i="7"/>
  <c r="I129" i="7"/>
  <c r="F467" i="7"/>
  <c r="K75" i="5"/>
  <c r="K77" i="5" s="1"/>
  <c r="D12" i="49"/>
  <c r="N43" i="14"/>
  <c r="E440" i="7"/>
  <c r="G123" i="7"/>
  <c r="E441" i="7"/>
  <c r="G129" i="7"/>
  <c r="H131" i="7" s="1"/>
  <c r="J170" i="31" s="1"/>
  <c r="A75" i="5"/>
  <c r="J77" i="5"/>
  <c r="A77" i="5" s="1"/>
  <c r="J19" i="58"/>
  <c r="H19" i="58" s="1"/>
  <c r="S43" i="14"/>
  <c r="E12" i="49"/>
  <c r="E48" i="49" s="1"/>
  <c r="O43" i="14"/>
  <c r="H169" i="49"/>
  <c r="J295" i="31"/>
  <c r="A295" i="31" s="1"/>
  <c r="J431" i="29"/>
  <c r="L431" i="29" s="1"/>
  <c r="F548" i="13" s="1"/>
  <c r="K93" i="14"/>
  <c r="K88" i="5"/>
  <c r="K92" i="5" s="1"/>
  <c r="J44" i="5"/>
  <c r="A44" i="5" s="1"/>
  <c r="I387" i="5"/>
  <c r="J588" i="5"/>
  <c r="I588" i="5"/>
  <c r="I568" i="5"/>
  <c r="I409" i="31" s="1"/>
  <c r="K409" i="31" s="1"/>
  <c r="J568" i="5"/>
  <c r="H137" i="49"/>
  <c r="K436" i="13"/>
  <c r="K386" i="13"/>
  <c r="J386" i="13"/>
  <c r="K314" i="13"/>
  <c r="H119" i="49" s="1"/>
  <c r="J314" i="13"/>
  <c r="G119" i="49" s="1"/>
  <c r="I94" i="7"/>
  <c r="G94" i="7"/>
  <c r="J48" i="5"/>
  <c r="A46" i="5"/>
  <c r="J50" i="5"/>
  <c r="A50" i="5" s="1"/>
  <c r="K48" i="5"/>
  <c r="K41" i="5"/>
  <c r="K43" i="5" s="1"/>
  <c r="K54" i="5"/>
  <c r="K56" i="5" s="1"/>
  <c r="F14" i="49"/>
  <c r="P20" i="58" s="1"/>
  <c r="R20" i="58" s="1"/>
  <c r="K1073" i="5"/>
  <c r="J1129" i="5" s="1"/>
  <c r="J1170" i="5" s="1"/>
  <c r="D48" i="49"/>
  <c r="E444" i="7"/>
  <c r="G26" i="7" s="1"/>
  <c r="I24" i="49"/>
  <c r="V30" i="58" s="1"/>
  <c r="X30" i="58" s="1"/>
  <c r="F16" i="49"/>
  <c r="P22" i="58" s="1"/>
  <c r="Q22" i="58" s="1"/>
  <c r="F27" i="49"/>
  <c r="P33" i="58" s="1"/>
  <c r="Q33" i="58" s="1"/>
  <c r="I14" i="49"/>
  <c r="V20" i="58" s="1"/>
  <c r="W20" i="58" s="1"/>
  <c r="I13" i="49"/>
  <c r="V19" i="58" s="1"/>
  <c r="X19" i="58" s="1"/>
  <c r="I16" i="49"/>
  <c r="V22" i="58" s="1"/>
  <c r="X22" i="58" s="1"/>
  <c r="I15" i="49"/>
  <c r="V21" i="58" s="1"/>
  <c r="X21" i="58" s="1"/>
  <c r="I25" i="49"/>
  <c r="V31" i="58" s="1"/>
  <c r="X31" i="58" s="1"/>
  <c r="I27" i="49"/>
  <c r="V33" i="58" s="1"/>
  <c r="W33" i="58" s="1"/>
  <c r="F15" i="49"/>
  <c r="P21" i="58" s="1"/>
  <c r="R21" i="58" s="1"/>
  <c r="F13" i="49"/>
  <c r="P19" i="58" s="1"/>
  <c r="R19" i="58" s="1"/>
  <c r="A19" i="14"/>
  <c r="P20" i="14"/>
  <c r="G31" i="58" s="1"/>
  <c r="E31" i="58" s="1"/>
  <c r="A20" i="14"/>
  <c r="J18" i="58"/>
  <c r="A128" i="49"/>
  <c r="N61" i="14"/>
  <c r="Q117" i="14"/>
  <c r="I134" i="14"/>
  <c r="Q134" i="14" s="1"/>
  <c r="G60" i="49" s="1"/>
  <c r="R117" i="14"/>
  <c r="J134" i="14"/>
  <c r="R134" i="14" s="1"/>
  <c r="H60" i="49" s="1"/>
  <c r="H127" i="49"/>
  <c r="G168" i="8"/>
  <c r="A494" i="46"/>
  <c r="K630" i="5"/>
  <c r="A630" i="5" s="1"/>
  <c r="I90" i="14"/>
  <c r="G185" i="8"/>
  <c r="K622" i="5"/>
  <c r="K627" i="5" s="1"/>
  <c r="S128" i="51"/>
  <c r="H143" i="49"/>
  <c r="G127" i="49"/>
  <c r="G133" i="49" s="1"/>
  <c r="G143" i="49"/>
  <c r="H115" i="8"/>
  <c r="H136" i="49"/>
  <c r="S74" i="51"/>
  <c r="I74" i="51"/>
  <c r="H209" i="49"/>
  <c r="J369" i="31"/>
  <c r="J372" i="31" s="1"/>
  <c r="A367" i="31" s="1"/>
  <c r="H174" i="49"/>
  <c r="A147" i="8"/>
  <c r="A135" i="49"/>
  <c r="P90" i="14"/>
  <c r="E472" i="7" s="1"/>
  <c r="G209" i="49"/>
  <c r="G148" i="49"/>
  <c r="H148" i="49"/>
  <c r="J124" i="7"/>
  <c r="F440" i="7"/>
  <c r="J121" i="7"/>
  <c r="F439" i="7"/>
  <c r="K608" i="5"/>
  <c r="K607" i="5"/>
  <c r="A607" i="5" s="1"/>
  <c r="K606" i="5"/>
  <c r="A606" i="5" s="1"/>
  <c r="H615" i="5"/>
  <c r="H617" i="5" s="1"/>
  <c r="H609" i="5"/>
  <c r="K609" i="5" s="1"/>
  <c r="K631" i="5"/>
  <c r="K614" i="5"/>
  <c r="F615" i="5"/>
  <c r="G615" i="5"/>
  <c r="A117" i="8"/>
  <c r="F429" i="7"/>
  <c r="I18" i="7" s="1"/>
  <c r="J434" i="29"/>
  <c r="J329" i="31"/>
  <c r="A329" i="31" s="1"/>
  <c r="A482" i="13"/>
  <c r="J429" i="29"/>
  <c r="J262" i="31"/>
  <c r="E405" i="7"/>
  <c r="E407" i="7" s="1"/>
  <c r="J436" i="29"/>
  <c r="P55" i="14"/>
  <c r="E423" i="7" s="1"/>
  <c r="E429" i="7" s="1"/>
  <c r="G18" i="7" s="1"/>
  <c r="G61" i="14"/>
  <c r="P61" i="14" s="1"/>
  <c r="D149" i="29"/>
  <c r="AG149" i="29"/>
  <c r="G132" i="14"/>
  <c r="P132" i="14" s="1"/>
  <c r="H103" i="7" s="1"/>
  <c r="P125" i="14"/>
  <c r="E134" i="14"/>
  <c r="N134" i="14" s="1"/>
  <c r="N117" i="14"/>
  <c r="K123" i="14"/>
  <c r="S123" i="14" s="1"/>
  <c r="S120" i="14"/>
  <c r="F459" i="7"/>
  <c r="H485" i="7" s="1"/>
  <c r="G123" i="14"/>
  <c r="P123" i="14" s="1"/>
  <c r="P120" i="14"/>
  <c r="E498" i="7" s="1"/>
  <c r="K132" i="14"/>
  <c r="S132" i="14" s="1"/>
  <c r="J103" i="7" s="1"/>
  <c r="S125" i="14"/>
  <c r="H124" i="7"/>
  <c r="H185" i="8"/>
  <c r="K240" i="5"/>
  <c r="K241" i="5"/>
  <c r="K234" i="5"/>
  <c r="K239" i="5"/>
  <c r="K237" i="5"/>
  <c r="Q73" i="14"/>
  <c r="K73" i="14"/>
  <c r="S73" i="14" s="1"/>
  <c r="P73" i="14"/>
  <c r="A623" i="5"/>
  <c r="J546" i="5"/>
  <c r="J548" i="5" s="1"/>
  <c r="I546" i="5"/>
  <c r="K208" i="5"/>
  <c r="K207" i="5"/>
  <c r="K209" i="5"/>
  <c r="A424" i="7"/>
  <c r="K125" i="31"/>
  <c r="G281" i="13"/>
  <c r="K281" i="13" s="1"/>
  <c r="K279" i="13"/>
  <c r="J444" i="13"/>
  <c r="A1050" i="5"/>
  <c r="F134" i="14"/>
  <c r="O134" i="14" s="1"/>
  <c r="E60" i="49" s="1"/>
  <c r="A425" i="7"/>
  <c r="A559" i="5"/>
  <c r="A128" i="8"/>
  <c r="A456" i="5"/>
  <c r="F407" i="7"/>
  <c r="J412" i="7" s="1"/>
  <c r="F543" i="7"/>
  <c r="I27" i="7" s="1"/>
  <c r="F485" i="7"/>
  <c r="A458" i="7"/>
  <c r="E461" i="7"/>
  <c r="I485" i="7"/>
  <c r="A404" i="7"/>
  <c r="A539" i="7"/>
  <c r="E485" i="7"/>
  <c r="A538" i="7"/>
  <c r="E543" i="7"/>
  <c r="G27" i="7" s="1"/>
  <c r="A426" i="7"/>
  <c r="A541" i="7"/>
  <c r="A1270" i="5"/>
  <c r="A20" i="31"/>
  <c r="A1080" i="5"/>
  <c r="A543" i="5"/>
  <c r="A1069" i="5"/>
  <c r="A1083" i="5"/>
  <c r="A1059" i="5"/>
  <c r="A22" i="31"/>
  <c r="A54" i="31"/>
  <c r="P144" i="14"/>
  <c r="A1029" i="5"/>
  <c r="S144" i="14"/>
  <c r="F611" i="5"/>
  <c r="A1051" i="5"/>
  <c r="A1052" i="5" s="1"/>
  <c r="A1067" i="5"/>
  <c r="A107" i="8"/>
  <c r="A114" i="8"/>
  <c r="J58" i="31"/>
  <c r="A53" i="31"/>
  <c r="A1066" i="5"/>
  <c r="A1063" i="5"/>
  <c r="A1049" i="5"/>
  <c r="A1047" i="5"/>
  <c r="A1078" i="5"/>
  <c r="A1060" i="5"/>
  <c r="A1061" i="5"/>
  <c r="A1085" i="5"/>
  <c r="A1086" i="5" s="1"/>
  <c r="A1082" i="5"/>
  <c r="A1058" i="5"/>
  <c r="A464" i="5"/>
  <c r="A1071" i="5"/>
  <c r="A1064" i="5"/>
  <c r="A1065" i="5"/>
  <c r="A556" i="5"/>
  <c r="A465" i="5"/>
  <c r="A582" i="5"/>
  <c r="A625" i="5"/>
  <c r="A626" i="5" s="1"/>
  <c r="A453" i="5"/>
  <c r="A474" i="5"/>
  <c r="A541" i="5"/>
  <c r="A479" i="5"/>
  <c r="A544" i="5"/>
  <c r="A545" i="5" s="1"/>
  <c r="A576" i="5"/>
  <c r="A584" i="5"/>
  <c r="A553" i="5"/>
  <c r="A554" i="5"/>
  <c r="A578" i="5"/>
  <c r="A564" i="5"/>
  <c r="A542" i="5"/>
  <c r="A560" i="5"/>
  <c r="A580" i="5"/>
  <c r="A565" i="5"/>
  <c r="A567" i="5" s="1"/>
  <c r="I537" i="5"/>
  <c r="G136" i="49" s="1"/>
  <c r="A534" i="5"/>
  <c r="A445" i="5"/>
  <c r="A467" i="5"/>
  <c r="A468" i="5"/>
  <c r="A469" i="5"/>
  <c r="A452" i="5"/>
  <c r="A478" i="5"/>
  <c r="A444" i="5"/>
  <c r="A475" i="5"/>
  <c r="A446" i="5"/>
  <c r="A471" i="5"/>
  <c r="A454" i="5"/>
  <c r="A477" i="5"/>
  <c r="A447" i="5"/>
  <c r="A451" i="5"/>
  <c r="A466" i="5"/>
  <c r="A449" i="5"/>
  <c r="A443" i="5"/>
  <c r="A476" i="5"/>
  <c r="A473" i="5"/>
  <c r="A470" i="5"/>
  <c r="A472" i="5"/>
  <c r="A448" i="5"/>
  <c r="I432" i="5"/>
  <c r="A425" i="5"/>
  <c r="G42" i="6"/>
  <c r="G44" i="6" s="1"/>
  <c r="F17" i="6"/>
  <c r="E42" i="6"/>
  <c r="P46" i="6"/>
  <c r="A46" i="6" s="1"/>
  <c r="I42" i="6"/>
  <c r="I44" i="6" s="1"/>
  <c r="G60" i="6"/>
  <c r="M58" i="6"/>
  <c r="K42" i="6"/>
  <c r="K44" i="6" s="1"/>
  <c r="N42" i="6"/>
  <c r="N44" i="6" s="1"/>
  <c r="E51" i="6"/>
  <c r="F18" i="6"/>
  <c r="K444" i="13"/>
  <c r="A393" i="5"/>
  <c r="A391" i="5" s="1"/>
  <c r="N14" i="6"/>
  <c r="N49" i="6"/>
  <c r="N19" i="6"/>
  <c r="J387" i="5"/>
  <c r="J386" i="5"/>
  <c r="I386" i="5"/>
  <c r="J19" i="6"/>
  <c r="M12" i="6"/>
  <c r="J47" i="6"/>
  <c r="G53" i="6"/>
  <c r="J49" i="6"/>
  <c r="G19" i="6"/>
  <c r="F19" i="6"/>
  <c r="F20" i="6"/>
  <c r="F49" i="6"/>
  <c r="L19" i="6"/>
  <c r="J14" i="6"/>
  <c r="I17" i="6"/>
  <c r="K14" i="6"/>
  <c r="J18" i="6"/>
  <c r="L49" i="6"/>
  <c r="L55" i="6" s="1"/>
  <c r="G52" i="6"/>
  <c r="F14" i="6"/>
  <c r="G49" i="6"/>
  <c r="I52" i="6"/>
  <c r="F53" i="6"/>
  <c r="K19" i="6"/>
  <c r="K51" i="6"/>
  <c r="E50" i="6"/>
  <c r="E52" i="6"/>
  <c r="E47" i="6"/>
  <c r="E53" i="6"/>
  <c r="E49" i="6"/>
  <c r="D36" i="6"/>
  <c r="D24" i="6"/>
  <c r="D26" i="6"/>
  <c r="A1112" i="5"/>
  <c r="I457" i="5"/>
  <c r="A457" i="5" s="1"/>
  <c r="A459" i="5" s="1"/>
  <c r="I455" i="5"/>
  <c r="J455" i="5"/>
  <c r="F627" i="5"/>
  <c r="I385" i="5"/>
  <c r="J450" i="5"/>
  <c r="A450" i="5" s="1"/>
  <c r="P7" i="14"/>
  <c r="P19" i="14"/>
  <c r="G30" i="58" s="1"/>
  <c r="E30" i="58" s="1"/>
  <c r="A1302" i="5"/>
  <c r="D73" i="6"/>
  <c r="A1282" i="5"/>
  <c r="J385" i="5"/>
  <c r="A123" i="8"/>
  <c r="P13" i="6"/>
  <c r="A13" i="6" s="1"/>
  <c r="M16" i="6"/>
  <c r="M15" i="6"/>
  <c r="A364" i="13"/>
  <c r="E471" i="7"/>
  <c r="A89" i="14"/>
  <c r="A314" i="13"/>
  <c r="A66" i="14"/>
  <c r="F71" i="6"/>
  <c r="A68" i="14"/>
  <c r="A444" i="13"/>
  <c r="A481" i="13"/>
  <c r="A71" i="14"/>
  <c r="A391" i="13"/>
  <c r="A58" i="14"/>
  <c r="A64" i="14"/>
  <c r="K81" i="14"/>
  <c r="S81" i="14" s="1"/>
  <c r="A48" i="14"/>
  <c r="A458" i="13"/>
  <c r="A446" i="13" s="1"/>
  <c r="A521" i="13"/>
  <c r="A69" i="14"/>
  <c r="A114" i="14"/>
  <c r="K117" i="14"/>
  <c r="K47" i="14"/>
  <c r="S47" i="14" s="1"/>
  <c r="F395" i="7" s="1"/>
  <c r="G81" i="14"/>
  <c r="P81" i="14" s="1"/>
  <c r="A67" i="14"/>
  <c r="A55" i="14"/>
  <c r="A79" i="14"/>
  <c r="A431" i="13"/>
  <c r="A410" i="13" s="1"/>
  <c r="K61" i="14"/>
  <c r="S61" i="14" s="1"/>
  <c r="F472" i="7"/>
  <c r="A65" i="14"/>
  <c r="A115" i="14"/>
  <c r="G47" i="14"/>
  <c r="P47" i="14" s="1"/>
  <c r="E395" i="7" s="1"/>
  <c r="J482" i="5"/>
  <c r="A84" i="14"/>
  <c r="A112" i="14"/>
  <c r="A57" i="14"/>
  <c r="N5" i="14"/>
  <c r="A78" i="14"/>
  <c r="E71" i="6"/>
  <c r="A49" i="14"/>
  <c r="A125" i="14"/>
  <c r="K502" i="13"/>
  <c r="A502" i="13"/>
  <c r="I482" i="5"/>
  <c r="I405" i="31" s="1"/>
  <c r="A359" i="13"/>
  <c r="G117" i="14"/>
  <c r="P117" i="14" s="1"/>
  <c r="A120" i="14"/>
  <c r="A56" i="14"/>
  <c r="A22" i="14"/>
  <c r="A10" i="14"/>
  <c r="A8" i="14"/>
  <c r="G75" i="14"/>
  <c r="P75" i="14" s="1"/>
  <c r="J408" i="13"/>
  <c r="J436" i="13" s="1"/>
  <c r="A7" i="14"/>
  <c r="D60" i="6"/>
  <c r="G627" i="5"/>
  <c r="O73" i="14"/>
  <c r="A9" i="14"/>
  <c r="A408" i="13"/>
  <c r="K504" i="13"/>
  <c r="A504" i="13"/>
  <c r="G509" i="13"/>
  <c r="A11" i="14"/>
  <c r="A209" i="5" l="1"/>
  <c r="O18" i="6"/>
  <c r="A207" i="5"/>
  <c r="O16" i="6"/>
  <c r="A237" i="5"/>
  <c r="O48" i="6"/>
  <c r="K245" i="31"/>
  <c r="A245" i="31" s="1"/>
  <c r="K185" i="31"/>
  <c r="A185" i="31" s="1"/>
  <c r="J185" i="31"/>
  <c r="J245" i="31"/>
  <c r="A234" i="5"/>
  <c r="O45" i="6"/>
  <c r="A239" i="5"/>
  <c r="O50" i="6"/>
  <c r="A241" i="5"/>
  <c r="O52" i="6"/>
  <c r="J296" i="31"/>
  <c r="A296" i="31" s="1"/>
  <c r="A240" i="5"/>
  <c r="O51" i="6"/>
  <c r="A73" i="5"/>
  <c r="A74" i="5" s="1"/>
  <c r="A78" i="5"/>
  <c r="A69" i="5"/>
  <c r="A70" i="5" s="1"/>
  <c r="A208" i="5"/>
  <c r="O17" i="6"/>
  <c r="G18" i="58"/>
  <c r="P43" i="14"/>
  <c r="J54" i="58"/>
  <c r="H18" i="58"/>
  <c r="H54" i="58" s="1"/>
  <c r="J299" i="31"/>
  <c r="K51" i="5"/>
  <c r="I408" i="31"/>
  <c r="K408" i="31" s="1"/>
  <c r="K405" i="31"/>
  <c r="H141" i="49"/>
  <c r="I209" i="49"/>
  <c r="S93" i="14"/>
  <c r="F475" i="7" s="1"/>
  <c r="I487" i="7" s="1"/>
  <c r="I93" i="14"/>
  <c r="Q93" i="14" s="1"/>
  <c r="J93" i="14"/>
  <c r="R93" i="14" s="1"/>
  <c r="A48" i="5"/>
  <c r="I460" i="5"/>
  <c r="I484" i="5" s="1"/>
  <c r="J460" i="5"/>
  <c r="J484" i="5" s="1"/>
  <c r="R33" i="58"/>
  <c r="Q19" i="58"/>
  <c r="W21" i="58"/>
  <c r="X33" i="58"/>
  <c r="R22" i="58"/>
  <c r="W19" i="58"/>
  <c r="W31" i="58"/>
  <c r="Q20" i="58"/>
  <c r="X20" i="58"/>
  <c r="Q21" i="58"/>
  <c r="W22" i="58"/>
  <c r="W30" i="58"/>
  <c r="J548" i="7"/>
  <c r="A27" i="7"/>
  <c r="F444" i="7"/>
  <c r="I26" i="7" s="1"/>
  <c r="H482" i="7"/>
  <c r="J482" i="7" s="1"/>
  <c r="A18" i="7"/>
  <c r="A14" i="49"/>
  <c r="F25" i="49"/>
  <c r="A15" i="49"/>
  <c r="A27" i="49"/>
  <c r="F24" i="49"/>
  <c r="F12" i="49"/>
  <c r="P18" i="58" s="1"/>
  <c r="I12" i="49"/>
  <c r="J400" i="5"/>
  <c r="I382" i="5" s="1"/>
  <c r="I400" i="5" s="1"/>
  <c r="A127" i="49"/>
  <c r="A119" i="49"/>
  <c r="H133" i="49"/>
  <c r="A143" i="49"/>
  <c r="K134" i="14"/>
  <c r="S134" i="14" s="1"/>
  <c r="J131" i="7"/>
  <c r="K170" i="31" s="1"/>
  <c r="I1138" i="5"/>
  <c r="A372" i="31"/>
  <c r="A373" i="31" s="1"/>
  <c r="J332" i="31"/>
  <c r="A327" i="31" s="1"/>
  <c r="A323" i="31" s="1"/>
  <c r="A324" i="31" s="1"/>
  <c r="A136" i="49"/>
  <c r="E13" i="17"/>
  <c r="E12" i="17"/>
  <c r="E10" i="17"/>
  <c r="E11" i="17"/>
  <c r="K153" i="31"/>
  <c r="K156" i="31" s="1"/>
  <c r="J152" i="31" s="1"/>
  <c r="A152" i="31" s="1"/>
  <c r="K227" i="53"/>
  <c r="O431" i="29"/>
  <c r="F548" i="50" s="1"/>
  <c r="AD431" i="29"/>
  <c r="K87" i="14"/>
  <c r="S87" i="14" s="1"/>
  <c r="A106" i="8"/>
  <c r="A122" i="8"/>
  <c r="L429" i="29"/>
  <c r="F546" i="13" s="1"/>
  <c r="A546" i="13" s="1"/>
  <c r="A369" i="31"/>
  <c r="H611" i="5"/>
  <c r="H120" i="8"/>
  <c r="A622" i="5"/>
  <c r="L436" i="29"/>
  <c r="F553" i="13" s="1"/>
  <c r="L434" i="29"/>
  <c r="F551" i="13" s="1"/>
  <c r="J551" i="13" s="1"/>
  <c r="E90" i="14"/>
  <c r="G204" i="49"/>
  <c r="I438" i="31" s="1"/>
  <c r="K438" i="31" s="1"/>
  <c r="A116" i="8"/>
  <c r="G137" i="49"/>
  <c r="A137" i="49" s="1"/>
  <c r="A152" i="8"/>
  <c r="G174" i="49"/>
  <c r="A174" i="49" s="1"/>
  <c r="K71" i="51"/>
  <c r="P74" i="51"/>
  <c r="E74" i="51"/>
  <c r="H145" i="49"/>
  <c r="H151" i="49" s="1"/>
  <c r="G145" i="49"/>
  <c r="H116" i="49"/>
  <c r="H123" i="49" s="1"/>
  <c r="I79" i="51"/>
  <c r="Q79" i="51" s="1"/>
  <c r="G37" i="8" s="1"/>
  <c r="A128" i="51"/>
  <c r="P128" i="51"/>
  <c r="G485" i="7"/>
  <c r="J485" i="7"/>
  <c r="D60" i="49"/>
  <c r="A148" i="49"/>
  <c r="J120" i="31"/>
  <c r="J125" i="31" s="1"/>
  <c r="A125" i="31" s="1"/>
  <c r="A126" i="31" s="1"/>
  <c r="H157" i="49"/>
  <c r="K615" i="5"/>
  <c r="K617" i="5" s="1"/>
  <c r="F617" i="5"/>
  <c r="A405" i="7"/>
  <c r="A406" i="7" s="1"/>
  <c r="A568" i="5"/>
  <c r="A551" i="5" s="1"/>
  <c r="A132" i="14"/>
  <c r="E12" i="35"/>
  <c r="A435" i="7"/>
  <c r="J266" i="31"/>
  <c r="G167" i="49" s="1"/>
  <c r="A167" i="49" s="1"/>
  <c r="A262" i="31"/>
  <c r="J548" i="13"/>
  <c r="A548" i="13"/>
  <c r="J422" i="29"/>
  <c r="A423" i="7"/>
  <c r="A429" i="7"/>
  <c r="A386" i="5"/>
  <c r="AG233" i="29"/>
  <c r="D233" i="29"/>
  <c r="AG160" i="29"/>
  <c r="D161" i="29"/>
  <c r="A162" i="13"/>
  <c r="J162" i="13"/>
  <c r="K24" i="6" s="1"/>
  <c r="K26" i="6" s="1"/>
  <c r="K36" i="6" s="1"/>
  <c r="AG39" i="29"/>
  <c r="D39" i="29"/>
  <c r="AG17" i="29"/>
  <c r="D17" i="29"/>
  <c r="A459" i="7"/>
  <c r="F461" i="7"/>
  <c r="A461" i="7" s="1"/>
  <c r="A454" i="7" s="1"/>
  <c r="A455" i="7" s="1"/>
  <c r="A456" i="7" s="1"/>
  <c r="A457" i="7" s="1"/>
  <c r="P483" i="31"/>
  <c r="A436" i="7"/>
  <c r="A123" i="14"/>
  <c r="S117" i="14"/>
  <c r="A472" i="7"/>
  <c r="A624" i="5"/>
  <c r="K206" i="5"/>
  <c r="K210" i="5"/>
  <c r="K203" i="5"/>
  <c r="A124" i="7"/>
  <c r="A531" i="5"/>
  <c r="A533" i="5" s="1"/>
  <c r="G115" i="8"/>
  <c r="F471" i="7"/>
  <c r="I99" i="7" s="1"/>
  <c r="A150" i="8"/>
  <c r="J243" i="5"/>
  <c r="K232" i="5"/>
  <c r="F75" i="14"/>
  <c r="E75" i="14"/>
  <c r="K611" i="5"/>
  <c r="K134" i="31"/>
  <c r="F498" i="7"/>
  <c r="F501" i="7" s="1"/>
  <c r="I28" i="7" s="1"/>
  <c r="K1034" i="5"/>
  <c r="K1037" i="5" s="1"/>
  <c r="J101" i="7" s="1"/>
  <c r="K75" i="14"/>
  <c r="F450" i="7"/>
  <c r="F452" i="7" s="1"/>
  <c r="H484" i="7" s="1"/>
  <c r="J484" i="7" s="1"/>
  <c r="G99" i="7"/>
  <c r="G134" i="14"/>
  <c r="P134" i="14" s="1"/>
  <c r="A129" i="7"/>
  <c r="A441" i="7"/>
  <c r="H112" i="8"/>
  <c r="A112" i="8" s="1"/>
  <c r="A439" i="7"/>
  <c r="A440" i="7"/>
  <c r="A119" i="7"/>
  <c r="E501" i="7"/>
  <c r="G28" i="7" s="1"/>
  <c r="E482" i="7"/>
  <c r="G482" i="7" s="1"/>
  <c r="A395" i="7"/>
  <c r="H121" i="7"/>
  <c r="A123" i="7"/>
  <c r="I412" i="7"/>
  <c r="A407" i="7"/>
  <c r="E473" i="7"/>
  <c r="I548" i="7"/>
  <c r="A548" i="7" s="1"/>
  <c r="A543" i="7"/>
  <c r="A127" i="8"/>
  <c r="A1268" i="5"/>
  <c r="A1269" i="5" s="1"/>
  <c r="A1274" i="5"/>
  <c r="A1275" i="5" s="1"/>
  <c r="M18" i="6"/>
  <c r="P18" i="6" s="1"/>
  <c r="M17" i="6"/>
  <c r="A19" i="31"/>
  <c r="A21" i="31"/>
  <c r="A368" i="31"/>
  <c r="A359" i="31"/>
  <c r="A360" i="31" s="1"/>
  <c r="G611" i="5"/>
  <c r="A608" i="5"/>
  <c r="I55" i="6"/>
  <c r="M50" i="6"/>
  <c r="A50" i="31"/>
  <c r="A58" i="31"/>
  <c r="A46" i="31" s="1"/>
  <c r="A47" i="31" s="1"/>
  <c r="P16" i="6"/>
  <c r="A16" i="6" s="1"/>
  <c r="K25" i="31"/>
  <c r="J153" i="31"/>
  <c r="J25" i="31"/>
  <c r="A94" i="7"/>
  <c r="A1032" i="5"/>
  <c r="A1033" i="5" s="1"/>
  <c r="A1053" i="5"/>
  <c r="A1054" i="5" s="1"/>
  <c r="A1072" i="5"/>
  <c r="A1045" i="5"/>
  <c r="A1046" i="5" s="1"/>
  <c r="K633" i="5"/>
  <c r="L633" i="5" s="1"/>
  <c r="A588" i="5"/>
  <c r="A589" i="5" s="1"/>
  <c r="I548" i="5"/>
  <c r="A548" i="5" s="1"/>
  <c r="A549" i="5" s="1"/>
  <c r="A539" i="5"/>
  <c r="A540" i="5" s="1"/>
  <c r="A546" i="5"/>
  <c r="A547" i="5" s="1"/>
  <c r="A574" i="5"/>
  <c r="A575" i="5" s="1"/>
  <c r="A537" i="5"/>
  <c r="A550" i="5"/>
  <c r="A552" i="5" s="1"/>
  <c r="A462" i="5"/>
  <c r="A463" i="5" s="1"/>
  <c r="A423" i="5"/>
  <c r="A424" i="5" s="1"/>
  <c r="A432" i="5"/>
  <c r="A433" i="5" s="1"/>
  <c r="A455" i="5"/>
  <c r="A387" i="5"/>
  <c r="A385" i="5"/>
  <c r="J590" i="5"/>
  <c r="I590" i="5"/>
  <c r="K55" i="6"/>
  <c r="N55" i="6"/>
  <c r="P58" i="6"/>
  <c r="P60" i="6" s="1"/>
  <c r="M60" i="6"/>
  <c r="E44" i="6"/>
  <c r="M42" i="6"/>
  <c r="A144" i="14"/>
  <c r="F55" i="6"/>
  <c r="G55" i="6"/>
  <c r="J55" i="6"/>
  <c r="I71" i="6"/>
  <c r="L71" i="6"/>
  <c r="J71" i="6"/>
  <c r="M49" i="6"/>
  <c r="P49" i="6" s="1"/>
  <c r="H71" i="6"/>
  <c r="M53" i="6"/>
  <c r="P53" i="6" s="1"/>
  <c r="E15" i="35"/>
  <c r="Q5" i="14"/>
  <c r="M19" i="6"/>
  <c r="M20" i="6"/>
  <c r="M47" i="6"/>
  <c r="M45" i="6"/>
  <c r="M51" i="6"/>
  <c r="P51" i="6" s="1"/>
  <c r="M14" i="6"/>
  <c r="M48" i="6"/>
  <c r="M52" i="6"/>
  <c r="A386" i="13"/>
  <c r="J1114" i="5"/>
  <c r="A436" i="13"/>
  <c r="A81" i="14"/>
  <c r="A482" i="5"/>
  <c r="A483" i="5" s="1"/>
  <c r="A47" i="14"/>
  <c r="A73" i="14"/>
  <c r="I334" i="7"/>
  <c r="E505" i="7" s="1"/>
  <c r="K536" i="13"/>
  <c r="E86" i="49" s="1"/>
  <c r="J500" i="13"/>
  <c r="A500" i="13"/>
  <c r="K1079" i="5"/>
  <c r="A1079" i="5" s="1"/>
  <c r="J1034" i="5"/>
  <c r="A117" i="14"/>
  <c r="F51" i="14"/>
  <c r="O51" i="14" s="1"/>
  <c r="E50" i="49" s="1"/>
  <c r="K322" i="13"/>
  <c r="G511" i="13"/>
  <c r="G529" i="13" s="1"/>
  <c r="F483" i="7"/>
  <c r="G483" i="7" s="1"/>
  <c r="G633" i="5"/>
  <c r="K509" i="13"/>
  <c r="K511" i="13" s="1"/>
  <c r="K1081" i="5"/>
  <c r="A1081" i="5" s="1"/>
  <c r="K1039" i="5"/>
  <c r="J102" i="7" s="1"/>
  <c r="A102" i="7" s="1"/>
  <c r="H627" i="5"/>
  <c r="H633" i="5" s="1"/>
  <c r="K550" i="13"/>
  <c r="P50" i="6" l="1"/>
  <c r="I98" i="7" s="1"/>
  <c r="J99" i="7" s="1"/>
  <c r="H487" i="7"/>
  <c r="A203" i="5"/>
  <c r="O12" i="6"/>
  <c r="P12" i="6" s="1"/>
  <c r="A12" i="6" s="1"/>
  <c r="K243" i="5"/>
  <c r="A243" i="5" s="1"/>
  <c r="O42" i="6"/>
  <c r="O44" i="6" s="1"/>
  <c r="O55" i="6" s="1"/>
  <c r="A210" i="5"/>
  <c r="O19" i="6"/>
  <c r="P19" i="6" s="1"/>
  <c r="A19" i="6" s="1"/>
  <c r="A206" i="5"/>
  <c r="O15" i="6"/>
  <c r="P15" i="6" s="1"/>
  <c r="P52" i="6"/>
  <c r="K194" i="31"/>
  <c r="I1140" i="5"/>
  <c r="J315" i="31"/>
  <c r="E18" i="58"/>
  <c r="E54" i="58" s="1"/>
  <c r="G54" i="58"/>
  <c r="Q18" i="58"/>
  <c r="A299" i="31"/>
  <c r="A300" i="31" s="1"/>
  <c r="A293" i="31"/>
  <c r="A294" i="31" s="1"/>
  <c r="G169" i="49"/>
  <c r="A169" i="49" s="1"/>
  <c r="J549" i="13"/>
  <c r="A549" i="13"/>
  <c r="A15" i="6"/>
  <c r="G95" i="7"/>
  <c r="H96" i="7" s="1"/>
  <c r="A115" i="8"/>
  <c r="G120" i="8"/>
  <c r="A120" i="8" s="1"/>
  <c r="G151" i="49"/>
  <c r="I413" i="31" s="1"/>
  <c r="K413" i="31" s="1"/>
  <c r="G141" i="49"/>
  <c r="I412" i="31" s="1"/>
  <c r="K412" i="31" s="1"/>
  <c r="J1077" i="5"/>
  <c r="A1077" i="5" s="1"/>
  <c r="J509" i="13"/>
  <c r="A60" i="6"/>
  <c r="F486" i="7"/>
  <c r="E486" i="7"/>
  <c r="A49" i="6"/>
  <c r="A53" i="6"/>
  <c r="A18" i="6"/>
  <c r="A52" i="6"/>
  <c r="A58" i="6"/>
  <c r="E55" i="6"/>
  <c r="A50" i="6"/>
  <c r="A51" i="6"/>
  <c r="H135" i="7"/>
  <c r="E103" i="49"/>
  <c r="E104" i="49" s="1"/>
  <c r="K40" i="31"/>
  <c r="K74" i="31" s="1"/>
  <c r="A24" i="49"/>
  <c r="P30" i="58"/>
  <c r="R18" i="58"/>
  <c r="A25" i="49"/>
  <c r="P31" i="58"/>
  <c r="I48" i="49"/>
  <c r="V54" i="58" s="1"/>
  <c r="V18" i="58"/>
  <c r="I70" i="49"/>
  <c r="A28" i="7"/>
  <c r="G31" i="7"/>
  <c r="I31" i="7"/>
  <c r="A26" i="7"/>
  <c r="P64" i="57"/>
  <c r="R64" i="57" s="1"/>
  <c r="I483" i="7"/>
  <c r="J483" i="7" s="1"/>
  <c r="E93" i="49"/>
  <c r="E94" i="49" s="1"/>
  <c r="E96" i="49" s="1"/>
  <c r="F48" i="49"/>
  <c r="P54" i="58" s="1"/>
  <c r="A74" i="51"/>
  <c r="E79" i="51"/>
  <c r="A498" i="7"/>
  <c r="G116" i="7"/>
  <c r="H116" i="7"/>
  <c r="A170" i="31"/>
  <c r="A172" i="31" s="1"/>
  <c r="A133" i="49"/>
  <c r="E14" i="35"/>
  <c r="G172" i="49"/>
  <c r="A172" i="49" s="1"/>
  <c r="A332" i="31"/>
  <c r="A333" i="31" s="1"/>
  <c r="A384" i="5"/>
  <c r="J40" i="31"/>
  <c r="J43" i="31" s="1"/>
  <c r="I433" i="31" s="1"/>
  <c r="K433" i="31" s="1"/>
  <c r="J135" i="7"/>
  <c r="K192" i="31" s="1"/>
  <c r="A440" i="5"/>
  <c r="K173" i="31"/>
  <c r="A131" i="7"/>
  <c r="F70" i="49"/>
  <c r="H159" i="49"/>
  <c r="J424" i="29"/>
  <c r="L424" i="29" s="1"/>
  <c r="F537" i="13" s="1"/>
  <c r="J537" i="13" s="1"/>
  <c r="AG431" i="29"/>
  <c r="D431" i="29"/>
  <c r="K529" i="13"/>
  <c r="J548" i="50"/>
  <c r="A548" i="50"/>
  <c r="J223" i="53"/>
  <c r="H138" i="8"/>
  <c r="K257" i="53"/>
  <c r="A257" i="53" s="1"/>
  <c r="A213" i="53"/>
  <c r="K216" i="53"/>
  <c r="A224" i="53"/>
  <c r="O436" i="29"/>
  <c r="AD436" i="29"/>
  <c r="O434" i="29"/>
  <c r="AG434" i="29" s="1"/>
  <c r="AD434" i="29"/>
  <c r="O429" i="29"/>
  <c r="AD429" i="29"/>
  <c r="A124" i="8"/>
  <c r="G87" i="14"/>
  <c r="P87" i="14" s="1"/>
  <c r="A118" i="31"/>
  <c r="A119" i="31" s="1"/>
  <c r="L422" i="29"/>
  <c r="F535" i="13" s="1"/>
  <c r="J487" i="7"/>
  <c r="A145" i="49"/>
  <c r="N90" i="14"/>
  <c r="A90" i="14"/>
  <c r="S71" i="51"/>
  <c r="K79" i="51"/>
  <c r="S79" i="51" s="1"/>
  <c r="I37" i="8" s="1"/>
  <c r="N74" i="51"/>
  <c r="G71" i="51"/>
  <c r="G79" i="51" s="1"/>
  <c r="A120" i="31"/>
  <c r="F60" i="49"/>
  <c r="I387" i="31" s="1"/>
  <c r="K387" i="31" s="1"/>
  <c r="I60" i="49"/>
  <c r="A136" i="8"/>
  <c r="G157" i="49"/>
  <c r="A157" i="49" s="1"/>
  <c r="A13" i="49"/>
  <c r="A17" i="49"/>
  <c r="A12" i="49"/>
  <c r="J546" i="13"/>
  <c r="A569" i="5"/>
  <c r="A551" i="13"/>
  <c r="A538" i="5"/>
  <c r="A532" i="5"/>
  <c r="E13" i="35"/>
  <c r="A145" i="8"/>
  <c r="A260" i="31"/>
  <c r="J553" i="13"/>
  <c r="A553" i="13"/>
  <c r="A485" i="7"/>
  <c r="A257" i="13"/>
  <c r="J257" i="13"/>
  <c r="J201" i="5" s="1"/>
  <c r="D222" i="29"/>
  <c r="AG222" i="29"/>
  <c r="D211" i="29"/>
  <c r="AG211" i="29"/>
  <c r="L73" i="6"/>
  <c r="A175" i="13"/>
  <c r="J175" i="13"/>
  <c r="L9" i="6" s="1"/>
  <c r="L11" i="6" s="1"/>
  <c r="L21" i="6" s="1"/>
  <c r="K73" i="6"/>
  <c r="D127" i="29"/>
  <c r="AG127" i="29"/>
  <c r="D116" i="29"/>
  <c r="AG116" i="29"/>
  <c r="D105" i="29"/>
  <c r="AG105" i="29"/>
  <c r="D94" i="29"/>
  <c r="AG94" i="29"/>
  <c r="AG83" i="29"/>
  <c r="D83" i="29"/>
  <c r="AG50" i="29"/>
  <c r="D50" i="29"/>
  <c r="A42" i="13"/>
  <c r="J42" i="13"/>
  <c r="F24" i="6" s="1"/>
  <c r="F26" i="6" s="1"/>
  <c r="F36" i="6" s="1"/>
  <c r="F73" i="6"/>
  <c r="A18" i="13"/>
  <c r="J18" i="13"/>
  <c r="E24" i="6" s="1"/>
  <c r="K95" i="14"/>
  <c r="S95" i="14" s="1"/>
  <c r="S75" i="14"/>
  <c r="A16" i="49"/>
  <c r="J549" i="7"/>
  <c r="J552" i="7" s="1"/>
  <c r="N552" i="7" s="1"/>
  <c r="A232" i="5"/>
  <c r="A471" i="7"/>
  <c r="K251" i="31"/>
  <c r="F396" i="7"/>
  <c r="F473" i="7"/>
  <c r="H486" i="7" s="1"/>
  <c r="A328" i="31"/>
  <c r="A609" i="5"/>
  <c r="A610" i="5" s="1"/>
  <c r="N75" i="14"/>
  <c r="J75" i="14"/>
  <c r="I75" i="14"/>
  <c r="I95" i="14" s="1"/>
  <c r="Q95" i="14" s="1"/>
  <c r="O75" i="14"/>
  <c r="A103" i="7"/>
  <c r="J134" i="31"/>
  <c r="A134" i="31" s="1"/>
  <c r="A121" i="7"/>
  <c r="A462" i="7"/>
  <c r="A412" i="7"/>
  <c r="A413" i="7" s="1"/>
  <c r="J156" i="31"/>
  <c r="P17" i="6"/>
  <c r="A17" i="6" s="1"/>
  <c r="A450" i="7"/>
  <c r="A451" i="7" s="1"/>
  <c r="E452" i="7"/>
  <c r="A134" i="14"/>
  <c r="E402" i="7"/>
  <c r="E448" i="7"/>
  <c r="E433" i="7"/>
  <c r="A438" i="7"/>
  <c r="A460" i="7"/>
  <c r="A408" i="7"/>
  <c r="A400" i="7"/>
  <c r="A482" i="7"/>
  <c r="A467" i="7"/>
  <c r="F469" i="7"/>
  <c r="I549" i="7"/>
  <c r="A501" i="7"/>
  <c r="A437" i="7"/>
  <c r="A544" i="7"/>
  <c r="A545" i="7" s="1"/>
  <c r="A537" i="7"/>
  <c r="A536" i="7"/>
  <c r="A542" i="7"/>
  <c r="A534" i="7"/>
  <c r="A535" i="7" s="1"/>
  <c r="A444" i="7"/>
  <c r="A428" i="7"/>
  <c r="A419" i="7"/>
  <c r="A420" i="7" s="1"/>
  <c r="A421" i="7" s="1"/>
  <c r="A422" i="7" s="1"/>
  <c r="A430" i="7"/>
  <c r="I73" i="6"/>
  <c r="E393" i="7"/>
  <c r="I409" i="7"/>
  <c r="K23" i="31"/>
  <c r="K313" i="31"/>
  <c r="K133" i="31"/>
  <c r="K137" i="31" s="1"/>
  <c r="A41" i="31"/>
  <c r="A42" i="31" s="1"/>
  <c r="P48" i="6"/>
  <c r="P45" i="6"/>
  <c r="A45" i="6" s="1"/>
  <c r="A59" i="31"/>
  <c r="A60" i="31"/>
  <c r="A51" i="31"/>
  <c r="A52" i="31"/>
  <c r="A98" i="8"/>
  <c r="P20" i="6"/>
  <c r="A20" i="6" s="1"/>
  <c r="P14" i="6"/>
  <c r="G138" i="14" s="1"/>
  <c r="A25" i="31"/>
  <c r="J1037" i="5"/>
  <c r="H101" i="7" s="1"/>
  <c r="P19" i="57" s="1"/>
  <c r="A1034" i="5"/>
  <c r="A1035" i="5" s="1"/>
  <c r="A1036" i="5"/>
  <c r="A1027" i="5"/>
  <c r="A1135" i="5"/>
  <c r="A1039" i="5"/>
  <c r="A1040" i="5" s="1"/>
  <c r="A619" i="5"/>
  <c r="A627" i="5"/>
  <c r="F633" i="5"/>
  <c r="A633" i="5" s="1"/>
  <c r="A631" i="5"/>
  <c r="A632" i="5" s="1"/>
  <c r="A484" i="5"/>
  <c r="A485" i="5" s="1"/>
  <c r="A620" i="5"/>
  <c r="A621" i="5" s="1"/>
  <c r="A590" i="5"/>
  <c r="A591" i="5" s="1"/>
  <c r="A460" i="5"/>
  <c r="I342" i="7"/>
  <c r="J73" i="6"/>
  <c r="H1" i="6"/>
  <c r="H73" i="6"/>
  <c r="G71" i="6"/>
  <c r="P47" i="6"/>
  <c r="J51" i="14"/>
  <c r="R51" i="14" s="1"/>
  <c r="H50" i="49" s="1"/>
  <c r="A83" i="14"/>
  <c r="K1087" i="5"/>
  <c r="J1128" i="5" s="1"/>
  <c r="J1169" i="5" s="1"/>
  <c r="K547" i="13"/>
  <c r="K315" i="53" s="1"/>
  <c r="K1041" i="5"/>
  <c r="K314" i="31" s="1"/>
  <c r="K534" i="13"/>
  <c r="F86" i="49" s="1"/>
  <c r="L617" i="5"/>
  <c r="J194" i="31" l="1"/>
  <c r="P42" i="6"/>
  <c r="J16" i="31"/>
  <c r="A289" i="31"/>
  <c r="A290" i="31" s="1"/>
  <c r="A47" i="6"/>
  <c r="K138" i="14"/>
  <c r="K150" i="14" s="1"/>
  <c r="S150" i="14" s="1"/>
  <c r="K283" i="31"/>
  <c r="I95" i="7"/>
  <c r="K16" i="31" s="1"/>
  <c r="A151" i="49"/>
  <c r="J283" i="31"/>
  <c r="G486" i="7"/>
  <c r="A48" i="6"/>
  <c r="A14" i="6"/>
  <c r="A494" i="7"/>
  <c r="A495" i="7" s="1"/>
  <c r="A496" i="7" s="1"/>
  <c r="A497" i="7" s="1"/>
  <c r="A502" i="7"/>
  <c r="E106" i="49"/>
  <c r="A141" i="49"/>
  <c r="D103" i="49"/>
  <c r="G103" i="49" s="1"/>
  <c r="I103" i="49" s="1"/>
  <c r="J192" i="31"/>
  <c r="J251" i="31"/>
  <c r="R54" i="58"/>
  <c r="Q54" i="58"/>
  <c r="W18" i="58"/>
  <c r="X18" i="58"/>
  <c r="R30" i="58"/>
  <c r="Q30" i="58"/>
  <c r="Q31" i="58"/>
  <c r="R31" i="58"/>
  <c r="Q64" i="57"/>
  <c r="R19" i="57"/>
  <c r="Q19" i="57"/>
  <c r="D93" i="49"/>
  <c r="G93" i="49" s="1"/>
  <c r="I93" i="49" s="1"/>
  <c r="G86" i="49"/>
  <c r="A18" i="58"/>
  <c r="I116" i="7"/>
  <c r="J116" i="7"/>
  <c r="A116" i="7" s="1"/>
  <c r="H153" i="49"/>
  <c r="C9" i="17"/>
  <c r="E9" i="17" s="1"/>
  <c r="C11" i="35"/>
  <c r="K24" i="31"/>
  <c r="J74" i="31"/>
  <c r="J80" i="31" s="1"/>
  <c r="A461" i="5"/>
  <c r="A441" i="5"/>
  <c r="J425" i="29"/>
  <c r="L425" i="29" s="1"/>
  <c r="F538" i="13" s="1"/>
  <c r="J169" i="31"/>
  <c r="H160" i="49"/>
  <c r="K237" i="53"/>
  <c r="A234" i="53"/>
  <c r="A236" i="53" s="1"/>
  <c r="K317" i="31"/>
  <c r="H171" i="49" s="1"/>
  <c r="D429" i="29"/>
  <c r="F546" i="50"/>
  <c r="AG436" i="29"/>
  <c r="F553" i="50"/>
  <c r="D434" i="29"/>
  <c r="F551" i="50"/>
  <c r="I486" i="7"/>
  <c r="I489" i="7" s="1"/>
  <c r="A70" i="49"/>
  <c r="A71" i="49" s="1"/>
  <c r="D436" i="29"/>
  <c r="A113" i="31"/>
  <c r="K319" i="53"/>
  <c r="J212" i="53"/>
  <c r="H137" i="8"/>
  <c r="AG429" i="29"/>
  <c r="A223" i="53"/>
  <c r="J227" i="53"/>
  <c r="O422" i="29"/>
  <c r="F535" i="50" s="1"/>
  <c r="J535" i="50" s="1"/>
  <c r="AD422" i="29"/>
  <c r="A43" i="8"/>
  <c r="O424" i="29"/>
  <c r="AD424" i="29"/>
  <c r="A151" i="8"/>
  <c r="K138" i="51"/>
  <c r="S138" i="51" s="1"/>
  <c r="S122" i="51"/>
  <c r="I47" i="8" s="1"/>
  <c r="A51" i="8"/>
  <c r="P71" i="51"/>
  <c r="A71" i="51"/>
  <c r="P79" i="51"/>
  <c r="F37" i="8" s="1"/>
  <c r="A122" i="51"/>
  <c r="P122" i="51"/>
  <c r="F47" i="8" s="1"/>
  <c r="G138" i="51"/>
  <c r="I46" i="14"/>
  <c r="I51" i="14" s="1"/>
  <c r="Q51" i="14" s="1"/>
  <c r="I31" i="51"/>
  <c r="I36" i="51" s="1"/>
  <c r="N79" i="51"/>
  <c r="D37" i="8" s="1"/>
  <c r="A60" i="49"/>
  <c r="I52" i="49"/>
  <c r="G194" i="49"/>
  <c r="G159" i="49"/>
  <c r="A159" i="49" s="1"/>
  <c r="J133" i="31"/>
  <c r="A133" i="31" s="1"/>
  <c r="H158" i="49"/>
  <c r="G52" i="49"/>
  <c r="A537" i="13"/>
  <c r="A261" i="31"/>
  <c r="A258" i="31"/>
  <c r="A259" i="31" s="1"/>
  <c r="J423" i="29"/>
  <c r="J535" i="13"/>
  <c r="A535" i="13"/>
  <c r="A549" i="7"/>
  <c r="K201" i="5"/>
  <c r="J243" i="13"/>
  <c r="A243" i="13"/>
  <c r="F254" i="13"/>
  <c r="J254" i="13" s="1"/>
  <c r="A232" i="13"/>
  <c r="J232" i="13"/>
  <c r="D204" i="29"/>
  <c r="AG204" i="29"/>
  <c r="AG182" i="29"/>
  <c r="D182" i="29"/>
  <c r="AG171" i="29"/>
  <c r="D171" i="29"/>
  <c r="F197" i="13"/>
  <c r="D138" i="29"/>
  <c r="AG138" i="29"/>
  <c r="J138" i="13"/>
  <c r="J24" i="6" s="1"/>
  <c r="J26" i="6" s="1"/>
  <c r="J36" i="6" s="1"/>
  <c r="A138" i="13"/>
  <c r="F149" i="13"/>
  <c r="J149" i="13" s="1"/>
  <c r="A127" i="13"/>
  <c r="J127" i="13"/>
  <c r="J9" i="6" s="1"/>
  <c r="J11" i="6" s="1"/>
  <c r="J114" i="13"/>
  <c r="I24" i="6" s="1"/>
  <c r="I26" i="6" s="1"/>
  <c r="I36" i="6" s="1"/>
  <c r="A114" i="13"/>
  <c r="F125" i="13"/>
  <c r="J125" i="13" s="1"/>
  <c r="J103" i="13"/>
  <c r="I9" i="6" s="1"/>
  <c r="I11" i="6" s="1"/>
  <c r="I21" i="6" s="1"/>
  <c r="A103" i="13"/>
  <c r="A90" i="13"/>
  <c r="J90" i="13"/>
  <c r="H24" i="6" s="1"/>
  <c r="H26" i="6" s="1"/>
  <c r="H36" i="6" s="1"/>
  <c r="F101" i="13"/>
  <c r="J101" i="13" s="1"/>
  <c r="G73" i="6"/>
  <c r="A55" i="13"/>
  <c r="J55" i="13"/>
  <c r="G9" i="6" s="1"/>
  <c r="G11" i="6" s="1"/>
  <c r="G21" i="6" s="1"/>
  <c r="G1" i="6" s="1"/>
  <c r="AG28" i="29"/>
  <c r="D28" i="29"/>
  <c r="E26" i="6"/>
  <c r="A135" i="7"/>
  <c r="A245" i="5"/>
  <c r="A244" i="5"/>
  <c r="A229" i="5"/>
  <c r="A230" i="5" s="1"/>
  <c r="A231" i="5"/>
  <c r="F476" i="7"/>
  <c r="A473" i="7"/>
  <c r="A474" i="7" s="1"/>
  <c r="E396" i="7"/>
  <c r="G98" i="7"/>
  <c r="A75" i="14"/>
  <c r="Q75" i="14"/>
  <c r="R75" i="14"/>
  <c r="J95" i="14"/>
  <c r="A101" i="7"/>
  <c r="E484" i="7"/>
  <c r="G484" i="7" s="1"/>
  <c r="A452" i="7"/>
  <c r="I356" i="7"/>
  <c r="E465" i="7"/>
  <c r="E516" i="7"/>
  <c r="E496" i="7"/>
  <c r="E456" i="7"/>
  <c r="A611" i="5"/>
  <c r="A613" i="5" s="1"/>
  <c r="A604" i="5"/>
  <c r="A602" i="5"/>
  <c r="I552" i="7"/>
  <c r="A445" i="7"/>
  <c r="A443" i="7"/>
  <c r="A431" i="7"/>
  <c r="A432" i="7" s="1"/>
  <c r="A469" i="7"/>
  <c r="A483" i="7"/>
  <c r="A510" i="7"/>
  <c r="A492" i="7"/>
  <c r="A493" i="7" s="1"/>
  <c r="A500" i="7"/>
  <c r="A402" i="7"/>
  <c r="A401" i="7"/>
  <c r="A403" i="7"/>
  <c r="K282" i="31"/>
  <c r="K103" i="31"/>
  <c r="A1037" i="5"/>
  <c r="K193" i="31"/>
  <c r="A1138" i="5"/>
  <c r="A1139" i="5" s="1"/>
  <c r="E73" i="6"/>
  <c r="J1041" i="5"/>
  <c r="A156" i="31"/>
  <c r="A157" i="31" s="1"/>
  <c r="A150" i="31"/>
  <c r="A1140" i="5"/>
  <c r="A1141" i="5" s="1"/>
  <c r="A1142" i="5" s="1"/>
  <c r="A1143" i="5" s="1"/>
  <c r="G617" i="5"/>
  <c r="A615" i="5"/>
  <c r="A616" i="5" s="1"/>
  <c r="A628" i="5"/>
  <c r="A629" i="5"/>
  <c r="P71" i="6"/>
  <c r="A634" i="5"/>
  <c r="M71" i="6"/>
  <c r="M44" i="6"/>
  <c r="F398" i="7"/>
  <c r="I19" i="7" s="1"/>
  <c r="A43" i="14"/>
  <c r="J1113" i="5"/>
  <c r="J1115" i="5" s="1"/>
  <c r="J1118" i="5" s="1"/>
  <c r="K531" i="13"/>
  <c r="J1131" i="5"/>
  <c r="H130" i="8" s="1"/>
  <c r="H132" i="8" s="1"/>
  <c r="G531" i="13"/>
  <c r="U120" i="1"/>
  <c r="K212" i="5" l="1"/>
  <c r="O9" i="6"/>
  <c r="O11" i="6" s="1"/>
  <c r="P44" i="6"/>
  <c r="A44" i="6" s="1"/>
  <c r="A42" i="6"/>
  <c r="K33" i="31"/>
  <c r="E36" i="6"/>
  <c r="I37" i="6"/>
  <c r="J42" i="5"/>
  <c r="J55" i="5"/>
  <c r="A55" i="5" s="1"/>
  <c r="J54" i="5"/>
  <c r="J41" i="5"/>
  <c r="A192" i="31"/>
  <c r="J248" i="31"/>
  <c r="J188" i="31"/>
  <c r="K287" i="31"/>
  <c r="H168" i="49" s="1"/>
  <c r="S138" i="14"/>
  <c r="I64" i="49" s="1"/>
  <c r="J411" i="7"/>
  <c r="J414" i="7" s="1"/>
  <c r="E479" i="7"/>
  <c r="M550" i="7"/>
  <c r="I546" i="7"/>
  <c r="A511" i="7"/>
  <c r="A433" i="7"/>
  <c r="A434" i="7" s="1"/>
  <c r="E11" i="35"/>
  <c r="C17" i="35"/>
  <c r="E17" i="35" s="1"/>
  <c r="J173" i="31"/>
  <c r="A169" i="31"/>
  <c r="A255" i="53"/>
  <c r="H139" i="8"/>
  <c r="J233" i="53"/>
  <c r="A535" i="50"/>
  <c r="A553" i="50"/>
  <c r="J553" i="50"/>
  <c r="A551" i="50"/>
  <c r="J551" i="50"/>
  <c r="J546" i="50"/>
  <c r="A546" i="50"/>
  <c r="AG424" i="29"/>
  <c r="F537" i="50"/>
  <c r="H146" i="8"/>
  <c r="J315" i="53"/>
  <c r="D424" i="29"/>
  <c r="A221" i="53"/>
  <c r="G138" i="8"/>
  <c r="A138" i="8" s="1"/>
  <c r="A227" i="53"/>
  <c r="A228" i="53" s="1"/>
  <c r="J216" i="53"/>
  <c r="A212" i="53"/>
  <c r="K46" i="14"/>
  <c r="S46" i="14" s="1"/>
  <c r="Q46" i="14"/>
  <c r="D422" i="29"/>
  <c r="AG422" i="29"/>
  <c r="O425" i="29"/>
  <c r="AD425" i="29"/>
  <c r="L423" i="29"/>
  <c r="F536" i="13" s="1"/>
  <c r="J137" i="31"/>
  <c r="A79" i="51"/>
  <c r="A138" i="51"/>
  <c r="P138" i="51"/>
  <c r="G50" i="49"/>
  <c r="G58" i="49" s="1"/>
  <c r="G62" i="49" s="1"/>
  <c r="J313" i="31"/>
  <c r="E46" i="14"/>
  <c r="E51" i="14" s="1"/>
  <c r="N51" i="14" s="1"/>
  <c r="D50" i="49" s="1"/>
  <c r="E31" i="51"/>
  <c r="E36" i="51" s="1"/>
  <c r="K31" i="51"/>
  <c r="K36" i="51" s="1"/>
  <c r="Q31" i="51"/>
  <c r="J486" i="7"/>
  <c r="J489" i="7" s="1"/>
  <c r="J96" i="7"/>
  <c r="J114" i="7" s="1"/>
  <c r="A605" i="5"/>
  <c r="A603" i="5"/>
  <c r="J433" i="29"/>
  <c r="J538" i="13"/>
  <c r="A538" i="13"/>
  <c r="J212" i="5"/>
  <c r="A201" i="5"/>
  <c r="O21" i="6"/>
  <c r="A223" i="13"/>
  <c r="J223" i="13"/>
  <c r="J85" i="5" s="1"/>
  <c r="J92" i="5" s="1"/>
  <c r="J199" i="13"/>
  <c r="N9" i="6" s="1"/>
  <c r="N11" i="6" s="1"/>
  <c r="A199" i="13"/>
  <c r="J186" i="13"/>
  <c r="L24" i="6" s="1"/>
  <c r="L26" i="6" s="1"/>
  <c r="L36" i="6" s="1"/>
  <c r="A186" i="13"/>
  <c r="J197" i="13"/>
  <c r="F173" i="13"/>
  <c r="J173" i="13" s="1"/>
  <c r="J151" i="13"/>
  <c r="K9" i="6" s="1"/>
  <c r="K11" i="6" s="1"/>
  <c r="A151" i="13"/>
  <c r="J21" i="6"/>
  <c r="H74" i="6"/>
  <c r="H37" i="6"/>
  <c r="AG61" i="29"/>
  <c r="D61" i="29"/>
  <c r="F53" i="13"/>
  <c r="J53" i="13" s="1"/>
  <c r="J31" i="13"/>
  <c r="F9" i="6" s="1"/>
  <c r="F11" i="6" s="1"/>
  <c r="A31" i="13"/>
  <c r="M73" i="6"/>
  <c r="A552" i="7"/>
  <c r="A554" i="7" s="1"/>
  <c r="M552" i="7"/>
  <c r="H489" i="7"/>
  <c r="A470" i="7"/>
  <c r="A95" i="7"/>
  <c r="D15" i="17"/>
  <c r="R95" i="14"/>
  <c r="H52" i="49" s="1"/>
  <c r="A251" i="31"/>
  <c r="J136" i="14"/>
  <c r="R136" i="14" s="1"/>
  <c r="I136" i="14"/>
  <c r="Q136" i="14" s="1"/>
  <c r="A484" i="7"/>
  <c r="J24" i="31"/>
  <c r="A98" i="7"/>
  <c r="A446" i="7"/>
  <c r="A447" i="7" s="1"/>
  <c r="A448" i="7" s="1"/>
  <c r="A449" i="7" s="1"/>
  <c r="A453" i="7"/>
  <c r="A12" i="8"/>
  <c r="A612" i="5"/>
  <c r="E536" i="7"/>
  <c r="E527" i="7"/>
  <c r="E421" i="7"/>
  <c r="A396" i="7"/>
  <c r="E398" i="7"/>
  <c r="G19" i="7" s="1"/>
  <c r="C15" i="17"/>
  <c r="J23" i="31"/>
  <c r="A1041" i="5"/>
  <c r="A1042" i="5" s="1"/>
  <c r="J314" i="31"/>
  <c r="A317" i="31"/>
  <c r="A318" i="31" s="1"/>
  <c r="A315" i="31"/>
  <c r="A316" i="31" s="1"/>
  <c r="G150" i="14"/>
  <c r="A138" i="14"/>
  <c r="P138" i="14"/>
  <c r="F64" i="49" s="1"/>
  <c r="M55" i="6"/>
  <c r="A283" i="31"/>
  <c r="A151" i="31"/>
  <c r="A146" i="31"/>
  <c r="A1133" i="5"/>
  <c r="A1134" i="5" s="1"/>
  <c r="K541" i="13"/>
  <c r="G541" i="13"/>
  <c r="AB120" i="1"/>
  <c r="K545" i="13"/>
  <c r="G556" i="13"/>
  <c r="H86" i="49" l="1"/>
  <c r="A86" i="49" s="1"/>
  <c r="K556" i="13"/>
  <c r="A313" i="31"/>
  <c r="A24" i="31"/>
  <c r="J33" i="31"/>
  <c r="I432" i="31"/>
  <c r="K432" i="31" s="1"/>
  <c r="J43" i="5"/>
  <c r="A54" i="5"/>
  <c r="J56" i="5"/>
  <c r="A56" i="5" s="1"/>
  <c r="H101" i="49"/>
  <c r="K248" i="31"/>
  <c r="H91" i="49" s="1"/>
  <c r="K188" i="31"/>
  <c r="A188" i="31" s="1"/>
  <c r="I74" i="49"/>
  <c r="H89" i="49" s="1"/>
  <c r="F74" i="49"/>
  <c r="A19" i="7"/>
  <c r="I33" i="7"/>
  <c r="I21" i="7"/>
  <c r="G33" i="7"/>
  <c r="G21" i="7"/>
  <c r="A96" i="7"/>
  <c r="A505" i="7"/>
  <c r="A504" i="7"/>
  <c r="A506" i="7"/>
  <c r="E15" i="17"/>
  <c r="G160" i="49"/>
  <c r="A160" i="49" s="1"/>
  <c r="A173" i="31"/>
  <c r="H192" i="49"/>
  <c r="J237" i="53"/>
  <c r="A233" i="53"/>
  <c r="D425" i="29"/>
  <c r="F538" i="50"/>
  <c r="J537" i="50"/>
  <c r="A537" i="50"/>
  <c r="J319" i="53"/>
  <c r="A315" i="53"/>
  <c r="AG425" i="29"/>
  <c r="G137" i="8"/>
  <c r="A137" i="8" s="1"/>
  <c r="A210" i="53"/>
  <c r="A216" i="53"/>
  <c r="A217" i="53" s="1"/>
  <c r="A131" i="31"/>
  <c r="A127" i="31" s="1"/>
  <c r="A218" i="53"/>
  <c r="A222" i="53"/>
  <c r="K51" i="14"/>
  <c r="K136" i="14" s="1"/>
  <c r="A137" i="31"/>
  <c r="A138" i="31" s="1"/>
  <c r="G158" i="49"/>
  <c r="O423" i="29"/>
  <c r="AD423" i="29"/>
  <c r="G46" i="14"/>
  <c r="P46" i="14" s="1"/>
  <c r="N46" i="14"/>
  <c r="A486" i="7"/>
  <c r="L433" i="29"/>
  <c r="F550" i="13" s="1"/>
  <c r="A16" i="31"/>
  <c r="S31" i="51"/>
  <c r="N31" i="51"/>
  <c r="G31" i="51"/>
  <c r="A64" i="49"/>
  <c r="A65" i="49" s="1"/>
  <c r="Q36" i="51"/>
  <c r="I120" i="51"/>
  <c r="Q120" i="51" s="1"/>
  <c r="H58" i="49"/>
  <c r="H62" i="49" s="1"/>
  <c r="J430" i="29"/>
  <c r="J282" i="31"/>
  <c r="J287" i="31" s="1"/>
  <c r="A287" i="31" s="1"/>
  <c r="A288" i="31" s="1"/>
  <c r="J536" i="13"/>
  <c r="A536" i="13"/>
  <c r="A212" i="5"/>
  <c r="N21" i="6"/>
  <c r="L37" i="6"/>
  <c r="L74" i="6"/>
  <c r="K21" i="6"/>
  <c r="J74" i="6"/>
  <c r="J37" i="6"/>
  <c r="J1" i="6"/>
  <c r="I74" i="6"/>
  <c r="I1" i="6"/>
  <c r="J66" i="13"/>
  <c r="G24" i="6" s="1"/>
  <c r="A66" i="13"/>
  <c r="F77" i="13"/>
  <c r="J77" i="13" s="1"/>
  <c r="F21" i="6"/>
  <c r="F37" i="6" s="1"/>
  <c r="D6" i="29"/>
  <c r="A150" i="14"/>
  <c r="P150" i="14"/>
  <c r="A551" i="7"/>
  <c r="A553" i="7"/>
  <c r="A546" i="7"/>
  <c r="A547" i="7"/>
  <c r="I411" i="7"/>
  <c r="A411" i="7" s="1"/>
  <c r="A398" i="7"/>
  <c r="K244" i="31"/>
  <c r="A23" i="31"/>
  <c r="J193" i="31"/>
  <c r="A193" i="31" s="1"/>
  <c r="J317" i="31"/>
  <c r="G171" i="49" s="1"/>
  <c r="A171" i="49" s="1"/>
  <c r="A314" i="31"/>
  <c r="I53" i="8"/>
  <c r="H68" i="8" s="1"/>
  <c r="F53" i="8"/>
  <c r="H78" i="8" s="1"/>
  <c r="I78" i="8" s="1"/>
  <c r="J106" i="31"/>
  <c r="F101" i="49" s="1"/>
  <c r="F102" i="49" s="1"/>
  <c r="F104" i="49" s="1"/>
  <c r="K106" i="31"/>
  <c r="F91" i="49" s="1"/>
  <c r="F92" i="49" s="1"/>
  <c r="F94" i="49" s="1"/>
  <c r="F96" i="49" s="1"/>
  <c r="A382" i="5"/>
  <c r="A383" i="5" s="1"/>
  <c r="H99" i="7"/>
  <c r="H114" i="7" s="1"/>
  <c r="P62" i="57"/>
  <c r="P55" i="6"/>
  <c r="P73" i="6" s="1"/>
  <c r="G558" i="13"/>
  <c r="I86" i="49" l="1"/>
  <c r="J51" i="5"/>
  <c r="A51" i="5" s="1"/>
  <c r="H99" i="49"/>
  <c r="H100" i="49" s="1"/>
  <c r="H102" i="49" s="1"/>
  <c r="H104" i="49" s="1"/>
  <c r="I389" i="31"/>
  <c r="K389" i="31" s="1"/>
  <c r="A55" i="6"/>
  <c r="A57" i="5"/>
  <c r="A53" i="5"/>
  <c r="P17" i="57"/>
  <c r="R17" i="57" s="1"/>
  <c r="D101" i="49"/>
  <c r="G101" i="49" s="1"/>
  <c r="A158" i="49"/>
  <c r="I89" i="49"/>
  <c r="A89" i="49"/>
  <c r="H90" i="49"/>
  <c r="H92" i="49" s="1"/>
  <c r="H94" i="49" s="1"/>
  <c r="H96" i="49" s="1"/>
  <c r="D91" i="49"/>
  <c r="Q62" i="57"/>
  <c r="R62" i="57"/>
  <c r="F106" i="49"/>
  <c r="H79" i="8"/>
  <c r="H81" i="8" s="1"/>
  <c r="H83" i="8" s="1"/>
  <c r="A78" i="8"/>
  <c r="I68" i="8"/>
  <c r="H69" i="8"/>
  <c r="H71" i="8" s="1"/>
  <c r="H73" i="8" s="1"/>
  <c r="H75" i="8" s="1"/>
  <c r="A68" i="8"/>
  <c r="A31" i="51"/>
  <c r="G36" i="51"/>
  <c r="A174" i="31"/>
  <c r="A165" i="31"/>
  <c r="A166" i="31" s="1"/>
  <c r="A167" i="31"/>
  <c r="A168" i="31" s="1"/>
  <c r="S136" i="14"/>
  <c r="K191" i="31" s="1"/>
  <c r="A237" i="53"/>
  <c r="G139" i="8"/>
  <c r="A139" i="8" s="1"/>
  <c r="AG423" i="29"/>
  <c r="F536" i="50"/>
  <c r="A538" i="50"/>
  <c r="J538" i="50"/>
  <c r="A132" i="31"/>
  <c r="D423" i="29"/>
  <c r="A313" i="53"/>
  <c r="G146" i="8"/>
  <c r="A146" i="8" s="1"/>
  <c r="A319" i="53"/>
  <c r="A320" i="53" s="1"/>
  <c r="A207" i="53"/>
  <c r="A211" i="53"/>
  <c r="S51" i="14"/>
  <c r="J56" i="58" s="1"/>
  <c r="H56" i="58" s="1"/>
  <c r="O433" i="29"/>
  <c r="F550" i="50" s="1"/>
  <c r="AD433" i="29"/>
  <c r="A46" i="14"/>
  <c r="G51" i="14"/>
  <c r="A280" i="31"/>
  <c r="A270" i="31" s="1"/>
  <c r="A271" i="31" s="1"/>
  <c r="L430" i="29"/>
  <c r="F547" i="13" s="1"/>
  <c r="J547" i="13" s="1"/>
  <c r="A282" i="31"/>
  <c r="N36" i="51"/>
  <c r="E120" i="51"/>
  <c r="S36" i="51"/>
  <c r="K120" i="51"/>
  <c r="G192" i="49"/>
  <c r="I423" i="31" s="1"/>
  <c r="K423" i="31" s="1"/>
  <c r="G168" i="49"/>
  <c r="A168" i="49" s="1"/>
  <c r="P31" i="51"/>
  <c r="A75" i="49"/>
  <c r="J550" i="13"/>
  <c r="A550" i="13"/>
  <c r="A213" i="5"/>
  <c r="A200" i="5"/>
  <c r="K37" i="6"/>
  <c r="K74" i="6"/>
  <c r="K1" i="6"/>
  <c r="G26" i="6"/>
  <c r="M24" i="6"/>
  <c r="F74" i="6"/>
  <c r="F1" i="6"/>
  <c r="J7" i="13"/>
  <c r="E9" i="6" s="1"/>
  <c r="A7" i="13"/>
  <c r="A106" i="31"/>
  <c r="A104" i="31" s="1"/>
  <c r="A248" i="31"/>
  <c r="K256" i="31"/>
  <c r="A194" i="31"/>
  <c r="A99" i="7"/>
  <c r="A309" i="31"/>
  <c r="A310" i="31" s="1"/>
  <c r="A149" i="8"/>
  <c r="A125" i="8"/>
  <c r="G130" i="8"/>
  <c r="I414" i="7"/>
  <c r="A399" i="7"/>
  <c r="A394" i="7"/>
  <c r="A393" i="7"/>
  <c r="A391" i="7"/>
  <c r="A392" i="7" s="1"/>
  <c r="A397" i="7"/>
  <c r="A389" i="7"/>
  <c r="A390" i="7" s="1"/>
  <c r="A33" i="31"/>
  <c r="A34" i="31" s="1"/>
  <c r="A35" i="31" s="1"/>
  <c r="A13" i="31"/>
  <c r="A14" i="31" s="1"/>
  <c r="A311" i="31"/>
  <c r="A312" i="31" s="1"/>
  <c r="A47" i="8"/>
  <c r="A48" i="8" s="1"/>
  <c r="G198" i="49"/>
  <c r="I435" i="31" s="1"/>
  <c r="K435" i="31" s="1"/>
  <c r="A40" i="31"/>
  <c r="K43" i="31"/>
  <c r="K111" i="31"/>
  <c r="A408" i="5"/>
  <c r="A409" i="5" s="1"/>
  <c r="A380" i="5"/>
  <c r="A381" i="5" s="1"/>
  <c r="A376" i="5"/>
  <c r="A377" i="5" s="1"/>
  <c r="A400" i="5"/>
  <c r="K558" i="13"/>
  <c r="K154" i="14" s="1"/>
  <c r="A40" i="5" l="1"/>
  <c r="A52" i="5"/>
  <c r="A43" i="5"/>
  <c r="A38" i="5"/>
  <c r="A39" i="5" s="1"/>
  <c r="A41" i="5"/>
  <c r="A42" i="5"/>
  <c r="S154" i="14"/>
  <c r="I99" i="49"/>
  <c r="A99" i="49"/>
  <c r="Q17" i="57"/>
  <c r="I101" i="49"/>
  <c r="I396" i="31" s="1"/>
  <c r="K396" i="31" s="1"/>
  <c r="H85" i="8"/>
  <c r="H106" i="49"/>
  <c r="P51" i="14"/>
  <c r="S137" i="14"/>
  <c r="K152" i="14"/>
  <c r="K156" i="14" s="1"/>
  <c r="A229" i="53"/>
  <c r="A230" i="53" s="1"/>
  <c r="A238" i="53"/>
  <c r="A231" i="53"/>
  <c r="A232" i="53" s="1"/>
  <c r="I50" i="49"/>
  <c r="V56" i="58" s="1"/>
  <c r="A536" i="50"/>
  <c r="J536" i="50"/>
  <c r="J550" i="50"/>
  <c r="A550" i="50"/>
  <c r="A314" i="53"/>
  <c r="A303" i="53"/>
  <c r="I35" i="8"/>
  <c r="I41" i="8" s="1"/>
  <c r="H35" i="8"/>
  <c r="H41" i="8" s="1"/>
  <c r="H45" i="8" s="1"/>
  <c r="G35" i="8"/>
  <c r="G41" i="8" s="1"/>
  <c r="G45" i="8" s="1"/>
  <c r="A51" i="14"/>
  <c r="A281" i="31"/>
  <c r="D433" i="29"/>
  <c r="AG433" i="29"/>
  <c r="O430" i="29"/>
  <c r="AD430" i="29"/>
  <c r="N120" i="51"/>
  <c r="P36" i="51"/>
  <c r="G120" i="51"/>
  <c r="A120" i="51" s="1"/>
  <c r="A36" i="51"/>
  <c r="S121" i="51"/>
  <c r="K140" i="51"/>
  <c r="S120" i="51"/>
  <c r="K254" i="53" s="1"/>
  <c r="J244" i="31"/>
  <c r="H166" i="49"/>
  <c r="J103" i="31"/>
  <c r="H156" i="49"/>
  <c r="H194" i="49"/>
  <c r="A547" i="13"/>
  <c r="H156" i="8"/>
  <c r="J428" i="29"/>
  <c r="J421" i="29"/>
  <c r="M26" i="6"/>
  <c r="M36" i="6" s="1"/>
  <c r="G36" i="6"/>
  <c r="M9" i="6"/>
  <c r="E11" i="6"/>
  <c r="J29" i="13"/>
  <c r="A256" i="31"/>
  <c r="A257" i="31" s="1"/>
  <c r="A414" i="7"/>
  <c r="A415" i="7" s="1"/>
  <c r="A416" i="7" s="1"/>
  <c r="A130" i="8"/>
  <c r="A33" i="8"/>
  <c r="A36" i="31"/>
  <c r="A37" i="31" s="1"/>
  <c r="A43" i="31"/>
  <c r="A74" i="31"/>
  <c r="K80" i="31"/>
  <c r="H198" i="49" s="1"/>
  <c r="A401" i="5"/>
  <c r="A402" i="5"/>
  <c r="A403" i="5" s="1"/>
  <c r="S152" i="14" l="1"/>
  <c r="S156" i="14"/>
  <c r="E21" i="6"/>
  <c r="E74" i="6" s="1"/>
  <c r="J256" i="31"/>
  <c r="A101" i="49"/>
  <c r="I58" i="49"/>
  <c r="F50" i="49"/>
  <c r="I384" i="31" s="1"/>
  <c r="K384" i="31" s="1"/>
  <c r="AG430" i="29"/>
  <c r="F547" i="50"/>
  <c r="A304" i="53"/>
  <c r="A264" i="53"/>
  <c r="I45" i="8"/>
  <c r="D67" i="8" s="1"/>
  <c r="D35" i="8"/>
  <c r="D41" i="8" s="1"/>
  <c r="F35" i="8"/>
  <c r="A35" i="8" s="1"/>
  <c r="E35" i="8"/>
  <c r="K261" i="53"/>
  <c r="N266" i="53"/>
  <c r="D430" i="29"/>
  <c r="L421" i="29"/>
  <c r="F534" i="13" s="1"/>
  <c r="L428" i="29"/>
  <c r="F545" i="13" s="1"/>
  <c r="S140" i="51"/>
  <c r="K144" i="51"/>
  <c r="P120" i="51"/>
  <c r="J254" i="53" s="1"/>
  <c r="A254" i="53" s="1"/>
  <c r="G140" i="51"/>
  <c r="A244" i="31"/>
  <c r="G74" i="6"/>
  <c r="G37" i="6"/>
  <c r="P9" i="6"/>
  <c r="A9" i="6" s="1"/>
  <c r="M11" i="6"/>
  <c r="A409" i="7"/>
  <c r="A410" i="7" s="1"/>
  <c r="A80" i="31"/>
  <c r="A68" i="31"/>
  <c r="A69" i="31" s="1"/>
  <c r="J111" i="31"/>
  <c r="A103" i="31"/>
  <c r="A45" i="31"/>
  <c r="A44" i="31"/>
  <c r="A11" i="31"/>
  <c r="A12" i="31" s="1"/>
  <c r="E37" i="6" l="1"/>
  <c r="E1" i="6"/>
  <c r="G166" i="49"/>
  <c r="A166" i="49" s="1"/>
  <c r="A242" i="31"/>
  <c r="A243" i="31" s="1"/>
  <c r="I62" i="49"/>
  <c r="D88" i="49" s="1"/>
  <c r="A50" i="49"/>
  <c r="X56" i="58"/>
  <c r="W56" i="58"/>
  <c r="G67" i="8"/>
  <c r="D69" i="8"/>
  <c r="D71" i="8" s="1"/>
  <c r="K146" i="51"/>
  <c r="S146" i="51" s="1"/>
  <c r="S144" i="51"/>
  <c r="K158" i="14"/>
  <c r="S158" i="14" s="1"/>
  <c r="J547" i="50"/>
  <c r="A547" i="50"/>
  <c r="H166" i="8"/>
  <c r="H172" i="8" s="1"/>
  <c r="H178" i="8" s="1"/>
  <c r="H182" i="8" s="1"/>
  <c r="H187" i="8" s="1"/>
  <c r="I55" i="8"/>
  <c r="J247" i="53"/>
  <c r="H140" i="8"/>
  <c r="H142" i="8" s="1"/>
  <c r="O428" i="29"/>
  <c r="AD428" i="29"/>
  <c r="O421" i="29"/>
  <c r="AD421" i="29"/>
  <c r="P140" i="51"/>
  <c r="A140" i="51"/>
  <c r="A135" i="8"/>
  <c r="G156" i="49"/>
  <c r="A545" i="13"/>
  <c r="J545" i="13"/>
  <c r="J534" i="13"/>
  <c r="A534" i="13"/>
  <c r="M74" i="6"/>
  <c r="M21" i="6"/>
  <c r="M37" i="6" s="1"/>
  <c r="P11" i="6"/>
  <c r="A11" i="6" s="1"/>
  <c r="A144" i="8"/>
  <c r="G156" i="8"/>
  <c r="M266" i="53" s="1"/>
  <c r="A101" i="31"/>
  <c r="A95" i="31" s="1"/>
  <c r="A111" i="31"/>
  <c r="A112" i="31" s="1"/>
  <c r="A82" i="31"/>
  <c r="A81" i="31"/>
  <c r="I76" i="49" l="1"/>
  <c r="A230" i="31"/>
  <c r="A231" i="31" s="1"/>
  <c r="H190" i="49"/>
  <c r="H196" i="49" s="1"/>
  <c r="H202" i="49" s="1"/>
  <c r="H206" i="49" s="1"/>
  <c r="H211" i="49" s="1"/>
  <c r="N62" i="58"/>
  <c r="G88" i="49"/>
  <c r="N33" i="7"/>
  <c r="N34" i="7"/>
  <c r="V58" i="58"/>
  <c r="D73" i="8"/>
  <c r="G71" i="8"/>
  <c r="I67" i="8"/>
  <c r="G69" i="8"/>
  <c r="A67" i="8"/>
  <c r="D421" i="29"/>
  <c r="F534" i="50"/>
  <c r="AG428" i="29"/>
  <c r="F545" i="50"/>
  <c r="AG421" i="29"/>
  <c r="N175" i="53"/>
  <c r="J261" i="53"/>
  <c r="A247" i="53"/>
  <c r="H158" i="8"/>
  <c r="N158" i="8" s="1"/>
  <c r="D428" i="29"/>
  <c r="A156" i="49"/>
  <c r="P21" i="6"/>
  <c r="A21" i="6" s="1"/>
  <c r="M1" i="6"/>
  <c r="A156" i="8"/>
  <c r="A102" i="31"/>
  <c r="D90" i="49" l="1"/>
  <c r="A88" i="49"/>
  <c r="I88" i="49"/>
  <c r="G90" i="49"/>
  <c r="D75" i="8"/>
  <c r="G73" i="8"/>
  <c r="A69" i="8"/>
  <c r="I69" i="8"/>
  <c r="I71" i="8"/>
  <c r="A71" i="8"/>
  <c r="A534" i="50"/>
  <c r="J534" i="50"/>
  <c r="J545" i="50"/>
  <c r="A545" i="50"/>
  <c r="A245" i="53"/>
  <c r="A246" i="53" s="1"/>
  <c r="G140" i="8"/>
  <c r="A261" i="53"/>
  <c r="P1" i="6"/>
  <c r="I90" i="49" l="1"/>
  <c r="A90" i="49"/>
  <c r="G75" i="8"/>
  <c r="I73" i="8"/>
  <c r="A73" i="8"/>
  <c r="A262" i="53"/>
  <c r="A263" i="53" s="1"/>
  <c r="A242" i="53"/>
  <c r="I75" i="8" l="1"/>
  <c r="A75" i="8"/>
  <c r="A87" i="14"/>
  <c r="E93" i="14"/>
  <c r="G95" i="14"/>
  <c r="P93" i="14"/>
  <c r="E475" i="7" s="1"/>
  <c r="F93" i="14"/>
  <c r="O93" i="14" s="1"/>
  <c r="P95" i="14" l="1"/>
  <c r="G136" i="14"/>
  <c r="E95" i="14"/>
  <c r="N95" i="14" s="1"/>
  <c r="D52" i="49" s="1"/>
  <c r="D58" i="49" s="1"/>
  <c r="D62" i="49" s="1"/>
  <c r="F95" i="14"/>
  <c r="F136" i="14" s="1"/>
  <c r="O136" i="14" s="1"/>
  <c r="A93" i="14"/>
  <c r="E476" i="7"/>
  <c r="A476" i="7" s="1"/>
  <c r="A475" i="7"/>
  <c r="E487" i="7"/>
  <c r="F487" i="7"/>
  <c r="F489" i="7" s="1"/>
  <c r="N93" i="14"/>
  <c r="F52" i="49" l="1"/>
  <c r="G56" i="58"/>
  <c r="E56" i="58" s="1"/>
  <c r="E136" i="14"/>
  <c r="G137" i="14" s="1"/>
  <c r="A137" i="14" s="1"/>
  <c r="G487" i="7"/>
  <c r="G489" i="7" s="1"/>
  <c r="O95" i="14"/>
  <c r="E52" i="49" s="1"/>
  <c r="E58" i="49" s="1"/>
  <c r="E62" i="49" s="1"/>
  <c r="A95" i="14"/>
  <c r="G152" i="14"/>
  <c r="P136" i="14"/>
  <c r="J191" i="31" s="1"/>
  <c r="A191" i="31" s="1"/>
  <c r="F41" i="8"/>
  <c r="A37" i="8"/>
  <c r="E489" i="7"/>
  <c r="D45" i="8"/>
  <c r="A463" i="7"/>
  <c r="A477" i="7"/>
  <c r="A478" i="7" s="1"/>
  <c r="A417" i="7"/>
  <c r="A418" i="7" s="1"/>
  <c r="P152" i="14" l="1"/>
  <c r="A52" i="49"/>
  <c r="I385" i="31"/>
  <c r="K385" i="31" s="1"/>
  <c r="G58" i="58"/>
  <c r="F58" i="49"/>
  <c r="F62" i="49" s="1"/>
  <c r="I388" i="31" s="1"/>
  <c r="K388" i="31" s="1"/>
  <c r="P56" i="58"/>
  <c r="Q56" i="58" s="1"/>
  <c r="A136" i="14"/>
  <c r="N136" i="14"/>
  <c r="E41" i="8"/>
  <c r="E45" i="8" s="1"/>
  <c r="F45" i="8" s="1"/>
  <c r="D77" i="8" s="1"/>
  <c r="A152" i="14"/>
  <c r="A489" i="7"/>
  <c r="A479" i="7" s="1"/>
  <c r="A487" i="7"/>
  <c r="A488" i="7" s="1"/>
  <c r="A464" i="7"/>
  <c r="A465" i="7" s="1"/>
  <c r="A466" i="7"/>
  <c r="F76" i="49" l="1"/>
  <c r="I390" i="31" s="1"/>
  <c r="M34" i="7"/>
  <c r="E58" i="58"/>
  <c r="R56" i="58"/>
  <c r="G77" i="8"/>
  <c r="D79" i="8"/>
  <c r="D81" i="8" s="1"/>
  <c r="D83" i="8" s="1"/>
  <c r="D85" i="8" s="1"/>
  <c r="G85" i="8" s="1"/>
  <c r="G166" i="8"/>
  <c r="G172" i="8" s="1"/>
  <c r="G178" i="8" s="1"/>
  <c r="G182" i="8" s="1"/>
  <c r="G187" i="8" s="1"/>
  <c r="F55" i="8"/>
  <c r="A56" i="8" s="1"/>
  <c r="A45" i="8"/>
  <c r="A480" i="7"/>
  <c r="A481" i="7"/>
  <c r="A490" i="7"/>
  <c r="A491" i="7" s="1"/>
  <c r="I395" i="31" l="1"/>
  <c r="K390" i="31"/>
  <c r="K395" i="31" s="1"/>
  <c r="D98" i="49"/>
  <c r="G98" i="49" s="1"/>
  <c r="M62" i="58"/>
  <c r="P58" i="58"/>
  <c r="M33" i="7"/>
  <c r="A77" i="8"/>
  <c r="I77" i="8"/>
  <c r="G79" i="8"/>
  <c r="I85" i="8"/>
  <c r="A85" i="8"/>
  <c r="G190" i="49"/>
  <c r="A140" i="8"/>
  <c r="G142" i="8"/>
  <c r="M175" i="53" s="1"/>
  <c r="G196" i="49" l="1"/>
  <c r="I434" i="31" s="1"/>
  <c r="K434" i="31" s="1"/>
  <c r="I422" i="31"/>
  <c r="K422" i="31" s="1"/>
  <c r="D100" i="49"/>
  <c r="D102" i="49" s="1"/>
  <c r="D104" i="49" s="1"/>
  <c r="G62" i="58" s="1"/>
  <c r="Q58" i="58"/>
  <c r="R58" i="58"/>
  <c r="G81" i="8"/>
  <c r="I79" i="8"/>
  <c r="A79" i="8"/>
  <c r="G100" i="49"/>
  <c r="I98" i="49"/>
  <c r="A98" i="49"/>
  <c r="G158" i="8"/>
  <c r="A142" i="8"/>
  <c r="G202" i="49" l="1"/>
  <c r="I437" i="31" s="1"/>
  <c r="K437" i="31" s="1"/>
  <c r="A81" i="8"/>
  <c r="G83" i="8"/>
  <c r="I81" i="8"/>
  <c r="G102" i="49"/>
  <c r="I102" i="49" s="1"/>
  <c r="A100" i="49"/>
  <c r="I100" i="49"/>
  <c r="A158" i="8"/>
  <c r="G206" i="49" l="1"/>
  <c r="G211" i="49" s="1"/>
  <c r="I83" i="8"/>
  <c r="A83" i="8"/>
  <c r="G104" i="49"/>
  <c r="A102" i="49"/>
  <c r="N71" i="6"/>
  <c r="O71" i="6"/>
  <c r="O73" i="6" s="1"/>
  <c r="I439" i="31" l="1"/>
  <c r="K439" i="31" s="1"/>
  <c r="A71" i="6"/>
  <c r="A104" i="49"/>
  <c r="I104" i="49"/>
  <c r="I397" i="31" s="1"/>
  <c r="K397" i="31" s="1"/>
  <c r="N1" i="6"/>
  <c r="N73" i="6"/>
  <c r="A73" i="6" s="1"/>
  <c r="D193" i="29"/>
  <c r="AG193" i="29"/>
  <c r="A210" i="13"/>
  <c r="D244" i="29"/>
  <c r="O1" i="6"/>
  <c r="J210" i="13" l="1"/>
  <c r="N24" i="6" s="1"/>
  <c r="J230" i="13"/>
  <c r="F279" i="13"/>
  <c r="F322" i="13" s="1"/>
  <c r="F221" i="13"/>
  <c r="J221" i="13" s="1"/>
  <c r="AG244" i="29"/>
  <c r="N26" i="6" l="1"/>
  <c r="F281" i="13"/>
  <c r="J281" i="13" s="1"/>
  <c r="A268" i="13"/>
  <c r="J268" i="13"/>
  <c r="J279" i="13"/>
  <c r="J322" i="13" s="1"/>
  <c r="J215" i="5" l="1"/>
  <c r="N36" i="6"/>
  <c r="A95" i="8"/>
  <c r="G116" i="49"/>
  <c r="K215" i="5"/>
  <c r="A322" i="13"/>
  <c r="A215" i="5" l="1"/>
  <c r="O24" i="6"/>
  <c r="A116" i="49"/>
  <c r="G123" i="49"/>
  <c r="N74" i="6"/>
  <c r="N37" i="6"/>
  <c r="G132" i="8"/>
  <c r="A132" i="8" s="1"/>
  <c r="J222" i="5"/>
  <c r="J225" i="5" s="1"/>
  <c r="J226" i="5"/>
  <c r="K222" i="5"/>
  <c r="K225" i="5" s="1"/>
  <c r="K226" i="5"/>
  <c r="O26" i="6" l="1"/>
  <c r="O36" i="6" s="1"/>
  <c r="P24" i="6"/>
  <c r="G153" i="49"/>
  <c r="I414" i="31" s="1"/>
  <c r="K414" i="31" s="1"/>
  <c r="I403" i="31"/>
  <c r="K403" i="31" s="1"/>
  <c r="M158" i="8"/>
  <c r="A102" i="8"/>
  <c r="A123" i="49"/>
  <c r="A226" i="5"/>
  <c r="A227" i="5" s="1"/>
  <c r="A222" i="5"/>
  <c r="A214" i="5" s="1"/>
  <c r="A225" i="5"/>
  <c r="P26" i="6" l="1"/>
  <c r="A26" i="6" s="1"/>
  <c r="A24" i="6"/>
  <c r="O74" i="6"/>
  <c r="O37" i="6"/>
  <c r="P36" i="6"/>
  <c r="A36" i="6"/>
  <c r="A153" i="49"/>
  <c r="A224" i="5"/>
  <c r="A223" i="5"/>
  <c r="A198" i="5"/>
  <c r="A199" i="5" s="1"/>
  <c r="A493" i="31"/>
  <c r="AG408" i="29"/>
  <c r="P37" i="6" l="1"/>
  <c r="P74" i="6"/>
  <c r="A74" i="6" s="1"/>
  <c r="A37" i="6"/>
  <c r="D408" i="29"/>
  <c r="J496" i="13" l="1"/>
  <c r="A496" i="13"/>
  <c r="F498" i="13"/>
  <c r="AG417" i="29"/>
  <c r="D417" i="29"/>
  <c r="F509" i="13" l="1"/>
  <c r="A509" i="13" s="1"/>
  <c r="A507" i="13"/>
  <c r="J1070" i="5"/>
  <c r="J1073" i="5" s="1"/>
  <c r="J498" i="13"/>
  <c r="A498" i="13"/>
  <c r="F511" i="13" l="1"/>
  <c r="F529" i="13" s="1"/>
  <c r="F531" i="13" s="1"/>
  <c r="A1070" i="5"/>
  <c r="A1062" i="5" s="1"/>
  <c r="J1084" i="5"/>
  <c r="J511" i="13"/>
  <c r="A511" i="13" l="1"/>
  <c r="A529" i="13"/>
  <c r="A1084" i="5"/>
  <c r="J1087" i="5"/>
  <c r="I1114" i="5"/>
  <c r="A1114" i="5" s="1"/>
  <c r="A1055" i="5"/>
  <c r="A1073" i="5"/>
  <c r="A1074" i="5" s="1"/>
  <c r="I1129" i="5"/>
  <c r="I1170" i="5" s="1"/>
  <c r="A1129" i="5" l="1"/>
  <c r="A1130" i="5" s="1"/>
  <c r="J529" i="13"/>
  <c r="J531" i="13" s="1"/>
  <c r="A531" i="13"/>
  <c r="A1087" i="5"/>
  <c r="A1088" i="5" s="1"/>
  <c r="I1113" i="5"/>
  <c r="I1128" i="5"/>
  <c r="I1169" i="5" s="1"/>
  <c r="A1169" i="5" s="1"/>
  <c r="A1075" i="5"/>
  <c r="A1076" i="5" s="1"/>
  <c r="A1167" i="5" l="1"/>
  <c r="A1168" i="5" s="1"/>
  <c r="A1170" i="5"/>
  <c r="A1171" i="5" s="1"/>
  <c r="A1164" i="5" s="1"/>
  <c r="I1131" i="5"/>
  <c r="A1128" i="5"/>
  <c r="A1113" i="5"/>
  <c r="I1115" i="5"/>
  <c r="A1131" i="5" l="1"/>
  <c r="A1132" i="5" s="1"/>
  <c r="A1126" i="5"/>
  <c r="A1115" i="5"/>
  <c r="I1118" i="5"/>
  <c r="A1118" i="5" s="1"/>
  <c r="A1119" i="5" s="1"/>
  <c r="A1120" i="5" s="1"/>
  <c r="A1125" i="5" l="1"/>
  <c r="A1127" i="5"/>
  <c r="A1205" i="5"/>
  <c r="A1202" i="5"/>
  <c r="A1203" i="5" s="1"/>
  <c r="A1172" i="5" l="1"/>
  <c r="A1009" i="5" s="1"/>
  <c r="A1010" i="5" s="1"/>
  <c r="A191" i="46"/>
  <c r="A174" i="46"/>
  <c r="A176" i="46"/>
  <c r="A175" i="46"/>
  <c r="A189" i="46"/>
  <c r="A173" i="46"/>
  <c r="A495" i="46"/>
  <c r="A470" i="46"/>
  <c r="A493" i="46" s="1"/>
  <c r="A474" i="46" l="1"/>
  <c r="A473" i="46"/>
  <c r="A471" i="46"/>
  <c r="A472" i="46"/>
  <c r="A503" i="46"/>
  <c r="A498" i="46"/>
  <c r="A496" i="46"/>
  <c r="A341" i="31" l="1"/>
  <c r="A342" i="31" s="1"/>
  <c r="K343" i="31"/>
  <c r="A106" i="7"/>
  <c r="J340" i="31" l="1"/>
  <c r="J343" i="31" s="1"/>
  <c r="K195" i="31"/>
  <c r="A195" i="31" s="1"/>
  <c r="J435" i="29"/>
  <c r="L435" i="29" s="1"/>
  <c r="H173" i="49"/>
  <c r="H178" i="49" s="1"/>
  <c r="G173" i="49" l="1"/>
  <c r="G178" i="49" s="1"/>
  <c r="I416" i="31" s="1"/>
  <c r="K416" i="31" s="1"/>
  <c r="G91" i="49"/>
  <c r="I91" i="49" s="1"/>
  <c r="D92" i="49"/>
  <c r="A343" i="31"/>
  <c r="A344" i="31" s="1"/>
  <c r="A340" i="31"/>
  <c r="A338" i="31"/>
  <c r="A339" i="31" s="1"/>
  <c r="AD435" i="29"/>
  <c r="O435" i="29"/>
  <c r="F552" i="13"/>
  <c r="F556" i="13" s="1"/>
  <c r="A114" i="7"/>
  <c r="K198" i="31"/>
  <c r="H161" i="49" s="1"/>
  <c r="A173" i="49" l="1"/>
  <c r="J184" i="31"/>
  <c r="J198" i="31" s="1"/>
  <c r="M95" i="31" s="1"/>
  <c r="N64" i="58"/>
  <c r="D94" i="49"/>
  <c r="D96" i="49" s="1"/>
  <c r="G92" i="49"/>
  <c r="A91" i="49"/>
  <c r="A334" i="31"/>
  <c r="A229" i="31" s="1"/>
  <c r="A178" i="49"/>
  <c r="A165" i="49"/>
  <c r="J552" i="13"/>
  <c r="J556" i="13" s="1"/>
  <c r="A552" i="13"/>
  <c r="N95" i="31"/>
  <c r="J426" i="29"/>
  <c r="L426" i="29" s="1"/>
  <c r="AG435" i="29"/>
  <c r="F552" i="50"/>
  <c r="D435" i="29"/>
  <c r="D106" i="49" l="1"/>
  <c r="G106" i="49" s="1"/>
  <c r="J62" i="58"/>
  <c r="M64" i="58"/>
  <c r="G60" i="58"/>
  <c r="G64" i="58" s="1"/>
  <c r="M60" i="58"/>
  <c r="A92" i="49"/>
  <c r="I92" i="49"/>
  <c r="G94" i="49"/>
  <c r="H163" i="49"/>
  <c r="A184" i="31"/>
  <c r="A335" i="31"/>
  <c r="AD426" i="29"/>
  <c r="O426" i="29"/>
  <c r="F539" i="13"/>
  <c r="F556" i="50"/>
  <c r="A552" i="50"/>
  <c r="J552" i="50"/>
  <c r="J556" i="50" s="1"/>
  <c r="M65" i="58" l="1"/>
  <c r="G96" i="49"/>
  <c r="I106" i="49"/>
  <c r="I398" i="31" s="1"/>
  <c r="K398" i="31" s="1"/>
  <c r="I94" i="49"/>
  <c r="A94" i="49"/>
  <c r="H180" i="49"/>
  <c r="A182" i="31"/>
  <c r="A183" i="31" s="1"/>
  <c r="A198" i="31"/>
  <c r="G161" i="49"/>
  <c r="A539" i="13"/>
  <c r="F541" i="13"/>
  <c r="J539" i="13"/>
  <c r="J541" i="13" s="1"/>
  <c r="J558" i="13" s="1"/>
  <c r="G154" i="14" s="1"/>
  <c r="G156" i="14" s="1"/>
  <c r="D426" i="29"/>
  <c r="F539" i="50"/>
  <c r="AG426" i="29"/>
  <c r="G163" i="49" l="1"/>
  <c r="A106" i="49"/>
  <c r="I96" i="49"/>
  <c r="A96" i="49"/>
  <c r="P154" i="14"/>
  <c r="A154" i="14"/>
  <c r="N180" i="49"/>
  <c r="A199" i="31"/>
  <c r="A200" i="31" s="1"/>
  <c r="A178" i="31"/>
  <c r="J539" i="50"/>
  <c r="J541" i="50" s="1"/>
  <c r="J558" i="50" s="1"/>
  <c r="G142" i="51" s="1"/>
  <c r="A539" i="50"/>
  <c r="F541" i="50"/>
  <c r="A161" i="49"/>
  <c r="A541" i="13"/>
  <c r="F558" i="13"/>
  <c r="A558" i="13" s="1"/>
  <c r="G180" i="49" l="1"/>
  <c r="I415" i="31"/>
  <c r="K415" i="31" s="1"/>
  <c r="A155" i="49"/>
  <c r="P142" i="51"/>
  <c r="A142" i="51"/>
  <c r="G144" i="51"/>
  <c r="A156" i="14"/>
  <c r="P156" i="14"/>
  <c r="G158" i="14"/>
  <c r="A541" i="50"/>
  <c r="F558" i="50"/>
  <c r="A558" i="50" s="1"/>
  <c r="A163" i="49"/>
  <c r="I417" i="31" l="1"/>
  <c r="K417" i="31" s="1"/>
  <c r="M180" i="49"/>
  <c r="P144" i="51"/>
  <c r="G146" i="51"/>
  <c r="A144" i="51"/>
  <c r="A158" i="14"/>
  <c r="P158" i="14"/>
  <c r="A180" i="49"/>
  <c r="A146" i="51" l="1"/>
  <c r="P146" i="51"/>
  <c r="J58" i="58"/>
  <c r="A46" i="58"/>
  <c r="A44" i="58"/>
  <c r="A41" i="58"/>
  <c r="A36" i="58"/>
  <c r="A21" i="58"/>
  <c r="A31" i="58"/>
  <c r="A43" i="58"/>
  <c r="A50" i="58"/>
  <c r="A48" i="58"/>
  <c r="A51" i="58"/>
  <c r="A39" i="58"/>
  <c r="A24" i="58"/>
  <c r="A23" i="58"/>
  <c r="A29" i="58"/>
  <c r="A32" i="58"/>
  <c r="A28" i="58"/>
  <c r="A30" i="58"/>
  <c r="A22" i="58"/>
  <c r="A19" i="58"/>
  <c r="A47" i="58"/>
  <c r="A34" i="58"/>
  <c r="A52" i="58"/>
  <c r="A38" i="58"/>
  <c r="A49" i="58"/>
  <c r="A45" i="58"/>
  <c r="A37" i="58"/>
  <c r="A53" i="58" s="1"/>
  <c r="A35" i="58"/>
  <c r="A27" i="58"/>
  <c r="A33" i="58"/>
  <c r="A40" i="58"/>
  <c r="A42" i="58"/>
  <c r="A26" i="58"/>
  <c r="A25" i="58" l="1"/>
  <c r="H58" i="58"/>
  <c r="X54" i="58"/>
  <c r="W54" i="58"/>
  <c r="A20" i="58"/>
  <c r="J64" i="58" l="1"/>
  <c r="N65" i="58" s="1"/>
  <c r="A54" i="58"/>
  <c r="X58" i="58"/>
  <c r="W58" i="58"/>
  <c r="A6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McAlinden, Nicola</author>
  </authors>
  <commentList>
    <comment ref="H10" authorId="0" shapeId="0" xr:uid="{00000000-0006-0000-0500-000001000000}">
      <text>
        <r>
          <rPr>
            <b/>
            <sz val="9"/>
            <color indexed="81"/>
            <rFont val="Tahoma"/>
            <family val="2"/>
          </rPr>
          <t>McAlinden, Nicola:</t>
        </r>
        <r>
          <rPr>
            <sz val="9"/>
            <color indexed="81"/>
            <rFont val="Tahoma"/>
            <family val="2"/>
          </rPr>
          <t xml:space="preserve">
Insert sign as required:
Increase = +ve
Decrease = -ve</t>
        </r>
      </text>
    </comment>
    <comment ref="H13" authorId="0" shapeId="0" xr:uid="{00000000-0006-0000-0500-000002000000}">
      <text>
        <r>
          <rPr>
            <b/>
            <sz val="9"/>
            <color indexed="81"/>
            <rFont val="Tahoma"/>
            <family val="2"/>
          </rPr>
          <t>McAlinden, Nicola:</t>
        </r>
        <r>
          <rPr>
            <sz val="9"/>
            <color indexed="81"/>
            <rFont val="Tahoma"/>
            <family val="2"/>
          </rPr>
          <t xml:space="preserve">
Enter -ve figure</t>
        </r>
      </text>
    </comment>
    <comment ref="H14" authorId="0" shapeId="0" xr:uid="{00000000-0006-0000-0500-000003000000}">
      <text>
        <r>
          <rPr>
            <b/>
            <sz val="9"/>
            <color indexed="81"/>
            <rFont val="Tahoma"/>
            <family val="2"/>
          </rPr>
          <t>McAlinden, Nicola:</t>
        </r>
        <r>
          <rPr>
            <sz val="9"/>
            <color indexed="81"/>
            <rFont val="Tahoma"/>
            <family val="2"/>
          </rPr>
          <t xml:space="preserve">
Enter -ve figure</t>
        </r>
      </text>
    </comment>
    <comment ref="AB15" authorId="0" shapeId="0" xr:uid="{00000000-0006-0000-0500-000004000000}">
      <text>
        <r>
          <rPr>
            <b/>
            <sz val="9"/>
            <color indexed="81"/>
            <rFont val="Tahoma"/>
            <family val="2"/>
          </rPr>
          <t>McAlinden, Nicola:</t>
        </r>
        <r>
          <rPr>
            <sz val="9"/>
            <color indexed="81"/>
            <rFont val="Tahoma"/>
            <family val="2"/>
          </rPr>
          <t xml:space="preserve">
Enter figure as a negative
</t>
        </r>
      </text>
    </comment>
    <comment ref="H302" authorId="0" shapeId="0" xr:uid="{00000000-0006-0000-0500-000005000000}">
      <text>
        <r>
          <rPr>
            <b/>
            <sz val="9"/>
            <color indexed="81"/>
            <rFont val="Tahoma"/>
            <family val="2"/>
          </rPr>
          <t>McAlinden, Nicola:</t>
        </r>
        <r>
          <rPr>
            <sz val="9"/>
            <color indexed="81"/>
            <rFont val="Tahoma"/>
            <family val="2"/>
          </rPr>
          <t xml:space="preserve">
enter as a negative
</t>
        </r>
      </text>
    </comment>
    <comment ref="AB378" authorId="0" shapeId="0" xr:uid="{00000000-0006-0000-0500-000006000000}">
      <text>
        <r>
          <rPr>
            <b/>
            <sz val="9"/>
            <color indexed="81"/>
            <rFont val="Tahoma"/>
            <family val="2"/>
          </rPr>
          <t>McAlinden, Nicola:</t>
        </r>
        <r>
          <rPr>
            <sz val="9"/>
            <color indexed="81"/>
            <rFont val="Tahoma"/>
            <family val="2"/>
          </rPr>
          <t xml:space="preserve">
Enter figure as a positive
</t>
        </r>
      </text>
    </comment>
    <comment ref="AB379" authorId="0" shapeId="0" xr:uid="{00000000-0006-0000-0500-000007000000}">
      <text>
        <r>
          <rPr>
            <b/>
            <sz val="9"/>
            <color indexed="81"/>
            <rFont val="Tahoma"/>
            <family val="2"/>
          </rPr>
          <t>McAlinden, Nicola:</t>
        </r>
        <r>
          <rPr>
            <sz val="9"/>
            <color indexed="81"/>
            <rFont val="Tahoma"/>
            <family val="2"/>
          </rPr>
          <t xml:space="preserve">
Enter figure as a positive</t>
        </r>
      </text>
    </comment>
    <comment ref="AB383" authorId="0" shapeId="0" xr:uid="{00000000-0006-0000-0500-000008000000}">
      <text>
        <r>
          <rPr>
            <b/>
            <sz val="9"/>
            <color indexed="81"/>
            <rFont val="Tahoma"/>
            <family val="2"/>
          </rPr>
          <t>McAlinden, Nicola:</t>
        </r>
        <r>
          <rPr>
            <sz val="9"/>
            <color indexed="81"/>
            <rFont val="Tahoma"/>
            <family val="2"/>
          </rPr>
          <t xml:space="preserve">
Enter figure as a positive
</t>
        </r>
      </text>
    </comment>
    <comment ref="AB384" authorId="0" shapeId="0" xr:uid="{00000000-0006-0000-0500-000009000000}">
      <text>
        <r>
          <rPr>
            <b/>
            <sz val="9"/>
            <color indexed="81"/>
            <rFont val="Tahoma"/>
            <family val="2"/>
          </rPr>
          <t>McAlinden, Nicola:</t>
        </r>
        <r>
          <rPr>
            <sz val="9"/>
            <color indexed="81"/>
            <rFont val="Tahoma"/>
            <family val="2"/>
          </rPr>
          <t xml:space="preserve">
Enter figure as a positive</t>
        </r>
      </text>
    </comment>
    <comment ref="AB388" authorId="0" shapeId="0" xr:uid="{00000000-0006-0000-0500-00000A000000}">
      <text>
        <r>
          <rPr>
            <b/>
            <sz val="9"/>
            <color indexed="81"/>
            <rFont val="Tahoma"/>
            <family val="2"/>
          </rPr>
          <t>McAlinden, Nicola:</t>
        </r>
        <r>
          <rPr>
            <sz val="9"/>
            <color indexed="81"/>
            <rFont val="Tahoma"/>
            <family val="2"/>
          </rPr>
          <t xml:space="preserve">
Enter figure as a positive
</t>
        </r>
      </text>
    </comment>
    <comment ref="AB389" authorId="0" shapeId="0" xr:uid="{00000000-0006-0000-0500-00000B000000}">
      <text>
        <r>
          <rPr>
            <b/>
            <sz val="9"/>
            <color indexed="81"/>
            <rFont val="Tahoma"/>
            <family val="2"/>
          </rPr>
          <t>McAlinden, Nicola:</t>
        </r>
        <r>
          <rPr>
            <sz val="9"/>
            <color indexed="81"/>
            <rFont val="Tahoma"/>
            <family val="2"/>
          </rPr>
          <t xml:space="preserve">
Enter figure as a positive</t>
        </r>
      </text>
    </comment>
    <comment ref="AB393" authorId="0" shapeId="0" xr:uid="{00000000-0006-0000-0500-00000C000000}">
      <text>
        <r>
          <rPr>
            <b/>
            <sz val="9"/>
            <color indexed="81"/>
            <rFont val="Tahoma"/>
            <family val="2"/>
          </rPr>
          <t>McAlinden, Nicola:</t>
        </r>
        <r>
          <rPr>
            <sz val="9"/>
            <color indexed="81"/>
            <rFont val="Tahoma"/>
            <family val="2"/>
          </rPr>
          <t xml:space="preserve">
Enter figure as a positive
</t>
        </r>
      </text>
    </comment>
    <comment ref="AB394" authorId="0" shapeId="0" xr:uid="{00000000-0006-0000-0500-00000D000000}">
      <text>
        <r>
          <rPr>
            <b/>
            <sz val="9"/>
            <color indexed="81"/>
            <rFont val="Tahoma"/>
            <family val="2"/>
          </rPr>
          <t>McAlinden, Nicola:</t>
        </r>
        <r>
          <rPr>
            <sz val="9"/>
            <color indexed="81"/>
            <rFont val="Tahoma"/>
            <family val="2"/>
          </rPr>
          <t xml:space="preserve">
Enter figure as a positive</t>
        </r>
      </text>
    </comment>
    <comment ref="AB403" authorId="0" shapeId="0" xr:uid="{00000000-0006-0000-0500-00000E000000}">
      <text>
        <r>
          <rPr>
            <b/>
            <sz val="9"/>
            <color indexed="81"/>
            <rFont val="Tahoma"/>
            <family val="2"/>
          </rPr>
          <t>McAlinden, Nicola:</t>
        </r>
        <r>
          <rPr>
            <sz val="9"/>
            <color indexed="81"/>
            <rFont val="Tahoma"/>
            <family val="2"/>
          </rPr>
          <t xml:space="preserve">
is this needed?</t>
        </r>
      </text>
    </comment>
    <comment ref="J408" authorId="0" shapeId="0" xr:uid="{00000000-0006-0000-0500-00000F000000}">
      <text>
        <r>
          <rPr>
            <b/>
            <sz val="9"/>
            <color indexed="81"/>
            <rFont val="Tahoma"/>
            <family val="2"/>
          </rPr>
          <t>McAlinden, Nicola:</t>
        </r>
        <r>
          <rPr>
            <sz val="9"/>
            <color indexed="81"/>
            <rFont val="Tahoma"/>
            <family val="2"/>
          </rPr>
          <t xml:space="preserve">
ENTER AS A -VE</t>
        </r>
      </text>
    </comment>
    <comment ref="M408" authorId="0" shapeId="0" xr:uid="{00000000-0006-0000-0500-000010000000}">
      <text>
        <r>
          <rPr>
            <b/>
            <sz val="9"/>
            <color indexed="81"/>
            <rFont val="Tahoma"/>
            <family val="2"/>
          </rPr>
          <t>McAlinden, Nicola:</t>
        </r>
        <r>
          <rPr>
            <sz val="9"/>
            <color indexed="81"/>
            <rFont val="Tahoma"/>
            <family val="2"/>
          </rPr>
          <t xml:space="preserve">
ENTER AS -VE</t>
        </r>
      </text>
    </comment>
    <comment ref="P408" authorId="0" shapeId="0" xr:uid="{00000000-0006-0000-0500-000011000000}">
      <text>
        <r>
          <rPr>
            <b/>
            <sz val="9"/>
            <color indexed="81"/>
            <rFont val="Tahoma"/>
            <family val="2"/>
          </rPr>
          <t>McAlinden, Nicola:</t>
        </r>
        <r>
          <rPr>
            <sz val="9"/>
            <color indexed="81"/>
            <rFont val="Tahoma"/>
            <family val="2"/>
          </rPr>
          <t xml:space="preserve">
ENTER AS A -VE</t>
        </r>
      </text>
    </comment>
    <comment ref="S408" authorId="0" shapeId="0" xr:uid="{00000000-0006-0000-0500-000012000000}">
      <text>
        <r>
          <rPr>
            <b/>
            <sz val="9"/>
            <color indexed="81"/>
            <rFont val="Tahoma"/>
            <family val="2"/>
          </rPr>
          <t>McAlinden, Nicola:</t>
        </r>
        <r>
          <rPr>
            <sz val="9"/>
            <color indexed="81"/>
            <rFont val="Tahoma"/>
            <family val="2"/>
          </rPr>
          <t xml:space="preserve">
ENTER AS A -VE</t>
        </r>
      </text>
    </comment>
    <comment ref="J409" authorId="0" shapeId="0" xr:uid="{00000000-0006-0000-0500-000013000000}">
      <text>
        <r>
          <rPr>
            <b/>
            <sz val="9"/>
            <color indexed="81"/>
            <rFont val="Tahoma"/>
            <family val="2"/>
          </rPr>
          <t>McAlinden, Nicola:</t>
        </r>
        <r>
          <rPr>
            <sz val="9"/>
            <color indexed="81"/>
            <rFont val="Tahoma"/>
            <family val="2"/>
          </rPr>
          <t xml:space="preserve">
ENTER AS A -VE</t>
        </r>
      </text>
    </comment>
    <comment ref="M409" authorId="0" shapeId="0" xr:uid="{00000000-0006-0000-0500-000014000000}">
      <text>
        <r>
          <rPr>
            <b/>
            <sz val="9"/>
            <color indexed="81"/>
            <rFont val="Tahoma"/>
            <family val="2"/>
          </rPr>
          <t>McAlinden, Nicola:</t>
        </r>
        <r>
          <rPr>
            <sz val="9"/>
            <color indexed="81"/>
            <rFont val="Tahoma"/>
            <family val="2"/>
          </rPr>
          <t xml:space="preserve">
ENTER AS A -VE</t>
        </r>
      </text>
    </comment>
    <comment ref="P409" authorId="0" shapeId="0" xr:uid="{00000000-0006-0000-0500-000015000000}">
      <text>
        <r>
          <rPr>
            <b/>
            <sz val="9"/>
            <color indexed="81"/>
            <rFont val="Tahoma"/>
            <family val="2"/>
          </rPr>
          <t>McAlinden, Nicola:</t>
        </r>
        <r>
          <rPr>
            <sz val="9"/>
            <color indexed="81"/>
            <rFont val="Tahoma"/>
            <family val="2"/>
          </rPr>
          <t xml:space="preserve">
ENTER AS A -VE</t>
        </r>
      </text>
    </comment>
    <comment ref="S409" authorId="0" shapeId="0" xr:uid="{00000000-0006-0000-0500-000016000000}">
      <text>
        <r>
          <rPr>
            <b/>
            <sz val="9"/>
            <color indexed="81"/>
            <rFont val="Tahoma"/>
            <family val="2"/>
          </rPr>
          <t>McAlinden, Nicola:</t>
        </r>
        <r>
          <rPr>
            <sz val="9"/>
            <color indexed="81"/>
            <rFont val="Tahoma"/>
            <family val="2"/>
          </rPr>
          <t xml:space="preserve">
ENTER AS A -VE</t>
        </r>
      </text>
    </comment>
    <comment ref="J410" authorId="0" shapeId="0" xr:uid="{00000000-0006-0000-0500-000017000000}">
      <text>
        <r>
          <rPr>
            <b/>
            <sz val="9"/>
            <color indexed="81"/>
            <rFont val="Tahoma"/>
            <family val="2"/>
          </rPr>
          <t>McAlinden, Nicola:</t>
        </r>
        <r>
          <rPr>
            <sz val="9"/>
            <color indexed="81"/>
            <rFont val="Tahoma"/>
            <family val="2"/>
          </rPr>
          <t xml:space="preserve">
POPULATED FROM OTHER CELLS</t>
        </r>
      </text>
    </comment>
    <comment ref="M410" authorId="0" shapeId="0" xr:uid="{00000000-0006-0000-0500-000018000000}">
      <text>
        <r>
          <rPr>
            <b/>
            <sz val="9"/>
            <color indexed="81"/>
            <rFont val="Tahoma"/>
            <family val="2"/>
          </rPr>
          <t>McAlinden, Nicola:</t>
        </r>
        <r>
          <rPr>
            <sz val="9"/>
            <color indexed="81"/>
            <rFont val="Tahoma"/>
            <family val="2"/>
          </rPr>
          <t xml:space="preserve">
POPULATED FROM OTHER CELLS</t>
        </r>
      </text>
    </comment>
    <comment ref="J412" authorId="0" shapeId="0" xr:uid="{00000000-0006-0000-0500-000019000000}">
      <text>
        <r>
          <rPr>
            <b/>
            <sz val="9"/>
            <color indexed="81"/>
            <rFont val="Tahoma"/>
            <family val="2"/>
          </rPr>
          <t>McAlinden, Nicola:</t>
        </r>
        <r>
          <rPr>
            <sz val="9"/>
            <color indexed="81"/>
            <rFont val="Tahoma"/>
            <family val="2"/>
          </rPr>
          <t xml:space="preserve">
POPULATED FROM OTHER CELLS</t>
        </r>
      </text>
    </comment>
    <comment ref="M412" authorId="0" shapeId="0" xr:uid="{00000000-0006-0000-0500-00001A000000}">
      <text>
        <r>
          <rPr>
            <b/>
            <sz val="9"/>
            <color indexed="81"/>
            <rFont val="Tahoma"/>
            <family val="2"/>
          </rPr>
          <t>McAlinden, Nicola:</t>
        </r>
        <r>
          <rPr>
            <sz val="9"/>
            <color indexed="81"/>
            <rFont val="Tahoma"/>
            <family val="2"/>
          </rPr>
          <t xml:space="preserve">
POPULATED FROM OTHER CELLS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McAlinden, Nicola</author>
  </authors>
  <commentList>
    <comment ref="C125" authorId="0" shapeId="0" xr:uid="{00000000-0006-0000-0F00-000001000000}">
      <text>
        <r>
          <rPr>
            <b/>
            <sz val="9"/>
            <color indexed="81"/>
            <rFont val="Tahoma"/>
            <family val="2"/>
          </rPr>
          <t>McAlinden, Nicola:</t>
        </r>
        <r>
          <rPr>
            <sz val="9"/>
            <color indexed="81"/>
            <rFont val="Tahoma"/>
            <family val="2"/>
          </rPr>
          <t xml:space="preserve">
Should be grants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McAlinden, Nicola</author>
  </authors>
  <commentList>
    <comment ref="C109" authorId="0" shapeId="0" xr:uid="{00000000-0006-0000-1E00-000001000000}">
      <text>
        <r>
          <rPr>
            <b/>
            <sz val="9"/>
            <color indexed="81"/>
            <rFont val="Tahoma"/>
            <family val="2"/>
          </rPr>
          <t>McAlinden, Nicola:</t>
        </r>
        <r>
          <rPr>
            <sz val="9"/>
            <color indexed="81"/>
            <rFont val="Tahoma"/>
            <family val="2"/>
          </rPr>
          <t xml:space="preserve">
Should be grants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McAlinden, Nicola</author>
  </authors>
  <commentList>
    <comment ref="B48" authorId="0" shapeId="0" xr:uid="{00000000-0006-0000-2000-000001000000}">
      <text>
        <r>
          <rPr>
            <b/>
            <sz val="9"/>
            <color indexed="81"/>
            <rFont val="Tahoma"/>
            <family val="2"/>
          </rPr>
          <t>McAlinden, Nicola:</t>
        </r>
        <r>
          <rPr>
            <sz val="9"/>
            <color indexed="81"/>
            <rFont val="Tahoma"/>
            <family val="2"/>
          </rPr>
          <t xml:space="preserve">
Where is the line - 'impairment losses on non-current assets charged to the reval reserve'?</t>
        </r>
      </text>
    </comment>
  </commentList>
</comments>
</file>

<file path=xl/sharedStrings.xml><?xml version="1.0" encoding="utf-8"?>
<sst xmlns="http://schemas.openxmlformats.org/spreadsheetml/2006/main" count="16539" uniqueCount="3191">
  <si>
    <t xml:space="preserve">                                                                                                                                </t>
  </si>
  <si>
    <t xml:space="preserve">Prepared by:                                                                                                                                                      </t>
  </si>
  <si>
    <t xml:space="preserve">                                                                                                </t>
  </si>
  <si>
    <t>Additional policy detail required where a Council is carrying a disposal group as an Asset Held for Sale.</t>
  </si>
  <si>
    <t>Minimum Revenue Provision</t>
  </si>
  <si>
    <t>Payment of Invoices</t>
  </si>
  <si>
    <t xml:space="preserve">  </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</si>
  <si>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</si>
  <si>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</si>
  <si>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</si>
  <si>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</si>
  <si>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</si>
  <si>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</si>
  <si>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</si>
  <si>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</si>
  <si>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</si>
  <si>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</si>
  <si>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</si>
  <si>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</si>
  <si>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</si>
  <si>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</si>
  <si>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</si>
  <si>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</si>
  <si>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</si>
  <si>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</si>
  <si>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</si>
  <si>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</si>
  <si>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</si>
  <si>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</si>
  <si>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</si>
  <si>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</si>
  <si>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i)</t>
  </si>
  <si>
    <t>Arrears</t>
  </si>
  <si>
    <t>Where the Council has entered into a transaction denominated in a foreign currency, the transaction is converted into sterling at the exchange rate applicable on the date the transaction was effective.  Where amounts in foreign currency are outstanding at the year-end, they are reconverted at the spot exchange rate at 31 March.  Resulting gains or losses are recognised in the Financing and Investment Income and Expenditure line in the Comprehensive Income and Expenditure Statement.</t>
  </si>
  <si>
    <t>Government Grants and Contributions</t>
  </si>
  <si>
    <t>Monies advanced as grants and contributions for which conditions have not been satisfied are carried in the Balance Sheet as creditors.  When conditions are satisfied, the grant or contribution is credited to the relevant service line (attributable revenue grants and contributions) or Taxation and Non-Specific Grant Income (non-ring-fenced revenue grants and all capital grants) in the Comprehensive Income and Expenditure Statement.</t>
  </si>
  <si>
    <t>Where capital grants are credited to the Comprehensive Income and Expenditure Statement, they are reversed out of the General Fund Balance in the Movement in Reserves Statement.  Where the grant has yet to be used to finance capital expenditure, it is posted to the Capital Grants Unapplied Reserve.  Where it has been applied, it is posted to the Capital Adjustment Account.  Amounts in the Capital Grants Unapplied Reserve are transferred to the Capital Adjustment Account once they have been applied to fund capital expenditure.</t>
  </si>
  <si>
    <t>Internally generated assets are capitalised where it is demonstrable that the project is technically feasible and is intended to be completed (with adequate resources being available) and the Council will be able to generate future economic benefits or deliver service potential by being able to sell or use the asset.  Expenditure is capitalised where it can be measured reliably as attributable to the asset and restricted to that incurred during the development phase (research expenditure is not capitalised).</t>
  </si>
  <si>
    <t>Expenditure on the development of websites is not capitalised if the website is solely or primarily intended to promote or advertise the Council’s goods or services.</t>
  </si>
  <si>
    <t>Inventories &amp; Long Term Contracts</t>
  </si>
  <si>
    <t>The Landfill Allowances Scheme operates under the Landfill Allowances Scheme (Northern Ireland) Regulations 2005.  Local Authorities are allocated annual target figures for the maximum amount of biodegradable municipal waste that can be sent to landfill but there are no tradable allowances.  It is not a ‘cap and trade’ scheme since landfill allowances are not tradable.  For this reason, landfill allowances are not recognised as assets on the Balance Sheet.</t>
  </si>
  <si>
    <t xml:space="preserve">Leases </t>
  </si>
  <si>
    <t>Where a lease covers both land and buildings, the land and buildings elements are considered separately for classification.</t>
  </si>
  <si>
    <t xml:space="preserve">The Comprehensive Income and Expenditure Statement </t>
  </si>
  <si>
    <t>The Balance Sheet</t>
  </si>
  <si>
    <t>The Cash Flow Statement</t>
  </si>
  <si>
    <t xml:space="preserve">Net cash flows from operating activities </t>
  </si>
  <si>
    <t>Net increase or decrease in cash and cash equivalents</t>
  </si>
  <si>
    <t>Cash and cash equivalents at the beginning of the reporting period</t>
  </si>
  <si>
    <t>Cash and cash equivalents at the end of the reporting period</t>
  </si>
  <si>
    <t xml:space="preserve">Disposals and Non-Current Assets Held for Sale </t>
  </si>
  <si>
    <t>Capital grants included in "Taxation &amp; non-specific grant income"</t>
  </si>
  <si>
    <t>For the purposes of the cash flow statement, cash and cash equivalents include cash on hand and in bank and short term deposits and investments (considered to be cash equivalents), net of outstanding bank overdrafts. Cash and cash equivalents at the end of the reporting period as shown in the statement of cash flows can be reconciled to the related items in the Balance Sheet as follows:</t>
  </si>
  <si>
    <t>Cash and Bank balances</t>
  </si>
  <si>
    <t>Short Term Investments (considered to be Cash Equivalents)</t>
  </si>
  <si>
    <t>Recognition</t>
  </si>
  <si>
    <t>Measurement</t>
  </si>
  <si>
    <t>The Council does not capitalise borrowing costs incurred whilst assets are under construction.</t>
  </si>
  <si>
    <t>Donated assets are measured initially at fair value.  The difference between fair value and any consideration paid is credited to the Taxation and Non-Specific Grant Income line of the Comprehensive Income and Expenditure Statement, unless the donation has been made conditionally.  Until conditions are satisfied, the gain is held in the Donated Assets Account. Where gains are credited to the Comprehensive Income and Expenditure Statement, they are reversed out of the General Fund Balance to the Capital Adjustment Account in the Movement in Reserves Statement.</t>
  </si>
  <si>
    <t>Where there is no market-based evidence of fair value because of the specialist nature of an asset, depreciated replacement cost is used as an estimate of fair value.</t>
  </si>
  <si>
    <t>The Revaluation Reserve contains revaluation gains recognised since 1 April 2008 only, the date of its formal implementation.  Gains arising before that date have been consolidated into the Capital Adjustment Account.</t>
  </si>
  <si>
    <t>Impairment</t>
  </si>
  <si>
    <t>Componentisation</t>
  </si>
  <si>
    <t>Revaluation gains are also depreciated, with an amount equal to the difference between current value depreciation charged on assets and the depreciation that would have been chargeable based on their historical cost being transferred each year from the Revaluation Reserve to the Capital Adjustment Account.</t>
  </si>
  <si>
    <t>Provisions are charged as an expense to the appropriate service line in the Comprehensive Income and Expenditure Statement in the year that the Council becomes aware of the obligation, and measured at the best estimate at the balance sheet date of the expenditure required to settle the obligation, taking into account relevant risks and uncertainties.</t>
  </si>
  <si>
    <t>When payments are eventually made, they are charged to the provision carried in the Balance Sheet.  Estimated settlements are reviewed at the end of each financial year – where it becomes less than probable that a transfer of economic benefits will now be required (or a lower settlement than anticipated is made), the provision is reversed and credited back to the relevant service.</t>
  </si>
  <si>
    <t>Where some or all of the payment required to settle a provision is expected to be recovered from another party (e.g. from an insurance claim), this is only recognised as income for the relevant service if it is virtually certain that reimbursement will be received if the Council settles the obligation.</t>
  </si>
  <si>
    <t>Additional policy detail required where a Council has made provision for onerous contracts or restructuring costs and where discounting of the amount to settle the obligation is required.</t>
  </si>
  <si>
    <t>Reserves</t>
  </si>
  <si>
    <t>Charges to Revenue for Non-Current Assets</t>
  </si>
  <si>
    <t xml:space="preserve">Revenue Expenditure Funded from Capital under Statute </t>
  </si>
  <si>
    <t>Later than 5 years</t>
  </si>
  <si>
    <t>Later than 1 year and no later than 5 years</t>
  </si>
  <si>
    <t>END OF DATA INPUT RANGE</t>
  </si>
  <si>
    <t>Total</t>
  </si>
  <si>
    <t>Current liabilities</t>
  </si>
  <si>
    <t>Long term liabilities</t>
  </si>
  <si>
    <t>Minimum lease payments</t>
  </si>
  <si>
    <t>Contingent rentals</t>
  </si>
  <si>
    <t>Less: Sublease payments receivable</t>
  </si>
  <si>
    <t>FTE</t>
  </si>
  <si>
    <t>Total Number</t>
  </si>
  <si>
    <t>Actual Numbers</t>
  </si>
  <si>
    <t xml:space="preserve">Pensions interest cost </t>
  </si>
  <si>
    <t>Other investment income</t>
  </si>
  <si>
    <t>Changes in Fair Value of Investment Properties</t>
  </si>
  <si>
    <t>Taxation and Non Specific Grant Income</t>
  </si>
  <si>
    <t>Result of Roundings</t>
  </si>
  <si>
    <t>Service Heading</t>
  </si>
  <si>
    <t>FIPE</t>
  </si>
  <si>
    <t>FIPI</t>
  </si>
  <si>
    <t xml:space="preserve">Land </t>
  </si>
  <si>
    <t>Surplus Assets</t>
  </si>
  <si>
    <t>LTPVL</t>
  </si>
  <si>
    <t>LTPL</t>
  </si>
  <si>
    <t>LTPA</t>
  </si>
  <si>
    <t>Cost or Valuation</t>
  </si>
  <si>
    <t xml:space="preserve">Vehicles, Plant &amp; Equipment </t>
  </si>
  <si>
    <t>PP&amp;E Under Construction</t>
  </si>
  <si>
    <t>Total PP&amp;E</t>
  </si>
  <si>
    <t>TOTAL</t>
  </si>
  <si>
    <t>Adjustments between cost/value &amp; depreciation/impairment</t>
  </si>
  <si>
    <t xml:space="preserve">Additions (Note 11) </t>
  </si>
  <si>
    <t>Donations</t>
  </si>
  <si>
    <t>Revaluation increases/decreases to Revaluation Reserve</t>
  </si>
  <si>
    <t xml:space="preserve">Derecognition - Disposals </t>
  </si>
  <si>
    <t>Derecognition - Other</t>
  </si>
  <si>
    <t>Reclassifications &amp; Transfers</t>
  </si>
  <si>
    <t>Depreciation and Impairment</t>
  </si>
  <si>
    <t>Depreciation Charge</t>
  </si>
  <si>
    <t>Depreciation written out on Revaluation  Reserve</t>
  </si>
  <si>
    <t>Depreciation written out on Revaluation taken to Surplus or Deficit on the Provision of Services</t>
  </si>
  <si>
    <t>Impairment losses/reversals to Revaluation Reserve</t>
  </si>
  <si>
    <t>Impairment losses/reversals to Surplus or Deficit on the Provision of Services</t>
  </si>
  <si>
    <t>Derecognition - Disposals</t>
  </si>
  <si>
    <t>Eliminated on reclassification to Held for Sale</t>
  </si>
  <si>
    <t>Net Book Values</t>
  </si>
  <si>
    <t>Other Operating Expenses</t>
  </si>
  <si>
    <t>Interest payable and similar charges</t>
  </si>
  <si>
    <t>Interest and Investment Income</t>
  </si>
  <si>
    <t>Taxation and Non Specific-Grant Income</t>
  </si>
  <si>
    <t>LTDR</t>
  </si>
  <si>
    <t>STCK</t>
  </si>
  <si>
    <t>STDRS</t>
  </si>
  <si>
    <t>CACE</t>
  </si>
  <si>
    <t>BAOD</t>
  </si>
  <si>
    <t>STLN</t>
  </si>
  <si>
    <t>LTLN</t>
  </si>
  <si>
    <t>STCR</t>
  </si>
  <si>
    <t>LTCRS</t>
  </si>
  <si>
    <t>LTCG</t>
  </si>
  <si>
    <t>ACRR</t>
  </si>
  <si>
    <t>ACGU</t>
  </si>
  <si>
    <t>ACFR</t>
  </si>
  <si>
    <t>ARRR</t>
  </si>
  <si>
    <t>AOTR</t>
  </si>
  <si>
    <t>AGNF</t>
  </si>
  <si>
    <t>BCAA</t>
  </si>
  <si>
    <t>BFIA</t>
  </si>
  <si>
    <t>BRVR</t>
  </si>
  <si>
    <t>BFIR</t>
  </si>
  <si>
    <t>BPER</t>
  </si>
  <si>
    <t>BCRD</t>
  </si>
  <si>
    <t>BAAA</t>
  </si>
  <si>
    <t>SE / SI</t>
  </si>
  <si>
    <t>Ranges Used</t>
  </si>
  <si>
    <t>IP</t>
  </si>
  <si>
    <t>IR</t>
  </si>
  <si>
    <t>PC</t>
  </si>
  <si>
    <t>TO</t>
  </si>
  <si>
    <t>TI</t>
  </si>
  <si>
    <t>OE</t>
  </si>
  <si>
    <t>Other Operating Income</t>
  </si>
  <si>
    <t>PI</t>
  </si>
  <si>
    <t>CIES</t>
  </si>
  <si>
    <t>Tourism</t>
  </si>
  <si>
    <t>Community Services</t>
  </si>
  <si>
    <t>Environmental Services</t>
  </si>
  <si>
    <t>Waste Collection</t>
  </si>
  <si>
    <t>Economic Development</t>
  </si>
  <si>
    <t>Service Expenditure</t>
  </si>
  <si>
    <t>Other Operating Expenditure</t>
  </si>
  <si>
    <t>NBV of Assets Sold</t>
  </si>
  <si>
    <t>Proceeds from sale of Fixed Assets</t>
  </si>
  <si>
    <t>Financing and Investment Income and Expenditure</t>
  </si>
  <si>
    <t>Bank interest payable</t>
  </si>
  <si>
    <t>Bank interest</t>
  </si>
  <si>
    <t>Government Loan Interest payable</t>
  </si>
  <si>
    <t>Government Loan Interest</t>
  </si>
  <si>
    <t>Commercial Loan Interest payable</t>
  </si>
  <si>
    <t>Commercial Loan Interest</t>
  </si>
  <si>
    <t>Other interest payable</t>
  </si>
  <si>
    <t>Other interest (please specify)</t>
  </si>
  <si>
    <t>Bank interest receivable</t>
  </si>
  <si>
    <t>Employee Car Loan Interest</t>
  </si>
  <si>
    <t>NIHE Loan Interest Receivable</t>
  </si>
  <si>
    <t>Interest recivable on Fund Balances</t>
  </si>
  <si>
    <t>Capital Fund Interest</t>
  </si>
  <si>
    <t>Repairs &amp; Renewals Fund Interest</t>
  </si>
  <si>
    <t>Other Funds -Interest</t>
  </si>
  <si>
    <t>Investment income on Fund Balances</t>
  </si>
  <si>
    <t>Other Investment income</t>
  </si>
  <si>
    <t>Trading Expenditure</t>
  </si>
  <si>
    <t>Accruals of Income and Expenditure</t>
  </si>
  <si>
    <t>Contingent Assets</t>
  </si>
  <si>
    <t>Contingent Liabilities</t>
  </si>
  <si>
    <t>Termination benefits</t>
  </si>
  <si>
    <t>Where termination benefits involve the enhancement of pensions, statutory provisions require the General Fund balance to be charged with the amount payable by the Council to the pension fund or pensioner in the year, not the amount calculated according to the relevant accounting standards.  In the Movement in Reserves Statement, appropriations are required to and from the Pensions Reserve to remove the notional debits and credits for pension enhancement termination benefits and replace them with debits for the cash paid to the pension fund and pensioners and any such amounts payable but unpaid at the year-end.</t>
  </si>
  <si>
    <t>Post Employment Benefits</t>
  </si>
  <si>
    <t>Employees of the Council are members of the Northern Ireland Local Government Officers' Pension Fund administered by the Northern Ireland Local Government Officers' Superannuation Committee. The scheme provides defined benefits to members (retirement lump sums and pensions), earned as employees worked for the Council.</t>
  </si>
  <si>
    <t>The Northern Ireland Local Government Officers' Pension Fund</t>
  </si>
  <si>
    <t>Discretionary Benefits</t>
  </si>
  <si>
    <t xml:space="preserve">Events After the Balance Sheet Date </t>
  </si>
  <si>
    <t>Net increase before transfers to Statutory and Other Reserves</t>
  </si>
  <si>
    <t>Increase in year</t>
  </si>
  <si>
    <t>Movement in reserves during the year</t>
  </si>
  <si>
    <t>Capital Receipts used to finance capital expenditure</t>
  </si>
  <si>
    <t>Adjustments  between accounting basis &amp; funding under regulations</t>
  </si>
  <si>
    <t xml:space="preserve">Net Deficit on the provision of services </t>
  </si>
  <si>
    <t>Adjustment for non-cash movements</t>
  </si>
  <si>
    <t>Location / Detail</t>
  </si>
  <si>
    <t>Total staff costs</t>
  </si>
  <si>
    <t>Expenditure incurred during the year that may be capitalised under statutory provisions but that does not result in the creation of a non-current asset has been charged as expenditure to the relevant service in the Comprehensive Income and Expenditure Statement in the year.  Where the Council has determined to meet the cost of this expenditure from existing capital resources or by borrowing, a transfer in the Movement in Reserves Statement from the General Fund Balance to the Capital Adjustment Account then reverses out the amounts charged, so that there is no impact on the level of District Rates.</t>
  </si>
  <si>
    <t>For most of the borrowings that the Council has, this means that the amount presented in the Balance Sheet is the outstanding principal repayable (plus accrued interest); and interest charged to the Comprehensive Income and Expenditure Statement is the amount payable for the year according to the loan agreement.</t>
  </si>
  <si>
    <t>Additional policy detail required where a Council has entered into financial guarantees or has financial liabilities at fair value through profit or loss (such as derivatives).</t>
  </si>
  <si>
    <t>Surplus/(Deficit) arising on revaluation of available-for-sale financial assets</t>
  </si>
  <si>
    <t>Closing Balance</t>
  </si>
  <si>
    <t>Applied Capital Grants</t>
  </si>
  <si>
    <t>Direct Revenue Financing</t>
  </si>
  <si>
    <t>Movement</t>
  </si>
  <si>
    <t>Revaluation Reserve</t>
  </si>
  <si>
    <t>END OF STANDING DATA INPUT RANGE</t>
  </si>
  <si>
    <t>Grant Claim Certification Fees</t>
  </si>
  <si>
    <t>Other Fees</t>
  </si>
  <si>
    <t>Salaries and Wages</t>
  </si>
  <si>
    <t>Employers NIC</t>
  </si>
  <si>
    <t>Employers Superannuation</t>
  </si>
  <si>
    <t>Full-time numbers employed</t>
  </si>
  <si>
    <t>Part-time numbers employed</t>
  </si>
  <si>
    <t>£50,001 to £60,000</t>
  </si>
  <si>
    <t>£60,001 to £70,000</t>
  </si>
  <si>
    <t>£70,001 to £80,000</t>
  </si>
  <si>
    <t>Salaries</t>
  </si>
  <si>
    <t>Basic allowance</t>
  </si>
  <si>
    <t>Mayor's &amp; Deputy Mayor's Allowance</t>
  </si>
  <si>
    <t>Special Responsibility Allowances</t>
  </si>
  <si>
    <t>Dependents' carers allowance</t>
  </si>
  <si>
    <t>Employer costs</t>
  </si>
  <si>
    <t>Mileage</t>
  </si>
  <si>
    <t>Conferences and Courses</t>
  </si>
  <si>
    <t>Travel &amp; Subsistence Costs</t>
  </si>
  <si>
    <t>Pro-forma Note No</t>
  </si>
  <si>
    <t>Content</t>
  </si>
  <si>
    <t>Selected Note No</t>
  </si>
  <si>
    <t>MIRS</t>
  </si>
  <si>
    <t>Movement in Reserves Statement</t>
  </si>
  <si>
    <t>Yes</t>
  </si>
  <si>
    <t>Comprehensive Income and Expenditure Statement</t>
  </si>
  <si>
    <t>BSh</t>
  </si>
  <si>
    <t>Balance Sheet</t>
  </si>
  <si>
    <t>CFS</t>
  </si>
  <si>
    <t>Cash Flow Statement</t>
  </si>
  <si>
    <t>1a</t>
  </si>
  <si>
    <t>Accounting Policies</t>
  </si>
  <si>
    <t>1b</t>
  </si>
  <si>
    <t xml:space="preserve">Accounting Standards That Have Been Issued but Have Not Yet Been Adopted </t>
  </si>
  <si>
    <t>1c</t>
  </si>
  <si>
    <t>Critical Judgements in Applying Accounting Policies</t>
  </si>
  <si>
    <t>1d</t>
  </si>
  <si>
    <t>Assumptions Made About the Future and Other Major Sources of Estimation Uncertainty</t>
  </si>
  <si>
    <t>2a</t>
  </si>
  <si>
    <t>2b</t>
  </si>
  <si>
    <t>Net transfers (to)/from earmarked reserves</t>
  </si>
  <si>
    <t>4a</t>
  </si>
  <si>
    <t>4b</t>
  </si>
  <si>
    <t>External Audit Fees</t>
  </si>
  <si>
    <t>5a</t>
  </si>
  <si>
    <t>5b</t>
  </si>
  <si>
    <t>Operating Leases (Council as lessor)</t>
  </si>
  <si>
    <t>Operating Leases (Council as lessee)</t>
  </si>
  <si>
    <t>Employee Costs and Member Allowances</t>
  </si>
  <si>
    <t>6a</t>
  </si>
  <si>
    <t>Staff Costs</t>
  </si>
  <si>
    <t>6b</t>
  </si>
  <si>
    <t>Average Number of Employees</t>
  </si>
  <si>
    <t>6c</t>
  </si>
  <si>
    <t xml:space="preserve">Senior Employees’ Remuneration </t>
  </si>
  <si>
    <t>6d</t>
  </si>
  <si>
    <t>Members’ Allowances</t>
  </si>
  <si>
    <t>Other Operating Income and Expenditure</t>
  </si>
  <si>
    <t>7a</t>
  </si>
  <si>
    <t>Surplus/Deficit on Non-Current Assets (excl Investment Properties)</t>
  </si>
  <si>
    <t>7b</t>
  </si>
  <si>
    <t>Other Operating Income/Expenditure</t>
  </si>
  <si>
    <t>8a</t>
  </si>
  <si>
    <t>Interest Payable and Similar Charges</t>
  </si>
  <si>
    <t>8b</t>
  </si>
  <si>
    <t xml:space="preserve">Interest and Investment Income </t>
  </si>
  <si>
    <t>Pensions interest cost and expected return on pensions assets</t>
  </si>
  <si>
    <t>Surplus/(Deficit) on trading operations</t>
  </si>
  <si>
    <t>Income, Expenditure and changes in Fair Value of Investment Properties</t>
  </si>
  <si>
    <t>9a</t>
  </si>
  <si>
    <t>9b</t>
  </si>
  <si>
    <t>Capital Grants and Donated Assets-Applied</t>
  </si>
  <si>
    <t>9c</t>
  </si>
  <si>
    <t>Capital Grants-Unapplied</t>
  </si>
  <si>
    <t>District Rates</t>
  </si>
  <si>
    <t>10a</t>
  </si>
  <si>
    <t>Long-Term Assets - Current Year</t>
  </si>
  <si>
    <t>10b</t>
  </si>
  <si>
    <t>Long-Term Assets - Comparative Year</t>
  </si>
  <si>
    <t>10c</t>
  </si>
  <si>
    <t>Long-Term Assets - Leased Assets</t>
  </si>
  <si>
    <t>Assets Held for Sale</t>
  </si>
  <si>
    <t>Capital Expenditure and Capital Financing</t>
  </si>
  <si>
    <t>Future Capital Commitments</t>
  </si>
  <si>
    <t>Inventories</t>
  </si>
  <si>
    <t>Debtors</t>
  </si>
  <si>
    <t>15a</t>
  </si>
  <si>
    <t>Long-term Investments</t>
  </si>
  <si>
    <t>15b</t>
  </si>
  <si>
    <t>Short-term Investments</t>
  </si>
  <si>
    <t>16a</t>
  </si>
  <si>
    <t>Short-term Borrowing</t>
  </si>
  <si>
    <t>16b</t>
  </si>
  <si>
    <t>Long-term Borrowing</t>
  </si>
  <si>
    <t>Short-term Creditors</t>
  </si>
  <si>
    <t>Long-term Creditors</t>
  </si>
  <si>
    <t>Provisions</t>
  </si>
  <si>
    <t>Financial Instruments</t>
  </si>
  <si>
    <t>Retirement Benefits (Pensions)</t>
  </si>
  <si>
    <t>Transactions relating to retirement benefits- CIES Charges</t>
  </si>
  <si>
    <t>Assets and liabilities in relation to retirement benefits</t>
  </si>
  <si>
    <t>Scheme history</t>
  </si>
  <si>
    <t>Basis for estimating assets and liabilities</t>
  </si>
  <si>
    <t>Major categories of plan assets as percentage of total plan assets</t>
  </si>
  <si>
    <t>Capital Grants Received in Advance</t>
  </si>
  <si>
    <t>Contingencies</t>
  </si>
  <si>
    <t>Cash flow from Investing Activities</t>
  </si>
  <si>
    <t>Cash flow from Financing Activities</t>
  </si>
  <si>
    <t>Capital Grants Unapplied account</t>
  </si>
  <si>
    <t>Renewal and Repairs Fund</t>
  </si>
  <si>
    <t>Other Balances &amp; Reserves</t>
  </si>
  <si>
    <t xml:space="preserve">Capital Adjustment Account </t>
  </si>
  <si>
    <t xml:space="preserve">Financial Instruments Adjustment Account </t>
  </si>
  <si>
    <t>Available-for-Sale Financial Instruments Adjustment Reserve</t>
  </si>
  <si>
    <t>Deferred Capital Receipts Account</t>
  </si>
  <si>
    <t>Provisions Discount Rate Reserve</t>
  </si>
  <si>
    <t>Landfill Regulations Reserve</t>
  </si>
  <si>
    <t>Significant Trading Operations</t>
  </si>
  <si>
    <t>Agency Services</t>
  </si>
  <si>
    <t>Related Party Transactions</t>
  </si>
  <si>
    <t>Prior Year Re-statement</t>
  </si>
  <si>
    <t>Last Page</t>
  </si>
  <si>
    <t>Authorised for Issue Certificate</t>
  </si>
  <si>
    <t>General Fund Summary</t>
  </si>
  <si>
    <t>Other Fund Balances and Reserves</t>
  </si>
  <si>
    <t>Total Usable Reserves</t>
  </si>
  <si>
    <t>Total Unusable Reserves</t>
  </si>
  <si>
    <t>Total Council Reserves</t>
  </si>
  <si>
    <t>Gross Expenditure</t>
  </si>
  <si>
    <t>Gross Income</t>
  </si>
  <si>
    <t>Net Expenditure</t>
  </si>
  <si>
    <t>Notes</t>
  </si>
  <si>
    <t>Cost of Services on Continuing Operations</t>
  </si>
  <si>
    <t xml:space="preserve"> </t>
  </si>
  <si>
    <t>Net Operating Expenditure</t>
  </si>
  <si>
    <t>Surplus/(Deficit) on the Provision of Services</t>
  </si>
  <si>
    <t>Remeasurements of the Net Defined Benefit Liability (Asset)</t>
  </si>
  <si>
    <t>Heritage Assets Other Derecognitions @ Cost</t>
  </si>
  <si>
    <t>Heritage Assets Reclassifications / Transfers @ Cost</t>
  </si>
  <si>
    <t>Investment Properties Cost @ 01 April</t>
  </si>
  <si>
    <t>Investment Properties Impairment @ Cost to Provision of Services</t>
  </si>
  <si>
    <t>Investment Properties Reclassifications / Transfers @ Cost</t>
  </si>
  <si>
    <t>Intangible Assets</t>
  </si>
  <si>
    <t>Intangible Assets Cost @ 01 April</t>
  </si>
  <si>
    <t>Intangible Assets Additions @ Cost</t>
  </si>
  <si>
    <t>Intangible Assets Impairment @ Cost to Provision of Services</t>
  </si>
  <si>
    <t>Intangible Assets Other Derecognitions @ Cost</t>
  </si>
  <si>
    <t>Intangible Assets Reclassifications / Transfers @ Cost</t>
  </si>
  <si>
    <t>Assets Held for Sale Cost @ 01 April</t>
  </si>
  <si>
    <t>Assets Held for Sale Impairment @ Cost to Provision of Services</t>
  </si>
  <si>
    <t>Assets Held for Sale Other Derecognitions @ Cost</t>
  </si>
  <si>
    <t>Assets Held for Sale Reclassifications / Transfers @ Cost</t>
  </si>
  <si>
    <t>Long Term Debtors</t>
  </si>
  <si>
    <t>Government Departments</t>
  </si>
  <si>
    <t>Other Councils</t>
  </si>
  <si>
    <t>Public corporations and trading funds</t>
  </si>
  <si>
    <t>Bodies external to general government</t>
  </si>
  <si>
    <t>Employee car loans</t>
  </si>
  <si>
    <t>Loans and advances</t>
  </si>
  <si>
    <t>Trade debtors</t>
  </si>
  <si>
    <t>NIHE Loans</t>
  </si>
  <si>
    <t>Other</t>
  </si>
  <si>
    <t>Impairment of loans and receivables</t>
  </si>
  <si>
    <t>Current Assets</t>
  </si>
  <si>
    <t>Short Term Debtors</t>
  </si>
  <si>
    <t>Value Added Tax</t>
  </si>
  <si>
    <t>Prepayments</t>
  </si>
  <si>
    <t xml:space="preserve">Other </t>
  </si>
  <si>
    <t>Trade receivables</t>
  </si>
  <si>
    <t>Impairment loss - Trade receivables</t>
  </si>
  <si>
    <t>Cash and Cash Equivalents</t>
  </si>
  <si>
    <t>Cash and Bank Balances</t>
  </si>
  <si>
    <t>Short Term Deposits</t>
  </si>
  <si>
    <t>Current Liabilities</t>
  </si>
  <si>
    <t>Bank Overdraft</t>
  </si>
  <si>
    <t>Short Term Borrowing</t>
  </si>
  <si>
    <t>Loans repayable within one year</t>
  </si>
  <si>
    <t>Long Term Liabilities</t>
  </si>
  <si>
    <t>Long Term Borrowing</t>
  </si>
  <si>
    <t>Between 1 and 2 years</t>
  </si>
  <si>
    <t>Between 2 and 5 years</t>
  </si>
  <si>
    <t>Between 5 and 10 years</t>
  </si>
  <si>
    <t>In more than 10 years</t>
  </si>
  <si>
    <t>Short Term Creditors</t>
  </si>
  <si>
    <t xml:space="preserve">Other Councils </t>
  </si>
  <si>
    <t>Rates clawback</t>
  </si>
  <si>
    <t>Remuneration due to employees</t>
  </si>
  <si>
    <t>Accumulated Absences</t>
  </si>
  <si>
    <t>Receipts in advance</t>
  </si>
  <si>
    <t>Trade creditors</t>
  </si>
  <si>
    <t>Opening Balance</t>
  </si>
  <si>
    <t>Long Term Creditors</t>
  </si>
  <si>
    <t>Pension Scheme</t>
  </si>
  <si>
    <t>Scheme Liabilities</t>
  </si>
  <si>
    <t>Balance as at 1 April</t>
  </si>
  <si>
    <t>Current service cost</t>
  </si>
  <si>
    <t>Interest cost</t>
  </si>
  <si>
    <t>Contribution by members</t>
  </si>
  <si>
    <t>Past service cost</t>
  </si>
  <si>
    <t>Estimated unfunded benefits paid</t>
  </si>
  <si>
    <t>Estimated benefits paid</t>
  </si>
  <si>
    <t>Scheme Assets</t>
  </si>
  <si>
    <t>Expected return on scheme assets</t>
  </si>
  <si>
    <t>Contributions by employer</t>
  </si>
  <si>
    <t>Contributions in respect of unfunded benefits</t>
  </si>
  <si>
    <t>Unfunded benefits paid</t>
  </si>
  <si>
    <t>Benefits paid</t>
  </si>
  <si>
    <t>Capital Grant Receipts in Advance</t>
  </si>
  <si>
    <t>Usable Reserves</t>
  </si>
  <si>
    <t>Capital Receipts Reserve</t>
  </si>
  <si>
    <t>Capital Grants Unapplied Account</t>
  </si>
  <si>
    <t>Capital Fund</t>
  </si>
  <si>
    <t>Repairs and Renewals Fund</t>
  </si>
  <si>
    <t>Other Reserves</t>
  </si>
  <si>
    <t>General Fund</t>
  </si>
  <si>
    <t>Unusable Reserves</t>
  </si>
  <si>
    <t>Capital Adjustment Account</t>
  </si>
  <si>
    <t>Financial Instruments Adjustment Account</t>
  </si>
  <si>
    <t xml:space="preserve">Revaluation Reserve </t>
  </si>
  <si>
    <t>Available for Sale Financial Instruments Reserve</t>
  </si>
  <si>
    <t>Pension Reserve</t>
  </si>
  <si>
    <t>Capital Receipts Deferred Account</t>
  </si>
  <si>
    <t>Accumulated Absences Account</t>
  </si>
  <si>
    <t>Prime Statement</t>
  </si>
  <si>
    <t>Opening Cost</t>
  </si>
  <si>
    <t>Impairment @ Cost</t>
  </si>
  <si>
    <t>Opening Depreciation</t>
  </si>
  <si>
    <t>Order</t>
  </si>
  <si>
    <t>Level 1</t>
  </si>
  <si>
    <t>Level 2</t>
  </si>
  <si>
    <t>Level 3</t>
  </si>
  <si>
    <t>Level 4</t>
  </si>
  <si>
    <t>Working Paper Reference</t>
  </si>
  <si>
    <t>Range</t>
  </si>
  <si>
    <t>FIIE</t>
  </si>
  <si>
    <t>FIII</t>
  </si>
  <si>
    <t>Print</t>
  </si>
  <si>
    <t>Chief Financial Officer</t>
  </si>
  <si>
    <t>£</t>
  </si>
  <si>
    <t>Revaluations</t>
  </si>
  <si>
    <t>Investment in Associates and Joint Ventures</t>
  </si>
  <si>
    <t>LONG TERM ASSETS</t>
  </si>
  <si>
    <t>Short Term Investments</t>
  </si>
  <si>
    <t>CURRENT ASSETS</t>
  </si>
  <si>
    <t xml:space="preserve">Bank Overdraft </t>
  </si>
  <si>
    <t xml:space="preserve">Short Term Borrowing </t>
  </si>
  <si>
    <t>CURRENT LIABILITIES</t>
  </si>
  <si>
    <t>Other Long Term Liabilities</t>
  </si>
  <si>
    <t>LONG TERM LIABILITIES</t>
  </si>
  <si>
    <t>NET ASSETS</t>
  </si>
  <si>
    <t>USABLE RESERVES</t>
  </si>
  <si>
    <t>Other Balances and Reserves</t>
  </si>
  <si>
    <t>UNUSABLE RESERVES</t>
  </si>
  <si>
    <t>Pensions Reserve</t>
  </si>
  <si>
    <t>NET WORTH</t>
  </si>
  <si>
    <t>f</t>
  </si>
  <si>
    <t>Retirement Benefits</t>
  </si>
  <si>
    <t>Participation in the Northern Ireland Local Government Officers' Pension Fund.</t>
  </si>
  <si>
    <t xml:space="preserve">As part of the terms and conditions of employment of its officers and other employees, the Council offers retirement benefits. Although these benefits will not actually be payable until employees retire, the Council has a commitment to make the payments that need to be disclosed at the time that employees earn their future entitlement. </t>
  </si>
  <si>
    <t>The Council participates in the Northern Ireland Local Government Officers' Pension Fund administered by the Northern Ireland Local Government Officers' Superannuation Committee. This is a funded scheme, meaning that the Council and employees pay contributions into a fund, calculated at a level intended to balance the pension’s liabilities with investment assets.</t>
  </si>
  <si>
    <t>Transactions relating to retirement benefits - Comprehensive Income and Expenditure Statement Charges:</t>
  </si>
  <si>
    <t>The Council recognises the cost of retirement benefits in the Cost of Services on Continuing Operations when they are earned by employees, rather than when the benefits are eventually paid as pensions.</t>
  </si>
  <si>
    <t>Note</t>
  </si>
  <si>
    <t>Net cost of services:</t>
  </si>
  <si>
    <t>Past service cost/(gain)</t>
  </si>
  <si>
    <t>Gains and losses on settlements or curtailments</t>
  </si>
  <si>
    <t>Net operating expenditure:</t>
  </si>
  <si>
    <t>Net Interest on net defined benefit Liability (asset)</t>
  </si>
  <si>
    <t>Total Post-employment Benefits charged to the Surplus or Deficit on the Provision of Services</t>
  </si>
  <si>
    <t>Movement in Reserves Statement:</t>
  </si>
  <si>
    <t>Reversal of net charges made for retirement benefits in accordance with IAS 19 and the Code</t>
  </si>
  <si>
    <t>Actual amount charged against the general fund balance for pensions in the year:</t>
  </si>
  <si>
    <t>Employers' contributions payable to scheme</t>
  </si>
  <si>
    <t>Net charge to the Comprehensive Income and Expenditure Statement</t>
  </si>
  <si>
    <t>The service cost figures include an allowance for administration expenses of 0.x%.</t>
  </si>
  <si>
    <t>Remeasurements recognised in Other Comprehensive Income and Expenditure</t>
  </si>
  <si>
    <t>Liability gains/(losses) due to change in assumptions</t>
  </si>
  <si>
    <t>Liability experience gains/(losses) arising in the year</t>
  </si>
  <si>
    <t>Actuarial gains/(losses) on plan assets</t>
  </si>
  <si>
    <t>Other - (if applicable)</t>
  </si>
  <si>
    <t>Total gains/(losses) recognised in Other Comprehensive Income and Expenditure</t>
  </si>
  <si>
    <t>Reconciliation of present value of the scheme liabilities:</t>
  </si>
  <si>
    <t>Contributions by members</t>
  </si>
  <si>
    <t>Remeasurement (gains) and losses:</t>
  </si>
  <si>
    <t>- Other (if applicable)</t>
  </si>
  <si>
    <t>Past service costs/(gains)</t>
  </si>
  <si>
    <t>Losses/(gains) on curtailments</t>
  </si>
  <si>
    <t>Liabilities extinguished on settlements</t>
  </si>
  <si>
    <t>Balance as at 31 March</t>
  </si>
  <si>
    <t>Reconciliation of present value of the scheme assets:</t>
  </si>
  <si>
    <t>Interest Income</t>
  </si>
  <si>
    <t>Remeasurement gain/(loss)</t>
  </si>
  <si>
    <t>Assets distributed on settlements</t>
  </si>
  <si>
    <t>Fair Value of Plan Assets</t>
  </si>
  <si>
    <t>Equity investments</t>
  </si>
  <si>
    <t>Bonds</t>
  </si>
  <si>
    <t>Property</t>
  </si>
  <si>
    <t>Cash</t>
  </si>
  <si>
    <t>The above asset values are at bid value as required by IAS 19.</t>
  </si>
  <si>
    <t>In deciding whether a trading operation is significant the Council takes both financial and non-financial criteria into account.</t>
  </si>
  <si>
    <t>Financial criteria taken into account in deciding whether trading operations are significant to the Council are:</t>
  </si>
  <si>
    <t>Non-financial criteria taken into account in deciding whether trading operations are significant to the Council are:</t>
  </si>
  <si>
    <t>Operating Leases:</t>
  </si>
  <si>
    <t xml:space="preserve">Related Party Transactions </t>
  </si>
  <si>
    <t>This note needs to be tailored to the requirements of the Council concerned and, if necessary, reference should be made to the Code for further guidance.  The Council should report transactions between the Council and individuals who are related to Councillors or Officers.</t>
  </si>
  <si>
    <t>A Related Party Transaction is a transfer of resources or obligations between related parties, regardless of whether a price is charged. Related Party Transaction exclude transactions with any other entity that is a related party solely because of its economic dependence on the Council or the Government of which it forms part. A related party is one that has the ability to control the other party or exercise significant influence over the other party in making financial and operating decisions. This includes cases where the related party entity and another entity are subject to common control but excludes providers of finance in the course of their normal business with the Council and Trade Unions in the course of their normal dealings with the Council. In addition where the relationship with the Council and the entity is solely that of an Agency (see note 28) these are not deemed to be Related Party Transactions.</t>
  </si>
  <si>
    <t xml:space="preserve">Dated: </t>
  </si>
  <si>
    <t>Capital Grants</t>
  </si>
  <si>
    <t>Interest Receivable</t>
  </si>
  <si>
    <t>Capital Debtors</t>
  </si>
  <si>
    <t>Loan Interest Payable</t>
  </si>
  <si>
    <t>Capital Creditors</t>
  </si>
  <si>
    <t>Transactions with related parties not disclosed elsewhere in these financial statements are set out below, where a description of the nature, the amount of the transaction and the amount of the outstanding balance is as follows. Note that related party relationships where control exists should be disclosed irrespective of whether there have been transactions between the related parties.</t>
  </si>
  <si>
    <t>The disclosure requirements above do not apply to related party transactions with central government departments, government agencies, NHS bodies and other local authorities. Instead authorities shall disclose:</t>
  </si>
  <si>
    <t>Sentence / part sentence per virtual row (wrapped text)</t>
  </si>
  <si>
    <t>Respective responsibilities of the Chief Financial Officer and the independent auditor</t>
  </si>
  <si>
    <t>Councillors have direct control over the Council’s financial and operating policies.  In the 20XX/YY financial year the Council commissioned £X of works and services from companies in which Councillors have an interest.  The Council entered into these contracts in full compliance with the Council's standing orders and codes of conduct.</t>
  </si>
  <si>
    <t>The Council also paid grants of £X to a number of organisations in which Councillors and Council officers had an interest.  These grants were made with proper consideration of declaration of interests.</t>
  </si>
  <si>
    <t xml:space="preserve">At 1 April </t>
  </si>
  <si>
    <t>This fund was established under section 56 of the Local Government Act (NI) 1972, however this section of the act was repealed under the Local Government Finance Act (Nothern Ireland) 2011. Councils should disclose details where any of these reserves are earmarked for specific purposes.</t>
  </si>
  <si>
    <t>At 31 March</t>
  </si>
  <si>
    <t>c</t>
  </si>
  <si>
    <t>d</t>
  </si>
  <si>
    <t>e</t>
  </si>
  <si>
    <t>Short Term Deposits (considered to be Cash Equivalents)</t>
  </si>
  <si>
    <t>The cash flows from operating activities include:</t>
  </si>
  <si>
    <t>Interest received</t>
  </si>
  <si>
    <t>Interest paid</t>
  </si>
  <si>
    <t>Cash flows from Investing Activities</t>
  </si>
  <si>
    <t>Purchase of PP&amp;E, investment property and intangible assets</t>
  </si>
  <si>
    <t>Purchase of Short Term Investments (not considered to be cash equivalents)</t>
  </si>
  <si>
    <t>Purchase of Long Term Investments</t>
  </si>
  <si>
    <t>Other Payments for Investing Activities</t>
  </si>
  <si>
    <t>Proceeds from Short Term Investments (not considered to be cash equivalents)</t>
  </si>
  <si>
    <t>Proceeds from Long Term Investments</t>
  </si>
  <si>
    <t>Capital Grants and Contributions Received</t>
  </si>
  <si>
    <t>Other Receipts from Investing Activities</t>
  </si>
  <si>
    <t>Net Cash flows from Investing Activities</t>
  </si>
  <si>
    <t>Cash flows from Financing Activities</t>
  </si>
  <si>
    <t>Cash Receipts from Short and Long Term Borrowing</t>
  </si>
  <si>
    <t>Other Receipts from Financing Activities</t>
  </si>
  <si>
    <t>Repayment of Short and Long Term Borrowing</t>
  </si>
  <si>
    <t>Other payments for Financing Activities</t>
  </si>
  <si>
    <t>Net Cash flows from Financing Activities</t>
  </si>
  <si>
    <t>Net transfers (to)/from statutory and other earmarked reserves:</t>
  </si>
  <si>
    <t>Interest</t>
  </si>
  <si>
    <t>Other Funds and earmarked reserves</t>
  </si>
  <si>
    <t>Other Comprehensive Income and Expenditure</t>
  </si>
  <si>
    <t>Total Comprehensive Income and Expenditure</t>
  </si>
  <si>
    <t>Amounts included in the Comprehensive Income and Expenditure Statement but required by statute to be excluded when determining the Movement on the General Fund Balance for the year:</t>
  </si>
  <si>
    <t>Impairments (losses &amp; reversals) of non-current assets</t>
  </si>
  <si>
    <t>Derecognition (other than disposal) of non-current assets</t>
  </si>
  <si>
    <t>Revaluation increases/decreases taken to Surplus/Deficit on the Provision of Services</t>
  </si>
  <si>
    <t>Depreciation charged in the year on non-current assets</t>
  </si>
  <si>
    <t>Net Revenue expenditure funded from capital under statute</t>
  </si>
  <si>
    <t>Proceeds from the sale of PP&amp;E, investment property and intangible assets</t>
  </si>
  <si>
    <t>Difference between finance costs calculated on an accounting basis and finance costs calculated in accordance with statutory requirements</t>
  </si>
  <si>
    <t>Net charges made for retirement benefits in accordance with IAS 19</t>
  </si>
  <si>
    <t>Direct revenue financing of Capital Expenditure</t>
  </si>
  <si>
    <t>Capital Grants and Donated Assets Receivable and Applied in year</t>
  </si>
  <si>
    <t>Capital Grants Receivable and Unapplied in year</t>
  </si>
  <si>
    <t>Rates Claw-Back Reserve</t>
  </si>
  <si>
    <t>Adjustments in relation to Lessor Arrangements</t>
  </si>
  <si>
    <t>Landfill Regulations Reserve Adjustment</t>
  </si>
  <si>
    <t>Provisions Discount Rate Reserve Adjustment</t>
  </si>
  <si>
    <t>Amounts not included in the Comprehensive Income and Expenditure Statement but required by statute to be included when determining the Movement on the General Fund Balance for the year</t>
  </si>
  <si>
    <t>Statutory Provision for the financing of Capital Investment</t>
  </si>
  <si>
    <t>Employers contributions payable to the NILGOSC and retirement benefits payable direct to pensioners</t>
  </si>
  <si>
    <t>Land</t>
  </si>
  <si>
    <t>Infrastructure</t>
  </si>
  <si>
    <t>Long Term Provisions</t>
  </si>
  <si>
    <t>Short term debtors</t>
  </si>
  <si>
    <t>Bank Loans and Overdrafts due within 1 Year</t>
  </si>
  <si>
    <t>Short term Creditors</t>
  </si>
  <si>
    <t>Short term Provisions</t>
  </si>
  <si>
    <t>Other Long Term Liabilities Pension</t>
  </si>
  <si>
    <t>Pension Liability</t>
  </si>
  <si>
    <t>Long Term Assets</t>
  </si>
  <si>
    <t>Net Worth</t>
  </si>
  <si>
    <t>Opening Net Worth</t>
  </si>
  <si>
    <t xml:space="preserve"> TOTAL</t>
  </si>
  <si>
    <t>Do Not Print</t>
  </si>
  <si>
    <t>Checker</t>
  </si>
  <si>
    <t>Roundings</t>
  </si>
  <si>
    <t>If overall totals balanced but individual asset categories have rounding issues then type roundings in area indicated by</t>
  </si>
  <si>
    <t>roundings will be taken to asset additions</t>
  </si>
  <si>
    <t>START from previous year</t>
  </si>
  <si>
    <t>Reclassifications should sum to zero - if they don't conditional formatting will show imbalance in column J as</t>
  </si>
  <si>
    <t>adjust this first</t>
  </si>
  <si>
    <t>Opening Capital Financing Requirement</t>
  </si>
  <si>
    <t>Capital Investment</t>
  </si>
  <si>
    <t>Property, Plant and Equipment</t>
  </si>
  <si>
    <t>Revenue Expenditure Funded from Capital under Statute</t>
  </si>
  <si>
    <t>Sources of Finance</t>
  </si>
  <si>
    <t>Capital Receipts</t>
  </si>
  <si>
    <t>Government Grants and Other Contributions</t>
  </si>
  <si>
    <t>Transfers from Earmarked Reserves</t>
  </si>
  <si>
    <t>Sums set aside from Revenue:</t>
  </si>
  <si>
    <t>Direct Revenue Contributions</t>
  </si>
  <si>
    <t>Closing Capital Financing Requirement</t>
  </si>
  <si>
    <t>Explanation of Movements in Year</t>
  </si>
  <si>
    <t>Increase in underlying need to borrow</t>
  </si>
  <si>
    <t>Assets acquired under PFI/PPP contracts</t>
  </si>
  <si>
    <t>Increase/(decrease) in Capital Financing Requirement</t>
  </si>
  <si>
    <t>Gross Cost</t>
  </si>
  <si>
    <t>Grant Aid</t>
  </si>
  <si>
    <t>Schemes underway</t>
  </si>
  <si>
    <t>Other Commitments</t>
  </si>
  <si>
    <t xml:space="preserve"> Long Term Debtors</t>
  </si>
  <si>
    <t>Total Long-Term Debtors</t>
  </si>
  <si>
    <t xml:space="preserve"> Short Term Debtors</t>
  </si>
  <si>
    <t>Total Short-Term Debtors</t>
  </si>
  <si>
    <t>Total Debtors</t>
  </si>
  <si>
    <t xml:space="preserve">       </t>
  </si>
  <si>
    <t xml:space="preserve">The large increase in debtors relates to the sale of the former games hall, completed in March 20YY, with the final cash settlement being received in April 20YY.  </t>
  </si>
  <si>
    <t>Investments - general</t>
  </si>
  <si>
    <t>Investments - repairs and renewals</t>
  </si>
  <si>
    <t>Investments - capital fund</t>
  </si>
  <si>
    <t>Investments - other</t>
  </si>
  <si>
    <t>Total Long-term Investments</t>
  </si>
  <si>
    <t>Analysed over:</t>
  </si>
  <si>
    <t>Money market deposits</t>
  </si>
  <si>
    <t>Other deposits</t>
  </si>
  <si>
    <t>Short-Term Investments</t>
  </si>
  <si>
    <t>Total Short-term Investments</t>
  </si>
  <si>
    <t>Loans re-payable within one year</t>
  </si>
  <si>
    <t>Total Short Term Borrowing</t>
  </si>
  <si>
    <t xml:space="preserve">Long Term Borrowing </t>
  </si>
  <si>
    <t xml:space="preserve">Between 1 and 2 years      </t>
  </si>
  <si>
    <t xml:space="preserve">Between 2 and 5 years      </t>
  </si>
  <si>
    <t xml:space="preserve">Between 5 and 10 years     </t>
  </si>
  <si>
    <t xml:space="preserve">In more than 10 years  </t>
  </si>
  <si>
    <t>Government Loans Fund</t>
  </si>
  <si>
    <t xml:space="preserve">Total Borrowing </t>
  </si>
  <si>
    <t>VAT</t>
  </si>
  <si>
    <t>Total Short Term Creditors</t>
  </si>
  <si>
    <t xml:space="preserve">Long Term Creditors </t>
  </si>
  <si>
    <t>Other creditors falling due after more than one year</t>
  </si>
  <si>
    <t>Total Long Term Creditors</t>
  </si>
  <si>
    <t>Total Creditors</t>
  </si>
  <si>
    <t>Increase in provision during year</t>
  </si>
  <si>
    <t>Utilised during year</t>
  </si>
  <si>
    <t>Unused amounts reversed</t>
  </si>
  <si>
    <t>Interest cost and/or discount rate changes</t>
  </si>
  <si>
    <t>Councils should disclose information relating to the nature of the provision; an indication of any uncertainties of the amount provided, including the expected timing of any resulting cash outflows and any expected reimbursement, in accordance with paragraph 8.2.4.2.(2) of the Code</t>
  </si>
  <si>
    <t>The following transactions have been made in the Comprehensive Income and Expenditure Statement and the adjustments between accounting basis &amp; funding basis under regulations line, in the Movement on Reserves Statement during the year:</t>
  </si>
  <si>
    <t xml:space="preserve">However, the charge the Council is required to make against district rates is based on the cash payable in the year, and the real cost of retirement benefits is reversed out in the adjustments between accounting basis &amp; funding basis under regulations line, in the Movement on Reserves Statement. </t>
  </si>
  <si>
    <t>Trading Income</t>
  </si>
  <si>
    <t>Investment Property Income</t>
  </si>
  <si>
    <t>Investment Property Expenditure</t>
  </si>
  <si>
    <t>Carrying Amount of Investment Property Sold</t>
  </si>
  <si>
    <t>Proceeds from sale of Investment Property</t>
  </si>
  <si>
    <t>Taxation and Non-Specific Grant Income</t>
  </si>
  <si>
    <t>Revenue Grants</t>
  </si>
  <si>
    <t>Rates</t>
  </si>
  <si>
    <t>Finalisation - Current Year</t>
  </si>
  <si>
    <t>Finalisation - Prior Year</t>
  </si>
  <si>
    <t>Capital Grant</t>
  </si>
  <si>
    <t>Capital Grant Receivable</t>
  </si>
  <si>
    <t>BS</t>
  </si>
  <si>
    <t>Fixed Assets</t>
  </si>
  <si>
    <t>Land Cost @ 01 April</t>
  </si>
  <si>
    <t>Land Impairment @ Cost to Provision of Services</t>
  </si>
  <si>
    <t>Land Depreciation</t>
  </si>
  <si>
    <t>Land Depreciation @ 01 April</t>
  </si>
  <si>
    <t>Land Revaluation Depreciation to Revaluation Reserve</t>
  </si>
  <si>
    <t>Land Impairment @ Depreciation to Provision of Services</t>
  </si>
  <si>
    <t>Land Other Derecognitions @ Depreciation</t>
  </si>
  <si>
    <t>Land Reclassifications / Transfers @ Depreciation</t>
  </si>
  <si>
    <t>Buildings</t>
  </si>
  <si>
    <t>Buildings Cost @ 01 April</t>
  </si>
  <si>
    <t>Buildings Impairment @ Cost to Provision of Services</t>
  </si>
  <si>
    <t>Buildings Other Derecognitions @ Cost</t>
  </si>
  <si>
    <t>Buildings Reclassifications / Transfers @ Cost</t>
  </si>
  <si>
    <t>Buildings Depreciation</t>
  </si>
  <si>
    <t>Buildings Depreciation @ 01 April</t>
  </si>
  <si>
    <t>Buildings Revaluation Depreciation to Revaluation Reserve</t>
  </si>
  <si>
    <t>Buildings Impairment @ Depreciation to Provision of Services</t>
  </si>
  <si>
    <t>Buildings Other Derecognitions @ Depreciation</t>
  </si>
  <si>
    <t>Buildings Reclassifications / Transfers @ Depreciation</t>
  </si>
  <si>
    <t>Infrastructure Cost @ 01 April</t>
  </si>
  <si>
    <t>Infrastructure Impairment @ Cost to Provision of Services</t>
  </si>
  <si>
    <t>Infrastructure Other Derecognitions @ Cost</t>
  </si>
  <si>
    <t>Infrastructure Reclassifications / Transfers @ Cost</t>
  </si>
  <si>
    <t>Infrastructure Depreciation</t>
  </si>
  <si>
    <t>Infrastructure Depreciation @ 01 April</t>
  </si>
  <si>
    <t>Infrastructure Revaluation Depreciation to Revaluation Reserve</t>
  </si>
  <si>
    <t>Infrastructure Impairment @ Depreciation to Provision of Services</t>
  </si>
  <si>
    <t>Infrastructure Other Derecognitions @ Depreciation</t>
  </si>
  <si>
    <t>Infrastructure Reclassifications / Transfers @ Depreciation</t>
  </si>
  <si>
    <t>Vehicles, Plant &amp; Equipment Cost @ 01 April</t>
  </si>
  <si>
    <t>Current Provisions</t>
  </si>
  <si>
    <t>Comparative Year</t>
  </si>
  <si>
    <t>Long Term Investments</t>
  </si>
  <si>
    <t>Total of Net Worth and Reserves</t>
  </si>
  <si>
    <t>Total of Net Worth and Reserves Rounded</t>
  </si>
  <si>
    <t xml:space="preserve">Summary / Analysed Balance Sheet </t>
  </si>
  <si>
    <t>E1</t>
  </si>
  <si>
    <t>H1</t>
  </si>
  <si>
    <t>I1</t>
  </si>
  <si>
    <t>J1</t>
  </si>
  <si>
    <t>K1</t>
  </si>
  <si>
    <t>M1</t>
  </si>
  <si>
    <t>L1</t>
  </si>
  <si>
    <t>Balance Sheet Category</t>
  </si>
  <si>
    <t>a</t>
  </si>
  <si>
    <t>b</t>
  </si>
  <si>
    <t>Vehicles, Plant &amp; Equipment Other Derecognitions @ Cost</t>
  </si>
  <si>
    <t>Vehicles, Plant &amp; Equipment Reclassifications / Transfers @ Cost</t>
  </si>
  <si>
    <t>Vehicles, Plant &amp; Equipment Depreciation @ 01 April</t>
  </si>
  <si>
    <t>Vehicles, Plant &amp; Equipment Depreciation</t>
  </si>
  <si>
    <t>Vehicles, Plant &amp; Equipment Other Derecognitions @ Depreciation</t>
  </si>
  <si>
    <t>Vehicles, Plant &amp; Equipment Reclassifications / Transfers @ Depreciation</t>
  </si>
  <si>
    <t>Community Assets</t>
  </si>
  <si>
    <t>Community Assets Cost @ 01 April</t>
  </si>
  <si>
    <t>Community Assets Impairment @ Cost to Provision of Services</t>
  </si>
  <si>
    <t>Community Assets Other Derecognitions @ Cost</t>
  </si>
  <si>
    <t>Community Assets Reclassifications / Transfers @ Cost</t>
  </si>
  <si>
    <t>PP&amp;E Under Construction Cost @ 01 April</t>
  </si>
  <si>
    <t>PP&amp;E Under Construction Additions @ Cost</t>
  </si>
  <si>
    <t>PP&amp;E Under Construction Impairment @ Cost to Provision of Services</t>
  </si>
  <si>
    <t>PP&amp;E Under Construction Other Derecognitions @ Cost</t>
  </si>
  <si>
    <t>PP&amp;E Under Construction Reclassifications / Transfers @ Cost</t>
  </si>
  <si>
    <t>Surplus Assets Cost @ 01 April</t>
  </si>
  <si>
    <t>Surplus Assets Revaluation @ Cost to Revaluation Reserve</t>
  </si>
  <si>
    <t>Surplus Assets Impairment @ Cost to Provision of Services</t>
  </si>
  <si>
    <t>Surplus Assets Disposals @ Cost</t>
  </si>
  <si>
    <t>Surplus Assets Other Derecognitions @ Cost</t>
  </si>
  <si>
    <t>Surplus Assets Reclassifications / Transfers @ Cost</t>
  </si>
  <si>
    <t>Heritage Assets</t>
  </si>
  <si>
    <t>Heritage Assets Cost @ 01 April</t>
  </si>
  <si>
    <t>Heritage Assets Impairment @ Cost to Provision of Services</t>
  </si>
  <si>
    <t>The amounts included in the fair value of plan assets for property occupied by the Council was £x.</t>
  </si>
  <si>
    <t>The Council's share of the Net Pension Liability (included in the Balance Sheet):</t>
  </si>
  <si>
    <t>Fair Value of Employer Assets</t>
  </si>
  <si>
    <t>Present value of funded defined benefit obligation</t>
  </si>
  <si>
    <t>Pension asset/(liability) of Funded Scheme</t>
  </si>
  <si>
    <t>Present Value of unfunded defined benefit obligation</t>
  </si>
  <si>
    <t>Other movement in the liability (asset) (if applicable)</t>
  </si>
  <si>
    <t>Net asset/(liability) arising from the defined benefit obligation</t>
  </si>
  <si>
    <t>Amount in the Balance sheet:</t>
  </si>
  <si>
    <t>Liabilities</t>
  </si>
  <si>
    <t>Assets</t>
  </si>
  <si>
    <t>Net Asset/(Liability)</t>
  </si>
  <si>
    <t>Analysis of scheme assets and liabilities</t>
  </si>
  <si>
    <t>Fair Value of Assets in pension scheme</t>
  </si>
  <si>
    <t>Present Value of Defined Benefit Obligation</t>
  </si>
  <si>
    <t>Surplus/(deficit) in the Scheme</t>
  </si>
  <si>
    <t>Amount recognised in Other Comprehensive Income and Expenditure:</t>
  </si>
  <si>
    <t>Actuarial gains/(losses)</t>
  </si>
  <si>
    <t>Increase/(decrease) in irrecoverable surplus from membership fall and other factors</t>
  </si>
  <si>
    <t>Cumulative actuarial gains and losses</t>
  </si>
  <si>
    <t>History of experience gains and losses:</t>
  </si>
  <si>
    <t xml:space="preserve">Experience gains and (losses) on assets </t>
  </si>
  <si>
    <t xml:space="preserve">Experience gains and (losses) on liabilities </t>
  </si>
  <si>
    <t>However, statutory arrangements for funding the deficit mean that the financial position of the Council remains healthy. The deficit on the Northern Ireland Local Government Officers' Pension Fund will be made good by increased contributions over the remaining working life of employees, assessed by the scheme actuary.</t>
  </si>
  <si>
    <t>%</t>
  </si>
  <si>
    <t>Projected current cost</t>
  </si>
  <si>
    <t>Net Interest on the net defined benefit liability (asset)</t>
  </si>
  <si>
    <t>History of experience gains and losses</t>
  </si>
  <si>
    <t>Experience (gains and (losses) on Assets</t>
  </si>
  <si>
    <t xml:space="preserve">Experience gains and (losses) on Liabilities </t>
  </si>
  <si>
    <t>Long-term expected rate of return on assets in the scheme:</t>
  </si>
  <si>
    <t>Mortality assumptions:</t>
  </si>
  <si>
    <t>Longevity at 65 current pensioners:</t>
  </si>
  <si>
    <t>Men</t>
  </si>
  <si>
    <t>Women</t>
  </si>
  <si>
    <t>Longevity at 65 for future pensioners:</t>
  </si>
  <si>
    <t>Inflation/Pension Increase Rate</t>
  </si>
  <si>
    <t>Salary Increase Rate</t>
  </si>
  <si>
    <t>Expected Return on Assets</t>
  </si>
  <si>
    <t>Discount Rate</t>
  </si>
  <si>
    <t>Take-up of option to convert annual pension into retirement lump sum:</t>
  </si>
  <si>
    <t>Service to April 2009</t>
  </si>
  <si>
    <t>Service post April 2009</t>
  </si>
  <si>
    <t>The Northern Ireland Local Government Officers' Pension Fund's assets consist of the following categories, by proportion of the total assets held:</t>
  </si>
  <si>
    <t>Donated Assets Account</t>
  </si>
  <si>
    <t>Opening balance</t>
  </si>
  <si>
    <t>Less: amounts released to the District Fund - Comprehensive Income and Expenditure Account (conditions met)</t>
  </si>
  <si>
    <t>Analysis of Donated Assets Account</t>
  </si>
  <si>
    <t>The balance of the Donated Assets Account represents donations received that have yet to be recognised as income, as they have conditions attached to them, which will require the donated assets to be returned, if conditions are not met. The balances at the year end are as follows:</t>
  </si>
  <si>
    <t>Donation A</t>
  </si>
  <si>
    <t>Donation B</t>
  </si>
  <si>
    <t>Donation C</t>
  </si>
  <si>
    <t>Less: amounts released to the Comprehensive Income and Expenditure Statement</t>
  </si>
  <si>
    <t>Analysis of Capital Grants Receipts in Advance Balance</t>
  </si>
  <si>
    <t>The balance of Capital Grants Receipts in Advance represents grants received that have yet to be recognised as income, as they have conditions attached to them, which will require the grant to be repaid, if conditions are not met. The balances at the year end are as follows:</t>
  </si>
  <si>
    <t>Capital Grants Receipts in Advance</t>
  </si>
  <si>
    <t>Grant A</t>
  </si>
  <si>
    <t>Grant B</t>
  </si>
  <si>
    <t>Grant C</t>
  </si>
  <si>
    <t>Analysis of Adjustments to Surplus/Deficit on the Provision of Services</t>
  </si>
  <si>
    <t xml:space="preserve">Depreciation </t>
  </si>
  <si>
    <t>Impairment &amp; downward revaluations (&amp; non-sale derecognitions)</t>
  </si>
  <si>
    <t>Amortisation (included with depreciation above)</t>
  </si>
  <si>
    <t>(Increase)/Decrease in Debtors</t>
  </si>
  <si>
    <t>Increase/(Decrease) in Creditors</t>
  </si>
  <si>
    <t>Increase/(Decrease) in Interest Creditors</t>
  </si>
  <si>
    <t>Payments to NILGOSC</t>
  </si>
  <si>
    <t>Carrying amount of non-current assets sold</t>
  </si>
  <si>
    <t>AIC/WIP written off to Net Cost of Services</t>
  </si>
  <si>
    <t>Contributions to Other Reserves/Provisions</t>
  </si>
  <si>
    <t>Movement in value of investment properties-included above in Impairment &amp; downward revaluations (&amp; non-sale derecognitions)</t>
  </si>
  <si>
    <t>Amounts posted to CIES from Donated Assets Account</t>
  </si>
  <si>
    <t>Adjust for items included in the net surplus or deficit on the provision of services that are investing and financing activities</t>
  </si>
  <si>
    <t>Purchase of short-term (not considered to be cash equivalents) and long-term investments (includes investments in associates, joint ventures and subsidiaries)</t>
  </si>
  <si>
    <t>Proceeds from short-term (not considered to be cash equivalents) and long-term investments (includes investments in associates, joint ventures and subsidiaries)</t>
  </si>
  <si>
    <t>Capital Expenditure</t>
  </si>
  <si>
    <t>Adjustments between accounting basis and funding basis under regulations</t>
  </si>
  <si>
    <t>These are capital receipts which have originated primarily from the sale of assets which have not yet been used to finance capital expenditure.</t>
  </si>
  <si>
    <t>The Capital Receipts Reserve is credited with the proceeds from fixed asset sales and other monies defined by statute as capital receipts. These are originally credited to the Comprehensive Income and Expenditure Statement as part of the gain/loss on disposal and posted out via the Movement in Reserves Statement to the Capital Receipts Reserve. The reserve is written down when resources are applied to finance new capital expenditure or set aside to reduce an authority’s capital financing requirement (or used for other purposes permitted by statute).</t>
  </si>
  <si>
    <t xml:space="preserve">Where a capital grant or contribution (or part thereof) has been recognised as income in the Comprehensive Income and Expenditure Statement, but the expenditure to be financed from that grant or contribution has not been incurred at the Balance Sheet date, the grant or contribution shall be transferred to the Capital Grants Unapplied Account (within the usable reserves section of the balance sheet), reflecting its status as a capital resource available to finance expenditure. This transfer is reported in the Movement in Reserves Statement. </t>
  </si>
  <si>
    <t xml:space="preserve">Exceptional Items </t>
  </si>
  <si>
    <t>When items of income and expense are material, their nature and amount is disclosed separately, either on the face of the Comprehensive Income and Expenditure Statement or in the notes to the accounts, depending on how significant the items are to an understanding of the Council’s financial performance.</t>
  </si>
  <si>
    <t xml:space="preserve">Prior Period Adjustments, Changes in Accounting Policies and Estimates and Errors </t>
  </si>
  <si>
    <t>Material errors discovered in prior period figures are corrected retrospectively by amending opening balances and comparative amounts for the prior period.</t>
  </si>
  <si>
    <t xml:space="preserve">Financial Instruments </t>
  </si>
  <si>
    <t>Financial Liabilities</t>
  </si>
  <si>
    <t>Financial Assets</t>
  </si>
  <si>
    <t>LTPVO1</t>
  </si>
  <si>
    <t>LTPVO2</t>
  </si>
  <si>
    <t>LTPVO3</t>
  </si>
  <si>
    <t>As explained more fully in the Statement of the Council’s and Chief Financial Officer’s Responsibilities, the Chief Financial Officer is responsible for the preparation of the financial statements and for being satisfied that they give a true and fair view of the income and expenditure and cash flows for the financial year and the financial position as at the end of the financial year. My responsibility is to audit the statement of accounts in accordance with the Local Government (Northern Ireland) Order 2005 and the Local Government Code of Audit Practice issued by the Chief Local Government Auditor. I conducted my audit in accordance with International Standards on Auditing (UK and Ireland). Those standards require me and my staff to comply with the Auditing Practices Board’s Ethical Standards for Auditors.</t>
  </si>
  <si>
    <t>Scope of the audit of the statement of accounts</t>
  </si>
  <si>
    <t>Opinion</t>
  </si>
  <si>
    <t>In my opinion:</t>
  </si>
  <si>
    <t>·</t>
  </si>
  <si>
    <t>Opinion on other matters</t>
  </si>
  <si>
    <t>Matters on which I report by exception</t>
  </si>
  <si>
    <t>I have nothing to report in respect of the following matters which I report to you if, in my opinion:</t>
  </si>
  <si>
    <t>the Annual Governance Statement</t>
  </si>
  <si>
    <t xml:space="preserve">o   </t>
  </si>
  <si>
    <t xml:space="preserve">is misleading or inconsistent with other information I am aware of from my audit, or   </t>
  </si>
  <si>
    <t>adequate accounting records have not been kept; or</t>
  </si>
  <si>
    <t>the Statement of Accounts is not in agreement with the accounting records; or</t>
  </si>
  <si>
    <t>I have not received all of the information and explanations I require for my audit.</t>
  </si>
  <si>
    <t>Certificate</t>
  </si>
  <si>
    <t>Local Government Auditor</t>
  </si>
  <si>
    <t>Northern Ireland Audit Office</t>
  </si>
  <si>
    <t>106 University Street</t>
  </si>
  <si>
    <t>Belfast</t>
  </si>
  <si>
    <t>BT7 1EU</t>
  </si>
  <si>
    <t>Column Widths</t>
  </si>
  <si>
    <t>Row Height</t>
  </si>
  <si>
    <t>Column Width</t>
  </si>
  <si>
    <t>Sentence / part sentence per virtual row</t>
  </si>
  <si>
    <t>Actuarial gains/losses arising from changes in financial assumptions</t>
  </si>
  <si>
    <t>Actuarial gains/losses arising from demographic changes</t>
  </si>
  <si>
    <t>Actuarial gains/losses arising on liabilities from experience</t>
  </si>
  <si>
    <t>Other (if applicable)</t>
  </si>
  <si>
    <t>PRO FORMA No 2</t>
  </si>
  <si>
    <t>KEY SERVICES</t>
  </si>
  <si>
    <t>Net Cost of Services</t>
  </si>
  <si>
    <t xml:space="preserve">Other Cleaning </t>
  </si>
  <si>
    <t xml:space="preserve">Waste Collection </t>
  </si>
  <si>
    <t xml:space="preserve">The Movement in Reserves Statement </t>
  </si>
  <si>
    <t>(a description may be shown either here or on the face of the statement itself, or in both places)</t>
  </si>
  <si>
    <t>Signed</t>
  </si>
  <si>
    <t xml:space="preserve">Signed </t>
  </si>
  <si>
    <t>When, at a future date, the expenditure to be financed from the grant or contribution is incurred, the grant or contribution (or part thereof) shall be transferred from the Capital Grants Unapplied Account to the Capital Adjustment Account, reflecting the application of capital resources to finance expenditure. This transfer is also reported in the Movement in Reserves Statement or in the notes to the accounts.</t>
  </si>
  <si>
    <t>Project A</t>
  </si>
  <si>
    <t>Project B</t>
  </si>
  <si>
    <t>General</t>
  </si>
  <si>
    <t>Other Balances &amp; Reserves (Election Reserve)</t>
  </si>
  <si>
    <t>This reserve is used to equalise (smooth) the cost of elections by building up a fund to cover the costs of future elections by making contributions, as and when required, to the reserve.</t>
  </si>
  <si>
    <t>This reserve shows the accounting cost in the year of providing services in accordance with generally accepted accounting practices, rather than the amount to be funded from District Rates. Councils raise rates to cover expenditure in accordance with regulations; this may be different from the accounting cost. The taxation position is shown in the Movement in Reserves Statement.</t>
  </si>
  <si>
    <t>The Capital Adjustment Account absorbs the timing differences arising from the different arrangements for accounting for the consumption of non-current assets and for the acquisition, construction or enhancement of those assets under statutory provisions.</t>
  </si>
  <si>
    <t>The Account is debited with the cost of acquisition, construction or enhancement as depreciation, impairment losses and amortisations are charged to the Comprehensive Income and Expenditure Statement, with reconciling postings from the Revaluation Reserve to convert fair value figures to an historic cost basis.</t>
  </si>
  <si>
    <t>The Account contains accumulated gains and losses on Investment Properties and gains recognised on donated assets that have yet to be consumed by the Council.</t>
  </si>
  <si>
    <t>The Account also contains revaluation gains accumulated on Property, Plant and Equipment before 1 April 2008, the date that the Revaluation Reserve was created to hold such gains.</t>
  </si>
  <si>
    <t>The Revaluation Reserve contains the gains made by the Council arising from increases in the value of its Property, Plant and Equipment and Intangible Assets. The reserve is reduced when assets with accumulated gains are:</t>
  </si>
  <si>
    <t>The reserve contains only revaluation gains accumulated since 1 April 2008, the date the reserve was created. Accumulated gains arising before that date are consolidated into the balance on the Capital Adjustment Account.</t>
  </si>
  <si>
    <t>The purpose of this account is to build up a balance based on the revaluation (upwards or downwards) of individual assets.  All such revaluations (excluding impairment losses that have been debited to Surplus/(Deficit) on the Provision of Services in the) are mirrored in Other Comprehensive Income and Expenditure.  It is a fundamental principle of this account that it never becomes negative.  If an asset was held at current value when derecognised, the balance held on the Revaluation Reserve is written off to the Capital Adjustment Account.</t>
  </si>
  <si>
    <t>Subject to agreement with the Department, this arrangement allows a council to spread the cost of the impact of discount rate changes over a period of not more than 6 years.</t>
  </si>
  <si>
    <t>Additional Landfill costs that were not allowed for by councils arose from the amendment of the Landfill Regulations (NI) 2003 by the Landfill (Amendment) Regulations (NI) 2011, affecting all sites that closed after the target transposition date for the Landfill Directive (1999/31/EC).</t>
  </si>
  <si>
    <t>The approved costs and period of time are those agreed between the council and the Department's Environment Policy Division in conjunction with the Northern Ireland Environment Agency.</t>
  </si>
  <si>
    <t xml:space="preserve">Tourism </t>
  </si>
  <si>
    <t>TNSG</t>
  </si>
  <si>
    <t>LASS</t>
  </si>
  <si>
    <t>BASS</t>
  </si>
  <si>
    <t>IASS</t>
  </si>
  <si>
    <t>VASS</t>
  </si>
  <si>
    <t>CASS</t>
  </si>
  <si>
    <t>WASS</t>
  </si>
  <si>
    <t>SASS</t>
  </si>
  <si>
    <t>HASS</t>
  </si>
  <si>
    <t>IPAS</t>
  </si>
  <si>
    <t>ITAS</t>
  </si>
  <si>
    <t>EASS</t>
  </si>
  <si>
    <t>Infrastructure Assets</t>
  </si>
  <si>
    <t>Investment Properties</t>
  </si>
  <si>
    <t xml:space="preserve">Assets Held for Resale </t>
  </si>
  <si>
    <t>Depreciation</t>
  </si>
  <si>
    <t>Surplus/(Deficit) on revaluation of non-current assets</t>
  </si>
  <si>
    <t>Introduction</t>
  </si>
  <si>
    <t>Group Accounts</t>
  </si>
  <si>
    <t>(a)</t>
  </si>
  <si>
    <t>(b)</t>
  </si>
  <si>
    <t xml:space="preserve">Statement of the Council’s and Chief Financial Officer’s Responsibilities for the Statement of Accounts  </t>
  </si>
  <si>
    <t>The Council’s Responsibilities</t>
  </si>
  <si>
    <t xml:space="preserve">Under Section 1 of the Local Government Finance Act (Northern Ireland) 2011 a council shall make arrangements for the proper administration of its financial affairs. A council shall designate an officer of the council as its chief financial officer and these arrangements shall be carried out under the supervision of its chief financial officer.  </t>
  </si>
  <si>
    <t>The Chief Financial Officer’s Responsibilities</t>
  </si>
  <si>
    <t>The accounts must give a true and fair view of the income and expenditure and cash flows for the financial year and the financial position as at the end of the financial year.</t>
  </si>
  <si>
    <t>In preparing this Statement of Accounts, the Chief Financial officer is required to:</t>
  </si>
  <si>
    <t>●</t>
  </si>
  <si>
    <t>follow relevant accounting and disclosure requirements and apply suitable accounting policies on a consistent basis, and</t>
  </si>
  <si>
    <t>make judgements and estimates that are reasonable and prudent.</t>
  </si>
  <si>
    <t>The Chief Financial Officer is also required to:</t>
  </si>
  <si>
    <t>keep proper accounting records that are up-to-date, and</t>
  </si>
  <si>
    <t>take reasonable steps for the prevention and detection of fraud and other irregularities.</t>
  </si>
  <si>
    <t>NORTHERN IRELAND LOCAL GOVERNMENT BODIES'</t>
  </si>
  <si>
    <t>ANNUAL GOVERNANCE STATEMENT</t>
  </si>
  <si>
    <t>Scope of Responsibility</t>
  </si>
  <si>
    <t>The Purpose of the Governance Framework</t>
  </si>
  <si>
    <t>The system of internal control is a significant part of that framework and is designed to manage risk to a reasonable level.  It cannot eliminate all risk of failure to achieve policies, aims and objectives and can therefore only provide reasonable and not absolute assurance of effectiveness.  The system of internal control is based on an ongoing process designed to identify and prioritise the risks to the achievement of the local government body’s policies, aims and objectives, to evaluate the likelihood of those risks being realised and the impact should they be realised, and to manage them efficiently, effectively and economically.</t>
  </si>
  <si>
    <t>The governance framework</t>
  </si>
  <si>
    <t>Review of Effectiveness</t>
  </si>
  <si>
    <t>Significant Governance Issues</t>
  </si>
  <si>
    <t>We propose over the coming year to take steps to address the above matters to further enhance our governance arrangements.  We are satisfied that these steps will address the need for improvements that were identified in our review of effectiveness and will monitor their implementation and operation as part of our next annual review.</t>
  </si>
  <si>
    <t>Date</t>
  </si>
  <si>
    <t>Certificate of the Chief Financial Officer</t>
  </si>
  <si>
    <t>I certify that:</t>
  </si>
  <si>
    <t>Council Approval of Statement of Accounts</t>
  </si>
  <si>
    <t>Chairman</t>
  </si>
  <si>
    <t>In applying the aforementioned criteria, the Council considers that it is engaging in the following significant trading operations:</t>
  </si>
  <si>
    <t>Turnover</t>
  </si>
  <si>
    <t>Profit/(Loss)</t>
  </si>
  <si>
    <t>Letting of Industrial Estates</t>
  </si>
  <si>
    <t>Printing Services</t>
  </si>
  <si>
    <t>Professional and Support Services</t>
  </si>
  <si>
    <t>Provision of Car Parking Facilities</t>
  </si>
  <si>
    <t>This note needs to be tailored to the requirements of the Council concerned and, if necessary, reference should be made to the Code for further guidance.</t>
  </si>
  <si>
    <t>Formula change in cell E8 but should this not pick up from input sheet?</t>
  </si>
  <si>
    <t>Formula missing in cell E13</t>
  </si>
  <si>
    <t>Formula missing in cell E23</t>
  </si>
  <si>
    <t>Planning and Development Services</t>
  </si>
  <si>
    <t>Net interest on the net defined benefit liability (asset)</t>
  </si>
  <si>
    <t>Net income from Investment Properties</t>
  </si>
  <si>
    <t>Transitional Relief</t>
  </si>
  <si>
    <t>Revenue Grants Receivable</t>
  </si>
  <si>
    <t>Government &amp; Other Grants - Condition met and applied in year</t>
  </si>
  <si>
    <t>Government &amp; Other Grants - Transfer from receipts in advance</t>
  </si>
  <si>
    <t>Donated Assets - Conditions met</t>
  </si>
  <si>
    <t>Donated Assets - Transfer from donated assets creditor</t>
  </si>
  <si>
    <t>Government &amp; other Grants - Conditions met and not applied in year</t>
  </si>
  <si>
    <t>Other Capital Grants unapplied</t>
  </si>
  <si>
    <t>Capital Grant and Contributions</t>
  </si>
  <si>
    <t>Impairment losses on non-current assets charged to the Revaluation Reserve</t>
  </si>
  <si>
    <t>Transfers in from NCA</t>
  </si>
  <si>
    <t>Assets Held for Sale Transfers in from NCA</t>
  </si>
  <si>
    <t>Assets Held for Sale Revaluation @ Cost to Provision of Services</t>
  </si>
  <si>
    <t>BLRR</t>
  </si>
  <si>
    <t>BPDR</t>
  </si>
  <si>
    <t>Provisions Discount Rate Reserves</t>
  </si>
  <si>
    <t>Pro-forma Cell Colour Coding Key</t>
  </si>
  <si>
    <t>Pink      </t>
  </si>
  <si>
    <t>Check</t>
  </si>
  <si>
    <t xml:space="preserve">    </t>
  </si>
  <si>
    <t>Trading Operations</t>
  </si>
  <si>
    <t>Non Specific Grants</t>
  </si>
  <si>
    <t>Land Additions</t>
  </si>
  <si>
    <t>Additions</t>
  </si>
  <si>
    <t>Land Donations</t>
  </si>
  <si>
    <t>Land Revaluation increases/decreases to Revaluation Reserve</t>
  </si>
  <si>
    <t>Land Revaluation increases/decreases to Surplus or Deficit on the Provision of Services</t>
  </si>
  <si>
    <t>Disposals</t>
  </si>
  <si>
    <t>Land Disposals</t>
  </si>
  <si>
    <t>Other Derecognitions</t>
  </si>
  <si>
    <t>Reclassification Transfers</t>
  </si>
  <si>
    <t>Impairment to Revaluation Reserve</t>
  </si>
  <si>
    <t>Impairment to Provision of Services</t>
  </si>
  <si>
    <t>Land Impairment to Revaluation Reserve</t>
  </si>
  <si>
    <t>Land Other Derecognitions @ cost</t>
  </si>
  <si>
    <t>Land Disposals Depreciation</t>
  </si>
  <si>
    <t>Land Other Derecognitions @ depreciation</t>
  </si>
  <si>
    <t>Land Reclassifications / Transfers @ cost</t>
  </si>
  <si>
    <t>Reclassified from  Assets Held for Resale @ Depreciation</t>
  </si>
  <si>
    <t>Buildings Additions</t>
  </si>
  <si>
    <t>Buildings Donations</t>
  </si>
  <si>
    <t>Building Revaluation increases/decreases to Revaluation Reserve</t>
  </si>
  <si>
    <t>Building Revaluation increases/decreases to Surplus or Deficit on the Provision of Services</t>
  </si>
  <si>
    <t>Buildings Disposals</t>
  </si>
  <si>
    <t>Reclassified from Assets Held for Resale</t>
  </si>
  <si>
    <t>Buildings Impairment to Revaluation Reserve</t>
  </si>
  <si>
    <t>Buildings Disposals Depreciation</t>
  </si>
  <si>
    <t>Reclassified from Assets Held for Resale @ Depreciation</t>
  </si>
  <si>
    <t>Infrastructure Additions</t>
  </si>
  <si>
    <t>Infrastructure Donations</t>
  </si>
  <si>
    <t>Infrastructure Revaluation increases/decreases to Revaluation Reserve</t>
  </si>
  <si>
    <t>Infrastructure Revaluation increases/decreases to Surplus or Deficit on the Provision of Services</t>
  </si>
  <si>
    <t>Infrastructure Disposals</t>
  </si>
  <si>
    <t>Infrastructure Impairment to Revaluation Reserve</t>
  </si>
  <si>
    <t>Infrastructure Disposals Depreciation</t>
  </si>
  <si>
    <t xml:space="preserve">Vehicles, Plant &amp; Equipment Additions </t>
  </si>
  <si>
    <t>Vehicles, Plant &amp; Equipment Disposals</t>
  </si>
  <si>
    <t>Vehicles, Plant &amp; Equipment Donations</t>
  </si>
  <si>
    <t>Vehicles, Plant &amp; Equipment Revaluation increases/decreases to Revaluation Reserve</t>
  </si>
  <si>
    <t>Vehicles, Plant &amp; Equipment Revaluation increases/decreases to Surplus or Deficit on the Provision of Services</t>
  </si>
  <si>
    <t>Vehicles, Plant &amp; Equipment Impairment @cost to Provision of Services</t>
  </si>
  <si>
    <t>Vehicles, Plant &amp; Equipment Depreciation to Revaluation Reserve</t>
  </si>
  <si>
    <t>Vehicles, Plant &amp; Equipment Impairment to Revaluation Reserve</t>
  </si>
  <si>
    <t>Vehicles, Plant &amp; Equipment Impairment @ Depreciation to Provision of Services</t>
  </si>
  <si>
    <t xml:space="preserve">Vehicles, Plant &amp; Equipment Disposals Depreciation </t>
  </si>
  <si>
    <t>Community Assets Additions</t>
  </si>
  <si>
    <t>Community Assets Donations</t>
  </si>
  <si>
    <t>Community Assets Revaluation increases/decreases to Revaluation Reserve</t>
  </si>
  <si>
    <t>Community Assets Revaluation increases/decreases to Surplus or Deficit on the Provision of Services</t>
  </si>
  <si>
    <t>Community Assets Disposals</t>
  </si>
  <si>
    <t>Community Assets Depreciation @ 01 April</t>
  </si>
  <si>
    <t>Community Assets Depreciation</t>
  </si>
  <si>
    <t>Community Assets Depreciation to Revaluation Reserve</t>
  </si>
  <si>
    <t>Community Assets Impairment @ Depreciation to Provision of Services</t>
  </si>
  <si>
    <t>Community Assets Impairment to Revaluation Reserve</t>
  </si>
  <si>
    <t xml:space="preserve">Community Assets Disposals Depreciation </t>
  </si>
  <si>
    <t>Community Assets Other Derecognitions @ Depreciation</t>
  </si>
  <si>
    <t>Community Assets Reclassifications / Transfers @ Depreciation</t>
  </si>
  <si>
    <t>PP&amp;E Under Construction Donations</t>
  </si>
  <si>
    <t>PP&amp;E Under Construction Revaluation increases/decreases to Revaluation Reserve</t>
  </si>
  <si>
    <t>PP&amp;E Under Construction Revaluation increases/decreases to Surplus or Deficit on the Provision of Services</t>
  </si>
  <si>
    <t xml:space="preserve">PP&amp;E Under Construction Disposals </t>
  </si>
  <si>
    <t>PP&amp;E Under Construction Depreciation @ 01 April</t>
  </si>
  <si>
    <t>PP&amp;E Under Construction Depreciation</t>
  </si>
  <si>
    <t>PP&amp;E Under Construction Depreciation to Revaluation Reserve</t>
  </si>
  <si>
    <t>PP&amp;E Under Construction Impairment @ Depreciation to Provision of Services</t>
  </si>
  <si>
    <t>PP&amp;E Under Construction Impairment to Revaluation Reserve</t>
  </si>
  <si>
    <t xml:space="preserve">PP&amp;E Under Construction Disposals Depreciation </t>
  </si>
  <si>
    <t>PP&amp;E Under Construction Other Derecognitions @ Depreciation</t>
  </si>
  <si>
    <t>PP&amp;E Under Construction Reclassifications / Transfers @ Depreciation</t>
  </si>
  <si>
    <t>Surplus Assets Additions</t>
  </si>
  <si>
    <t>Surplus Assets  Depreciation @ 01 April</t>
  </si>
  <si>
    <t>Surplus Assets  Depreciation</t>
  </si>
  <si>
    <t>Surplus Assets  Depreciation to Revaluation Reserve</t>
  </si>
  <si>
    <t>Surplus Assets  Impairment @ Depreciation to Provision of Services</t>
  </si>
  <si>
    <t>Surplus Assets  Impairment to Revaluation Reserve</t>
  </si>
  <si>
    <t xml:space="preserve">Surplus Assets Disposals Depreciation </t>
  </si>
  <si>
    <t>Surplus Assets Other Derecognitions @ Depreciation</t>
  </si>
  <si>
    <t>Surplus Assets Reclassifications / Transfers @ Depreciation</t>
  </si>
  <si>
    <t>Heritage Assets Additions</t>
  </si>
  <si>
    <t>Heritage Assets Donations</t>
  </si>
  <si>
    <t>Heritage Assets  Revaluation increases/decreases to Revaluation Reserve</t>
  </si>
  <si>
    <t>Heritage Assets  Revaluation increases/decreases to Surplus or Deficit on the Provision of Services</t>
  </si>
  <si>
    <t>Heritage Assets Disposals</t>
  </si>
  <si>
    <t>Investment Properties Additions</t>
  </si>
  <si>
    <t>Investment Properties Donations</t>
  </si>
  <si>
    <t>Investment Properties Disposals</t>
  </si>
  <si>
    <t>Intangible Assets Donations</t>
  </si>
  <si>
    <t>Intangible Assets  Revaluation increases/decreases to Revaluation Reserve</t>
  </si>
  <si>
    <t>Intangible Assets  Revaluation increases/decreases to Surplus or Deficit on the Provision of Services</t>
  </si>
  <si>
    <t>Intangible Assets Disposals</t>
  </si>
  <si>
    <t>Assets Held for Sale Disposals</t>
  </si>
  <si>
    <t>Landfill Sites</t>
  </si>
  <si>
    <t>Landfill Sites Cost @ 01 April</t>
  </si>
  <si>
    <t>Landfill Sites Additions</t>
  </si>
  <si>
    <t>Landfill Sites Donations</t>
  </si>
  <si>
    <t>Landfill Sites Revaluation increases/decreases to Revaluation Reserve</t>
  </si>
  <si>
    <t>Landfill Sites Revaluation increases/decreases to Surplus or Deficit on the Provision of Services</t>
  </si>
  <si>
    <t>Landfill Sites Impairment @ Cost to Provision of Services</t>
  </si>
  <si>
    <t>Landfill Sites Disposals</t>
  </si>
  <si>
    <t>Landfill Sites Other Derecognitions @ Cost</t>
  </si>
  <si>
    <t>Landfill Sites Reclassifications / Transfers @ Cost</t>
  </si>
  <si>
    <t>Landfill Sites Depreciation @ 01 April</t>
  </si>
  <si>
    <t>Landfill Sites Depreciation</t>
  </si>
  <si>
    <t>Landfill Sites Revaluation Depreciation to Revaluation Reserve</t>
  </si>
  <si>
    <t>Landfill Sites Impairment @ Depreciation to Provision of Services</t>
  </si>
  <si>
    <t>Landfill Sites Impairment to Revaluation Reserve</t>
  </si>
  <si>
    <t>Landfill Sites Disposals Depreciation</t>
  </si>
  <si>
    <t>Landfill Sites Other Derecognitions @ Depreciation</t>
  </si>
  <si>
    <t>Landfill Sites Reclassifications / Transfers @ Depreciation</t>
  </si>
  <si>
    <t>LNFS</t>
  </si>
  <si>
    <t>Intangible Assets Depreciation @ 01 April</t>
  </si>
  <si>
    <t>Intangible Assets Depreciation</t>
  </si>
  <si>
    <t>Intangible Assets Depreciation to Revaluation Reserve</t>
  </si>
  <si>
    <t>Intangible Assets Impairment @ Depreciation to Provision of Services</t>
  </si>
  <si>
    <t>Intangible Assets Impairment to Revaluation Reserve</t>
  </si>
  <si>
    <t xml:space="preserve">Intangible Assets Disposals Depreciation </t>
  </si>
  <si>
    <t>Intangible Assets Other Derecognitions @ Depreciation</t>
  </si>
  <si>
    <t>Intangible Assets Reclassifications / Transfers @ Depreciation</t>
  </si>
  <si>
    <t>Impairment to Surplus or Deficit on the Provision of Services</t>
  </si>
  <si>
    <t xml:space="preserve">Revaluation increases/decreases to Revaluation Reserve </t>
  </si>
  <si>
    <t>Revaluation increases/decreases to Surplus or Deficit on the Provision of Services</t>
  </si>
  <si>
    <t>Depreciation written out of Revaluation Reserve</t>
  </si>
  <si>
    <t>Transfers to or from Assets for Resale</t>
  </si>
  <si>
    <t>Assets Held for Sale Donations</t>
  </si>
  <si>
    <t>Surplus Assets Donations</t>
  </si>
  <si>
    <t>Assets Held for Sale Revaluation increases/decreases to Revaluation Reserve</t>
  </si>
  <si>
    <t>Investment Properties Revaluation increases/decreases to Revaluation Reserve</t>
  </si>
  <si>
    <t>Investment Properties Revaluation increases/decreases to Surplus or Deficit on the Provision of Services</t>
  </si>
  <si>
    <t>Surplus Assets Revaluation increases/decreases to Surplus or Deficit on the Provision of Services</t>
  </si>
  <si>
    <t>Reclassified from Assets Held for Resale @ Cost</t>
  </si>
  <si>
    <t>Investments in Joint Ventures &amp; Associates</t>
  </si>
  <si>
    <t>CHECK</t>
  </si>
  <si>
    <t>Assets held for Sale</t>
  </si>
  <si>
    <t>Investments</t>
  </si>
  <si>
    <t>Investments - General</t>
  </si>
  <si>
    <t>Investments - Repairs and Renewals</t>
  </si>
  <si>
    <t>Investments - Capital Fund</t>
  </si>
  <si>
    <t>Investments - Other</t>
  </si>
  <si>
    <t>LTIN</t>
  </si>
  <si>
    <t>STIN</t>
  </si>
  <si>
    <t>Capital Grants and Contributions</t>
  </si>
  <si>
    <t>District Rate Income</t>
  </si>
  <si>
    <t>Net Cost</t>
  </si>
  <si>
    <t>NIHE loans</t>
  </si>
  <si>
    <t>Utilised during Year</t>
  </si>
  <si>
    <t>Heritage Assets  Depreciation @ 01 April</t>
  </si>
  <si>
    <t>Heritage Assets  Depreciation</t>
  </si>
  <si>
    <t>Heritage Assets Depreciation to Revaluation Reserve</t>
  </si>
  <si>
    <t>Heritage Assets  Impairment @ Depreciation to Provision of Services</t>
  </si>
  <si>
    <t>Heritage Assets  Impairment to Revaluation Reserve</t>
  </si>
  <si>
    <t xml:space="preserve">Heritage Assets Disposals Depreciation </t>
  </si>
  <si>
    <t>Heritage Assets Other Derecognitions @ Depreciation</t>
  </si>
  <si>
    <t>Heritage Assets Reclassifications / Transfers @ Depreciation</t>
  </si>
  <si>
    <t>Assets Held for Sale  Depreciation @ 01 April</t>
  </si>
  <si>
    <t>Assets Held for Sale  Depreciation</t>
  </si>
  <si>
    <t>Assets Held for Sale Depreciation to Revaluation Reserve</t>
  </si>
  <si>
    <t>Assets Held for Sale Impairment to Revaluation Reserve</t>
  </si>
  <si>
    <t xml:space="preserve">Assets Held for Sale Disposals Depreciation </t>
  </si>
  <si>
    <t>Assets Held for Sale Other Derecognitions @ Depreciation</t>
  </si>
  <si>
    <t>Assets Held for Sale Reclassifications / Transfers @ Depreciation</t>
  </si>
  <si>
    <t>Assets Held for Sale Impairment @ Depreciation to Provision of Services</t>
  </si>
  <si>
    <t>Donated Assets Accounts</t>
  </si>
  <si>
    <t>General Principles</t>
  </si>
  <si>
    <t>Revenue from sale of goods</t>
  </si>
  <si>
    <t>Revenue from provision of services</t>
  </si>
  <si>
    <t>Supplies</t>
  </si>
  <si>
    <t>Services Received</t>
  </si>
  <si>
    <t xml:space="preserve"> - Supplies are recorded as expenditure when they are consumed – where there is a gap between the date supplies are received and their consumption, they are carried as inventories on the Balance Sheet.</t>
  </si>
  <si>
    <t xml:space="preserve"> - Expenses in relation to services received (including services provided by employees) are recorded as expenditure when the services are received rather than when payments are made.</t>
  </si>
  <si>
    <t>Interest Payable/Receivable</t>
  </si>
  <si>
    <t>Debtor/Creditor</t>
  </si>
  <si>
    <t xml:space="preserve"> - Where revenue and expenditure have been recognised but cash has not been received or paid, a debtor or creditor for the relevant amount is recorded in the Balance Sheet.  Where it is doubtful that debts will be settled, the balance of debtors is written down and a charge made to revenue for the income that might not be collected.</t>
  </si>
  <si>
    <t>Provision for Single Status, Job Evaluation and Pay and Grading Reviews</t>
  </si>
  <si>
    <t>Discontinued Operations</t>
  </si>
  <si>
    <t xml:space="preserve">Employee Benefits </t>
  </si>
  <si>
    <t>Foreign Currency Translation</t>
  </si>
  <si>
    <t>Investment Property</t>
  </si>
  <si>
    <t>Landfill Allowance Scheme</t>
  </si>
  <si>
    <t>The Council as Lessee - Operating Lease</t>
  </si>
  <si>
    <t>The Council as Lessor - Operating Lease</t>
  </si>
  <si>
    <t>Overheads and Support Services</t>
  </si>
  <si>
    <t>Accounting Standards That Have Been Issued but Have Not Yet Been Adopted</t>
  </si>
  <si>
    <t>Amounts included in the CIES but required by statute to be excluded when determining the Movement on the General Fund Balance for the year</t>
  </si>
  <si>
    <t>External Audit Fees 1</t>
  </si>
  <si>
    <t>External Audit Fees 2</t>
  </si>
  <si>
    <t>The Council has incurred the following costs relating to the annual audit of the Statement of Accounts, certification of grant claims and other services provided by the Councils external auditors.</t>
  </si>
  <si>
    <t>External Audit Fees 3</t>
  </si>
  <si>
    <t>Council as Lessor</t>
  </si>
  <si>
    <t>Operating Leases 1</t>
  </si>
  <si>
    <t>Council as Lessee</t>
  </si>
  <si>
    <t>Employee Costs and Members' Allowances</t>
  </si>
  <si>
    <t>Employers National Insurance</t>
  </si>
  <si>
    <t>Employers Pension Costs</t>
  </si>
  <si>
    <t>Staff Costs 1</t>
  </si>
  <si>
    <t>Average Number of Employees - where FTE represents fulltime equivalent employees</t>
  </si>
  <si>
    <t>Staff Costs: FTE Average Number of Employees - Leisure and Recreation Services</t>
  </si>
  <si>
    <t>Staff Costs: FTE Average Number of Employees - Environmental Services</t>
  </si>
  <si>
    <t>Staff Costs: FTE Average Number of Employees - Planning and Development Services</t>
  </si>
  <si>
    <t>Staff Costs: FTE Average Number of Employees - Highways and Transport Services</t>
  </si>
  <si>
    <t>Staff Costs: FTE Average Number of Employees - Other</t>
  </si>
  <si>
    <t>Staff Costs: Actual Numbers - Full-time numbers employed</t>
  </si>
  <si>
    <t>Staff Costs: Actual Numbers - Part-time numbers employed</t>
  </si>
  <si>
    <t>Long - Term Assets</t>
  </si>
  <si>
    <t>Councils should  disclose information for each material impairment loss recognised or reversed during the period in accordance with paragraph 4.7.4.2.(2) of the Code.</t>
  </si>
  <si>
    <t>Leased Assets (included within vehicles, plant and equipment)</t>
  </si>
  <si>
    <t>Cost or Valuation: Vehicles - additions</t>
  </si>
  <si>
    <t>Cost or Valuation: Vehicles - Disposals</t>
  </si>
  <si>
    <t>Cost or Valuation: Equipment - additions</t>
  </si>
  <si>
    <t>Cost or Valuation: Equipment - Disposals</t>
  </si>
  <si>
    <t>Depreciation: Vehicles - Disposals</t>
  </si>
  <si>
    <t>Depreciation: Vehicles - Provided for in year</t>
  </si>
  <si>
    <t>Depreciation: Equipment - Disposals</t>
  </si>
  <si>
    <t>Depreciation: Equipment - Provided for in year</t>
  </si>
  <si>
    <t>The sale of a donated early twentieth century dinner service – the curator of the ceramics collection has ascertained that, though a fine collection, it was not made in the Authority area. On an exceptional basis the Authority has therefore sold the asset and used the disposal proceeds to purchase a tea service produced in the late nineteenth century by the Kilnshire Pottery. The carrying value of the asset was £x and the proceeds were £x. These sale proceeds were also accounted for in accordance with statutory requirements for the sale of non-current assets as this asset meets the definition of a capital receipt.</t>
  </si>
  <si>
    <t>Investment Property 1</t>
  </si>
  <si>
    <t>The following items of income and expense have been recognised in the Comprehensive Income and Expenditure Statement:</t>
  </si>
  <si>
    <t>Investment Property: Rental income from investment property</t>
  </si>
  <si>
    <t>Investment Property: Direct operating expenses arising from investment property</t>
  </si>
  <si>
    <t>Investment Property 2</t>
  </si>
  <si>
    <t>Investment Property 3</t>
  </si>
  <si>
    <t>Capital Expenditure and Capital Financing 1</t>
  </si>
  <si>
    <t>Explanation of Movements in Year: Increase in underlying need to borrow</t>
  </si>
  <si>
    <t>Explanation of Movements in Year: Assets acquired under PFI/PPP Contracts</t>
  </si>
  <si>
    <t>Future Capital Commitments: Gross Cost - Schemes underway</t>
  </si>
  <si>
    <t>Future Capital Commitments: Gross Cost - Other Commitments</t>
  </si>
  <si>
    <t>Future Capital Commitments: Grant Aid - Schemes underway</t>
  </si>
  <si>
    <t>Future Capital Commitments: Grant Aid - Other Commitments</t>
  </si>
  <si>
    <t>The Council reversed £x of a previous inventory write-down in 20XX/YY. The Council has used the inventories that were written down. The amount reversed has been included in ‘services’ in the Comprehensive Income and expenditure Statement.</t>
  </si>
  <si>
    <t>Long-Term Investments</t>
  </si>
  <si>
    <t>Money Market Deposits</t>
  </si>
  <si>
    <t>Other Deposits</t>
  </si>
  <si>
    <t>Provisions - Additional Disclosure</t>
  </si>
  <si>
    <t>INTRODUCTION</t>
  </si>
  <si>
    <t>ALLOWANCE AND REMUNERATION ARRANGEMENTS</t>
  </si>
  <si>
    <t>COUNCILLORS</t>
  </si>
  <si>
    <t>Allowances are payable by councils to councillors and committee members under Part 3 of the Local Government Finance Act (Northern Ireland) 2011 and The Local Government (Payments to Councillors) Regulations (Northern Ireland) 2012, which came into operation on 1 April 2012.</t>
  </si>
  <si>
    <t>SENIOR EMPLOYEES</t>
  </si>
  <si>
    <t xml:space="preserve">The remuneration of senior employees employed by the Council is determined by the Council in line with that determined by the National Joint Council (NJC) for Local Government Services. Senior staff are those staff who are members of the Executive Management Team/Senior Management Team. </t>
  </si>
  <si>
    <t>Unless otherwise stated below, the officials covered by this report hold appointments which are open-ended.</t>
  </si>
  <si>
    <t>ALLOWANCES PAID TO COUNCILLORS</t>
  </si>
  <si>
    <t>Allowance</t>
  </si>
  <si>
    <t>Total Allowances
£</t>
  </si>
  <si>
    <t>Basic Allowance</t>
  </si>
  <si>
    <t>Special Responsibility Allowance</t>
  </si>
  <si>
    <t>Chairperson/Deputy Mayor Allowance</t>
  </si>
  <si>
    <t>Vice Chairperson/ Deputy Mayor Allowance</t>
  </si>
  <si>
    <t>Mileage Allowance</t>
  </si>
  <si>
    <t>Subsistence</t>
  </si>
  <si>
    <t>Dependents' Carers Allowance</t>
  </si>
  <si>
    <t>TOTAL ALLOWANCES</t>
  </si>
  <si>
    <t>REMUNERATION OF SENIOR EMPLOYEES</t>
  </si>
  <si>
    <t>Officers</t>
  </si>
  <si>
    <t>Median Total Remuneration</t>
  </si>
  <si>
    <t>Ratio</t>
  </si>
  <si>
    <t xml:space="preserve">Total remuneration includes salary, bonus payments and benefits in kind. </t>
  </si>
  <si>
    <t>Severance Package Cost Band</t>
  </si>
  <si>
    <t>Number of Compulsory Redundancies</t>
  </si>
  <si>
    <t>Number of Other departures agreed</t>
  </si>
  <si>
    <t>Total Number of Exit Packages in each Cost Band</t>
  </si>
  <si>
    <t>Total Cost of Packages in each Cost Band
£'000</t>
  </si>
  <si>
    <t>£0 - £20,000</t>
  </si>
  <si>
    <t>£20,001 - £40,000</t>
  </si>
  <si>
    <t>£40,001 - £60,000</t>
  </si>
  <si>
    <t>£60,001 - £80,000</t>
  </si>
  <si>
    <t>£80,001 - £100,000</t>
  </si>
  <si>
    <t>£100,001 - £150,000</t>
  </si>
  <si>
    <t>£150,001 - £200,000</t>
  </si>
  <si>
    <t>Pension Benefits</t>
  </si>
  <si>
    <t>The Local Government Pension Scheme (Northern Ireland) (the Scheme) which is a funded defined benefit pension scheme, which provides retirement benefits for council employees on a “career average revalued earnings” basis from 1 April 2015. Prior to that date benefits were built up on a “final salary” basis.</t>
  </si>
  <si>
    <t>From 1 April 2015, a member builds up retirement pension at the rate of 1/49th pensionable pay for each year. Pension benefits in relation to membership between 1 April 2009 and 31 March 2015 were built up at the rate of 1/60th pensionable pay for each year of membership. There is no automatic lump sum provided in respect of membership after 31 March 2009. Pension benefits in relation to any membership before 1 April 2009 were built up at the rate of 1/80th (pension) and 3/80ths (tax-free lump sum) of pensionable pay for each year of membership up to 31 March 2009. At retirement, members may give up some pension for additional lump sum, subject to HM Revenue and Customs (HMRC) limits. The conversion rate is £12 additional lump sum for every £1 of pension given up.</t>
  </si>
  <si>
    <t xml:space="preserve">Councillors have been able to join the Scheme since May 2011. The Scheme application is modified to reflect the fact that councillors hold an elected office. Councillor members have always accrued pension on a career average basis. Prior to 1 April 2015 pension was accrued at a rate of 1/60th and thereafter at a rate of 1/49th. </t>
  </si>
  <si>
    <t>Table 5: Employee Contribution Rates</t>
  </si>
  <si>
    <t>Band</t>
  </si>
  <si>
    <t>Employee Contribution Rate</t>
  </si>
  <si>
    <t>Table 6: Employer Contribution Rates</t>
  </si>
  <si>
    <t>Year</t>
  </si>
  <si>
    <t>Employer Contribution Rate</t>
  </si>
  <si>
    <t xml:space="preserve">The Local Government Pension Scheme Regulations (Northern Ireland) 2014 were made on 27 June 2014 and The Local Government Pension Scheme (Amendment and Transitional Provisions) Regulations (Northern Ireland) 2014 were made on 30 June 2014. Both sets of regulations are effective from 1 April 2015.
</t>
  </si>
  <si>
    <t xml:space="preserve">The value of pension benefits of the most senior management of the Council accrued during the year was as follows: </t>
  </si>
  <si>
    <t>Real increase in pension and related lump sum at pension age
£'000</t>
  </si>
  <si>
    <t>Chief Executive</t>
  </si>
  <si>
    <t>TB V1</t>
  </si>
  <si>
    <t>TB V2</t>
  </si>
  <si>
    <t>Applicable
Yes = 1
No = 0</t>
  </si>
  <si>
    <t>The assets of the Northern Ireland Local Government Officers' pension fund attributable to the Council are included in the Balance Sheet at their fair value:
·         quoted securities – current bid price
·         unquoted securities – professional estimate
·         property – market value
·         unitised securities – current bid price
The change in the net pensions liability is analysed into seven components:</t>
  </si>
  <si>
    <t>Discretionary Benefits
The Council also has restricted powers to make discretionary awards of retirement benefits in the event of early retirements.  Any liabilities estimated to arise as a result of an award to any member of staff are accrued in the year of the decision to make the award and accounted for using the same policies that are applied to the Northern Ireland Local Government Officers' pension fund.</t>
  </si>
  <si>
    <t>Additional narrative</t>
  </si>
  <si>
    <t xml:space="preserve">Expenditure on non-monetary assets that do not have physical substance but are controlled by the Council as a result of past events (e.g. software licences) is capitalised when it is expected that future economic benefits or service potential will flow from the intangible asset to the Council.
</t>
  </si>
  <si>
    <t xml:space="preserve">Investment properties are those that are used solely to earn rentals and/or for capital appreciation.  The definition is not met if the property is used in any way to facilitate the delivery of services or production of goods or is held for sale.
</t>
  </si>
  <si>
    <t>Arrangements that do not have the legal status of a lease but convey a right to use an asset in return for payment are accounted for under this policy where fulfilment of the arrangement is dependent on the use of specific assets</t>
  </si>
  <si>
    <t>Additional Policy details are required where a Council has material sale and leaseback assets.</t>
  </si>
  <si>
    <t xml:space="preserve">Assets are initially measured at cost, comprising: 
a. the purchase price
b. any costs attributable to bringing the asset to the location and condition necessary for it to be capable of operating in the manner intended by management
c. the initial estimate of the costs of dismantling and removing the item and restoring the site on which it is located
</t>
  </si>
  <si>
    <t>Where an impairment loss is reversed subsequently, the reversal is credited to the relevant service line(s) in the Comprehensive Income and Expenditure Statement, up to the amount of the original loss, adjusted for depreciation that would have been charged if the loss had not been recognised.</t>
  </si>
  <si>
    <t xml:space="preserve">Assets are assessed at each year-end as to whether there is any indication that an asset may be impaired.  Where indications exist and any possible differences are estimated to be material, the recoverable amount of the asset is estimated and, where this is less than the carrying amount of the asset, an impairment loss is recognised for the shortfall.
</t>
  </si>
  <si>
    <t xml:space="preserve">Where an item of Property, Plant and Equipment asset has major components whose cost is significant in relation to the total cost of the item, the components are depreciated separately.
</t>
  </si>
  <si>
    <t xml:space="preserve">Provisions are made where an event has taken place that gives the Council a legal or constructive obligation that probably requires settlement by a transfer of economic benefits or service potential, and a reliable estimate can be made of the amount of the obligation.  For instance, the Council may be involved in a court case that could eventually result in the making of a settlement or the payment of compensation.
</t>
  </si>
  <si>
    <t>The Council has made a provision of £Xm for the settlement of claims for back pay arising from the Equal Pay initiative, based on the number of claims received and an average settlement amount.  It is not certain that all valid claims have yet been received by the Council or that precedents set by other Councils in the settlement of claims will be applicable.
An increase over the forthcoming year of X% in either the total number of claims or the estimated average settlement would each have the effect of adding £Xk to the provision needed.</t>
  </si>
  <si>
    <t>INSERT HEADING OF ADDITIONAL NARRATIVE</t>
  </si>
  <si>
    <t>Carrying amount of non current assets sold</t>
  </si>
  <si>
    <t>Net Transfers (to)/from statutory and other earmarked reserves</t>
  </si>
  <si>
    <t>Capital Fund - Other</t>
  </si>
  <si>
    <t>Renewal and Repairs Fund - Other</t>
  </si>
  <si>
    <t>Other Funds and earmarked reserves - Other</t>
  </si>
  <si>
    <t xml:space="preserve">In addition, agency costs during the year amounted to £x.
</t>
  </si>
  <si>
    <t>Leisure and Recreation Services</t>
  </si>
  <si>
    <t>Highways and Transport Service</t>
  </si>
  <si>
    <t xml:space="preserve">RATES SUPPORT GRANT - EXPENDITURE PRO-FORMA </t>
  </si>
  <si>
    <t>NET EXPENDITURE</t>
  </si>
  <si>
    <t>ADJUSTED NET EXPENDITURE</t>
  </si>
  <si>
    <t>Other Services (row 1 minus sum of rows 2 to 6)</t>
  </si>
  <si>
    <t xml:space="preserve">                                                                </t>
  </si>
  <si>
    <t>Chief Financial Officer of New Council:</t>
  </si>
  <si>
    <t>Annex C</t>
  </si>
  <si>
    <t>Rental Income from Investment Activities</t>
  </si>
  <si>
    <t>Direct Operating expenses arising from investment properties</t>
  </si>
  <si>
    <t>Net gain/(loss)</t>
  </si>
  <si>
    <t>Art Collection</t>
  </si>
  <si>
    <t>Machinery, Equipment and other Artefacts from the Pottery Industry</t>
  </si>
  <si>
    <t>Disposals in the financial year:</t>
  </si>
  <si>
    <t xml:space="preserve">Assets Held for Sale </t>
  </si>
  <si>
    <t>Equipment</t>
  </si>
  <si>
    <t>Vehicles</t>
  </si>
  <si>
    <t>Provided for year</t>
  </si>
  <si>
    <t>Net Book Value</t>
  </si>
  <si>
    <t>Cost or Valuation: Vehicles - opening balance</t>
  </si>
  <si>
    <t>Depreciation: Vehicles - opening balance</t>
  </si>
  <si>
    <t>Cost or Valuation: Equipment - opening balance</t>
  </si>
  <si>
    <t>Depreciation: Equipment - Opening Balance</t>
  </si>
  <si>
    <t>Payment of invoices</t>
  </si>
  <si>
    <t>The creditor balance for 'Other Councils' includes….xxxx</t>
  </si>
  <si>
    <t>The creditor balance for 'Other' includes……xxxx</t>
  </si>
  <si>
    <t>Amount</t>
  </si>
  <si>
    <t>In accordance with the Code (and IAS 37), Councils should disclose by way of note if there is a possible obligation arising from past events and whose existence will be confirmed only by the occurrence or non-occurrence of one or more uncertain future events not wholly within the control of the authority, or a present obligation that arises from past events but is not recognised because:</t>
  </si>
  <si>
    <t>a) it is not probable that an outflow of resources embodying economic benefits or service potential will be required to settle the obligation, or
b) the amount of the obligation cannot be measured with sufficient reliability.</t>
  </si>
  <si>
    <t>Operating Activities</t>
  </si>
  <si>
    <t>Interest Paid</t>
  </si>
  <si>
    <t>Interest Received</t>
  </si>
  <si>
    <t>Investing Activities</t>
  </si>
  <si>
    <t>Purchase of Short Term investments (not considered to be cash equivalents)</t>
  </si>
  <si>
    <t>Proceeds from Short Term Investments</t>
  </si>
  <si>
    <t>Financing Activities</t>
  </si>
  <si>
    <t>Cash flows from Financing Activites</t>
  </si>
  <si>
    <t>Other payments from Financing Activities</t>
  </si>
  <si>
    <t>Difference between finance and other costs and income calculated on an accounting basis and finance costs calculated in accordance with statutory requirements</t>
  </si>
  <si>
    <t>Other Movements</t>
  </si>
  <si>
    <t>Unapplied Capital Grants received in year</t>
  </si>
  <si>
    <t>Unapplied Capital Grants transferred to CAA in year</t>
  </si>
  <si>
    <t>Transfers between statutory &amp; other reserves &amp; the General Fund</t>
  </si>
  <si>
    <t>Transfers between Capital Fund&amp; CAA to finance Capital Expenditure</t>
  </si>
  <si>
    <t>Transfers between Renewal &amp; Repair Fund &amp; CAA to finance Capital Expenditure</t>
  </si>
  <si>
    <t>Transfers between Capital Fund &amp; CAA to finance Capital Expenditure</t>
  </si>
  <si>
    <t>Depreciation and Impairment adjustment</t>
  </si>
  <si>
    <t>Statutory Provision for financing Capital Investment</t>
  </si>
  <si>
    <t>Transfers between Statutory and Other Reserves and the General Fund</t>
  </si>
  <si>
    <t>Net movements on Pension Reserve</t>
  </si>
  <si>
    <t>Disposal of Fixed Assets/Capital Sales</t>
  </si>
  <si>
    <t>Unuseable Reserves</t>
  </si>
  <si>
    <t>Depreciation &amp; Impairment adjustment</t>
  </si>
  <si>
    <t>Net Revenue expenditure funded from Capital under statute</t>
  </si>
  <si>
    <t>Transfers between Capital Fund/Renewal &amp; Repair Fund &amp; CAA to finance capital expenditure</t>
  </si>
  <si>
    <t>3, 11</t>
  </si>
  <si>
    <t xml:space="preserve"> - revalued downwards or impaired and the gains are lost
 - used in the provision of services and the gains are consumed through depreciation, or
 - disposed of and the gains are realised.</t>
  </si>
  <si>
    <t>Revaluation  &amp; Impairment</t>
  </si>
  <si>
    <t>Net Movements on Pension Reserve</t>
  </si>
  <si>
    <t>Revaluation &amp; Impairment</t>
  </si>
  <si>
    <t>The Accumulated Absences Account absorbs the differences that would otherwise arise on the General Fund balance from accruing for compensated absences earned but not taken in the year e.g. staff annual leave entitlement carried forward at the end of the financial year. Statutory arrangements are expected to require that the impact on the General Fund is neutralised by transfers to or from this Accumulated Absences Account</t>
  </si>
  <si>
    <t xml:space="preserve"> - the magnitude of each individual trading operation's turnover when greater than X% of the Council's net revenue budget</t>
  </si>
  <si>
    <t xml:space="preserve">- the risk of financial loss the Council may be exposed to in providing the service to the user. </t>
  </si>
  <si>
    <t xml:space="preserve"> - the importance of each individual trading operation to demonstrating the achievement of Council targets and improving performance. </t>
  </si>
  <si>
    <t xml:space="preserve"> - the exposure of the Council to service reputational loss risk by providing the service</t>
  </si>
  <si>
    <t xml:space="preserve"> - whether the provision of the service is likely to be of interest to the Council's key stakeholders and their needs.</t>
  </si>
  <si>
    <t>a) The name of the government (i.e. UK Government, Scottish Government, Welsh Government or Northern Ireland Assembly) and the fact that the government exerts significant influence through legislation and grant funding.</t>
  </si>
  <si>
    <t>b) The following information in sufficient detail to enable users of the reporting entity's financial statements to understand the effect of related party transactions on its financial statements:</t>
  </si>
  <si>
    <t>i) the nature and amount of each individually significant transaction, and</t>
  </si>
  <si>
    <t>ii) for other transactions that are collectively, but not individually, significant, a qualitative or quantitative indication of their extent.</t>
  </si>
  <si>
    <t>NOTE: It is important to include disclosure on Joint Committees and Statutory Transition Committees (STC) and New Councils where applicable. You should also note where the Council is a lead partner on these bodies.</t>
  </si>
  <si>
    <t>The inputs to the measurement techniques are categorised in accordance with the following three levels:
• Level 1 inputs - quoted prices (unadjusted) in active markets for identical assets that the authority can access at the measurement date.
• Level 2 inputs - inputs other than quoted prices included within Level 1 that are observable for the asset, either directly or indirectly.
• Level 3 inputs - unobservable inputs for the asset.</t>
  </si>
  <si>
    <t>Fair Value Measurement</t>
  </si>
  <si>
    <t>The Council measures some of its non-financial assets such as surplus assets and investment properties and some of its financial instruments such as equity shareholdings [other financial instruments as applicable] at fair value at each reporting date. Fair value is the price that would be received to sell an asset or paid to transfer a liability in an orderly transaction between market participants at the measurement date. The fair value measurement assumes that the transaction to sell the asset or transfer the liability takes place either:</t>
  </si>
  <si>
    <t>Fair Value Hierarchy for Surplus Assets</t>
  </si>
  <si>
    <t>Type 1</t>
  </si>
  <si>
    <t>Type 2</t>
  </si>
  <si>
    <t>Type 3</t>
  </si>
  <si>
    <t>Quoted Prices in active markets for identical assets (Level 1)</t>
  </si>
  <si>
    <t>Other significant observable inputs (Level 2)</t>
  </si>
  <si>
    <t>Significant unobservable inputs 
(Level 3)</t>
  </si>
  <si>
    <t>Transfers between levels of the fair value hierarchy</t>
  </si>
  <si>
    <t>Valuation Techniques used to Determine Level 2 and 3 Fair Values for Surplus Assets</t>
  </si>
  <si>
    <t>Significant observable inputs – Level 2</t>
  </si>
  <si>
    <t>Significant observable inputs – Level 3</t>
  </si>
  <si>
    <t>Highest and best use of surplus assets</t>
  </si>
  <si>
    <t>Valuation Techniques</t>
  </si>
  <si>
    <t>Reconciliation of Fair Value Measurements (using Significant Unobservable Inputs) Categorised within Level 3 of the Fair Value Hierarchy</t>
  </si>
  <si>
    <t>Surplus Assets categorised within Level 3</t>
  </si>
  <si>
    <t>Transfers into Level 3</t>
  </si>
  <si>
    <t>Transfer out of Level 3</t>
  </si>
  <si>
    <t>Total gains [or losses] for the period included in the Surplus or Deficit on the Provision of Services resulting from changes in fair value</t>
  </si>
  <si>
    <t xml:space="preserve">Disposal  </t>
  </si>
  <si>
    <t>Quantitative information about Fair Value Measurement of Surplus Assets using Significant Unobservable Inputs - Level 3</t>
  </si>
  <si>
    <t>Valuation technique used to measure fair value</t>
  </si>
  <si>
    <t>Unobservable inputs</t>
  </si>
  <si>
    <t>Range (weighted average used)</t>
  </si>
  <si>
    <t>Sensitivity</t>
  </si>
  <si>
    <t>Valuation Process for Surplus Assets</t>
  </si>
  <si>
    <t>There were no transfers between Levels 1 and 2 during the year.</t>
  </si>
  <si>
    <t>Council Specific Text</t>
  </si>
  <si>
    <t>[Note that if the highest and best use of a non-financial asset differs from its current use, the authority is required to disclose that fact and why the non-financial asset is being used in a manner that differs from its highest and best use.</t>
  </si>
  <si>
    <t>There has been no change in the valuation techniques used during the year for surplus assets.</t>
  </si>
  <si>
    <t>[Note: Although the Code considers that it will be rare for local authorities to transfer between levels of the fair value hierarchy, the example includes transfers into and out of level 3 to assist those authorities where this might take place]</t>
  </si>
  <si>
    <t>Gains arising from changes in the fair value of surplus assets are recognised in the revaluation reserve, unless they reverse a previous impairment charged to the Surplus or Deficit on the Provision of Services. Losses arising from changes in the fair value of the surplus assets reduce any revaluation reserve balance relating to that asset and, thereafter, are recognised in Surplus or Deficit on the Provision of Services.</t>
  </si>
  <si>
    <t>Transfers out of Level 3</t>
  </si>
  <si>
    <t>Subcategory at Fair Value Level 3</t>
  </si>
  <si>
    <t>Surplus Assets Categorised within Level 3</t>
  </si>
  <si>
    <t>Fair Value Hierarchy for Investment Properties</t>
  </si>
  <si>
    <t>Office Units</t>
  </si>
  <si>
    <t>Commercial Units</t>
  </si>
  <si>
    <t xml:space="preserve">In estimating the fair value of the Council's Investment Properties, the highest and best use of the properties is their current use. </t>
  </si>
  <si>
    <t>There has been no change in the valuation techniques used during the year for Investment Properties.</t>
  </si>
  <si>
    <t>[If there has been a change in valuation technique (e.g. changing from a market approach to an income approach, or the use of an additional valuation technique), the Council is required to disclose that change and the reason(s) for making it.]</t>
  </si>
  <si>
    <t>[Where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t>
  </si>
  <si>
    <t xml:space="preserve">In estimating the fair value of the Council’s surplus assets, the highest and best use of the assets is their current use. </t>
  </si>
  <si>
    <t>[The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occurred. An Council is required to disclose and consistently follow its policy for determining when transfers between levels of the fair value hierarchy are deemed to have occurred.]</t>
  </si>
  <si>
    <t>Gains or losses arising from changes in the fair value of the investment property are recognised in Surplus or Deficit on the Provision of Services – Financing and Investment Income and Expenditure line.</t>
  </si>
  <si>
    <t>Fair Value of Financial Assets</t>
  </si>
  <si>
    <t>Equity shareholdings in Best of Both Worlds Ltd</t>
  </si>
  <si>
    <t>Some of the Council's financial assets are measured at fair value on a recurring basis and are described in the following table, including the valuation techniques used to measure them.</t>
  </si>
  <si>
    <t>Input level in fair value hierarchy</t>
  </si>
  <si>
    <t>Unquoted Shares: Opening Balance</t>
  </si>
  <si>
    <t>Unquoted Shares:Transfers into Level 3</t>
  </si>
  <si>
    <t>Unquoted Shares: Transfer out of Level 3</t>
  </si>
  <si>
    <t>Unquoted Shares: Total gains [or losses] for the period included in the Surplus or Deficit on the Provision of Services resulting from changes in fair value</t>
  </si>
  <si>
    <t>Unquoted Shares: Total gains [or losses] for the period included in Other Comprehensive Income and Expenditure</t>
  </si>
  <si>
    <t>Unquoted Shares: Additions</t>
  </si>
  <si>
    <t xml:space="preserve">Unquoted Shares: Disposal  </t>
  </si>
  <si>
    <t>Other: Opening Balance</t>
  </si>
  <si>
    <t>Other: Transfers into Level 3</t>
  </si>
  <si>
    <t>Other: Transfer out of Level 3</t>
  </si>
  <si>
    <t>Other: Total gains [or losses] for the period included in the Surplus or Deficit on the Provision of Services resulting from changes in fair value</t>
  </si>
  <si>
    <t>Other: Total gains [or losses] for the period included in Other Comprehensive Income and Expenditure</t>
  </si>
  <si>
    <t>Other: Additions</t>
  </si>
  <si>
    <t xml:space="preserve">Other: Disposal  </t>
  </si>
  <si>
    <t>Fair Values of Financial Assets and Financial Liabilities that are not Measured at Fair Value (but for which Fair Value Disclosures are Required).</t>
  </si>
  <si>
    <t>Financial Liabilities held at amortised cost</t>
  </si>
  <si>
    <t>Long term creditors</t>
  </si>
  <si>
    <t>Carrying amount</t>
  </si>
  <si>
    <t xml:space="preserve">Fair Value </t>
  </si>
  <si>
    <t>Long term debtors</t>
  </si>
  <si>
    <t>Other significant observable inputs 
(level 2)</t>
  </si>
  <si>
    <t>Significant unobservable inputs
(level 3)</t>
  </si>
  <si>
    <t>Soft loans to third parties</t>
  </si>
  <si>
    <t>- No early repayment or impairment is recognised</t>
  </si>
  <si>
    <t>- The fair value of trade and other receivables is taken to be the invoiced or billed amount.</t>
  </si>
  <si>
    <t>- No early repayment is recognised</t>
  </si>
  <si>
    <t>Recurring fair value measurements</t>
  </si>
  <si>
    <t>Participation in the Northern Ireland Local Government Officers' Pension Fund</t>
  </si>
  <si>
    <t>Gains and Losses on settlements or curtailments</t>
  </si>
  <si>
    <t>Reconciliation of present value of the scheme assets</t>
  </si>
  <si>
    <t>Equity Investments</t>
  </si>
  <si>
    <t xml:space="preserve">Assets </t>
  </si>
  <si>
    <t>Amount recognised in Other Comprehensive Income and Expenditure</t>
  </si>
  <si>
    <t>Expected Return on Plan Assets</t>
  </si>
  <si>
    <t>Experience gains and (losses) on assets</t>
  </si>
  <si>
    <t>Experience gains and (losses) on liabilities</t>
  </si>
  <si>
    <t>Analysis of projected amount to be charged to the Comprehensive Income and Expenditure Statement for the year to 31 March 20YY</t>
  </si>
  <si>
    <t>Projected current cost (%)</t>
  </si>
  <si>
    <t>Net interest on the net defined benefit liability (asset) (%)</t>
  </si>
  <si>
    <t>Past service cost (%)</t>
  </si>
  <si>
    <t>Gains and Losses on settlements or curtailments (%)</t>
  </si>
  <si>
    <t>Mortality assumptions</t>
  </si>
  <si>
    <t>Mortality assumptions: Longevity at 65 current pensioners</t>
  </si>
  <si>
    <t>Pension Assumptions Sensitivity Analysis</t>
  </si>
  <si>
    <t>The pension figures disclosed in these financial statements are sensitive to the assumptions used.</t>
  </si>
  <si>
    <t>In each case, only the assumption noted below is altered; all other assumptions remain the same and are summarised in the disclosure above.</t>
  </si>
  <si>
    <t>Funded Pension Scheme Benefits</t>
  </si>
  <si>
    <t>Adjustment to discount rate</t>
  </si>
  <si>
    <t>Funded Pension Scheme Benefits: Discount Rate Assumption</t>
  </si>
  <si>
    <t>Present value of the total obligation</t>
  </si>
  <si>
    <t>% change in the present value of the total obligation</t>
  </si>
  <si>
    <t>Projected service cost</t>
  </si>
  <si>
    <t>Approximate % change in projected service cost</t>
  </si>
  <si>
    <t>Funded Pension Scheme Benefits: Rate of General Increase in Salaries</t>
  </si>
  <si>
    <t>Adjustment to salary increase rate</t>
  </si>
  <si>
    <t>Funded Pension Scheme Benefits: Rate of Increase to Pensions in Payment and Deferred Pension Assumption</t>
  </si>
  <si>
    <t>Adjustment to pension increase rate</t>
  </si>
  <si>
    <t>Funded Pension Scheme Benefits: Post Retirement Mortality Assumption</t>
  </si>
  <si>
    <t>Adjustment to the mortality age rating assumption *</t>
  </si>
  <si>
    <t>* A rating of +1 year means that members are assumed to follow the mortality pattern of the base table above for an individual that is 1 year older then that.</t>
  </si>
  <si>
    <t>Northern Ireland Civil Service Pension Arrangements</t>
  </si>
  <si>
    <t>Principal Civil Service Pension Scheme Northern Ireland</t>
  </si>
  <si>
    <t>Years</t>
  </si>
  <si>
    <t>Discount Rate Assumption</t>
  </si>
  <si>
    <t>Rate of General Increase in Salaries</t>
  </si>
  <si>
    <t>Rate of Increase to Pensions in Payment and Deferred Pension Assumption</t>
  </si>
  <si>
    <t>Post Retirement Mortality Assumption</t>
  </si>
  <si>
    <t>Adjustment to mortality age rating assumption*</t>
  </si>
  <si>
    <t>Council specific text</t>
  </si>
  <si>
    <t>Senior Employees' Remuneration</t>
  </si>
  <si>
    <t>£80,001 to £90,0000</t>
  </si>
  <si>
    <t>Members' Allowances</t>
  </si>
  <si>
    <t>Severance Payments</t>
  </si>
  <si>
    <t>Council specific disclosure</t>
  </si>
  <si>
    <t>As a result of Reform on 1st April 2015, staff transferred from Central Government to the Council are members of the Northern Ireland Civil Service Pension Scheme.</t>
  </si>
  <si>
    <t>No</t>
  </si>
  <si>
    <t>Long-Term Assets</t>
  </si>
  <si>
    <t>Assets held for sale</t>
  </si>
  <si>
    <t>Long Term: Leased Assets</t>
  </si>
  <si>
    <t>Fair Value hierarchy for Surplus Assets</t>
  </si>
  <si>
    <t>Borrowings</t>
  </si>
  <si>
    <t>Creditors</t>
  </si>
  <si>
    <r>
      <t xml:space="preserve">Participation in the </t>
    </r>
    <r>
      <rPr>
        <b/>
        <sz val="10"/>
        <rFont val="Calibri"/>
        <family val="2"/>
      </rPr>
      <t>XYZ Pension Fund</t>
    </r>
  </si>
  <si>
    <t>Other Cash Flow disclosures</t>
  </si>
  <si>
    <t>DCOPS</t>
  </si>
  <si>
    <t>Surplus or (Deficit) of Discontinued Operations</t>
  </si>
  <si>
    <t>Standing data - headings for various statements and notes to the Annual Accounts</t>
  </si>
  <si>
    <t>Notes to the Financial Statements</t>
  </si>
  <si>
    <t>Notes to the Group Financial Statements</t>
  </si>
  <si>
    <t>NAME OF COUNCIL</t>
  </si>
  <si>
    <t>CI&amp;ES Headings</t>
  </si>
  <si>
    <t>MiRS Headings</t>
  </si>
  <si>
    <t>Balance Sheet Headings</t>
  </si>
  <si>
    <t>Cash Flow Headings</t>
  </si>
  <si>
    <t>Notes headings</t>
  </si>
  <si>
    <t>Dates - current year</t>
  </si>
  <si>
    <t>Dates - comparator years</t>
  </si>
  <si>
    <t>All statements</t>
  </si>
  <si>
    <t>Summary / Analysis of Segmental Report Comprehensive Income and Expenditure Account</t>
  </si>
  <si>
    <t>Usable Reserves - OPENING BALANCES</t>
  </si>
  <si>
    <t>Unusable Reserves - OPENING BALANCES</t>
  </si>
  <si>
    <t>Prior Year Restatement</t>
  </si>
  <si>
    <t>Council specific narrative</t>
  </si>
  <si>
    <t>£70,0001 to £80,000</t>
  </si>
  <si>
    <t>£80,001 ro £90,000</t>
  </si>
  <si>
    <t>Members Allowances</t>
  </si>
  <si>
    <t xml:space="preserve">Salaries  </t>
  </si>
  <si>
    <t>Miscellaneous Costs</t>
  </si>
  <si>
    <t>The Pro forma has been designed to provide a format that will guide Local Councils in the preparation of their Financial Statements and accompanying notes in a Code-compliant way.</t>
  </si>
  <si>
    <t>Populating the Pro forma</t>
  </si>
  <si>
    <t>The cells in the Pro forma are colour coded as follows:</t>
  </si>
  <si>
    <t>Step by step guide to completing the Pro forma</t>
  </si>
  <si>
    <t>Standing Data</t>
  </si>
  <si>
    <t>Where necessary, cells have comments attached which contain instructions, e.g. "Input as Negative", care should be taken that these notes are followed.</t>
  </si>
  <si>
    <t xml:space="preserve">This worksheet should be customised to the needs of the Council e.g. changing cells:
</t>
  </si>
  <si>
    <t>Checklist</t>
  </si>
  <si>
    <t>Input - CIES</t>
  </si>
  <si>
    <t>The worksheet sets out the items which populate the CIES and associated notes by breaking down the information required into 4 levels.</t>
  </si>
  <si>
    <t>Input - BS</t>
  </si>
  <si>
    <t>Non TB</t>
  </si>
  <si>
    <t>The worksheet sets out the items which populate the Balance Sheet and associated notes by breaking down the information required into 4 levels.</t>
  </si>
  <si>
    <t>The narrative and non TB numbers will feed through to the disclosure notes through the practitioners completion of column I whether the note is applicable to the council or not.</t>
  </si>
  <si>
    <t>Text</t>
  </si>
  <si>
    <t xml:space="preserve">Other cleaning </t>
  </si>
  <si>
    <t>RSG</t>
  </si>
  <si>
    <t>Rates Support Grant Input Sheet</t>
  </si>
  <si>
    <t>Under Regulation 7 of the Local Government (Accounts and Audit) Regulations (Northern Ireland) 2015 the Council, or a Committee, is required by resolution, to approve the accounts.</t>
  </si>
  <si>
    <t>i</t>
  </si>
  <si>
    <t>g</t>
  </si>
  <si>
    <t>h</t>
  </si>
  <si>
    <t>Proceeds from sale</t>
  </si>
  <si>
    <t>Income</t>
  </si>
  <si>
    <t>Expenditure</t>
  </si>
  <si>
    <t>Bank Interest</t>
  </si>
  <si>
    <t>Repairs &amp; Renewals Fund</t>
  </si>
  <si>
    <t>Other Funds</t>
  </si>
  <si>
    <t>Income from trading</t>
  </si>
  <si>
    <t>(Surplus)/Deficit for the year</t>
  </si>
  <si>
    <t>Income/Expenditure from Investment Properties:</t>
  </si>
  <si>
    <t>Income including rental income</t>
  </si>
  <si>
    <t>Net income from investment properties</t>
  </si>
  <si>
    <t>Surplus/deficit on sale of Investment Properties</t>
  </si>
  <si>
    <t>Carrying amount of investment properties sold</t>
  </si>
  <si>
    <t>(Surplus)/deficit on sale of Investment Properties:</t>
  </si>
  <si>
    <t>Capital Grants and Donated Assets - Applied</t>
  </si>
  <si>
    <t>Government &amp; Other Grants - Conditions met and applied in year</t>
  </si>
  <si>
    <t>Government &amp; Other Grants - Conditions met and not applied in year</t>
  </si>
  <si>
    <t>Current year</t>
  </si>
  <si>
    <t>Finalisation - previous year</t>
  </si>
  <si>
    <t>Finalisation - other years</t>
  </si>
  <si>
    <t>Other cash flow disclosures</t>
  </si>
  <si>
    <t xml:space="preserve">Cash Flow Statement: Operating Activities </t>
  </si>
  <si>
    <t xml:space="preserve">Other Balances &amp; Reserves </t>
  </si>
  <si>
    <t xml:space="preserve">b </t>
  </si>
  <si>
    <t>Capital Grants - Unapplied</t>
  </si>
  <si>
    <t>New donated assets received (condition of use not met)</t>
  </si>
  <si>
    <t>New capital grants received in advance (condition of use not met)</t>
  </si>
  <si>
    <t>New Capital Grants received in advance</t>
  </si>
  <si>
    <t>Amounts released to CIES</t>
  </si>
  <si>
    <t>New donated assets received (conditions of use not met)</t>
  </si>
  <si>
    <t>L2</t>
  </si>
  <si>
    <t xml:space="preserve">Additions </t>
  </si>
  <si>
    <t>Assets held for Sale - Current</t>
  </si>
  <si>
    <t>CSASS</t>
  </si>
  <si>
    <t>Current</t>
  </si>
  <si>
    <t>Non Current</t>
  </si>
  <si>
    <t>Transferred from Non-Current Assets during year</t>
  </si>
  <si>
    <t>Revaluation increases/decreases taken to Surplus or Deficit on the Provision of Services</t>
  </si>
  <si>
    <t>Transferred to Property, Plant &amp; Equipment during year</t>
  </si>
  <si>
    <t>Impairment losses/reversals taken to Surplus or Deficit on the Provision of Services</t>
  </si>
  <si>
    <t>Net interest on net defined benefit liability (asset)</t>
  </si>
  <si>
    <t>From Capital</t>
  </si>
  <si>
    <t>Capital Fund - From Capital</t>
  </si>
  <si>
    <t>Capital Receipts Reserve - Interest</t>
  </si>
  <si>
    <t>Capital Receipts Reserve - Other</t>
  </si>
  <si>
    <t>From Other funds</t>
  </si>
  <si>
    <t>Other Funds and earmarked reserves - From Other funds</t>
  </si>
  <si>
    <t>£90,001 to £100,000</t>
  </si>
  <si>
    <t>£100,001 to £110,000</t>
  </si>
  <si>
    <t>£110,001 to £120,000</t>
  </si>
  <si>
    <t>+0.1%p.a.</t>
  </si>
  <si>
    <t>-0.1%p.a.</t>
  </si>
  <si>
    <t>- 1 Year</t>
  </si>
  <si>
    <t>+1 Year</t>
  </si>
  <si>
    <t>Government Bonds</t>
  </si>
  <si>
    <t>Corporate Bonds</t>
  </si>
  <si>
    <t>Narrative Report</t>
  </si>
  <si>
    <t>Interest income</t>
  </si>
  <si>
    <t>pension accounts revaluation rate</t>
  </si>
  <si>
    <t>Pension accounts revaluation rate</t>
  </si>
  <si>
    <t>Remeasurement recognised in Other Comprehensive Income and Expenditure</t>
  </si>
  <si>
    <t>Working Paper Ref</t>
  </si>
  <si>
    <t>Other investment expenditure</t>
  </si>
  <si>
    <t>Other Investment expenditure</t>
  </si>
  <si>
    <t>LTDAA</t>
  </si>
  <si>
    <t>Inventories 1</t>
  </si>
  <si>
    <t>Inventories 2</t>
  </si>
  <si>
    <t>Inventories 3</t>
  </si>
  <si>
    <t>Inventories 4</t>
  </si>
  <si>
    <t>Inventories 5</t>
  </si>
  <si>
    <t>Inventories 6</t>
  </si>
  <si>
    <t>Council</t>
  </si>
  <si>
    <t>Financial Year</t>
  </si>
  <si>
    <t>Expenditure Category</t>
  </si>
  <si>
    <t>Service Area</t>
  </si>
  <si>
    <t>Present Value of Funded defined benefit obligation</t>
  </si>
  <si>
    <t>Scheme History</t>
  </si>
  <si>
    <r>
      <rPr>
        <sz val="14"/>
        <color rgb="FFFF0000"/>
        <rFont val="Calibri"/>
        <family val="2"/>
      </rPr>
      <t>Examples below are for illustration only and Councils must adapt to their own local circumstances</t>
    </r>
    <r>
      <rPr>
        <sz val="14"/>
        <rFont val="Calibri"/>
        <family val="2"/>
      </rPr>
      <t xml:space="preserve">
- The Council has £Xm deposited with XYZ Bank which is in administration.  A decision by the courts is being sought as to whether the Council will have the status of a preferred creditor or whether the amount will have to be written off.  Legal advice has been obtained to support a judgement that this status will be secured and that the full amount of the deposit will be repaid.</t>
    </r>
  </si>
  <si>
    <r>
      <rPr>
        <sz val="14"/>
        <color rgb="FFFF0000"/>
        <rFont val="Calibri"/>
        <family val="2"/>
      </rPr>
      <t>Examples below are for illustration only and Councils must adapt to their own local circumstances</t>
    </r>
    <r>
      <rPr>
        <sz val="14"/>
        <rFont val="Calibri"/>
        <family val="2"/>
      </rPr>
      <t xml:space="preserve">
- A claim has been made against the Council in relation TO the cancellation of A major procurement contract.  With the support of the Council’s legal advisors, it has been assessed that the Council was entitled TO cancel the contract and no provision for possible damages has been made in relation TO the claim.</t>
    </r>
  </si>
  <si>
    <t>Must be £0</t>
  </si>
  <si>
    <t>Difference</t>
  </si>
  <si>
    <t>CHECK CASH AND CASH EQUIVALENTS AT THE END OF THE REPORTING PERIOD</t>
  </si>
  <si>
    <t>should be zero</t>
  </si>
  <si>
    <t>Profit/(loss)</t>
  </si>
  <si>
    <t>Other Useable Reserve</t>
  </si>
  <si>
    <t>Other Usable Reserves</t>
  </si>
  <si>
    <t>At 1 April</t>
  </si>
  <si>
    <t>Surplus/(Deficit) on the Provision of Serevices</t>
  </si>
  <si>
    <t>Revaluation and impairment</t>
  </si>
  <si>
    <t>Other movements</t>
  </si>
  <si>
    <t>Purple</t>
  </si>
  <si>
    <t>Where numbers are derived from Non TB tab</t>
  </si>
  <si>
    <t>Where a cell has to be updated with a positive number.</t>
  </si>
  <si>
    <t>Where a cell has to be populated with a negative number.</t>
  </si>
  <si>
    <t>Where a cell is populated from another cell</t>
  </si>
  <si>
    <t>Blue</t>
  </si>
  <si>
    <t>Green</t>
  </si>
  <si>
    <t>Page Number</t>
  </si>
  <si>
    <t>Orange</t>
  </si>
  <si>
    <t>DOC Circular issue date</t>
  </si>
  <si>
    <t>DOC Circular ref</t>
  </si>
  <si>
    <t xml:space="preserve">TB V1 </t>
  </si>
  <si>
    <t>NBV LAND</t>
  </si>
  <si>
    <t>NVB BUILDINGS</t>
  </si>
  <si>
    <t>NBV INFRASTRUCTURE</t>
  </si>
  <si>
    <t>NBV LANDFILL SITES</t>
  </si>
  <si>
    <t>NBV VEHICLES, PLANT &amp; EQUIPMENT</t>
  </si>
  <si>
    <t>NBV COMMUNITY ASSETS</t>
  </si>
  <si>
    <t>NBV PPE UNDER CONSTRUCTION</t>
  </si>
  <si>
    <t>NBV SURPLUS ASSETS</t>
  </si>
  <si>
    <t>NBV HERITAGE ASSETS</t>
  </si>
  <si>
    <t>NBV INVESTMENT PROPERTIES</t>
  </si>
  <si>
    <t>NBV INTANGIBLE ASSETS</t>
  </si>
  <si>
    <t>NBV ASSETS HELD FOR SALE</t>
  </si>
  <si>
    <t xml:space="preserve">TITLE </t>
  </si>
  <si>
    <t>Total Reserves - OPENING BALANCES</t>
  </si>
  <si>
    <t>Long term assets</t>
  </si>
  <si>
    <t>Current assets</t>
  </si>
  <si>
    <t>Net Assets</t>
  </si>
  <si>
    <t>IJVA</t>
  </si>
  <si>
    <t>Investments in Associates &amp; Joint Ventures</t>
  </si>
  <si>
    <t>Share of Operating Results of associates and joint ventures</t>
  </si>
  <si>
    <t>Share of Other Comprehensive Expenditure &amp; Income of associates and joint ventures</t>
  </si>
  <si>
    <t>Movements from associates &amp; joint ventures</t>
  </si>
  <si>
    <t>Sales</t>
  </si>
  <si>
    <t>Gas Income</t>
  </si>
  <si>
    <t>Total Income</t>
  </si>
  <si>
    <t>Administration Costs</t>
  </si>
  <si>
    <t>Operating Costs</t>
  </si>
  <si>
    <t>Total costs</t>
  </si>
  <si>
    <t>Distribution of funds</t>
  </si>
  <si>
    <t>Revaluation reserve movement</t>
  </si>
  <si>
    <t>Net Movement</t>
  </si>
  <si>
    <t>Share of Operating Results of Associates &amp; joint ventures</t>
  </si>
  <si>
    <t>Share of Other Comprehensive Expenditure &amp; Income of associates &amp; joint ventures</t>
  </si>
  <si>
    <t>Costs</t>
  </si>
  <si>
    <t>Share of operating results of associates and joint ventures</t>
  </si>
  <si>
    <t>ORAJV</t>
  </si>
  <si>
    <t>Share of other comprehensive expenditure &amp; income of associates &amp; joint ventures</t>
  </si>
  <si>
    <t>OCEIAJV</t>
  </si>
  <si>
    <t>Investments in associates and joint ventures</t>
  </si>
  <si>
    <t>Rounding</t>
  </si>
  <si>
    <t>GROUP ACCOUNTS</t>
  </si>
  <si>
    <t>Subsidary 1</t>
  </si>
  <si>
    <t>Subsidary 2</t>
  </si>
  <si>
    <t>NAME OF SUBSIDARY 1</t>
  </si>
  <si>
    <t>NAME OF SUBSIDARY 2</t>
  </si>
  <si>
    <t>SUBSIDARY</t>
  </si>
  <si>
    <t>Subsidary</t>
  </si>
  <si>
    <t>Rounded</t>
  </si>
  <si>
    <t>(Surplus) or Deficit on Discontinued Operations</t>
  </si>
  <si>
    <t>(Surplus)/Deficit on revaluation of non-current assets</t>
  </si>
  <si>
    <t>Annual Governance Statement</t>
  </si>
  <si>
    <t>Remuneration Report</t>
  </si>
  <si>
    <t>Certificate of Chief Financial Officer</t>
  </si>
  <si>
    <t>Independent Auditor's Report to the members</t>
  </si>
  <si>
    <t>Contents Page</t>
  </si>
  <si>
    <t xml:space="preserve">The Scheme is funded by contributions made by both employees/councillors and employers. Prior to 1 April 2009, a member’s contribution rates were fixed at 6% of their pensionable remuneration (except for those who were entitled to contribute to the Scheme at 5% before 1 February 2003 and have remained in continuous employment). Tiered member contribution rates, determined by the whole-time equivalent rate of pay, were introduced from 1 April 2009. From 1 April 2015, the member contribution rates are determined on the actual rate of pay. </t>
  </si>
  <si>
    <t>Guidance Notes</t>
  </si>
  <si>
    <t>This worksheet will populate the Det CIES, Prime statement CIES and the associated notes.</t>
  </si>
  <si>
    <t>This worksheet will populate the Det BS, Balance Sheet in the Prime statement tab and the associated notes.</t>
  </si>
  <si>
    <t>The Non TB tabs have been split to match to the presentation of the pro -forma accounts</t>
  </si>
  <si>
    <t>These Non TB tabs provide practitioners with the opportunity to add narrative specific to the Council for disclosure in the notes to the accounts.</t>
  </si>
  <si>
    <t>If column F within each Non TB tab states 'Yes', the narrative disclosure will be picked up in the notes to the accounts from formulas built into the associated notes to the accounts.</t>
  </si>
  <si>
    <t>This worksheet provides the practitioner with an opportunity to complete the Narrative Report, Statement of the Council's and Chief Financial Officer's responsibilities for the statement of the accounts, Annual Governance Statement and Remuneration Report.</t>
  </si>
  <si>
    <t>Guidance of the disclosure required is provided in the text tab however practitioners are able to amend the text tab to how best suits each councils need.</t>
  </si>
  <si>
    <t>3,10, 23</t>
  </si>
  <si>
    <t>3, 21, 23</t>
  </si>
  <si>
    <t>3, 20</t>
  </si>
  <si>
    <t>3, 10, 23</t>
  </si>
  <si>
    <t>10, 20</t>
  </si>
  <si>
    <t>3, 10</t>
  </si>
  <si>
    <t>11, 20</t>
  </si>
  <si>
    <t>Combining Entities</t>
  </si>
  <si>
    <t>X Limited is a company incorporated under the terms of the Companies Acts to promote international exhibitions, conferences and events. The Authority is the principal shareholder in the company holding X of ordinary £1 shares and representing X% of the issued share capital. Under accounting standards, the Authority has a controlling interest in this company. It is therefore included in the group accounts as a subsidiary</t>
  </si>
  <si>
    <t>Nature of combination</t>
  </si>
  <si>
    <t xml:space="preserve"> To advance council objectives, the council has established one limited company  in the current financial year.</t>
  </si>
  <si>
    <t>Financial impact of consolidation</t>
  </si>
  <si>
    <t>Financing and Investment Income and Expenditure attributable to Subsidaries</t>
  </si>
  <si>
    <t>Expenditure in relation to investment property</t>
  </si>
  <si>
    <t>Interest receivable and similar income</t>
  </si>
  <si>
    <t>Income in relation to investment property</t>
  </si>
  <si>
    <t>Other investment property income</t>
  </si>
  <si>
    <t xml:space="preserve">Expenditure  </t>
  </si>
  <si>
    <t xml:space="preserve">Income </t>
  </si>
  <si>
    <t>GROUP ACCOUNTS ONLY</t>
  </si>
  <si>
    <t>Nature of Combination</t>
  </si>
  <si>
    <t>Financial Impact of Consolidation</t>
  </si>
  <si>
    <t>Financing and Investment Income and Expenditure Attributable to Group Entities</t>
  </si>
  <si>
    <r>
      <t xml:space="preserve">Only Pro forma tabs which are highlighted </t>
    </r>
    <r>
      <rPr>
        <b/>
        <sz val="12"/>
        <color rgb="FFFF0000"/>
        <rFont val="Calibri"/>
        <family val="2"/>
      </rPr>
      <t xml:space="preserve">RED </t>
    </r>
    <r>
      <rPr>
        <sz val="12"/>
        <rFont val="Calibri"/>
        <family val="2"/>
      </rPr>
      <t>should be completed by Practitioners</t>
    </r>
  </si>
  <si>
    <r>
      <rPr>
        <b/>
        <sz val="12"/>
        <rFont val="Calibri"/>
        <family val="2"/>
      </rPr>
      <t>D4</t>
    </r>
    <r>
      <rPr>
        <sz val="12"/>
        <rFont val="Calibri"/>
        <family val="2"/>
      </rPr>
      <t xml:space="preserve"> to the name of the completing council, this will change all of the statements and notes</t>
    </r>
  </si>
  <si>
    <t>Practitioners should review the narrative disclosure provided in the Non TB tab and assess if this disclosure is required.
Practitioner have the ability to amend each disclosure to best suit the circumstances.  The narrative provided is for guidance only.</t>
  </si>
  <si>
    <r>
      <rPr>
        <b/>
        <sz val="10"/>
        <rFont val="Century Gothic"/>
        <family val="2"/>
      </rPr>
      <t>The Cash Equivalent Transfer Value (CETV)</t>
    </r>
    <r>
      <rPr>
        <sz val="10"/>
        <rFont val="Century Gothic"/>
        <family val="2"/>
      </rPr>
      <t xml:space="preserve">
This is the actuarially assessed capitalised value of the pension scheme benefits accrued by a member at a particular point in time. The benefits valued are the member’s accrued benefits and any contingent spouse’s pension payable from the scheme. It is a payment made by a pension scheme or arrangement to secure pension benefits in another pension scheme or arrangement when the member leaves a scheme and chooses to transfer the pension benefits they have accrued in their former scheme. The pension figures shown relate to the benefits that the individual has accrued as a consequence of their total membership of the pension scheme, not just their service in a senior capacity to which disclosure applies. CETVs are calculated in accordance with The Occupational Pension Schemes (Transfer Values) (Amendment) Regulations and do not take account of any actual or potential reduction to benefits resulting from Lifetime Allowance Tax which may be due when pension benefits are taken.
</t>
    </r>
  </si>
  <si>
    <r>
      <rPr>
        <b/>
        <sz val="10"/>
        <rFont val="Century Gothic"/>
        <family val="2"/>
      </rPr>
      <t>The real increase in the value of the CETV</t>
    </r>
    <r>
      <rPr>
        <sz val="10"/>
        <rFont val="Century Gothic"/>
        <family val="2"/>
      </rPr>
      <t xml:space="preserve">
This reflects the increase in CETV effectively funded by the employer. It takes account of the increase in accrued pension due to inflation, contributions paid by the employee (including the value of any benefits transferred from another pension scheme or arrangement) and uses common market valuation factors for the start and end of the period.</t>
    </r>
  </si>
  <si>
    <t>GROUP ACCOUNTS - Non TB</t>
  </si>
  <si>
    <t>observe the Accounts Direction issued by the Department for Communities including compliance with the Code of Practice on Local Authority Accounting in the United Kingdom</t>
  </si>
  <si>
    <t>the financial statements have been properly prepared in accordance with the Local Government (Accounts and Audit) Regulations (Northern Ireland) 2015 and the Department for Communities directions issued thereunder.</t>
  </si>
  <si>
    <t>does not comply with proper practices specified by the Department for Communities,</t>
  </si>
  <si>
    <t>The Department for Communities' accounts direction provides an option to spread costs for the affected landfill sites, creating a negative reserve within the financial statements of the particular council.</t>
  </si>
  <si>
    <t>Observation</t>
  </si>
  <si>
    <t>Practitioner</t>
  </si>
  <si>
    <t>14.2.2017</t>
  </si>
  <si>
    <t>1.2.2017</t>
  </si>
  <si>
    <t>Tabs 'Notes 10c to 24' ends with note 23
Tabs 'Note 25 to end' commences with note 24</t>
  </si>
  <si>
    <t>Tara Matier</t>
  </si>
  <si>
    <t>Armagh City, Banbridge and Craigavon District Council</t>
  </si>
  <si>
    <t>Tabs 'Note 10c to 24' revised to 'Note 10c to 23' and 'Note 25 to end' revised to state 'Note 24 to end'</t>
  </si>
  <si>
    <t>Prime tab cell G105 has the formula ‘='Notes 2 to 9'!G303-'Notes 10c to 24'!I873’ for other long term liabilities. This deducts the Pension Liability from the Leases which is resulting in a negative figure appearing in the balance sheet. I think that the minus should be a plus in the formula.</t>
  </si>
  <si>
    <t xml:space="preserve">There’s an error in the Surplus Assets formula within the Det BS sheet where the depreciation b/fwd is being added to the cost b/fwd instead of being deducted. The formula in cell F197 is currently ‘=SUM(F175:F187)-SUM(F188:F196)’ but should be ‘=SUM(F175:F185)-SUM(F186:F196). </t>
  </si>
  <si>
    <t>31.1.2017</t>
  </si>
  <si>
    <t xml:space="preserve">There is no input for short-term provisions within the input BS sheet. Instead all provisions have to be input in the long-term provisions cells. All input cells are pink prompting input of positive figures. The formula in the Provisions note 18 adds the in-year increase and the interest / discount rate changes to the opening balance and deducts the in-year utilization and amounts reversed. In our case however the Interest Cost should be a deduction from the opening balance – our closing balance is £3,802,237. Perhaps this should be a cell where both positive and negative figures can be input? </t>
  </si>
  <si>
    <t xml:space="preserve">Note 18 then splits the provisions over short-term and long-term, with the current provisions feeding from the Non-TB note 18. </t>
  </si>
  <si>
    <t>Cell H567 in Note 18 pulls in the in-year utilization as a minus figure (1,710,671) but the formula in the note also deducts this figure resulting in £1.7m being added to instead of deducted from the opening balance. Our balance should be £472,436 instead of £3,893,778. I think that just fixing the formula in Cell H567 would solve this problem</t>
  </si>
  <si>
    <t>I was wondering if perhaps the short-term provisions could be input in the input BS tab instead of the Non-TB tab? Currently we have to input both short-term and long-term in the long-term cells which doesn’t reflect our balance sheet that we’re inputting from, but perhaps there’s a valid reason why it’s necessary to keep the input in the Non-TB tab?</t>
  </si>
  <si>
    <t>Input CIES tab
Cell J224 – Lease / Hire Purchase Interest – is blue, prompting the input of a negative figure. I think that this may be one of those cells where the figure could be either positive or negative. In our case we have to input it as a positive as it is lease interest payable but perhaps other Councils might have HP interest receivable? (not sure perhaps it should always be pink?)</t>
  </si>
  <si>
    <t>Input CIES tab
•Cell J225 – Bank Interest Payable – is blue but I think should be pink</t>
  </si>
  <si>
    <t>Input CIES tab
• Cell J226 – Government Loan Interest Payable – as above</t>
  </si>
  <si>
    <t>Input CIES tab
• Cell J227 – Commercial Loan Interest Payable – as above</t>
  </si>
  <si>
    <t>Input CIES tab
• Cell J228 – Other Interest Payable – as above</t>
  </si>
  <si>
    <t xml:space="preserve"> Input BS tab cell J147 ‘PP&amp;E Under Construction Reclassifications / Transfers @ Cost’ is pink and as such asks for a positive figure to be input. However most transfers will be from PP&amp;E into other asset classifications which requires the figure to be input as a negative. </t>
  </si>
  <si>
    <t>Note 20b - Gains and Losses on settlements or curtailments - highlight in purple</t>
  </si>
  <si>
    <t xml:space="preserve">Guidance Notes – there are a few typos in cell B53 </t>
  </si>
  <si>
    <t>Guidance Notes – Cell B118 I think should read column T instead of R</t>
  </si>
  <si>
    <t>Guidance Notes – Cell B137 I think should read column H instead of I</t>
  </si>
  <si>
    <t>24.1.2017</t>
  </si>
  <si>
    <t>26.1.2017</t>
  </si>
  <si>
    <t>27.1.2017</t>
  </si>
  <si>
    <t>30.1.2017</t>
  </si>
  <si>
    <t>23.1.2017</t>
  </si>
  <si>
    <t>Eric Callaghan</t>
  </si>
  <si>
    <t>Causeway Coast and Glens Borough Council</t>
  </si>
  <si>
    <t>Just noticed Note numbering goes from 10 to 12 omitting 11 and there are 2 Note 14’s – wrong formula from Checklist Tab.</t>
  </si>
  <si>
    <t>Think you should probably include print instructions along with using this spreadsheet.</t>
  </si>
  <si>
    <t>Note Number starts in Column B subnote say(a) is Column C and text</t>
  </si>
  <si>
    <t>and/or Note starts Column D - Notes 10 to 24 some text starting Column E</t>
  </si>
  <si>
    <t xml:space="preserve">No Print Areas defined /setup. </t>
  </si>
  <si>
    <t>Sheets need to repeat typically rows 6 to 9 in sheet setup</t>
  </si>
  <si>
    <t>For each note it is best to set pages to 1 wide by say 25 tall or whatever allows 100% magnification</t>
  </si>
  <si>
    <t>Page numbering</t>
  </si>
  <si>
    <t>Notes with current year and comparators should be set to extreme right</t>
  </si>
  <si>
    <t>columns dependant on sheets ie move from right margin of page determine</t>
  </si>
  <si>
    <t>columns required and move back to left accordingly.</t>
  </si>
  <si>
    <t>eg Notes 13 and 14 columns figures go out 1 column likewise merged text cells below</t>
  </si>
  <si>
    <t>as Column K would appear to be right margin</t>
  </si>
  <si>
    <t>Note 10c to 4 Row 737 extends beyond Column K needs to be split into current year</t>
  </si>
  <si>
    <t>and prior year (a and b like provisions note)</t>
  </si>
  <si>
    <t>Everybody will set up page breaks based on "Print" / "Do Not Print" - OK</t>
  </si>
  <si>
    <t>9.2.2017</t>
  </si>
  <si>
    <t>Det BS - the opening balance on the reserves did not seem to be picked up</t>
  </si>
  <si>
    <t>Sara McKerr</t>
  </si>
  <si>
    <t>Lisburn and Castlereagh City Council</t>
  </si>
  <si>
    <t>Note 10 - formula for net balance cell F43 adds gross plus depreciation, formula needs changed</t>
  </si>
  <si>
    <t>Note 10c - 24 provisions prior year formula in cell H577 refers to 'Det BS'!J454 should be 'Det BS '!K454 column j</t>
  </si>
  <si>
    <t>I found when putting in the figures, it was time consuming trying to identify from the Notes to the Accounts where the figures were entered to change the figure. I have not had a chance to do any printing.</t>
  </si>
  <si>
    <t>7.2.2017</t>
  </si>
  <si>
    <t>Input CI&amp;ES  J26 even though highlighted in blue to input as -ve needs to be +ve to filter through correctly to notes</t>
  </si>
  <si>
    <t>Input BS J39 need to look at formula and how this feeds through other notes ( Note 10 cell F27)</t>
  </si>
  <si>
    <t xml:space="preserve">Input BS J361 and J366 need to look at how links into provision note </t>
  </si>
  <si>
    <t>DET BS G511-G528  formulae for VLOOKUP and signs (-ve) in cells for opening balance in reserves</t>
  </si>
  <si>
    <t>Non TB Note 2-9 H122 STC allowances should no longer be applicable</t>
  </si>
  <si>
    <t>Notes 2-9 H35 formula should refer to Q81 (currently Q78)</t>
  </si>
  <si>
    <t xml:space="preserve">Notes 2-9  I42 formula check sign should -ve be removed </t>
  </si>
  <si>
    <t>Notes 2-9  E467 the total needs to include cell E465</t>
  </si>
  <si>
    <t>Notes 2-9 Note 8b  - the -ve signs are showing in this note - do they need removed</t>
  </si>
  <si>
    <t>Notes 2-9 I522 impact of -ve sign in linked cell</t>
  </si>
  <si>
    <t>Notes 2-9 I526 does the -ve sign need to change</t>
  </si>
  <si>
    <t>Notes 25-end K240 remove the -ve sign</t>
  </si>
  <si>
    <t>Notes 25-end K238  does it need -ve sign</t>
  </si>
  <si>
    <t>Helen Lyons</t>
  </si>
  <si>
    <t>Belfast City Council</t>
  </si>
  <si>
    <t>Group account……</t>
  </si>
  <si>
    <t>Add in Network assets</t>
  </si>
  <si>
    <t>Add in restatement note</t>
  </si>
  <si>
    <t>RSG tabs - remove the purple row stating column A, B,C,D etc - no longer required</t>
  </si>
  <si>
    <t>Department for Communities</t>
  </si>
  <si>
    <t>Lynne McCann</t>
  </si>
  <si>
    <t>Narrative report - include additional blank lines to ensure that practitioners are aware of the need to enhance narrative report disclosures</t>
  </si>
  <si>
    <t>Laura Murphy</t>
  </si>
  <si>
    <t>NIAO</t>
  </si>
  <si>
    <t>General power of competence</t>
  </si>
  <si>
    <t>Prior to Local Government Reform on 1st April 2015, expenditure for special purposes was limited under Section 40 of the Local Government Finance Act (Northern Ireland) 2011.  This section was repealed by Schedule 10 of the Local Government Act (Northern Ireland) 2014.</t>
  </si>
  <si>
    <t xml:space="preserve">Under Section 79 of the Local Government Act (Northern Ireland) 2014, the Council has the power to do anything that individuals generally may do.  Councils have the power to do this with or without charge.  The power of competence is not limited to benefitting the area or its residents nor is it limited by existing powers. </t>
  </si>
  <si>
    <t>Updated Note 4 with disclosure made in 2015/16 pro-forma regarding general power of competence</t>
  </si>
  <si>
    <t>Note 4 - needs to be updated to refer to general power of competence</t>
  </si>
  <si>
    <t>1. The cell formula reference for cell D15 in “RSG CYR”. I think the formula is not lifting the correct cell reference from “Notes 2-9”. This may be the same error that was discovered in June last year just before the pro-formas were due to be returned.</t>
  </si>
  <si>
    <t>1.       Could we check with CIPFA that the depreciation net expenditure total should always be a negative figure and if so could we ensure that a negative figure is always entered in the pro-forma (by formula or additional note on pro-forma).</t>
  </si>
  <si>
    <t>6. There are some references to the Department of Environment and the Department of Finance and Personnel that need to be updated.</t>
  </si>
  <si>
    <t xml:space="preserve">7. Some lines need pulled out more to allow access to all the wording. </t>
  </si>
  <si>
    <t>2.2.2017</t>
  </si>
  <si>
    <r>
      <t xml:space="preserve">Where a Council has a subsidiary, Practitioners should consider the notes detailed in Group Account notes for inclusion within the Group Accounts. These notes may be amended at </t>
    </r>
    <r>
      <rPr>
        <b/>
        <sz val="12"/>
        <color rgb="FFFF0000"/>
        <rFont val="Calibri"/>
        <family val="2"/>
      </rPr>
      <t>Non TB - Group Acc notes</t>
    </r>
  </si>
  <si>
    <t>This new Pro forma template is designed to avoid the duplication of data entry by including input sheets which populate the Primary Statements and Notes to the Financial Statements.</t>
  </si>
  <si>
    <t>Where an account area can be made Council specific e.g. Provisions, Inventory</t>
  </si>
  <si>
    <r>
      <rPr>
        <b/>
        <sz val="12"/>
        <rFont val="Calibri"/>
        <family val="2"/>
      </rPr>
      <t>D8 &amp; D10</t>
    </r>
    <r>
      <rPr>
        <sz val="12"/>
        <rFont val="Calibri"/>
        <family val="2"/>
      </rPr>
      <t xml:space="preserve"> to the names of Subsidiaries</t>
    </r>
  </si>
  <si>
    <t>Use for additional council disclosure [if required]</t>
  </si>
  <si>
    <t>The total amount paid to Councillors by way of allowances, under Part 3 of the Local Government Finance Act (Northern Ireland) 2011 and the Local Government (Payments to Councillors) Regulations (Northern Ireland) 2012 was:</t>
  </si>
  <si>
    <t>Number of Councillors receiving the Allowance</t>
  </si>
  <si>
    <t>Public Transport and Other Travel Incidentals</t>
  </si>
  <si>
    <t>Table 1: Total Allowances paid to councillors (audited information)</t>
  </si>
  <si>
    <t>Table 3: Relationship between the remuneration of the highest paid member of the Executive Management Team/Senior Management Team and the median remuneration of the Councils workforce (audited information)</t>
  </si>
  <si>
    <r>
      <rPr>
        <b/>
        <sz val="10"/>
        <rFont val="Century Gothic"/>
        <family val="2"/>
      </rPr>
      <t>Benefits in Kind</t>
    </r>
    <r>
      <rPr>
        <sz val="10"/>
        <rFont val="Century Gothic"/>
        <family val="2"/>
      </rPr>
      <t xml:space="preserve">
The monetary value of benefits in kind covers any benefits provided by the employer and treated by HM Revenue and Customs as a taxable emolument.</t>
    </r>
  </si>
  <si>
    <t>STPVL</t>
  </si>
  <si>
    <t>STPVO1</t>
  </si>
  <si>
    <t>STPVO2</t>
  </si>
  <si>
    <t>STPVO3</t>
  </si>
  <si>
    <t>Short Term Provisions</t>
  </si>
  <si>
    <t>Total Non Current Provisions</t>
  </si>
  <si>
    <t>Other Useable Reserves</t>
  </si>
  <si>
    <t>Other Useable reserves</t>
  </si>
  <si>
    <t>AOUR</t>
  </si>
  <si>
    <t>Group</t>
  </si>
  <si>
    <t>GROUP</t>
  </si>
  <si>
    <t xml:space="preserve">Group </t>
  </si>
  <si>
    <t>COUNCIL</t>
  </si>
  <si>
    <t>Direct Revenue Financing of Capital Expenditure</t>
  </si>
  <si>
    <t>Hertiage Assets</t>
  </si>
  <si>
    <t>Adjustment to surplus or deficit on the provision of services for non cash movements</t>
  </si>
  <si>
    <t>Minus changed to a plus in formula</t>
  </si>
  <si>
    <t xml:space="preserve">Formula corrected to ‘=SUM(F175:F185)-SUM(F186:F196). </t>
  </si>
  <si>
    <t xml:space="preserve">Short term provisions now added to Input BS tab. </t>
  </si>
  <si>
    <t>Formula corrected in provisions to ensure that in year utilization is subtracted.</t>
  </si>
  <si>
    <t>Colour of cells in row 225 in Input CIES tab changed to pink.</t>
  </si>
  <si>
    <t>Colour of cells in row 226 in Input CIES tab changed to pink.</t>
  </si>
  <si>
    <t>Colour of cells in row 228 in Input CIES tab changed to pink.</t>
  </si>
  <si>
    <t>Colour of cells in row 227 in Input CIES tab changed to pink.</t>
  </si>
  <si>
    <t>Cell now highlighted purple to illustrate that it is pulled from Non TB</t>
  </si>
  <si>
    <t>Typos amended.</t>
  </si>
  <si>
    <t>Reference now made to column T</t>
  </si>
  <si>
    <t>Reference now made to column H</t>
  </si>
  <si>
    <t>Note numbering amended</t>
  </si>
  <si>
    <t>Formulas amended</t>
  </si>
  <si>
    <t>Formula amended</t>
  </si>
  <si>
    <t>Formula amended - minus removed</t>
  </si>
  <si>
    <t>Removed</t>
  </si>
  <si>
    <t>Formula amended to included cell E465</t>
  </si>
  <si>
    <t>Purple row removed</t>
  </si>
  <si>
    <t>Additional lines included</t>
  </si>
  <si>
    <t>CIPFA response</t>
  </si>
  <si>
    <t>Additional Group disclosure</t>
  </si>
  <si>
    <t xml:space="preserve">As part of the terms and conditions of employment of its officers and other employees, the Group offers retirement benefits. Although these benefits will not actually be payable until employees retire, the Council has a commitment to make the payments that need to be disclosed at the time that employees earn their future entitlement. </t>
  </si>
  <si>
    <t>The Group participates in the Northern Ireland Local Government Officers' Pension Fund administered by the Northern Ireland Local Government Officers' Superannuation Committee. This is a funded scheme, meaning that the Group and employees pay contributions into a fund, calculated at a level intended to balance the pension’s liabilities with investment assets.</t>
  </si>
  <si>
    <t>The Group recognises the cost of retirement benefits in the Cost of Services on Continuing Operations when they are earned by employees, rather than when the benefits are eventually paid as pensions.</t>
  </si>
  <si>
    <t xml:space="preserve">However, the charge the Group is required to make against district rates is based on the cash payable in the year, and the real cost of retirement benefits is reversed out in the adjustments between accounting basis &amp; funding basis under regulations line, in the Movement on Reserves Statement. </t>
  </si>
  <si>
    <t>Groups to include a narrative description of the basis used to determine the overall expected rate of return on assets, including the effect of the major categories of plan assets. The expected return on scheme assets is determined by considering the expected returns available on the assets underlying the current investment policy. Expected yields on fixed interest investments are based on gross redemption yields as at the Balance Sheet date. Expected returns on equity investments reflect long-term real rates of return experienced in the respective markets.</t>
  </si>
  <si>
    <t>Details of estimates made by the Fund Manager when assessing the fair values of plan assets.</t>
  </si>
  <si>
    <t>The liabilities show the underlying commitments that the Group has in the long run to pay retirement benefits. The total liability of £x has a substantial impact on the net worth of the Group as recorded in the Balance Sheet, resulting in a net liability of £x.</t>
  </si>
  <si>
    <t>However, statutory arrangements for funding the deficit mean that the financial position of the Group remains healthy. The deficit on the Northern Ireland Local Government Officers' Pension Fund will be made good by increased contributions over the remaining working life of employees, assessed by the scheme actuary.</t>
  </si>
  <si>
    <t>Liabilities have been assessed on an actuarial basis using the projected unit method, an estimate of the pensions that will be payable in the future years dependent on assumptions about mortality rates, salary levels, etc. The Group's Fund liabilities have been assessed by Hymans Robertson LLP, an independent firm of actuaries, estimates for the Group Fund being based on data pertaining to the latest full valuation of the scheme as at 31 March 20XX</t>
  </si>
  <si>
    <t>G1</t>
  </si>
  <si>
    <t>G2</t>
  </si>
  <si>
    <t>G3</t>
  </si>
  <si>
    <t>G4</t>
  </si>
  <si>
    <t>G5</t>
  </si>
  <si>
    <t>The Revaluation Reserve contains the gains made by the Group arising from increases in the value of its Property, Plant and Equipment and Intangible Assets. The reserve is reduced when assets with accumulated gains are:</t>
  </si>
  <si>
    <t>Groups need to include a note if relevant or state not applicable.</t>
  </si>
  <si>
    <t xml:space="preserve">The Deferred Capital Receipts Account records capital advances receivable where an amount equal to the advance is included as a deferred capital receipt. These amounts are written down each year by the amount of capital debt repaid to the Group in that year. </t>
  </si>
  <si>
    <t>Producing Group accounts</t>
  </si>
  <si>
    <t>1. Input - CIES</t>
  </si>
  <si>
    <t>2. Input - BS</t>
  </si>
  <si>
    <t>3. Non TB</t>
  </si>
  <si>
    <t>Where a cell may be populated with a positive or negative number.</t>
  </si>
  <si>
    <t>Red</t>
  </si>
  <si>
    <t>G6</t>
  </si>
  <si>
    <t>G7</t>
  </si>
  <si>
    <t>Adjustment between an Accounting Basis and Funding Basis under Regulations:
Amounts included in the Comprehensive Income and Expenditure Statement but required by statute to be excluded when determining the Movement on the General Fund Balance for the year</t>
  </si>
  <si>
    <t>Employee Costs</t>
  </si>
  <si>
    <t>G8</t>
  </si>
  <si>
    <t>G9</t>
  </si>
  <si>
    <t>G10</t>
  </si>
  <si>
    <t>G11</t>
  </si>
  <si>
    <t>G12</t>
  </si>
  <si>
    <t>G13</t>
  </si>
  <si>
    <t>G14</t>
  </si>
  <si>
    <t>G15</t>
  </si>
  <si>
    <t>Group Financial Statements</t>
  </si>
  <si>
    <r>
      <rPr>
        <b/>
        <sz val="12"/>
        <color rgb="FFFF0000"/>
        <rFont val="Calibri"/>
        <family val="2"/>
      </rPr>
      <t>Unhide</t>
    </r>
    <r>
      <rPr>
        <sz val="12"/>
        <rFont val="Calibri"/>
        <family val="2"/>
      </rPr>
      <t xml:space="preserve"> the following tabs:
- GROUP Non TB - Group Acc notes
- GROUP Det Group CIES
- GROUP Det Group BS
- GROUP Prime
- GROUP Account notes
- GROUP Account Fixed Assets
- GROUP Account Notes Reserves</t>
    </r>
  </si>
  <si>
    <r>
      <rPr>
        <b/>
        <sz val="12"/>
        <color rgb="FFFF0000"/>
        <rFont val="Calibri"/>
        <family val="2"/>
      </rPr>
      <t>Input - BS tab</t>
    </r>
    <r>
      <rPr>
        <sz val="12"/>
        <rFont val="Calibri"/>
        <family val="2"/>
      </rPr>
      <t>: unhide columns M-O &amp; S-U</t>
    </r>
  </si>
  <si>
    <r>
      <rPr>
        <b/>
        <sz val="12"/>
        <color rgb="FFFF0000"/>
        <rFont val="Calibri"/>
        <family val="2"/>
      </rPr>
      <t>Input - CIES tab</t>
    </r>
    <r>
      <rPr>
        <sz val="12"/>
        <rFont val="Calibri"/>
        <family val="2"/>
      </rPr>
      <t>: unhide columns M-O &amp; S-U</t>
    </r>
  </si>
  <si>
    <t>Amendment made</t>
  </si>
  <si>
    <t>Not required</t>
  </si>
  <si>
    <t>All tabs of the pro forma have been searched - there are no references to DOE or DFP</t>
  </si>
  <si>
    <t>Lines pulled out to match current narrative.</t>
  </si>
  <si>
    <t xml:space="preserve">Amounts received for a disposal are categorised as capital receipts and credited to the Capital Receipts Reserve. Receipts are appropriated to the Reserve from the General Fund Balance in the Movement in Reserves Statement.  </t>
  </si>
  <si>
    <t xml:space="preserve">Heritage Assets are assets with historical, artistic, scientific, technological, geophysical or environmental qualities that are held and maintained principally for their contribution to knowledge and culture.
</t>
  </si>
  <si>
    <t xml:space="preserve">Employees can opt to open a partnership pension account, a stakeholder pension with an employer contribution. Employer’s contributions of £xx,xxx  were paid to one or more of a panel of three appointed stakeholder pension providers. Employer contributions are age related and range from xx% to xx% of pensionable pay. Employers also match employee contributions up to xx% of pensionable pay. In addition, employer contributions of £xx: xx% of pensionable pay, were payable to the PCSPS(NI) to cover the cost of the future provision of lump sum benefits on death in service and ill health retirement of these employees. </t>
  </si>
  <si>
    <t xml:space="preserve">Contributions due to the partnership pension providers at the reporting period to date were £xx. Contributions prepaid at that date were £xx. </t>
  </si>
  <si>
    <t>Ceramics, Porcelain Work and Figurines</t>
  </si>
  <si>
    <t>The ceramics, porcelain work and figurines collection also has particularly significant items in terms of both value and note, including an excellent example of a bone china tea service from the Kilnshire Pottery valued at £x. Lord Grace’s dinner service depicting the expedition up the Nile has been valued at £x. The collection also includes a set of porcelain figurines produced by the Mount Anna factory. This is thought to be one of the earliest examples of the figurines and would mean the collection would be valued at £x. However, expert opinion is divided on the authenticity of the provenance documentation and therefore the figurines are valued on the basis of other similar (but later) assets at £x.</t>
  </si>
  <si>
    <t xml:space="preserve">Prepared by:                                                                                                                                      </t>
  </si>
  <si>
    <t xml:space="preserve">Signature:                                                                                                                                                                                         </t>
  </si>
  <si>
    <t xml:space="preserve">Signature:                                                                                                         </t>
  </si>
  <si>
    <t xml:space="preserve">Signature:                                                                                                                                                                                                           </t>
  </si>
  <si>
    <t xml:space="preserve">Signature:                                                                                                                                       </t>
  </si>
  <si>
    <t>Central Stores</t>
  </si>
  <si>
    <t>The cost of inventories written down, recognised as an expense and included in ‘services’ amounted to £xxx.</t>
  </si>
  <si>
    <t>This amount includes £xxx,xxx of third party income.</t>
  </si>
  <si>
    <t>19a</t>
  </si>
  <si>
    <t>Bonus Payments
£'000</t>
  </si>
  <si>
    <t>Total
£'000</t>
  </si>
  <si>
    <t>Real increase in CETV
£'000</t>
  </si>
  <si>
    <t>(Surplus)/Deficit on the Provision of Services</t>
  </si>
  <si>
    <t>Liability gains/(losses) due to due to demographic changes</t>
  </si>
  <si>
    <t>Measuring the quality of services for users through the Citizen Satisfaction Survey, for ensuring they are delivered in accordance with Council’s objectives and for ensuring that they represent the best use of resources.</t>
  </si>
  <si>
    <t>Defining and documenting the roles and responsibilities of the executive, non-executive, scrutiny and officer functions, with clear delegation arrangements and protocols for effective communication.</t>
  </si>
  <si>
    <t>Developing, communicating and embedding codes of conduct, defining the standards of behaviour for members and staff.</t>
  </si>
  <si>
    <t>The Audit Committee / Overview and Scrutiny Committees / Risk Management Committee</t>
  </si>
  <si>
    <t>Other explicit review/assurance mechanisms</t>
  </si>
  <si>
    <t>Chair</t>
  </si>
  <si>
    <t>Salary (Full year equivalent in brackets where applicable)
£'000</t>
  </si>
  <si>
    <t>Benefits in kind (to nearest £100)
£'000</t>
  </si>
  <si>
    <t>Benefits in kind (to nearest £100)
£'000</t>
  </si>
  <si>
    <t>Joint Arrangements</t>
  </si>
  <si>
    <t>Note 1: Accounting Policies</t>
  </si>
  <si>
    <t>The Local Government (Accounts and Audit) Regulations (Northern Ireland) 2015 require larger local government bodies to prepare a remuneration report as part of the statement of accounts.</t>
  </si>
  <si>
    <r>
      <rPr>
        <b/>
        <sz val="10"/>
        <rFont val="Century Gothic"/>
        <family val="2"/>
      </rPr>
      <t>Salary</t>
    </r>
    <r>
      <rPr>
        <sz val="10"/>
        <rFont val="Century Gothic"/>
        <family val="2"/>
      </rPr>
      <t xml:space="preserve">
“Salary” includes gross salary, overtime, and any gratia payments.</t>
    </r>
  </si>
  <si>
    <t>Rentals paid under operating leases are charged to the Comprehensive Income and Expenditure Statement as an expense of the services benefiting from use of the leased property, plant or equipment.  Charges are made on a straight-line basis over the life of the lease, even if this does not match the pattern of payments (e.g. there is a rent-free period at the commencement of the lease).</t>
  </si>
  <si>
    <t>Adjustments between an Accounting Basis and Funding Basis under Regulations</t>
  </si>
  <si>
    <t>Events after the Reporting Period</t>
  </si>
  <si>
    <t>Date of authorisation for issue</t>
  </si>
  <si>
    <t>Under Regulation 8 of the Local Government (Accounts and Audit) Regulations (Northern Ireland) 2015, the Chief Financial Officer is responsible for the preparation of the Council’s Statement of Accounts in the form directed by the Department for Communities.</t>
  </si>
  <si>
    <t>Net adjustment to General Fund</t>
  </si>
  <si>
    <t>The purpose of this account is to build up a balance based on the revaluation (upwards or downwards) of individual assets.  All such revaluations (excluding impairment losses that have been debited to Surplus/(Deficit) on the Provision of Services are mirrored in Other Comprehensive Income and Expenditure.  It is a fundamental principle of this account that it never becomes negative.  If an asset was held at current value when derecognised, the balance held on the Revaluation Reserve is written off to the Capital Adjustment Account.</t>
  </si>
  <si>
    <t xml:space="preserve">As a result of Local Government Reform on 1 April 2015, staff that transferred from Central Government to the Council retained membership of the Northern Ireland Civil Service (NICS) Pension Scheme. The schemes provides defined benefits to members (retirement lump sums and pensions). However, the arrangements for the NICS Pension Scheme mean that liabilities for these benefits cannot ordinarily be identified specifically to the Council. The scheme is therefore accounted for as if it were a defined contribution scheme and no liability for future payments of benefits is recognised in the Balance Sheet.  </t>
  </si>
  <si>
    <t xml:space="preserve">The Council has an ongoing programme of capital works and the estimated cost of the schemes is as follows: </t>
  </si>
  <si>
    <t>The Council holds monies on deposit at xx% for xx month.  These amounts are included within Cash and Cash Equivalents.</t>
  </si>
  <si>
    <t>CIES Line 8</t>
  </si>
  <si>
    <t>CIES Line 9</t>
  </si>
  <si>
    <t>CIES Line 10</t>
  </si>
  <si>
    <t>CIES Line 11</t>
  </si>
  <si>
    <t>CIES Line 12</t>
  </si>
  <si>
    <t>CIES Line 13</t>
  </si>
  <si>
    <t>CIES Line 14</t>
  </si>
  <si>
    <t>CIES Line 15</t>
  </si>
  <si>
    <t>CIES Line 16</t>
  </si>
  <si>
    <t>CIES Line 17</t>
  </si>
  <si>
    <t>CIES Line 18</t>
  </si>
  <si>
    <t>CIES Line 19</t>
  </si>
  <si>
    <t>CIES Line 20</t>
  </si>
  <si>
    <t>INPUT SHEET - EXPENDITURE AND FUNDING ANALYSIS (EFA)</t>
  </si>
  <si>
    <t>Note to the EFA</t>
  </si>
  <si>
    <t>Adjustment for Capital Purposes</t>
  </si>
  <si>
    <t>Net change for the Pensions Adjustments</t>
  </si>
  <si>
    <t>Other Statutory Adjustments</t>
  </si>
  <si>
    <t>Other Differences</t>
  </si>
  <si>
    <t>Other Income and Expenditure from the EFA</t>
  </si>
  <si>
    <t>Adjustment between funding and Accounting Basis</t>
  </si>
  <si>
    <t>Segmental Income and Expenditure</t>
  </si>
  <si>
    <t>Revenue from External Customers</t>
  </si>
  <si>
    <t>Revenues from Transactions with Other Operating Segments of the Authority</t>
  </si>
  <si>
    <t>Interest Revenue</t>
  </si>
  <si>
    <t>Interest Expense</t>
  </si>
  <si>
    <t>Depreciation and Amortisation</t>
  </si>
  <si>
    <t>Material items of Income and Expense</t>
  </si>
  <si>
    <t>Interest in the Profit or Loss of Associates and Joint Ventures Accounted for by the Equity Method</t>
  </si>
  <si>
    <t>Income Tax Expense or Income</t>
  </si>
  <si>
    <t>Material Non-cash items other than Depreciation and Amortisation</t>
  </si>
  <si>
    <t>Expenditure and Funding Analysis</t>
  </si>
  <si>
    <t>2c</t>
  </si>
  <si>
    <t>Net Expenditure Chargable to the General Fund</t>
  </si>
  <si>
    <t>Net Expenditure in the Comprehensive Income and Expenditure Statement</t>
  </si>
  <si>
    <t>Expenditure and Funding Analysis - Summary</t>
  </si>
  <si>
    <t>Adjustments between the Funding and Accounting Basis</t>
  </si>
  <si>
    <t>Other Income and Expenditure</t>
  </si>
  <si>
    <t>Surplus or Deficit</t>
  </si>
  <si>
    <t>Opening General Fund</t>
  </si>
  <si>
    <t>Closing General Fund</t>
  </si>
  <si>
    <t>Note to the Expenditure and Funding Analysis</t>
  </si>
  <si>
    <t>This note provides a reconciliation of the main adjustments to Net Expenditure Chargeable to the General Fund to arrive at the amounts in the Comprehensive Income and  Expenditure Statement. The relevant transfers between reserves are explained in the Movement in Reserves Statement</t>
  </si>
  <si>
    <t>Adjustments from General Fund to arrive at the Comprehensive Income and Expenditure Statement Amounts</t>
  </si>
  <si>
    <t>Adjustments for Capital Purposes</t>
  </si>
  <si>
    <t>Net Change for the Pension Adjustments</t>
  </si>
  <si>
    <t>Other Income and Expenditure from the Expenditure and Funding Analysis</t>
  </si>
  <si>
    <t>Difference between General Fund surplus or deficit and Comprehensive Income and Expenditure Statement Surplus or Deficit on the Provision of Services</t>
  </si>
  <si>
    <t>Total Income Analysed on a segmental basis</t>
  </si>
  <si>
    <t>Material Items of Income and Expense</t>
  </si>
  <si>
    <t>Income and expenditure on a segmental basis are analysed below:</t>
  </si>
  <si>
    <t>Council own narrative</t>
  </si>
  <si>
    <t>9d</t>
  </si>
  <si>
    <t>10d</t>
  </si>
  <si>
    <t>10e</t>
  </si>
  <si>
    <t>17a</t>
  </si>
  <si>
    <t>17b</t>
  </si>
  <si>
    <t>25a</t>
  </si>
  <si>
    <t>25b</t>
  </si>
  <si>
    <t>25c</t>
  </si>
  <si>
    <t>25d</t>
  </si>
  <si>
    <t>25e</t>
  </si>
  <si>
    <t>26a</t>
  </si>
  <si>
    <t>26b</t>
  </si>
  <si>
    <t>26c</t>
  </si>
  <si>
    <t>26d</t>
  </si>
  <si>
    <t>26e</t>
  </si>
  <si>
    <t>26f</t>
  </si>
  <si>
    <t>26g</t>
  </si>
  <si>
    <t>Note 2: Expenditure and Funding Analysis</t>
  </si>
  <si>
    <t>Change page numbers manually</t>
  </si>
  <si>
    <t xml:space="preserve">The Group Accounting Policies are the same as the Local Authority Accounting Policies, as such, these are not repeated. </t>
  </si>
  <si>
    <t>Events after the Balance Sheet Date</t>
  </si>
  <si>
    <t xml:space="preserve">Capital Receipts  </t>
  </si>
  <si>
    <t>Provision 2</t>
  </si>
  <si>
    <r>
      <rPr>
        <b/>
        <sz val="12"/>
        <rFont val="Calibri"/>
        <family val="2"/>
      </rPr>
      <t>D92</t>
    </r>
    <r>
      <rPr>
        <sz val="12"/>
        <rFont val="Calibri"/>
        <family val="2"/>
      </rPr>
      <t>: Department for Communities Circular Issue Date</t>
    </r>
  </si>
  <si>
    <r>
      <rPr>
        <b/>
        <sz val="12"/>
        <rFont val="Calibri"/>
        <family val="2"/>
      </rPr>
      <t>D94</t>
    </r>
    <r>
      <rPr>
        <sz val="12"/>
        <rFont val="Calibri"/>
        <family val="2"/>
      </rPr>
      <t>: Department for Communities Circular Reference</t>
    </r>
  </si>
  <si>
    <r>
      <rPr>
        <b/>
        <sz val="12"/>
        <rFont val="Calibri"/>
        <family val="2"/>
      </rPr>
      <t>D96</t>
    </r>
    <r>
      <rPr>
        <sz val="12"/>
        <rFont val="Calibri"/>
        <family val="2"/>
      </rPr>
      <t xml:space="preserve">: Accounts approval date </t>
    </r>
  </si>
  <si>
    <r>
      <t xml:space="preserve">This worksheet details the Primary Statements and Notes to the Financial Statements, 
</t>
    </r>
    <r>
      <rPr>
        <b/>
        <sz val="12"/>
        <rFont val="Calibri"/>
        <family val="2"/>
      </rPr>
      <t xml:space="preserve">Action: </t>
    </r>
    <r>
      <rPr>
        <sz val="12"/>
        <rFont val="Calibri"/>
        <family val="2"/>
      </rPr>
      <t>Practitioners are required to insert the note reference in sequential order where the note to the Financial Statements is relevant to the Council.
This will populate the note numbers throughout the financial statements.</t>
    </r>
  </si>
  <si>
    <t>The Expenditure and Funding Analysis will be populated from data from the CIES and Note 2.</t>
  </si>
  <si>
    <t>As such, the service lines included in the CIES will differ for councils.</t>
  </si>
  <si>
    <t>The Input - CIES tab gives practitioners the opportunity to include all relevant service lines in cells E7 - E26. These service lines will automatically flow to the other parts of the Input - CIES tab, Input - EFA tab, Det CIES tab, Prime tab, EFA and associated notes.</t>
  </si>
  <si>
    <t>Practitioners should complete column J with the trial balance version 1 information, this will populate column O which will feed CIES and associated notes.</t>
  </si>
  <si>
    <t>Practitioners should note that where amendments have been made to the trial balance, adjustments should be made in column K. Adjustments will flow through to column O which will feed CIES and associated notes.</t>
  </si>
  <si>
    <t>Practitioners should complete column J with the trial balance version 1 information, this will populate column O which will feed Balance Sheet and associated notes.</t>
  </si>
  <si>
    <t>Practitioners should note that where amendments have been made to the trial balance, adjustments should be made in column W. Adjustments will flow through to column X which will feed Balance Sheet and associated notes.</t>
  </si>
  <si>
    <t>Input - EFA</t>
  </si>
  <si>
    <t>This worksheet will populate the Expenditure and Funding Analysis notes</t>
  </si>
  <si>
    <t>The income and expenditure lines will be imported from the Input - CIES tab however some of the figures to populate the notes will be required in this tab.  
A summary of the totals from each service line will be exported to the EFA.</t>
  </si>
  <si>
    <t xml:space="preserve">Note 2b - Notes to the Expenditure and Funding Analysis
This is required by </t>
  </si>
  <si>
    <t>This will be populated from CIES and Note 2b</t>
  </si>
  <si>
    <t>(ii) the amounts for each of the line items above for the period that adjust column I to arrive at column iii. That is, adjustments which add expenditure or income not chargeable to rates or tents and remove transactions only chargeable under statutory provisions.</t>
  </si>
  <si>
    <t>(iii) the net expenditure</t>
  </si>
  <si>
    <t xml:space="preserve">The EFA also shows the movement for the period of the General Fund. </t>
  </si>
  <si>
    <t>7c</t>
  </si>
  <si>
    <t>To populate this note, practitioners will be required to insert figures relating to items specified in the Code of Practice.</t>
  </si>
  <si>
    <t>Before inserting figures against the required items in the Notes to the Expenditure and Funding Analysis, a description of the items required can be found below;</t>
  </si>
  <si>
    <r>
      <rPr>
        <b/>
        <sz val="12"/>
        <rFont val="Calibri"/>
        <family val="2"/>
      </rPr>
      <t>Other operating expenditure</t>
    </r>
    <r>
      <rPr>
        <sz val="12"/>
        <rFont val="Calibri"/>
        <family val="2"/>
      </rPr>
      <t xml:space="preserve"> - adjusts for capital disposal of assets and the amounts written off for those assets.</t>
    </r>
  </si>
  <si>
    <r>
      <rPr>
        <b/>
        <sz val="12"/>
        <rFont val="Calibri"/>
        <family val="2"/>
      </rPr>
      <t>Net Change for the Pensions Adjustments</t>
    </r>
    <r>
      <rPr>
        <sz val="12"/>
        <rFont val="Calibri"/>
        <family val="2"/>
      </rPr>
      <t xml:space="preserve"> - Net change for the removal of pension contributions and the addition of IAS 19 employee benefits pension related expenditure and income</t>
    </r>
  </si>
  <si>
    <r>
      <rPr>
        <b/>
        <sz val="12"/>
        <rFont val="Calibri"/>
        <family val="2"/>
      </rPr>
      <t>For service</t>
    </r>
    <r>
      <rPr>
        <sz val="12"/>
        <rFont val="Calibri"/>
        <family val="2"/>
      </rPr>
      <t>s this represents the removal of the employer pension contributions made by the authority as allowed by statute and the replacement with current service costs and past service costs.</t>
    </r>
  </si>
  <si>
    <r>
      <rPr>
        <b/>
        <sz val="12"/>
        <rFont val="Calibri"/>
        <family val="2"/>
      </rPr>
      <t>For Financing and investment income and expenditure</t>
    </r>
    <r>
      <rPr>
        <sz val="12"/>
        <rFont val="Calibri"/>
        <family val="2"/>
      </rPr>
      <t xml:space="preserve"> - the net interest on the defined benefit liability is charged to the CIES.</t>
    </r>
  </si>
  <si>
    <r>
      <rPr>
        <b/>
        <sz val="12"/>
        <rFont val="Calibri"/>
        <family val="2"/>
      </rPr>
      <t xml:space="preserve">Other differences </t>
    </r>
    <r>
      <rPr>
        <sz val="12"/>
        <rFont val="Calibri"/>
        <family val="2"/>
      </rPr>
      <t>- other differences between amounts debited/credited to the CIES and amounts payable/receivable to be recognised under statute.</t>
    </r>
  </si>
  <si>
    <r>
      <rPr>
        <b/>
        <sz val="12"/>
        <rFont val="Calibri"/>
        <family val="2"/>
      </rPr>
      <t>For Financing and Investment Income and Expenditure</t>
    </r>
    <r>
      <rPr>
        <sz val="12"/>
        <rFont val="Calibri"/>
        <family val="2"/>
      </rPr>
      <t xml:space="preserve"> the other differences column recognises adjustments to the General Fund for the timing differences for premiums and discounts.</t>
    </r>
  </si>
  <si>
    <t>Note 2c - Segmental Income</t>
  </si>
  <si>
    <t xml:space="preserve">The income and expenditure lines will be imported from the Input - CIES tab but the relevant figures can be entered in the Input - EFA tab.  </t>
  </si>
  <si>
    <t>Columns not deemed relevant or containing non-material items can be hidden.</t>
  </si>
  <si>
    <t>PLEASE NOTE:
 The Expenditure and Funding Analysis will be made up of three columns which will present;
(i) for income and expenditure chargeable to the General Fund, the line items that present the following;
- net expenditure chargeable under statutory funding provisions, analysed by segment.
- other income and expenditure not charged to services and chargeable to the General Fund
- surplus or deficit for the general fund.</t>
  </si>
  <si>
    <r>
      <rPr>
        <b/>
        <sz val="12"/>
        <rFont val="Calibri"/>
        <family val="2"/>
      </rPr>
      <t>Adjustment for capital purposes</t>
    </r>
    <r>
      <rPr>
        <sz val="12"/>
        <rFont val="Calibri"/>
        <family val="2"/>
      </rPr>
      <t xml:space="preserve"> - this column adds in depreciation and impairment and revaluation gains and losses in the services line, and for:</t>
    </r>
  </si>
  <si>
    <r>
      <rPr>
        <b/>
        <sz val="12"/>
        <rFont val="Calibri"/>
        <family val="2"/>
      </rPr>
      <t>Financing and investment income and expenditure</t>
    </r>
    <r>
      <rPr>
        <sz val="12"/>
        <rFont val="Calibri"/>
        <family val="2"/>
      </rPr>
      <t xml:space="preserve"> - the statutory charges for capital Financing i.e. Minimum Revenue Provision and other revenue contributions are deducted from the other income and expenditure as these are not chargeable under generally accepted accounting practices.</t>
    </r>
  </si>
  <si>
    <r>
      <rPr>
        <b/>
        <sz val="12"/>
        <rFont val="Calibri"/>
        <family val="2"/>
      </rPr>
      <t>Taxation and non-specific grant income and expenditure</t>
    </r>
    <r>
      <rPr>
        <sz val="12"/>
        <rFont val="Calibri"/>
        <family val="2"/>
      </rPr>
      <t xml:space="preserve"> - capital grants are adjusted for income not chargeable under generally accepted accounting practices. Revenue grants are adjusted from those receivable in the year to those receivable without conditions or for which conditions were satisfied throughout.</t>
    </r>
  </si>
  <si>
    <r>
      <t xml:space="preserve">The charge under </t>
    </r>
    <r>
      <rPr>
        <b/>
        <sz val="12"/>
        <rFont val="Calibri"/>
        <family val="2"/>
      </rPr>
      <t>Taxation and non-specific grant income and expenditure</t>
    </r>
    <r>
      <rPr>
        <sz val="12"/>
        <rFont val="Calibri"/>
        <family val="2"/>
      </rPr>
      <t xml:space="preserve"> represents the difference between what is chargeable under statutory regulations for council tax that was projected to be received at the start of the year and the income recognised under generally accepted accounting practices in the Code.</t>
    </r>
  </si>
  <si>
    <t>Only relevant to Councils with subsidiaries</t>
  </si>
  <si>
    <t>Before inputting data related to your subsidiaries, you will need to unhide some aspects of the pro forma.</t>
  </si>
  <si>
    <r>
      <rPr>
        <b/>
        <u/>
        <sz val="14"/>
        <color rgb="FF7030A0"/>
        <rFont val="Calibri"/>
        <family val="2"/>
      </rPr>
      <t xml:space="preserve">Note 2a - Expenditure and Funding Analysis </t>
    </r>
    <r>
      <rPr>
        <b/>
        <sz val="14"/>
        <color rgb="FF7030A0"/>
        <rFont val="Calibri"/>
        <family val="2"/>
      </rPr>
      <t xml:space="preserve">
</t>
    </r>
  </si>
  <si>
    <t>Practitioners are asked to review and consider the appropriateness of the disclosures included in:
Non TB - Note 1 tab
Non TB - Note 2 tab
Non TB - Note 3 - 9 tab
Non TB - Note 10 tab
Non TB - Note 11- 23 tab
Non TB - Note 24 to end tab</t>
  </si>
  <si>
    <t>Staff Costs: FTE Average Number of Employees</t>
  </si>
  <si>
    <t>Additional disclosure</t>
  </si>
  <si>
    <t>CIES Line 21</t>
  </si>
  <si>
    <t>CIES Line 22</t>
  </si>
  <si>
    <t>CIES Line 23</t>
  </si>
  <si>
    <t>CIES Line 24</t>
  </si>
  <si>
    <t>CIES Line 25</t>
  </si>
  <si>
    <t>CIES Line 26</t>
  </si>
  <si>
    <t>CIES Line 27</t>
  </si>
  <si>
    <t>CIES Line 28</t>
  </si>
  <si>
    <t>CIES Line 29</t>
  </si>
  <si>
    <t>CIES Line 30</t>
  </si>
  <si>
    <t>CIES Line 31</t>
  </si>
  <si>
    <t>CIES Line 32</t>
  </si>
  <si>
    <t>CIES Line 33</t>
  </si>
  <si>
    <t>CIES Line 34</t>
  </si>
  <si>
    <t>CIES Line 35</t>
  </si>
  <si>
    <t>9e</t>
  </si>
  <si>
    <t>Revenue Grants - Unapplied</t>
  </si>
  <si>
    <t>Disclosure</t>
  </si>
  <si>
    <t>These Revenue Grants appear in the Planning and Development Service line of the Comprehensive Income and Expenditure Statement rather than Taxation and Non-Specific Grant Income line. Hence they are not included in the total at the bottom of Note 9.</t>
  </si>
  <si>
    <t>Adminstration Costs</t>
  </si>
  <si>
    <t>Distribution of Funds</t>
  </si>
  <si>
    <t>Revaluation Reserve Movement</t>
  </si>
  <si>
    <t xml:space="preserve">I certify that the above pro-forma has been completed accurately, is a true and fair view of the expenditure during the 2017 /18 financial year and provides an accurate split of expenditure by key service.                                                                                                                                    </t>
  </si>
  <si>
    <t xml:space="preserve">I certify that the above pro-forma has been completed accurately, is a true and fair view of the expenditure during the 2016 /17 financial year, following the completion of the audit and provides an accurate split of expenditure by key service.                                                                                                                                    </t>
  </si>
  <si>
    <t>The purpose of the Narrative Report is to provide information on the authority, its main objectives and strategies and the principal risks it faces.</t>
  </si>
  <si>
    <t>Provide commentary as to how the authority (including Group Accounts) have used its resources to achieve its desired outcomes in line with its objectives and strategies.</t>
  </si>
  <si>
    <t>The Narrative Report text provided here is intended as a suggestion of topics and format for use by local authorities.  It will need editing and adaptation to suit the needs of the completing authority.</t>
  </si>
  <si>
    <t>The purpose of the foreword Narrative Report is to offer interested parties an easily understandable effective guide to the most significant matters reported in the accounts. The Narrative Report should be fair, balanced and understandable for the users of the financial statements.</t>
  </si>
  <si>
    <t>The structure and presentation of the Narrative Report should be determined by the authority
in order to best meet the needs of the users and reflect the individual characteristics of the
authority and the reporting period under review. The Narrative Report should focus on those
elements that are material to an understanding of the financial position and performance
of the authority. In developing the Narrative Report consideration should be given to the
following elements:</t>
  </si>
  <si>
    <t>- Organisation overview and external environment
'- Governance
'- Organisational model
'- Risk and opportunities
'- Strategy and resource allocation
'- Performance
'-Outlook, and
'- Basis of preparation</t>
  </si>
  <si>
    <t xml:space="preserve">This statement, as set out on page X, shows the accounting cost in the year of providing services in accordance with generally accepted accounting practices, rather than the amount to be funded from taxation. Authorities raise taxation to cover expenditure in accordance with regulations; this may be different from the accounting cost. The taxation position is shown in the Movement in Reserves Statement. </t>
  </si>
  <si>
    <t>The Cash Flow Statement shows the changes in cash and cash equivalents of [the Authority] during the reporting period. The statement shows how [the Authority] generates and uses cash and cash equivalents by classifying cash flows as operating, investing and financing activities. The amount of net cash flows arising from operating activities is a key indicator of the extent to which the operations of [the Authority] are funded by way of taxation and grant income or from the recipients of services provided by [the Authority]. Investing activities represent the extent to which cash outflows have been made for resources which are intended to contribute to [the Authority]’s future service delivery. Cash flows arising from financing activities are useful in predicting claims on future cash flows by providers of capital (i.e. borrowing) to the Council.</t>
  </si>
  <si>
    <t>Performance Report</t>
  </si>
  <si>
    <r>
      <t xml:space="preserve">Here, the authority should meet the requirements set out in sections 3.1.1.12 of the Code of Practice.  Template text is not possible as the structure of the report and its contents will vary significantly from one authority to another.
</t>
    </r>
    <r>
      <rPr>
        <b/>
        <sz val="10"/>
        <color theme="8"/>
        <rFont val="Century Gothic"/>
        <family val="2"/>
      </rPr>
      <t>The Narrative Report should provide an analysis of:</t>
    </r>
    <r>
      <rPr>
        <sz val="10"/>
        <rFont val="Century Gothic"/>
        <family val="2"/>
      </rPr>
      <t xml:space="preserve">
</t>
    </r>
    <r>
      <rPr>
        <i/>
        <sz val="10"/>
        <color theme="8"/>
        <rFont val="Century Gothic"/>
        <family val="2"/>
      </rPr>
      <t>a) the performance of the authority in that financial year and its position at the end of
the year to complement the financial statements, where relevant, providing additional
explanations, analysed in the context of the authority’s strategic/corporate reports for
that year; any segmental analysis should be consistent with the authority’s segmental
analysis provided in accordance with this section and section 3.4 of this Code, and
b) any key financial and non-financial performance indicators as relevant to the
performance of the authority that the local authority judges as central in assessing
progress against its strategic objectives, or monitoring its risks or otherwise used to
measure performance in the year.</t>
    </r>
  </si>
  <si>
    <t>Organisational overview and external environment</t>
  </si>
  <si>
    <t>Governance</t>
  </si>
  <si>
    <t>Risks and opportunities</t>
  </si>
  <si>
    <t>Strategy and resource allocation</t>
  </si>
  <si>
    <t>Outlook</t>
  </si>
  <si>
    <t>Basis of preparation</t>
  </si>
  <si>
    <t>The Narrative Report should contain sufficient information to understand the organisation of the authority and its services, its purpose and its key objectives. In order to put the authority’s objectives and purpose into context the Narrative Report should include information on the external environment in which it operates, particularly where there have been changes that impact upon the year under review.</t>
  </si>
  <si>
    <t>If there have been significant changes in, or issues around, governance arrangements during the year these should be highlighted in the Narrative Report. To avoid duplication this may be achieved by cross-reference to the Annual Governance Statement that accompanies the financial statements.</t>
  </si>
  <si>
    <t>Operational model</t>
  </si>
  <si>
    <t>The Narrative Report should include information on inputs, outputs, operational activities of the authority’s key services and outcomes and how the authority allocated and consumed resources during the year in order to achieve its objectives.</t>
  </si>
  <si>
    <t>The Narrative Report should include any significant future opportunities to develop services along with key risks and uncertainties in relation to future service provision (including financial risks) and risk mitigation measures.
Further details of the future outlook or risks and uncertainties should be included where there is a potential material impact on the authority’s operational model or performance (including the performance of its services).</t>
  </si>
  <si>
    <t>The Narrative Report should provide a description of the agreed medium and long term strategies of the authority, including its medium term financial strategy and plans to address any future resource shortfalls.</t>
  </si>
  <si>
    <t>The Narrative Report should contain sufficient information to allow the user to assess the future sustainability of the organisation and its impact on service provision including:</t>
  </si>
  <si>
    <t>a) cash flows during the year and the factors that may affect future cash flows</t>
  </si>
  <si>
    <t>The Narrative Report should allow the users to understand how materiality and the Group Accounts boundary decisions are made in relation to what is included in the financial statements of the authority and the impact on the financial statements.</t>
  </si>
  <si>
    <t>c) details of known future budget pressures or changes in resources and the authority’s plans for dealing with any shortfalls.</t>
  </si>
  <si>
    <t>b) information on an authority’s key commitments, commentary on significant matters covered in the budget report and any significant assets or liabilities earned or incurred,
and</t>
  </si>
  <si>
    <t>7d</t>
  </si>
  <si>
    <t>7e</t>
  </si>
  <si>
    <t>11a</t>
  </si>
  <si>
    <t>11b</t>
  </si>
  <si>
    <t>11c</t>
  </si>
  <si>
    <t>11d</t>
  </si>
  <si>
    <t>11e</t>
  </si>
  <si>
    <t>11f</t>
  </si>
  <si>
    <t>11g</t>
  </si>
  <si>
    <t>11h</t>
  </si>
  <si>
    <t>11i</t>
  </si>
  <si>
    <t>18a</t>
  </si>
  <si>
    <t>18b</t>
  </si>
  <si>
    <t>18c</t>
  </si>
  <si>
    <t>21a</t>
  </si>
  <si>
    <t>21b</t>
  </si>
  <si>
    <t>21c</t>
  </si>
  <si>
    <t>21d</t>
  </si>
  <si>
    <t>21e</t>
  </si>
  <si>
    <t>21f</t>
  </si>
  <si>
    <t>21g</t>
  </si>
  <si>
    <t>27a</t>
  </si>
  <si>
    <t>27b</t>
  </si>
  <si>
    <t>27c</t>
  </si>
  <si>
    <t>27d</t>
  </si>
  <si>
    <t>27e</t>
  </si>
  <si>
    <t>27f</t>
  </si>
  <si>
    <t>27g</t>
  </si>
  <si>
    <t>27h</t>
  </si>
  <si>
    <t>27i</t>
  </si>
  <si>
    <t>Expenditure and Income Analysed by Nature</t>
  </si>
  <si>
    <t>Employee Benefits Expenses</t>
  </si>
  <si>
    <t>Other Services Expenditure</t>
  </si>
  <si>
    <t>Support Service Recharges</t>
  </si>
  <si>
    <t>Depreciation, Amortisation, Impairment</t>
  </si>
  <si>
    <t>Interest Payments</t>
  </si>
  <si>
    <t>Gain on the Disposal of Assets</t>
  </si>
  <si>
    <t>Other Expenditure</t>
  </si>
  <si>
    <t>Support Service Income</t>
  </si>
  <si>
    <t>Other Income</t>
  </si>
  <si>
    <t>(Surplus) or Deficit on the Provision of Services</t>
  </si>
  <si>
    <t>12,23</t>
  </si>
  <si>
    <t>10C</t>
  </si>
  <si>
    <t>The governance framework comprises the systems and processes, and culture and values, by which the local government body is directed and controlled and its activities through which it accounts to, engages with and leads its communities.  It enables the authority to monitor the achievement of its strategic objectives and to consider whether those objectives have led to the delivery of appropriate, cost-effective services.</t>
  </si>
  <si>
    <t>Describe the key elements of the systems and processes that comprise the local authority's governance arrangements including arrangements for:</t>
  </si>
  <si>
    <t>Identifying and communicating [the authority's] vision of its purpose and intended outcomes for citizens and service users.</t>
  </si>
  <si>
    <t>(local government body comment)</t>
  </si>
  <si>
    <t>Reviewing local authority’s vision and its implications for Council’s governance arrangements</t>
  </si>
  <si>
    <t>(Authority comment)</t>
  </si>
  <si>
    <t>(Authority's comments)</t>
  </si>
  <si>
    <t>(Authority's comment)</t>
  </si>
  <si>
    <t>The authority has responsibility for conducting, at least annually, a review of the effectiveness of its system of internal control.  The review of effectiveness is informed by the work of the executive managers within Council who have responsibility for the development and maintenance of the governance environment, the Internal Audit’s annual report, and also by comments made by the external auditors.</t>
  </si>
  <si>
    <t>Describe the process that has been applied in maintaining and reviewing the effectiveness of the governance framework, including some comment on the role of:</t>
  </si>
  <si>
    <t>[Include an outline of the actions taken, or proposed, to deal with significant governance issues.]</t>
  </si>
  <si>
    <t>Leading member [or equivalent] &amp; Chief Executive [or equivalent] on behalf of [the authority]</t>
  </si>
  <si>
    <t xml:space="preserve">The remuneration of senior employees covers the Executive Management Team/Senior Management Team. The following table provides details of the remuneration paid to senior employees: </t>
  </si>
  <si>
    <r>
      <rPr>
        <b/>
        <sz val="10"/>
        <rFont val="Century Gothic"/>
        <family val="2"/>
      </rPr>
      <t>Exit Packages for staff</t>
    </r>
    <r>
      <rPr>
        <sz val="10"/>
        <rFont val="Century Gothic"/>
        <family val="2"/>
      </rPr>
      <t xml:space="preserve">
The number of exit packages provided to all staff by the Council, together with total cost per band and total cost of the compulsory and other redundancies are set out in the table below:</t>
    </r>
  </si>
  <si>
    <t>Expenditure and Income analysed by nature</t>
  </si>
  <si>
    <t>Other services expenditure</t>
  </si>
  <si>
    <t>Support services recharges</t>
  </si>
  <si>
    <t>Other expenditure</t>
  </si>
  <si>
    <t>Fees, charges and other service income</t>
  </si>
  <si>
    <t>Support service income</t>
  </si>
  <si>
    <t>Other income</t>
  </si>
  <si>
    <t>Total Expenditure</t>
  </si>
  <si>
    <t>CHECK TO CIES</t>
  </si>
  <si>
    <t>Adjustments for Capital Funding and Expenditure Purposes</t>
  </si>
  <si>
    <t>Check to EFA input tab</t>
  </si>
  <si>
    <t>Check to Note 4</t>
  </si>
  <si>
    <t>Adjustments for capital purposes</t>
  </si>
  <si>
    <t>Net Change for the Pension Adjustment</t>
  </si>
  <si>
    <t>from Note 2b</t>
  </si>
  <si>
    <t>from Note 4</t>
  </si>
  <si>
    <t>Adjustments between the funding and accounting basis
Note 2b</t>
  </si>
  <si>
    <t>Cost of Services
CIES</t>
  </si>
  <si>
    <t>Check to GF</t>
  </si>
  <si>
    <t>Please note that due to the implementation of Telling the Story, the Rates Support Grant pro forma can no longer be completed through the accounts pro forma. The Department for Communities will communicate separately on how Councils may complete the Rates Support Grant pro forma.</t>
  </si>
  <si>
    <t>This disclosure must include depreciation and amortisation expenses and employee benefits expenses. 
The note includes these areas of analysis. No manual input is required for these as they are populated from other notes to the accounts.</t>
  </si>
  <si>
    <t>Note 3 Expenditure and Income analysed by nature</t>
  </si>
  <si>
    <t>The Code provides a recommended analysis (see below) over which this disclosure note may be presented.
The note included within the accounts pro forma analyses income and expenditure over these recommended headings.</t>
  </si>
  <si>
    <t>- Fees, charges and other service income
- surplus or deficit on associates and joint ventures
- interest and investment income
- income from council tax, non-domestic rates, district rate income
- government grants and contributions
- employee benefits and contributions
- other service expenses
- support service recharges
- depreciation, amortisation and impairment
- interest payments
- precepts and levies
- payments to Housing Capital Receipts Pool
- gain or loss on disposal of non-current assets
- surplus or deficit on the provision of services</t>
  </si>
  <si>
    <t>Please note - on feedback from practitioners, the text tab is now available in a word document.</t>
  </si>
  <si>
    <t>Where councils wish to print the text tab in word, this may have an impact on the page number set up of the excel accounts pro forma.</t>
  </si>
  <si>
    <t xml:space="preserve">To resolve this issue, you may begin page numbering from the prime statement tab by:
selecting PAGE LAYOUT from the toolbar
select PAGE SETUP
select Print Tiles
You will see a PAGE tab, within which there will be a number of options. You should see an option FIRST PAGE NUMBER 
You can alter the starting page for the pro forma here
</t>
  </si>
  <si>
    <t>Note 3: Expenditure and Income analysed by nature</t>
  </si>
  <si>
    <t>Note 4: Adjustment between an Accounting Basis and Funding Basis under Regulations</t>
  </si>
  <si>
    <t>Note 5: Cost of Services on Continuing Operations</t>
  </si>
  <si>
    <t>Note 7: Staff Costs</t>
  </si>
  <si>
    <t>Note 8: Other Operating Income and Expenditure</t>
  </si>
  <si>
    <t>Note 9: Financing and Investment Income and Expenditure</t>
  </si>
  <si>
    <t>Note 10: Taxation and Non-Specific Grant Income</t>
  </si>
  <si>
    <t>Note 11: Fixed Assets</t>
  </si>
  <si>
    <t>Note 12: Capital Expenditure and Capital Financing</t>
  </si>
  <si>
    <t>Note 13: Future Capital Commitments</t>
  </si>
  <si>
    <t>Note 14: Inventories</t>
  </si>
  <si>
    <t>Note 15: Debtors</t>
  </si>
  <si>
    <t>Liabilities are discounted to their value at current prices, using a discount rate based on the Aon Hewitt GBP Select AA Curve over the duration of the Employer's liabilities.</t>
  </si>
  <si>
    <t xml:space="preserve">The Code of Practice on Local Authority Accounting in the United Kingdom (the Code) requires an authority to disclose information relating to the expected impact of an accounting change that will be required by a new standard that has been issued but not yet adopted. The Code also requires that changes in accounting policy are to be applied retrospectively unless transitional arrangements are specified, this would result in an impact on disclosures spanning two financial years. </t>
  </si>
  <si>
    <t xml:space="preserve">Tullyvar Joint Committee is a landfill site jointly owned and managed by Mid Ulster District Council and Fermanagh and Omagh District Council. </t>
  </si>
  <si>
    <t>Landfill Regulation Reserve Movement</t>
  </si>
  <si>
    <t>4, 12</t>
  </si>
  <si>
    <t>4, 11</t>
  </si>
  <si>
    <t>10, 12</t>
  </si>
  <si>
    <t>4, 20</t>
  </si>
  <si>
    <t>The Council has made provision for potential future uninsured losses.</t>
  </si>
  <si>
    <t>The expected return on scheme assets is determined by considering the expected returns available on the assets underlying the current investment policy.  Expected yields on fixed interest investments are based on gross redemption yields as at the Balance Sheet date.  Expected returns on equity investments reflect long-term real rates of return experienced in the respective markets.</t>
  </si>
  <si>
    <t xml:space="preserve">No persons retired early on ill-health grounds as such the actuarial cost for employees for the early payment of retirement benefits was £nil. </t>
  </si>
  <si>
    <t>3, 4, 11, 23</t>
  </si>
  <si>
    <t>Council also owns two landfill sites and a 50% share with Fermanagh Omagh District Council in a third landfill site.  Although Council has plans to close and cap these sites it is required to make financial provision for closure and aftercare costs of its landfill sites.  Further disclosure of the estimated costs is included at notes 18 and 25.</t>
  </si>
  <si>
    <t>Differs as info presented separately on Tullyvar provision</t>
  </si>
  <si>
    <t>Pension scheme assumptions:</t>
  </si>
  <si>
    <t>Unusable reserves</t>
  </si>
  <si>
    <t>CIES Line 1</t>
  </si>
  <si>
    <t>CIES Line 2</t>
  </si>
  <si>
    <t>CIES Line 3</t>
  </si>
  <si>
    <t>CIES Line 4</t>
  </si>
  <si>
    <t>CIES Line 5</t>
  </si>
  <si>
    <t>CIES Line 6</t>
  </si>
  <si>
    <t>CIES Line 7</t>
  </si>
  <si>
    <t xml:space="preserve">The Council's current contribution rate to NILGOSC scheme is xx% plus a Deficit Recovery Contribution of £xx .
At last actuarial valuation dated 31st March 20xx the funds assets meet xx% of liabilities at that date (20xx-xx%).
</t>
  </si>
  <si>
    <t xml:space="preserve">The number of disputed invoices were xx.
The Council paid:
xx (xx%) invoices with 30 calendar days target;
xx(xx%) invoices within 10 working days target; and 
xx invoices outside of the 30 day target.
The average number of days taken to pay suppliers during the year was xx days.   </t>
  </si>
  <si>
    <t>The service cost figures include an allowance for administration expenses of £xx.</t>
  </si>
  <si>
    <t>The liabilities show the underlying commitments that the authority has in the long run to pay retirement benefits. The total liability of £xx has a substantial impact on the net worth of the Council as recorded in the Balance Sheet.</t>
  </si>
  <si>
    <t>Officer 1</t>
  </si>
  <si>
    <t>Officer 2</t>
  </si>
  <si>
    <t>Officer 3</t>
  </si>
  <si>
    <t>Officer 4</t>
  </si>
  <si>
    <t>Officer 5</t>
  </si>
  <si>
    <t>Officer 6</t>
  </si>
  <si>
    <t>Officer 7</t>
  </si>
  <si>
    <t>Adjustments</t>
  </si>
  <si>
    <t xml:space="preserve">Adjustments </t>
  </si>
  <si>
    <t>Activity is accounted for in the year that it takes place, not simply when cash payments are made or received.  In particular:</t>
  </si>
  <si>
    <t>- Revenue from contracts with service recipients, whether for services or the provision of goods, is recognisd when (or as) the goods or services are transferred to the service recipient in accordance with the performance obligations in the contract.</t>
  </si>
  <si>
    <t xml:space="preserve"> - Interest receivable on investments and payable on borrowings is accounted for respectively as income and expenditure on the basis of the effective interest rate for the relevant financial instrument rather than the cash flows fixed or determined by the contract.</t>
  </si>
  <si>
    <t>Acquired Operations</t>
  </si>
  <si>
    <t>Acquisitions and Discontinued Operations</t>
  </si>
  <si>
    <t>Additional policy detail required where an authority has acquired operations (or transferred operations under combinations of public sector bodies) during the financial year.</t>
  </si>
  <si>
    <t>Additional policy detail required where an authority has discontinued operations (or transferred operations under combinations of public sector bodies) during the financial year.</t>
  </si>
  <si>
    <t xml:space="preserve">Cash is represented by cash in hand and deposits with financial institutions repayable without penalty on notice of not more than 24 hours.  Cash equivalents are highly liquid investments that mature in [specified period, no more than three months] or less from the date of acquisition and that are readily convertible to known amounts of cash with insignificant risk of change in value. 
In the Cash Flow Statement, cash and cash equivalents are shown net of bank overdrafts that are repayable on demand and form an integral part of the Council’s cash management. </t>
  </si>
  <si>
    <t xml:space="preserve">Prior period adjustments may arise as a result of a change in accounting policies or to correct a material error.  Changes in accounting estimates are accounted for prospectively, i.e. in the current and future years affected by the change and do not give rise to a prior period adjustment.
</t>
  </si>
  <si>
    <t>Changes in accounting policies are only made when required by proper accounting practices or the change provides more reliable or relevant information about the effect of transactions, other events and conditions on the Council’s financial position or financial performance.  Where a change is made, it is applied retrospectively (unless stated otherwise) by adjusting opening balances and comparative amounts for the prior period as if the new policy had always been applied.</t>
  </si>
  <si>
    <t>amended</t>
  </si>
  <si>
    <t xml:space="preserve">Services, support services and trading accounts are debited with the following amounts to record the cost of holding non-current assets during the year:
a. depreciation attributable to the assets used by the relevant service
b. revaluation and impairment losses on assets used by the service where there are no accumulated gains in the Revaluation Reserve against which the losses can be written off
c. amortisation of intangible fixed assets attributable to the service.
</t>
  </si>
  <si>
    <t>The Council is not required to raise District Rates to cover depreciation, revaluation and impairment losses or amortisations.  However, it is required to make an annual contribution from revenue to contribute towards the reduction in its overall borrowing requirement [equal to either an amount calculated on a prudent basis determined by the Council in accordance with statutory guidance].  Depreciation, revaluation and impairment losses and amortisation are therefore replaced by the contribution in the General Fund Balance [minimum revenue provision (MRP]) or the Statutory Repayment of Loans Fund Advances], by way of an adjusting transaction with the Capital Adjustment Account in the Movement in Reserves Statement for the difference between the two.</t>
  </si>
  <si>
    <t>Benefits Payable during Employment</t>
  </si>
  <si>
    <t xml:space="preserve">Termination benefits are amounts payable as a result of a decision by the Council to terminate an officer’s employment before the normal retirement date or an officer’s decision to accept voluntary redundancy in exchange for those benefits and are charged on an accruals basis to the appropriate service segment or, where applicable, to a corporate service segment at the earlier of when the Council can no longer withdraw the offer of those benefits or when the Council recognises costs for a restructuring.  Where termination benefits involve the enhancement of pensions, statutory provisions require the General Fund Balance to be charged with the amount payable by the Council to the pension fund or pensioner in the year, not the amount calculated according to the relevant accounting standards.  In the Movement in Reserves Statement, appropriations are required to and from the Pensions Reserve to remove the notional debits and credits for pension enhancement termination benefits and replace them with debts for the cash paid to the pension fund and pensioners and any such amounts payable but unpaid at the year-end. </t>
  </si>
  <si>
    <r>
      <rPr>
        <b/>
        <sz val="14"/>
        <rFont val="Calibri"/>
        <family val="2"/>
      </rPr>
      <t>Within Other Comprehensive Income and Expenditure (Remeasurements)</t>
    </r>
    <r>
      <rPr>
        <sz val="14"/>
        <rFont val="Calibri"/>
        <family val="2"/>
      </rPr>
      <t xml:space="preserve">
The Return on Plan Assets – excluding amounts recognised in the Net Interest on the Net Defined Benefit Liability (Asset) charged to the Pensions Reserve as Other Comprehensive Income and Expenditure.  This includes interest, dividends and other income derived from the plan assets, together with realised and unrealised gains or losses on the plan assets, less any costs of managing plan assets, and any tax payable by the plan itself other than tax included in the actuarial assumptions used to measure the present value of the defined benefit obligation.
Actuarial Gains and Losses – changes in the net pensions liability that arise because events have not coincided with assumptions made at the last actuarial valuation or because the actuaries have updated their assumptions, charged to the Pensions Reserves as Other Comprehensive Income and Expenditure.</t>
    </r>
  </si>
  <si>
    <t>In relation to retirement benefits, statutory provisions require the General Fund balance to be charged with the amount payable by the Council to the pension fund or directly to pensioners in the year, not the amount calculated according to the relevant accounting standards.  In the Movement in Reserves Statement, this means that there are transfers to and from the Pensions Reserve to remove the notional debits and credits for retirement benefits and replace them with debits for the cash paid to the pension fund and pensioners and any such amounts payable but unpaid at the year-end.  The negative balance that arises on the Pensions Reserve thereby measures the beneficial impact to the General Fund of being required to account for retirement benefits on the basis of cash flows rather than as benefits are earned by employees.</t>
  </si>
  <si>
    <t>Additional policy detail required where a Council makes material payments in relation to injury awards.</t>
  </si>
  <si>
    <t>The Statement of Accounts may subsequently be adjusted up to the date when they are authorised for issue.  This date will be recorded on the Statement of Accounts and is usually the date the Local Government Auditor issues the certificate and opinion.  Where material adjustments are made in this period they will be disclosed.
Events taking place after the date of authorisation for issue are not reflected in the Statement of Accounts.</t>
  </si>
  <si>
    <t>Financial liabilities are recognised on the Balance Sheet when the Council becomes a party to the contractual provisions of a financial instrument and are initially measured at fair value and are carried at their amortised cost.  Annual charges to the Financing and Investment Income and Expenditure line in the Comprehensive Income and Expenditure Statement for interest payable are based on the carrying amount of the liability, multiplied by the effective rate of interest for the instrument.  The effective interest rate is the rate that exactly discounts estimated future cash payments over the life of the instrument to the amount at which it was originally recognised.</t>
  </si>
  <si>
    <t>Where premiums and discounts have been charged to the Comprehensive Income and Expenditure Statement, regulations allow the impact on the General Fund Balance to be spread over future years.  The Council has a policy of spreading the gain or loss over the term that was remaining on the loan against which the premium was payable or discount receivable when it was repaid.  The reconciliation of amounts charged to the Comprehensive Income and Expenditure Statement to the net charge required against the General Fund Balance is managed by a transfer to or from the Financial Instruments Adjustment Account in the Movement in Reserves Statement.</t>
  </si>
  <si>
    <t>Financial assets are classified based on a classification and measurement approach that reflects the business model for holding the financial assets and their cashflow characteristics.  There are three main classes of financial assets measured at:
 - amortised cost
 - fair value through profit or loss (FVPL), and 
 - fair value through other comprehensive income (FVOCI)
[ Separate accounting policy is required where a council holds financial instruments at fair value through other comprehensive income].</t>
  </si>
  <si>
    <t>Financial Assets Measured at Amortised Cost</t>
  </si>
  <si>
    <t>Expected Credit Loss Model</t>
  </si>
  <si>
    <t>The Council recognises expected credit losses on all of its financial assets held at amortised cost [or where relevant FVOCI], either on a 12-month or lifetime basis. The expected credit loss model also applies to lease receivables and contract assets.  Only lifetime losses are recognised for trade receivables (debtors) held by the Council
[Accounting policy should be provided where a Council has extended the simplified approach to lease receivables and trade receivables and contract assets where there is a significant financing component.]</t>
  </si>
  <si>
    <t>The Council has a portfolio of a significant number of loans to local businesses.  It does not have reasonable and supportable information that is available without undue cost or effort to support the measurement of lifetime expected losses on an individual instrument basis.  It has therefore assessed losses for the portfolio on a collective basis.</t>
  </si>
  <si>
    <t>The Council has grouped the loans into four groups for assessing loss allowances:
- Group 1 - these loans were made under a government programme, where the supply of funds was conditional on the authority putting in place a system for measuring and monitoring the risk of default for each of the businesses that was provided with a loan.  Loss allowances for these loans can be assessed on an individual basis.
- Group 2 - these loans were made to support local businesses that supply goods and services to the car manufacturing plant in the Council's area.  The manufacturer has recently announced plans to locate production of new models at its plants in other countries.  The Council therefore uses a 'bottom-up' approach to identify individual loans that have this common industry-related risk characteristic and determine that they are subject as a group to a significant increase in credit risk.
- Group 3 - these loans were made at a variable rate of interest.  The Council is advised that interest rates are probably going to risk by 1%.  Historical information evidences that a 1% increase in interest rates causes a significant increase in credit risk for 30% of the variable rate loans.  The Council therefore uses a 'top-down' approach to assess an overall proportion of a group of relatively homogenous loans to determine that 30% of Group 3 loans have had a significant increase in credit risk since initial recognition.
- Group 4 - for the residual group of loans, the Council relies on past due information and calculates losses based on lifetime credit losses for all loans more than 30 days pay due.</t>
  </si>
  <si>
    <t>The Council has provided a loan to a company in financial difficulties to ensure that the Community Centres Company is able to provide vital services for the elderly.  Fifty percent of the loan is thus deemed credit impaired on origination.  This will mean that:
- as lifetime expected credit losses are taken into account in the cash flows used for calculating the effective interest rate, no loss allowance is needed on initial recognition
- a loss allowance will then be built up on the basis of the cumulative change in lifetime expected credit losses since initial recognition
- the annual impairment gain or loss will be the change in lifetime expected credit losses over the year.</t>
  </si>
  <si>
    <t>Financial Assets Measured at Fair Value through Profit or Loss</t>
  </si>
  <si>
    <t xml:space="preserve">Financial assets that are measured at FVPL are recognised on the Balance Sheet when the Council becomes a party to the contractual provisions of a financial instrument and are initially measured and carried at fair value.  Fair value gains and losses are recognised as they arrive in the Surplus or Deficit on Provision of Services.
</t>
  </si>
  <si>
    <t>The fair value measurements of the financial assets are based on the following techniques:
- instruments with quoted market prices - the market price
- other instruments with fixed and determinable payments - discounted cash flow analysis.</t>
  </si>
  <si>
    <t>Any gains and losses that arise on the derecognition of the asset are credited or debited to the Financing and Investment Income and Expenditure line in the Comprehensive Income and Expenditure Statement.</t>
  </si>
  <si>
    <t>Additional policy detail required where a Council decides to designate investments in equity instruments to FVOCI</t>
  </si>
  <si>
    <t>Additional policy detail required for reclassifications, modifications or derecognition or transfer of financial assets when such transactions occur.</t>
  </si>
  <si>
    <t>Instruments entered into before 1 April 2006</t>
  </si>
  <si>
    <t>The Council entered into a number of financial guarantees that are not required to be accounted for as financial instruments.  These guarantees are reflected in the Statement of Accounts to the extent that provisions might be required or a contingent liability note is needed under the policies set out in the section on Provisions, Contingent Liabilities and Contingent Assets.</t>
  </si>
  <si>
    <t>reviewed</t>
  </si>
  <si>
    <t>Whether paid on account, by instalments or in arrears, government grants and third party contributions and donations are recognised as due to the Council when there is reasonable assurance that:
 - the Council will comply with the conditions attached to the payments, and
 -  the grants or contributions will be received.</t>
  </si>
  <si>
    <t>Amounts recognised as due are not credited to the Comprehensive Income and Expenditure Statement until conditions attaching to the grant or contribution have been satisfied.  Conditions are stipulations that specify that the future economic benefits or service potential embodied in the asset in the form of the grant or contribution are required to be consumed by the recipient as specified, or future economic benefits or service potential must be returned to the transferor.</t>
  </si>
  <si>
    <t>Heritage Assets are those assets that are intended to be preserved in trust for future generations because of their cultural, environmental or historic associations. They would be held by this authority in pursuit of our overall objectives in relation to the maintenance of heritage.</t>
  </si>
  <si>
    <t>[At the end of this reporting period the Council holds two chains of office and a watercolour painting as heritage assets.]</t>
  </si>
  <si>
    <t>REVIEWED</t>
  </si>
  <si>
    <t>Intangible assets are measured initially at cost.  Amounts are only revalued where the fair value of the assets held by the Council can be determined by reference to an active market.  In practice, no intangible asset held by the Council meets this criterion, and they are therefore carried at amortised cost.  The depreciable amount of an intangible asset is amortised over its useful life to the relevant service line(s) in the Comprehensive Income and Expenditure Statement.  An asset is tested for impairment whenever there is an indication that the asset might be impaired – any losses recognised are posted to the relevant service line(s) in the Comprehensive Income and Expenditure Statement.  Any gain or loss arising on the disposal or abandonment of an intangible asset is posted to the Other Operating Expenditure line in the Comprehensive Income and Expenditure Statement.</t>
  </si>
  <si>
    <t>Where expenditure on intangible assets qualifies as capital expenditure for statutory purposes, amortisation, impairment losses and disposal gains and losses are not permitted to have an impact on the General Fund Balance.  The gains and losses are therefore reversed out of the General Fund Balance in the Movement in Reserves Statement and posted to the Capital Adjustment Account and (for any sale proceeds greater than £10,000) the Capital Receipts Reserve.</t>
  </si>
  <si>
    <t>Interests in Companies and Other Entities</t>
  </si>
  <si>
    <t>The Council has material interests in companies and other entities that have the nature of subsidiaries, associates and joint ventures and require it to prepare group accounts.  In the Council's own single-entity accounts, the interests in companies and other entities are recorded as financial assets at cost, less any provision for losses.</t>
  </si>
  <si>
    <t>New</t>
  </si>
  <si>
    <t>Long-term contracts are accounted for on the basis of charging the Surplus or Deficit on the Provision of Services with the consideration allocated to the performance obligations satisfied based on the goods or services transferred to the service recipient during the financial year.</t>
  </si>
  <si>
    <t>[Additional policy detail required where a Council has acquired material balances of inventories for less than their fair value.]</t>
  </si>
  <si>
    <t>[Additional policy detail required where a Council has acquired material balances of inventories that are held for distribution at no charge or for a nominal charge, or consumption in the production process of goods to be distributed at no charge or for a nominal charge.]</t>
  </si>
  <si>
    <t>new</t>
  </si>
  <si>
    <t>Investment properties are measured initially at cost and subsequently at fair value, being the price that would be received to sell such an asset in an orderly transaction between market participants at the measureable date.  As a non-financial asset, investment properties are measured at highest and best use.  Properties are not depreciated but are revalued annually according to market conditions at the year-end.  Gains and losses on revaluation are posted to the Financing and Investment Income and Expenditure line in the Comprehensive Income and Expenditure Statement.  The same treatment is applied to gains and losses on disposal.</t>
  </si>
  <si>
    <t>Rentals received in relation to investment properties are credited to the Financing and Investment Income line in the Comprehensive Income and Expenditure Statement and result in a gain for the General Fund Balance.  However, revaluation and disposal gains and losses are not permitted by statutory arrangements to have an impact on the General Fund Balance.  The gains and losses are therefore reversed out of the General Fund Balance in the Movement in Reserves Statement and posted to the Capital Adjustment Account and the Capital Receipts Reserve.</t>
  </si>
  <si>
    <t>Joint Operations</t>
  </si>
  <si>
    <t>Joint operations are arrangements where the parties that have joint control of the arrangement have rights to the assets and obligations for the liabilities relating to the arrangement.  The activities undertaken by the Council in conjunction with other joint operators involve the use of the assets and resources of those joint operators.  In relation to its interest in a joint operation, the authority as a joint operator recognises;
- its assets, including its share of any assets held jointly
- its liabilities, including its share of any liabilities incurred jointly
- its revenue from the sale of its share of the output arising from the joint operation
- its share of the revenue from the sale of the output by the joint operation
- its expenses, including its share of any expenses incurred jointly.</t>
  </si>
  <si>
    <t>Lease payments are apportioned between:
a. a charge for the acquisition of the interest in the property,plant or equipment – applied to write down the lease liability, and
b. a finance charge (debited to the Financing and Investment Income and Expenditure line in the Comprehensive Income and Expenditure Statement)</t>
  </si>
  <si>
    <t>The Council is not required to raise district rates to cover depreciation or revaluation and impairment losses arising on leased assets.  Instead, a prudent annual contribution is made from revenue towards the deemed capital investment in accordance with statutory requirements.  Depreciation and revaluation and impairment losses are therefore substituted by a revenue contribution in the General Fund Balance, by way of an adjusting transaction with the Capital Adjustment Account in the Movement in Reserves Statement for the difference between the two.</t>
  </si>
  <si>
    <t>Lease rentals receivable are apportioned between:
a. a charge for the acquisition of the interest in the property – applied to write down the lease debtor together with any premiums received, and
b. finance income (credited to the Financing and Investment income and Expenditure line in the Comprehensive Income and Expenditure Statement).</t>
  </si>
  <si>
    <t>The gain credited to the Comprehensive Income and Expenditure Statement on disposal is not permitted by statute to increase the General Fund Balance and is required to be treated as a capital receipt.  Where a premium has been received, this is posted out of the General Fund Balance to the Capital Receipts Reserve in the Movement in Reserves Statement.  Where the amount due in relation to the lease asset is to be settled by the payment of rentals in future financial years, this is posted out of the General Fund Balance to the Deferred Capital Receipts Reserve in the Movement in Reserves Statement.  [When the future rentals are paid, the element for the capital receipt for the disposal of the asset is used to write down the lease debtor.  At this point, the deferred capital receipts are transferred to the Capital Receipts Reserve.]</t>
  </si>
  <si>
    <t>The written-off value of disposals is not a charge against District rates, as the cost of non-current assets is fully provided for under separate arrangements for capital financing.  Amounts are therefore appropriated to the Capital Adjustment Account from the General Fund Balance in the Movement in Reserves Statement.</t>
  </si>
  <si>
    <t xml:space="preserve">Where the Council grants an operating lease over a property or an item of plant or equipment, the asset is retained in the Balance Sheet.  Rental income is credited to the Other Operating Expenditure line in the Comprehensive Income and Expenditure Statement.  Credits are made on a straight-line basis over the life of the lease, even if this does not match the pattern of payments (e.g. there is a premium paid at the commencement of the lease).  Initial direct costs incurred in negotiating and arranging the lease are added to the carrying amount of the relevant asset and charged as an expense over the lease term on the same basis as rental income.
</t>
  </si>
  <si>
    <t>The costs of overheads and support services are charged to service segments in accordance with the Council's arrangements for accountability and financial performance.</t>
  </si>
  <si>
    <t>Assets that have physical substance and are held for use in the production or supply of goods or services, for rental to others, or for administrative purposes and that are expected to be used during more than one financial year are classified as Property, Plant and Equipment.</t>
  </si>
  <si>
    <t>Expenditure on the acquisition, creation or enhancement of property, plant and equipment is capitalised on an accruals basis, provided that it is probable that the future economic benefits or service potential associated with the item will flow to the Council and the cost of the item can be measured reliably.  Expenditure that maintains but does not add to an asset’s potential to deliver future economic benefits or service potential (i.e. repairs and maintenance) is charged as an expense when it is incurred.</t>
  </si>
  <si>
    <t xml:space="preserve">Assets are then carried in the Balance Sheet using the following measurement bases:
 - infrastructure, community assets and assets under construction – depreciated historical cost
- surplus assets - the current value measurement base is fair value, estimated at highest and best use from a market participant's perspective
 - all other assets – fair value, determined as the amount that would be paid for the asset in its existing use (existing use value – EUV)
</t>
  </si>
  <si>
    <t>Assets included in the Balance Sheet at current value are revalued sufficiently regularly to ensure that their carrying amount is not materially different from their current value at the year-end, but as a minimum every five years.  Increases in valuations are matched by credits to the Revaluation Reserve to recognise unrealised gains.  [Exceptionally, gains might be credited to the Comprehensive Income and Expenditure Statement where they arise from the reversal of a loss previously charged to a service.]</t>
  </si>
  <si>
    <t>Where impairment losses are identified, they are accounted for by:
a. where there is a balance of revaluation gains for the asset in the Revaluation Reserve, the carrying amount of the asset is written down against that balance (up to the amount of the accumulated gains),
b. where there is no balance in the Revaluation Reserve or an insufficient balance, the carrying amount of the asset is written down against the relevant service line(s) in the Comprehensive Income and Expenditure Statement.</t>
  </si>
  <si>
    <r>
      <t xml:space="preserve">Depreciation is provided for on all property, plant and equipment assets by the systematic allocation of their depreciable amounts over their useful lives.  An exception is made for assets without a determinable finite useful life (i.e. freehold land and certain Community Assets) and assets that are not yet available for use (i.e. assets under construction).
</t>
    </r>
    <r>
      <rPr>
        <sz val="14"/>
        <color rgb="FFFF0000"/>
        <rFont val="Calibri"/>
        <family val="2"/>
      </rPr>
      <t xml:space="preserve">
</t>
    </r>
  </si>
  <si>
    <t>- dwellings and other buildings - straight-line allocation over the useful life of the property as estimated by the valuer
- vehicles, plant, furniture and equipment - a percentage of the value of each class of assets in the Balance Sheet, as advised by a suitably qualified officer
- infrastructure - straight line allocation over 25 years</t>
  </si>
  <si>
    <r>
      <t xml:space="preserve">When it becomes probable that the carrying amount of an asset will be recovered principally through a sale transaction rather than through its continuing use, it is reclassified as an Asset Held for Sale.  The asset is revalued immediately before reclassification and then carried at the lower of this amount and fair value less costs to sell.  Where there is a subsequent decrease to fair value less costs to sell, the loss is posted to the Other Operating Expenditure line in the Comprehensive Income and Expenditure Statement.  Gains in fair value are recognised only up to the amount of any previously recognised losses in the Surplus or Deficit on the Provision of Services.  Depreciation is not charged on Assets Held for Sale. 
</t>
    </r>
    <r>
      <rPr>
        <sz val="14"/>
        <color rgb="FFFF0000"/>
        <rFont val="Calibri"/>
        <family val="2"/>
      </rPr>
      <t xml:space="preserve">
</t>
    </r>
    <r>
      <rPr>
        <sz val="14"/>
        <rFont val="Calibri"/>
        <family val="2"/>
      </rPr>
      <t xml:space="preserve">
</t>
    </r>
  </si>
  <si>
    <t xml:space="preserve">If assets no longer meet the criteria to be classified as assets held for sale, they are reclassified back to non-current assets and valued at the lower of its carrying amount before they were classified as held for sale: adjusted for depreciation, amortisation or revaluations that would have been recognised had they not been classified as held for sale, and their recoverable amount at the date of the decision not to sell. </t>
  </si>
  <si>
    <t>Assets that are to be abandoned or scrapped are not reclassified as assets held for sale.</t>
  </si>
  <si>
    <t>When an asset is disposed of, or decommissioned, the carrying amount of the asset in the Balance Sheet (whether property, plant and equipment or assets held for sale) is written off to the Other Operating Expenditure line in the Comprehensive Income and Expenditure Statement as part of the gain or loss on disposal.  Receipts from disposals (if any) are credited to the same line in the Comprehensive Income and Expenditure Statement also as part of the gain or loss on disposal (i.e. netted off against the carrying value of the asset at the time of disposal).  Any revaluation gains accumulated for the asset in the Revaluation Reserve are transferred to the Capital Adjustment Account.</t>
  </si>
  <si>
    <t>The written-off value of disposals is not a charge against district rates, as the cost of non-current assets is fully provided for under separate arrangements for capital financing.  Amounts are appropriated to the Capital Adjustment Account from the General Fund Balance in the Movement in Reserves Statement.</t>
  </si>
  <si>
    <t xml:space="preserve">A contingent liability arises where an event has taken place that gives the Council a possible obligation whose existence will only be confirmed by the occurrence or otherwise of uncertain future events not wholly within the control of the Council.  Contingent liabilities also arise in circumstances where a provision would otherwise be made but either it is not probable that an outflow of resources will be required or the amount of the obligation cannot be measured reliably. </t>
  </si>
  <si>
    <t>Contingent liabilities are not recognised in the Balance Sheet but disclosed in a note to the accounts.</t>
  </si>
  <si>
    <t xml:space="preserve">A contingent asset arises where an event has taken place that gives the Council a possible asset whose existence will only be confirmed by the occurrence or otherwise of uncertain future events not wholly within the control of the Council. </t>
  </si>
  <si>
    <t>Contingent assets are not recognised in the Balance Sheet but disclosed in a note to the accounts where it is probable that there will be an inflow of economic benefits or service potential.</t>
  </si>
  <si>
    <t xml:space="preserve">The Council sets aside specific amounts as reserves for future policy purposes or to cover contingencies.  Reserves are created by transferring amounts out of the General Fund Balance.  When expenditure to be financed from a reserve is incurred, it is charged to the appropriate service in that year against the Surplus or Deficit on the Provision of Services in the Comprehensive Income and Expenditure Statement.  The reserve is then transferred back into the General Fund Balance so that there is no net charge against District Rates for the expenditure.
</t>
  </si>
  <si>
    <t>Certain reserves are kept to manage the accounting processes for non-current assets, financial instruments, retirement benefits and employee benefits and do not represent usable resources for the Council – these reserves are explained in the relevant note to the accounts.</t>
  </si>
  <si>
    <t>VAT payable is included as an expense only to the extent that it is not recoverable from Her Majesty's Revenue and Customs.  VAT receivable is excluded from income.</t>
  </si>
  <si>
    <t xml:space="preserve">a) in the principal market for the asset or liability, or
b) in the absence of a principal market, in the most advantageous market for the asset or liability.
The Council measures the fair value of an asset or liability using the assumptions that market participants would use when pricing the asset or liability, assuming that market participants act in their economic best interest. 
When measuring the fair value of a non-financial asset, the Council takes into account a market participant’s ability to generate economic benefits by using the asset in its highest and best use or by selling it to another market participant that would use the asset in its highest and best use. 
The Council uses valuation techniques that are appropriate in the circumstances and for which sufficient data is available, maximising the use of relevant observable inputs and minimising the use of unobservable inputs. </t>
  </si>
  <si>
    <t>Inputs to the valuation techniques in respect of assets and liabilities for which fair value is measured or disclosed in the Council’s financial statements are categorised within the fair value hierarchy, as follows:
* Level 1 – quoted prices (unadjusted) in active markets for identical assets or liabilities that
the authority can access at the measurement date
* Level 2 – inputs other than quoted prices included within Level 1 that are observable for
the asset or liability, either directly or indirectly
* Level 3 – unobservable inputs for the asset or liability.</t>
  </si>
  <si>
    <t>Council specific detail</t>
  </si>
  <si>
    <t>Assets are depreciated over useful lives that are dependent on assumptions about the level of repairs and maintenance that will be incurred in relation to individual assets.  The current economic climate makes it uncertain that the Council will be able to sustain its current spending on repairs and maintenance, bringing into doubt the useful lives assigned to assets.
If the useful life of assets is reduced, depreciation increases and the carrying amount of the assets falls.
It is estimated that the annual depreciation charge for buildings would increase by £x for every year that useful lives had to be reduced.</t>
  </si>
  <si>
    <t>The Comprehensive Income and Expenditure Statement shows the accounting cost in the year of providing services in accordance with generally accepted accounting practices, rather than the amount to be funded from taxation.  Councils raise taxation to cover expenditure in accordance with statutory requirements; this may be difference from the accounting cost. The taxation position is shown in both the Expenditure and Funding Analysis and the Movement in Reserves Statement.</t>
  </si>
  <si>
    <t>However, the Council has made a number of loans to voluntary organisations at less than market rates (soft loans).  When soft loans are made, a loss is recorded in the Comprehensive Income and Expenditure Statement (debited to the appropriate service) for the present value of the interest that will be foregone over the life of the instrument, resulting in a lower amortised cost than the outstanding principal.</t>
  </si>
  <si>
    <t>Interest is credited to the Financing and Investment Income and Expenditure line in the Comprehensive Income and Expenditure Statement at a marginally higher effective rate of interest than the rate receivable from the voluntary organisations, with the difference serving to increase the amortised cost of the loan in the Balance Sheet.  Statutory provisions require that the impact of soft loans on the General Fund Balance is the interest receivable for the financial year - the reconciliation of amounts debited and credited to the Comprehensive Income and Expenditure Statement to the net gain required against the General Fund Balance is managed by a transfer to or from the Financial Instruments Adjustment Account in the Movement in Reserves Statement.</t>
  </si>
  <si>
    <t>Any gains and losses that arise on the derecognition of an asset are credited or debits to the Financing and Investment Income and Expenditure line in the Comprehensive Income and Expenditure Statement.</t>
  </si>
  <si>
    <t xml:space="preserve">Financial assets measured at amortised cost are recognised on the Balance Sheet when the Council becomes a party to the contractual provisions of a financial instrument and are initially measured at fair value.  They are subsequently measured at their amortised cost.  Annual credits to the Financing and Investment Income and Expenditure line in the Comprehensive Income and Expenditure Statement for interest receivable are based on the carrying amount of the asset multiplied by the effective rate of interest for the instrument.  For most of the financial assets held by the Council, this means that the amount presented in the Balance Sheet is the outstanding principal receivable (plus accrued interest) and interest credited to the Comprehensive Income and Expenditure is the amount receivable for the year in the loan agreement.
</t>
  </si>
  <si>
    <t>Add table in - see page 417 of guidance notes</t>
  </si>
  <si>
    <t>i) Other operating expenditure – adjusts for capital disposals with a transfer of income on disposal of assets and the amounts written off for those assets.</t>
  </si>
  <si>
    <t>iii) Taxation and Non Specific Grant Income and Expenditure – Capital grants are adjusted for income not chargeable under generally accepted accounting practices. Revenue grants are adjusted from those receivable in the year to those receivable without conditions or for which conditions were satisfied throughout the year. The Taxation and Non Specific Grant Income and Expenditure line is credited with capital grants receivable in the year without conditions or for which conditions were satisfied in the year.</t>
  </si>
  <si>
    <t xml:space="preserve">Adjustments to General Fund Balances to meet the requirements of generally accepted accounting practices, this column adds in depreciation and impairment and revaluation gains and losses in the services line and for:
</t>
  </si>
  <si>
    <t>For Services: this represents the removal of the employer pension contributions made by the authority as allowed by statute and the replacement with current service costs and past service costs.</t>
  </si>
  <si>
    <t>For Financing and investment income and expenditure: the net interest on the defined benefit liability is charged to the CIES.</t>
  </si>
  <si>
    <t xml:space="preserve">Net change for the removal of pension contributions and the addition of IAS 19 Employee Benefits pension related expenditure and income:
</t>
  </si>
  <si>
    <t xml:space="preserve">Other statutory adjustments between amounts debited/credited to the Comprehensive Income and Expenditure Statement and amounts payable/receivable to be recognised under statute:
</t>
  </si>
  <si>
    <t>For Financing and investment income and expenditure the other statutory adjustments column recognises adjustments to General Fund for the timing differences for premiums and discounts.</t>
  </si>
  <si>
    <t xml:space="preserve">The charge under Taxation and non-specific grant income and expenditure represents the difference between what is chargeable under statutory regulations for district rates and NDR that was projected to be received at the start of the year and the income recognised under generally accepted accounting practices in the Code. </t>
  </si>
  <si>
    <t>Other non-statutory adjustments</t>
  </si>
  <si>
    <t>Other non-statutory adjustments represent amounts debited/credited to service segments which need to be adjusted against the 'Other income and expenditure from the Expenditure and Funding Analysis' line to comply with the presentational requirements in the Comprehensive Income and Expenditure Statement:</t>
  </si>
  <si>
    <t>Other non-statutory Adjustments</t>
  </si>
  <si>
    <t xml:space="preserve">Adjustments for Capital Purposes </t>
  </si>
  <si>
    <t xml:space="preserve">Net change for the Pensions Adjustments </t>
  </si>
  <si>
    <t>Other statutory differences</t>
  </si>
  <si>
    <t>Amounts included in the Comprehensive Income and Expenditure Statement for contracts with service recipients:</t>
  </si>
  <si>
    <t>Revenue from contracts with service recipients</t>
  </si>
  <si>
    <t>Impairment of receivables or contract assets</t>
  </si>
  <si>
    <t>Total included in Comprehensive Income and Expenditure Statement</t>
  </si>
  <si>
    <t>Receivables, which are included in debtors</t>
  </si>
  <si>
    <t>Contract Assets</t>
  </si>
  <si>
    <t>Contract Liabilities</t>
  </si>
  <si>
    <t>Total included in Net Assets</t>
  </si>
  <si>
    <t>Significant changes in the contract assets and the contract liabilities balances during the period are as follows.</t>
  </si>
  <si>
    <t>Contract assets and liabilities at the beginning of the year</t>
  </si>
  <si>
    <t>Increases (decreases) due to cash received (paid)</t>
  </si>
  <si>
    <t>Transfers from contract assets (liabilities) recognised at the beginning of the period to receivables (payables)</t>
  </si>
  <si>
    <t>Changes as a result of changes in the measure of progress</t>
  </si>
  <si>
    <t>Contract assets and liabilities at the end of the year</t>
  </si>
  <si>
    <t>The value of revenue that is expected to be recognised in the future related to performance obligations that are unsatisfied (or partially unsatisfied) at the end of the year is.</t>
  </si>
  <si>
    <t>Not later than one year</t>
  </si>
  <si>
    <t>Later than one year</t>
  </si>
  <si>
    <t>Amounts of transaction price, partially or fully unsatisfied</t>
  </si>
  <si>
    <t>The Council's collection of ceramics, porcelain work and figurines is reported in the Balance Sheet at insurance valuation which is based on market values.  These insurance valuations are updated annually.  Additionally, the key dinner services and items are sampled periodically and reviewed against the relevant antique and ceramic trade press at least annually to ensure the adequacy of the valuation.</t>
  </si>
  <si>
    <t xml:space="preserve"> The collection also includes a set of porcelain figurines produced by the Mount Anna factory. This is thought to be one of the earliest examples of the figurines and would mean the collection would be valued at £x. However, expert opinion is divided on the authenticity of the provenance documentation and therefore the figurines are valued on the basis of other similar (but later) assets at £x.</t>
  </si>
  <si>
    <t>The collection of items of machinery and equipment from the pottery industry includes a particularly excellent example of a glazing machine. This has been valued at £x. This value has been established as the same model was sold at a recent auction. The four recent donations of slip-casting moulds have been valued at market value at £x. The curator has been able to establish the market valuation with observation of sales of very similar items at auction.</t>
  </si>
  <si>
    <t>The Council accounts for its software as intangible assets, to the extent that the software is not an integral part of a particular IT system and accounted for as part of the hardware item of property, plant and equipment.  The intangible assets include both purchased licenses and internally generally software.</t>
  </si>
  <si>
    <t>There are 4 items of capitalised software that are individually material to the financial statements:</t>
  </si>
  <si>
    <t>There are no restrictions on the Council's ability to realise the value of inherent in its investment property or on the authority's right to the remittance of income and the proceeds of disposal.  The Council has no contractual obligations to purchase, construct or develop investment property or repairs, maintenance or enhancement.</t>
  </si>
  <si>
    <t>Fair Value Hierarchy</t>
  </si>
  <si>
    <t>Residential (market rental) properties - Quoted prices in active markets for identical assets (Level 1)</t>
  </si>
  <si>
    <t>Residential (market rental) properties - Other significant observable inputs (Level 2)</t>
  </si>
  <si>
    <t>Residential (market rental properties) - Significant unobservable inputs (Level 3)</t>
  </si>
  <si>
    <t>Residential (market rental properties) - Fair value as at 31 March 20x2</t>
  </si>
  <si>
    <t>Office Units - Quoted prices in active markets for identical assets (Level 1)</t>
  </si>
  <si>
    <t>Office units - Other significant observable inputs (Level 2)</t>
  </si>
  <si>
    <t>Office units - Significant unobservable inputs (Level 3)</t>
  </si>
  <si>
    <t>Office units - Fair value as at 31 March 20x2</t>
  </si>
  <si>
    <t>Commercial Units - Quoted prices in active markets for identical assets (Level 1)</t>
  </si>
  <si>
    <t>Commercial units - Other significant observable inputs (Level 2)</t>
  </si>
  <si>
    <t>Commercial Units - Significant unobservable inputs (Level 3)</t>
  </si>
  <si>
    <t>Commercial units - Fair value as at 31 March 20x2</t>
  </si>
  <si>
    <t>The fair value for the residential properties (at market rents) has been based on the market approach using current market conditions and recent sales prices and other relevant information for similar assets in the local Council area. Market conditions are such that similar properties are activiely purchased and sold and the level of observable inputs are significant, leading to the properties being categorised at Level 2 in the fair value hierarchy.</t>
  </si>
  <si>
    <t>The office and commercial units located in the local Council area are measured using the income approach, by means of the discounted cash flow method, where the expected cash flows from the properties are discounted (using a market-derived discount rate) to establish the present value of the net income stream.  The approach has been developed using the Council's own data requiring it to factor in assumptions such as the duration and timing of cash inflows and outflows, rent growth, occupancy levels, bad debt levels, maintenance costs, etc.</t>
  </si>
  <si>
    <t>The Council's office and commercial units are therefore categorised as Level 3 in the fair value hierarchy as the measurement technique uses significant unobservable inputs to determine the fair value measurements (and there is no reasonably available information that indicates that market participants would use different assumptions).</t>
  </si>
  <si>
    <t>The following categories of financial instrument are carried in the Balance Sheet:</t>
  </si>
  <si>
    <t>Categories of Financial Instruments</t>
  </si>
  <si>
    <t>Financial Assets: Non-Current</t>
  </si>
  <si>
    <t>Investments: Fair value through profit or loss</t>
  </si>
  <si>
    <t>Investments: Amortised cost</t>
  </si>
  <si>
    <t>Investments: Fair value through other comprehensive income - designated equity instruments</t>
  </si>
  <si>
    <t>Investments: Fair value through other comprehensive income - other</t>
  </si>
  <si>
    <t>Investments: Non-financial assets</t>
  </si>
  <si>
    <t>Debtors: Fair value through profit or loss</t>
  </si>
  <si>
    <t>Debtors: Amortised cost</t>
  </si>
  <si>
    <t>Debtors: Fair value through other comprehensive income - designated equity instruments</t>
  </si>
  <si>
    <t>Debtors: Fair value through other comprehensive income - other</t>
  </si>
  <si>
    <t>Debtors: Non-financial assets</t>
  </si>
  <si>
    <t>Financial Assets: Current</t>
  </si>
  <si>
    <t>Financial Liabilities - Non-Current</t>
  </si>
  <si>
    <t>Borrowings: Fair value through profit or loss</t>
  </si>
  <si>
    <t>Borrowings: Amortised cost</t>
  </si>
  <si>
    <t>Borrowings: Non-financial liabilities</t>
  </si>
  <si>
    <t>Creditors: Fair value through profit or loss</t>
  </si>
  <si>
    <t>Creditors: Amortised cost</t>
  </si>
  <si>
    <t>Creditors: Non-financial liabilities</t>
  </si>
  <si>
    <t>Financial Liabilities - Current</t>
  </si>
  <si>
    <t>Material soft loans made by the Council</t>
  </si>
  <si>
    <t>Nominal value of new loans granted in the year</t>
  </si>
  <si>
    <t>Fair value adjustment on initial recognition</t>
  </si>
  <si>
    <t>Loans repaid</t>
  </si>
  <si>
    <t>Impairment losses</t>
  </si>
  <si>
    <t>Increase in discounted amount</t>
  </si>
  <si>
    <t>Other changes</t>
  </si>
  <si>
    <t>Nominal value at 31 March</t>
  </si>
  <si>
    <t>Valuation assumptions</t>
  </si>
  <si>
    <t>The interest rate at which the fair value of this soft loan has been made is arrived at by taking the Council's prevailing cost of borrowing (x%) and adding an allowance for the risk that the loan might not be repaid by Council A, in this case a zero rate.</t>
  </si>
  <si>
    <t>Employee Car Loans</t>
  </si>
  <si>
    <t>No interest is charged on the loans but the Council assesses that an unsubsidised rate for such loans would have been y%.</t>
  </si>
  <si>
    <t>Nominal value at end of year</t>
  </si>
  <si>
    <t>The interest rate at which the fair value of these soft loans have been recognised is arrived at by taking the Council's prevailing cost of borrowing for a comparable loan at the date of the advance and adding an allowance for the risk that the loan might not be repaid by the employees.</t>
  </si>
  <si>
    <t>Financial Instruments designated at Fair Value through profit or loss</t>
  </si>
  <si>
    <t>If instruments have been designated at fair value through profit or loss, the Code requires disclosures to be made in accordance with paragraphs 9 to 11 of IFRS 7, covering:</t>
  </si>
  <si>
    <t>- (for assets) credit risk - maximum exposure (and extent of mitigation by related derivatives) and analysis of changes in fair value attributable to changes in credit risk
- (for liabilities) - changes in fair value attributable to changes in credit risk and differences between carrying amount and amount contractually payable on maturity
- detailed description of methods used to prepare disclosed amounts
Where councils have transactions relating to these disclosures direct reference should also be made to IFRS 7.</t>
  </si>
  <si>
    <t>Investments in Equity Instruments designated at Fair Value through Other Comprehensive Income</t>
  </si>
  <si>
    <t>If equity instruments have been designated at fair value through other comprehensive income, the Code requires disclosures of information relating to:
- identification of the particular investments
- the reasons for taking up the option
- the fair value of each such investment at the end of the reporting period (this is illustrated below)
- dividends recognised during the period, showing separately those derecognised during the period
- details of transfers of the cumulative gain or loss within equity during the period
- treatment of derecognised investments including reasons for derecognition (illustrated below).]</t>
  </si>
  <si>
    <t>Listed securities: Rose Plc</t>
  </si>
  <si>
    <t>Listed securities: Dandelion Ltd</t>
  </si>
  <si>
    <t>Listed securities: Dahlia Ltd</t>
  </si>
  <si>
    <t>Non-listed securities: Community Company 1 Ltd</t>
  </si>
  <si>
    <t>Non-listed securities: Community Company 2 Ltd</t>
  </si>
  <si>
    <t>Fair value of Equity instruments designated at fair value through other comprehensive income include the following:</t>
  </si>
  <si>
    <t>Fair Value of Equity instruments designated at fair value through other comprehensive income disclosures on derecognition</t>
  </si>
  <si>
    <t>The Council has decided to pass on its interests in its two garden centre companies, Petunia Garden Centre Ltd in 20X2 and Daisee Garden Centre Ltd in 20X1, to the community gardening group Green Locality for a nominal fee.  This is in order to support the Council's environmental initiatives as these groups are better able to deliver the benefits and improved outcomes of such initiatives to the community.</t>
  </si>
  <si>
    <t>Fair value on derecognition: Petunia Garden Centre Ltd</t>
  </si>
  <si>
    <t>Fair value on derecognition: Daisee Garden Centre Ltd</t>
  </si>
  <si>
    <t>Losses on derecognition: Petunia Garden Centre Ltd</t>
  </si>
  <si>
    <t>Losses on derecognition: Daisee Garden Centre Ltd</t>
  </si>
  <si>
    <t>Reclassifications</t>
  </si>
  <si>
    <t>If the Council has reclassified a financial asset following a change of business model, the Code requires disclosures to be made in accordance with paragraphs 12B to 12D of IFRS 7 of information relating to:
- the date of reclassification
- explanation of the change in business model and a qualitative description of its effect on the financial statements
- the amounts reclassified across each category</t>
  </si>
  <si>
    <t>Paragraphs 12C and 12D require disclosures to be made in all future financial years after reclassification until derecognition (as appropriate) about the effective interest rate or fair value.</t>
  </si>
  <si>
    <t>Other Balance Sheet Disclosures</t>
  </si>
  <si>
    <t>- the Council has offset financial assets and financial liabilities in accordance with the criteria set out in paragraph 7.3.5.1 - as stated in paragraph 7.3.2.8 of the Code
- the Council holds collateral that it is permtted to sell or re-pledge - paragraph 7.3.2.9 of the Code
- where financial assets measured at fair value through other comprehensive income are held, the allowance account for credit loss maintained separately from the relevant assets needs to be disclosed - paragraph 7.3.2.10 of the Code
- the Council has defaulted on a loan agreement or otherwise breached it - paragraphs 7.3.2.11 and 7.3.2.12 of the Code.</t>
  </si>
  <si>
    <t>Income, Expense, Gains and Losses</t>
  </si>
  <si>
    <t>Surplus or Deficit on the Provision of Services : financial assets measured at fair value through profit or loss</t>
  </si>
  <si>
    <t>Surplus or Deficit on the Provision of Services : financial assets measured at amortised cost</t>
  </si>
  <si>
    <t>Surplus or Deficit on the Provision of Services : investments in equity instruments designated at fair value through other comprehensive income</t>
  </si>
  <si>
    <t>Surplus or Deficit on the Provision of Services : financial liabilities measured at fair value through profit or loss</t>
  </si>
  <si>
    <t>Surplus or Deficit on the Provision of Services : financial liabilities measured at amortised cost</t>
  </si>
  <si>
    <t>Other Comprehensive Income and Expenditure: financial assets measured at fair value through profit or loss</t>
  </si>
  <si>
    <t>Other Comprehensive Income and Expenditure : financial assets measured at amortised cost</t>
  </si>
  <si>
    <t>Other Comprehensive Income and Expenditure : investments in equity instruments designated at fair value through other comprehensive income</t>
  </si>
  <si>
    <t>Other Comprehensive Income and Expenditure : financial liabilities measured at fair value through profit or loss</t>
  </si>
  <si>
    <t>Other Comprehensive Income and Expenditure : financial liabilities measured at amortised cost</t>
  </si>
  <si>
    <t>Other Comprehensive Income and Expenditure : financial assets measured at fair value through other comprehensive income</t>
  </si>
  <si>
    <t>Surplus or Deficit on the Provision of Services : financial assets measured at fair value through other comprehensive income</t>
  </si>
  <si>
    <t>Interest revenue</t>
  </si>
  <si>
    <t>Surplus or Deficit on the Provision of Services: financial assets measured at amortised cost</t>
  </si>
  <si>
    <t>Surplus or Deficit on the Provision of Services: other financial assets measured at fair value through other comprehensive income</t>
  </si>
  <si>
    <t>Other Comprehensive Income and Expenditure: financial assets measured at amortised cost</t>
  </si>
  <si>
    <t>Other Comprehensive Income and Expenditure: other financial assets measured at fair value through other comprehensive income</t>
  </si>
  <si>
    <t>Interest expense</t>
  </si>
  <si>
    <t>Surplus or Deficit on the Provision of Services: financial assets or financial liabilities that are not at fair value through profit or loss (FEE INCOME)</t>
  </si>
  <si>
    <t>Surplus or Deficit on the Provision of Services: trust and other fiduciary activities (FEE INCOME)</t>
  </si>
  <si>
    <t>Other Comprehensive Income and Expenditure: financial assets or financial liabilities that are not at fair value through profit or loss (FEE INCOME)</t>
  </si>
  <si>
    <t>Other Comprehensive Income and Expenditure: trust and other fiduciary activities (FEE INCOME)</t>
  </si>
  <si>
    <t>Surplus or Deficit on the Provision of Services: financial assets or financial liabilities that are not at fair value through profit or loss (FEE EXPENSE)</t>
  </si>
  <si>
    <t>Surplus or Deficit on the Provision of Services: trust and other fiduciary activities (FEE EXPENSE)</t>
  </si>
  <si>
    <t>Other Comprehensive Income and Expenditure: financial assets or financial liabilities that are not at fair value through profit or loss (FEE EXPENSE)</t>
  </si>
  <si>
    <t>Other Comprehensive Income and Expenditure: trust and other fiduciary activities (FEE EXPENSE)</t>
  </si>
  <si>
    <t>If relevant: this table will need to be supplemented with details of gains and losses related to assets and liabilities designated at fair value through profit or loss and for hedge accounting if they are relevant.</t>
  </si>
  <si>
    <t>Where the net gain/loss recognised in the Comprehensive Income and Expenditure Statement for financial assets measured at amortised cost included gains/losses arising on derecognition, paragraph 7.3.2.14 of the Code requires an analysis of the net amount, separating out the derecognition gains and losses.</t>
  </si>
  <si>
    <t xml:space="preserve">Fair Values of Financial Assets and Financial Liabilities  </t>
  </si>
  <si>
    <t xml:space="preserve">Fair Values of Financial Assets  </t>
  </si>
  <si>
    <t>Other financial instruments classified as fair value through profit or loss</t>
  </si>
  <si>
    <t>Equity shareholding in Best of Both Worlds Ltd</t>
  </si>
  <si>
    <t>The Council's shareholding in Best of Both Worlds Ltd - the shares in this company are not traded in an active market and fair value of £x has been based on valuation techniques that are not based on observable current market transactions or available market data.  The valuation has been made based on an analysis of the assets and liabilities in the Company's latest audited accounts and an assessment of future trading prospects of a 5% return on net assets per annum.  If future returns are greater or lesser by 1% than the 5% assessment, the fair value will be £x higher or lower respectively.</t>
  </si>
  <si>
    <t>Other Financial Instruments Classified as Fair Value through Profit or Loss</t>
  </si>
  <si>
    <t>Councils will need to include references to the relevant quoted markets.</t>
  </si>
  <si>
    <t>Transfers between Levels of the Fair Value Hierarchy</t>
  </si>
  <si>
    <t>There were no transfers between input levels 1 and 2 during the year.</t>
  </si>
  <si>
    <t>Changes in the Valuation Technique</t>
  </si>
  <si>
    <t>Reconciliation of Fair Value Measurements for Financial Assets carried at Fair Value categorised within Level 3 of the Fair Value Hierarch for Financial Assets</t>
  </si>
  <si>
    <t>Gain and losses included in the Surplus or Deficit on the Provision of Services for the current and the previous year relate to the unquoted shares in Best of Both Worlds Ltd.</t>
  </si>
  <si>
    <t>Financial assets held at amortised cost</t>
  </si>
  <si>
    <t>Short-term debtors and creditors are carried at cost as this is a fair approximation of their value.</t>
  </si>
  <si>
    <t xml:space="preserve">Fair Values of Financial Assets and Financial Liabilities that are not Measured at Fair Value </t>
  </si>
  <si>
    <t>Other financial assets</t>
  </si>
  <si>
    <t>Amounts included in the Balance Sheet for contracts with service recipients:</t>
  </si>
  <si>
    <t>Contract assets at the beginning of the year</t>
  </si>
  <si>
    <t>Changes as a result of the changes in the measure of progress</t>
  </si>
  <si>
    <t>Value of revenue expected to be recognised in the future related to performance obligations that are unsatisfied (or partially unsatisfied) at the end of the year is</t>
  </si>
  <si>
    <t>Additional explanatory text for the above disclosures may need to be provided to meet the objective of the disclosure requirements for revenue from contracts with service recipients in paragraph 2.7.4.3 of the Code, particularly where the disclosures relate to material transactions.  This may include:</t>
  </si>
  <si>
    <t>Non-Current</t>
  </si>
  <si>
    <t>Fair Value through profit or loss</t>
  </si>
  <si>
    <t>Amortised cost</t>
  </si>
  <si>
    <t>Fair Value through other comprehensive income - designated equity instruments</t>
  </si>
  <si>
    <t>Fair Value through other comprehensive income - other</t>
  </si>
  <si>
    <t>Total Financial Assets</t>
  </si>
  <si>
    <t>Non-Financial Assets</t>
  </si>
  <si>
    <t xml:space="preserve">Total  </t>
  </si>
  <si>
    <t>Total financial liabilities</t>
  </si>
  <si>
    <t>Non-financial liabilities</t>
  </si>
  <si>
    <t>Loan to Authority Y for the ABC Business Park</t>
  </si>
  <si>
    <t>Balance at start of year:</t>
  </si>
  <si>
    <t>Closing balance at end of year</t>
  </si>
  <si>
    <t>Fair value of new loans</t>
  </si>
  <si>
    <t>Non-current assets (long-term)</t>
  </si>
  <si>
    <t>Listed securities</t>
  </si>
  <si>
    <t>Rose plc</t>
  </si>
  <si>
    <t>Dandelion Ltd</t>
  </si>
  <si>
    <t>Dahlia Ltd</t>
  </si>
  <si>
    <t>Non-listed securities</t>
  </si>
  <si>
    <t>Community Company 1 Ltd</t>
  </si>
  <si>
    <t>Community Company 2 Ltd</t>
  </si>
  <si>
    <t>Fair Value on Derecognition</t>
  </si>
  <si>
    <t>Petunia Garden Centre Ltd</t>
  </si>
  <si>
    <t>Daisee Garden Centre Ltd</t>
  </si>
  <si>
    <t>Loss on Derecognition</t>
  </si>
  <si>
    <t>Net gains/losses on:</t>
  </si>
  <si>
    <t>Financial assets measured at amortised cost</t>
  </si>
  <si>
    <t>Investments in equity instruments designated at fair value through other comprehensive income</t>
  </si>
  <si>
    <t>Financial assets measured at fair value through other comprehensive income</t>
  </si>
  <si>
    <t>Financial liabilities measured at fair value through profit or loss</t>
  </si>
  <si>
    <t>Financial liabilities measured at amortised costs</t>
  </si>
  <si>
    <t>Total net gains/losses</t>
  </si>
  <si>
    <t>Surplus or Deficit on the Provision of Services</t>
  </si>
  <si>
    <t>Other financial assets measured at fair value through other comprehensive income</t>
  </si>
  <si>
    <t>Total interest revenue</t>
  </si>
  <si>
    <t>Fee income</t>
  </si>
  <si>
    <t>Financial assets or financial liabilities that are not at fair value through profit or loss</t>
  </si>
  <si>
    <t>Trust and other fiduciary activities</t>
  </si>
  <si>
    <t>Total fee income</t>
  </si>
  <si>
    <t>Fee expense</t>
  </si>
  <si>
    <t>Total fee expense</t>
  </si>
  <si>
    <t>Financial assets measured at fair value through profit or loss</t>
  </si>
  <si>
    <t>Surplus or Deficit on the Provision of Services: Interest expense</t>
  </si>
  <si>
    <t>Other Comprehensive Income and Expenditure: Interest expense</t>
  </si>
  <si>
    <t>Fee Income</t>
  </si>
  <si>
    <t>Fee Expense</t>
  </si>
  <si>
    <t>Financial assets</t>
  </si>
  <si>
    <t>Financial assets measured at fair value</t>
  </si>
  <si>
    <t>Fair value through profit or loss</t>
  </si>
  <si>
    <t xml:space="preserve">Fair value through profit or loss: </t>
  </si>
  <si>
    <t>Equity shareholdings in quoted UK Company</t>
  </si>
  <si>
    <t>Reconciliation of Fair Value Measurements for Financial Assets carried at Fair Value categorised within Level 3 of the Fair Value Hierarchy for Financial Assets</t>
  </si>
  <si>
    <t>Unquoted Shares
£</t>
  </si>
  <si>
    <t>Other
£</t>
  </si>
  <si>
    <t>Total 
£</t>
  </si>
  <si>
    <t>Total gains or losses for the period:</t>
  </si>
  <si>
    <t>Included in Surplus or Deficit on the Provision of Services</t>
  </si>
  <si>
    <t>Included in Other Comprehensive Income and Expenditure</t>
  </si>
  <si>
    <t>Fair value</t>
  </si>
  <si>
    <t>Financial liabilities held at amortised cost [describe]</t>
  </si>
  <si>
    <t>Long-term creditors</t>
  </si>
  <si>
    <t>Financial assets held at amortised cost [describe]</t>
  </si>
  <si>
    <t>Long-term debtors</t>
  </si>
  <si>
    <t>Quoted prices in active markets for identical assets (Level 1)</t>
  </si>
  <si>
    <t>Significant unobservable inputs (Level 3)</t>
  </si>
  <si>
    <t>Recurring fair value measurements using:</t>
  </si>
  <si>
    <t>Financial liabilities</t>
  </si>
  <si>
    <t>Financial liabilities held at amortised cost:</t>
  </si>
  <si>
    <t>Loans/borrowings [describe]</t>
  </si>
  <si>
    <t>Total adjustments</t>
  </si>
  <si>
    <t>Outstanding legal cases</t>
  </si>
  <si>
    <t>Injury and Damage Compensation claims</t>
  </si>
  <si>
    <t>A substantial legal case in progress that has been provided for relates to: Her Majesty's Revenue and Customs has made a claim against the authority for £x of unpaid VAT in relation to the provision of educational courses.  HMRC was awarded a sum of £x including interest and costs in the High Court, but the council is appealing against the decision.  Provision has been made for the amount awarded by the High Court pending the outcome of the appeal. It is expected that the appeal will be heard in Spring 20xx.</t>
  </si>
  <si>
    <t>The Account is debited with the cost of acquisition, construction or enhancement as depreciation, impairment losses and amortisations are charged to the Comprehensive Income and Expenditure Statement, with reconciling postings from the Revaluation Reserve to convert fair value figures to an historic cost basis.
The account is credited with the amounts set aside by the Council as finance for the costs of acquisition, construction and subsequent costs.</t>
  </si>
  <si>
    <t>However, statutory arrangements require benefits earned to be financed as the Council makes employer's contributions to pension funds or eventually pays any pensions for which it is directly responsible.  The debit balance on the Pensions Reserve therefore shows a substantial shortfall in the benefits earned by past and current employees and the resources the Council has set aside to meet them.  The statutory arrangements will ensure that funding will have been set aside by the time the benefits come to be paid.</t>
  </si>
  <si>
    <t>The Deferred Capital Receipts Account holds the gains recognised on the disposal of non-current assets but for which cash settlement has yet to take place.  Under statutory arrangements, the Council does not treat these gains as usable for financing new capital expenditure until they are backed by cash receipts.  When the deferred cash settlement eventually takes place, amounts are transferred to the Capital Receipts Reserve.</t>
  </si>
  <si>
    <t>(Increase)/Decrease in inventories</t>
  </si>
  <si>
    <t>The Council is required to disclose material transactions with related parties - bodies or individuals that have the potential to control or influence the council or to be controlled or influenced by the council.  Disclosure of these transactions allows readers to assess the extent to which the council might have been constrained in its ability to operate independently or might have secured the ability to limit another party's ability to bargain freely with the council.</t>
  </si>
  <si>
    <t>Note that where key management personnel (KMP) services are provided to the authority by a separate management entity, disclosure of the fee paid to the management entity for the KMP services is required. [see paragraph 3.9.4.2 of the code]</t>
  </si>
  <si>
    <t>The minimum lease payments comprise settlement of the long-term debtor for the interest in the property acquired by the lessee and finance income that will be earned by the Council in future years while the debtor remains outstanding.  The gross investment is made up of the following amounts:</t>
  </si>
  <si>
    <t>Unearned finance income</t>
  </si>
  <si>
    <t>Unguaranteed residual value of property</t>
  </si>
  <si>
    <t>The gross investment in the lease and the minimum lease payments will be received over the following periods:</t>
  </si>
  <si>
    <t>Gross investment/minimum lease payments disclosure</t>
  </si>
  <si>
    <t>Minimum lease payments: not later than one year</t>
  </si>
  <si>
    <t>Minimum lease payments: later than one year and not later than five years</t>
  </si>
  <si>
    <t>Minimum lease payments: later than five years</t>
  </si>
  <si>
    <t>The future minimum lease payments due under  non-cancellable operating leases in future years are:</t>
  </si>
  <si>
    <t>Later than one year and not later than five years</t>
  </si>
  <si>
    <t>Later than five years</t>
  </si>
  <si>
    <t>Gross investment in the lease: no later than 1 year</t>
  </si>
  <si>
    <t>Gross investment in the lease: later than 1 year and no later than 5 years</t>
  </si>
  <si>
    <t>Gross investment in the lease: later than 5 years</t>
  </si>
  <si>
    <t>The assets acquired under these leases are carried as property, plant and equipment in the Balance Sheet at the following net amounts:</t>
  </si>
  <si>
    <t>Other Land and Buildings</t>
  </si>
  <si>
    <t>Vehicles, Plant, Furniture and Equipment</t>
  </si>
  <si>
    <t>The Council is committed to making minimum payments under these leases comprising settlement of the long-term liability for the interest in the property acquired by the Council and finance costs that will be payable by the authority in future years while the liability remains outstanding.  The minimum lease payments are made up of the following amounts:</t>
  </si>
  <si>
    <t>Finance costs payment in future years</t>
  </si>
  <si>
    <t>The minimum lease payments will be payable over the following periods:</t>
  </si>
  <si>
    <t>The Council has acquired its fleet of refuse collection vehicles by entering into operating leases, with typical lives of seven years.</t>
  </si>
  <si>
    <t>The future minimum lease payments due under non-cancellable leases in future years are:</t>
  </si>
  <si>
    <t>Operating lease disclosure</t>
  </si>
  <si>
    <t>Where assets acquired under operating leases are sub-let, disclosures is required of the future minimum sublease payments expected to be received by the Council, per paragraph 4.2.4.2(7) of the Code.</t>
  </si>
  <si>
    <t>The expenditure charged to the Business Change line in the Comprehensive Income and Expenditure Statement during the year in relation to these leases was:</t>
  </si>
  <si>
    <t>Contingent rents</t>
  </si>
  <si>
    <t>Sublease payments receivable</t>
  </si>
  <si>
    <t>The Council has a gross investment in the lease, made up of the minimum lease payments expected to be received over the remaining term and the residual value anticipated for the property when the lease comes to an end.</t>
  </si>
  <si>
    <t>Non-current</t>
  </si>
  <si>
    <t>Gross Investment in the Lease</t>
  </si>
  <si>
    <t>Minimum Lease Payments</t>
  </si>
  <si>
    <t>Non- Current</t>
  </si>
  <si>
    <t>Finance costs payable in future years</t>
  </si>
  <si>
    <t>Not later than 1 year</t>
  </si>
  <si>
    <t>Gross Investment in the lease</t>
  </si>
  <si>
    <t>Property, plant and equipment</t>
  </si>
  <si>
    <t>Effects of Changes in Estimates</t>
  </si>
  <si>
    <t>The significant assumptions applied in estimating the current values of property, plant and equipment are:
- assumption a
- assumption b
- assumption c</t>
  </si>
  <si>
    <t>Non-operational Property, Plant and Equipment (Surplus Assets)</t>
  </si>
  <si>
    <t>The Council does not have material surplus assets.</t>
  </si>
  <si>
    <t>The following items of income and expense have been accounted for in the Financing and Investment Income and Expenditure line in the Comprehensive Income and Expenditure Statement:</t>
  </si>
  <si>
    <t>The following table summaries the movement in the fair value of investment properties over the year:</t>
  </si>
  <si>
    <t>Office units - valuation technique used to measure fair value</t>
  </si>
  <si>
    <t>Office units - unobservable inputs</t>
  </si>
  <si>
    <t>Office units - range [weighted average used]</t>
  </si>
  <si>
    <t>Office units - sensitivity</t>
  </si>
  <si>
    <t>Commercial units - valuation technique used to measure fair value</t>
  </si>
  <si>
    <t>Commercial units - unobservable inputs</t>
  </si>
  <si>
    <t>Commercial units - range [weighted average used]</t>
  </si>
  <si>
    <t>Commercial units - sensitivity</t>
  </si>
  <si>
    <t>Income approach using a discounted cash flow [DCF] technique</t>
  </si>
  <si>
    <t>Rent growth,
Vacancy levels,
Discount rate</t>
  </si>
  <si>
    <t>x% - x% (x%)
x% - x% (x%)
x% - x% (x%)</t>
  </si>
  <si>
    <t>Significant changes in rent growth; vacancy levels or discount rate will result in a significantly lower or higher fair value.</t>
  </si>
  <si>
    <t>Valuation process for Investment Properties</t>
  </si>
  <si>
    <t>The fair value of the Council's investment property is measured annually at each reporting date.  All valuations are carried out internally, in accordance with the methodologies and bases for estimate set out in the professional standards of the Royal Institution of Chartered Surveyors.</t>
  </si>
  <si>
    <t>The Council's valuation experts work closely with finance officers reporting directly to the chief financial officer on a regular basis regarding all valuation matters.</t>
  </si>
  <si>
    <t>The movement on intangible asset balances during the year is as follows:</t>
  </si>
  <si>
    <t>Item A</t>
  </si>
  <si>
    <t>Item B</t>
  </si>
  <si>
    <t>Item C</t>
  </si>
  <si>
    <t>Item D</t>
  </si>
  <si>
    <t>Gross carrying amounts</t>
  </si>
  <si>
    <t>Accumulated amortisation</t>
  </si>
  <si>
    <t>Net carrying amount at start of year</t>
  </si>
  <si>
    <t>Assets reclassified as held for sale</t>
  </si>
  <si>
    <t>Revaluation increases or decreases</t>
  </si>
  <si>
    <t>Impairment losses recognised or reversed directly in the Revaluation Reserve</t>
  </si>
  <si>
    <t>Amortisation for the period</t>
  </si>
  <si>
    <t>Other Changes</t>
  </si>
  <si>
    <t>Net carrying amount at end of year</t>
  </si>
  <si>
    <t>Comprising:</t>
  </si>
  <si>
    <t>Balance at start of the year</t>
  </si>
  <si>
    <t>Net gains/losses from fair value adjustments</t>
  </si>
  <si>
    <t>Balance at end of the year</t>
  </si>
  <si>
    <t>Residential (market rental) properties</t>
  </si>
  <si>
    <t>Office units</t>
  </si>
  <si>
    <t>[The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occured.  A Council is required to disclose and consistently follow its policy for determining when transfers between levels of the fair value hierarchy are deemed to have occurred.]</t>
  </si>
  <si>
    <t>Significant Observable Inputs - Level 2</t>
  </si>
  <si>
    <t>Highest and best use of Investment Properties</t>
  </si>
  <si>
    <t>Office buildings catergorised within Level 3</t>
  </si>
  <si>
    <t>[Where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t>
  </si>
  <si>
    <t>Quantitative information about fair value measurement of investment properties using significant unobservable inputs - level 3</t>
  </si>
  <si>
    <t>Valuation techniques used to determine Level 2 and 3 Fair Values for Investment Properties</t>
  </si>
  <si>
    <t>As at</t>
  </si>
  <si>
    <t>Investment Property Categorised within Level 3</t>
  </si>
  <si>
    <t>Net gains &amp; losses from fair value adjustments</t>
  </si>
  <si>
    <t>Investment Properties Net gains &amp; losses from fair value adjustments</t>
  </si>
  <si>
    <t>Transfers (to) / from Property, Plant and Equipment</t>
  </si>
  <si>
    <t>Investment Properties Other changes</t>
  </si>
  <si>
    <t>Other Operating Income &amp; Expenditure</t>
  </si>
  <si>
    <t>Pensions interest costs and expected return on pensions assets</t>
  </si>
  <si>
    <t>Long - Term Assets - Current Year</t>
  </si>
  <si>
    <t>Long - Term Assets - Comparative Year</t>
  </si>
  <si>
    <t>Available for Sale Financial Instruments Adjustment Reserve</t>
  </si>
  <si>
    <t>Prior Year Re - statement</t>
  </si>
  <si>
    <t>Acquisitions &amp; Discontinued Operations</t>
  </si>
  <si>
    <t>xxvi)</t>
  </si>
  <si>
    <t>xxvii)</t>
  </si>
  <si>
    <t>xxviii)</t>
  </si>
  <si>
    <t>xxix)</t>
  </si>
  <si>
    <t>The Carbon Reduction Commitment Scheme</t>
  </si>
  <si>
    <t>3a</t>
  </si>
  <si>
    <t>3b</t>
  </si>
  <si>
    <t>Revenue from Contracts with Service Recepients</t>
  </si>
  <si>
    <t>General Power of Competence</t>
  </si>
  <si>
    <t>Contract Costs</t>
  </si>
  <si>
    <t>Deferred revenue</t>
  </si>
  <si>
    <t>Disclosure on transition to IFRS 15</t>
  </si>
  <si>
    <t>Disclosure on Transition to IFRS 15</t>
  </si>
  <si>
    <t>The following tables shows the impact of adopting IFRS 15 on the Council's accounts for the year</t>
  </si>
  <si>
    <t>Impact of changes in accounting policies</t>
  </si>
  <si>
    <t>Income from the provision of services - adjustments</t>
  </si>
  <si>
    <t>Expenditure on the provision of services - adjustments</t>
  </si>
  <si>
    <t>Other operating expenditure - adjustments</t>
  </si>
  <si>
    <t>Financing and investment income and expenditure - adjustments</t>
  </si>
  <si>
    <t>Surplus or deficit on discontinued operations - adjustments</t>
  </si>
  <si>
    <t>Taxation and non-specific grant income and expenditure - adjustments</t>
  </si>
  <si>
    <t>Other Comprehensive Income and Expenditure - adjustments</t>
  </si>
  <si>
    <t>Adjustments between the accounting basis and the funding basis under regulations - adjustments</t>
  </si>
  <si>
    <t>Net (surplus) or deficit on the provision of services - adjustments</t>
  </si>
  <si>
    <t>Increase/ Decrease in other - adjustments</t>
  </si>
  <si>
    <t>Adjustments for items included in the net surplus or deficit on the provision of services that are investing or financing activities - adjustments</t>
  </si>
  <si>
    <t>Investing Activities - adjustments</t>
  </si>
  <si>
    <t>Financing Activities - adjustments</t>
  </si>
  <si>
    <t>Cash and cash equivalents at the beginning of the reporting period - adjustments</t>
  </si>
  <si>
    <t>Cash and cash equivalents at the end of the reporting period - adjustments</t>
  </si>
  <si>
    <t>The objective of this note is to ensure that the Council discloses sufficient information to enable users of its financial statements to understand the nature, amount, timing and uncertainty of revenue and cash flows arising from contracts with service recipients.</t>
  </si>
  <si>
    <t>Long-term assets - adjustments</t>
  </si>
  <si>
    <t>Contract Costs - adjustments</t>
  </si>
  <si>
    <t>Trade and other receivables - adjustments</t>
  </si>
  <si>
    <t>Contract assets - adjustments</t>
  </si>
  <si>
    <t>Trade and other payables - adjustments</t>
  </si>
  <si>
    <t>Contract Liabilities - adjustments</t>
  </si>
  <si>
    <t>Other contract assets - adjustments</t>
  </si>
  <si>
    <t>Other Contract Liabilities- adjustments</t>
  </si>
  <si>
    <t>Long-term liabilities- adjustments</t>
  </si>
  <si>
    <t>Usable Reserves - adjustments</t>
  </si>
  <si>
    <t>Unusable Reserves - adjustments</t>
  </si>
  <si>
    <t>Amounts without adoption of IFRS 15</t>
  </si>
  <si>
    <t>Income from the provision of services</t>
  </si>
  <si>
    <t>Expenditure on the provision of services</t>
  </si>
  <si>
    <t>Net expenditure on the provision of services</t>
  </si>
  <si>
    <t>Other operating expenditure</t>
  </si>
  <si>
    <t>Financing and investment income and expenditure</t>
  </si>
  <si>
    <t>Surplus or deficit on discontinued operations</t>
  </si>
  <si>
    <t>Taxation and non-specific grant income and expenditure</t>
  </si>
  <si>
    <t>(Surplus) or Deficit on Provision of Services</t>
  </si>
  <si>
    <t>Adjustments between the accounting basis and the funding basis under regulations</t>
  </si>
  <si>
    <t>Long-term assets</t>
  </si>
  <si>
    <t>Contract costs</t>
  </si>
  <si>
    <t>Trade and other receivables</t>
  </si>
  <si>
    <t>Contract assets</t>
  </si>
  <si>
    <t>Trade and other payables</t>
  </si>
  <si>
    <t>Long-term liabilities</t>
  </si>
  <si>
    <t>Total Reserves</t>
  </si>
  <si>
    <t>Net (Surplus) or Deficit on the provision of services</t>
  </si>
  <si>
    <t>Adjustments to net surplus or deficit on the provision of services for non-cash movements</t>
  </si>
  <si>
    <t>Deferred Revenue</t>
  </si>
  <si>
    <t>Adjustments for items included in the net surplus or deficit on the provision of services that are investing and financing activities</t>
  </si>
  <si>
    <t>Net cash flows from Operating Activities</t>
  </si>
  <si>
    <t>Income from the provision of services - as reported</t>
  </si>
  <si>
    <t>Expenditure on the provision of services - as reported</t>
  </si>
  <si>
    <t>Adjustments to net surplus or deficit on the provision of services for non-cash movements - adjustments</t>
  </si>
  <si>
    <t>Contract Receivables</t>
  </si>
  <si>
    <t>Contract Payables</t>
  </si>
  <si>
    <t>LTCA</t>
  </si>
  <si>
    <t>LTCC</t>
  </si>
  <si>
    <t>CASSCA</t>
  </si>
  <si>
    <t>CASSCC</t>
  </si>
  <si>
    <t>LTCL</t>
  </si>
  <si>
    <t>STCL</t>
  </si>
  <si>
    <t>Other Contract Liabilities- as reported</t>
  </si>
  <si>
    <t>Other contract assets - as reported</t>
  </si>
  <si>
    <t xml:space="preserve">Contract Costs  </t>
  </si>
  <si>
    <t>Deferred Income</t>
  </si>
  <si>
    <t>(Increase)/Decrease in Inventory</t>
  </si>
  <si>
    <t>Tab</t>
  </si>
  <si>
    <t>Cell</t>
  </si>
  <si>
    <t>This table summarises corrections made as a result of feedback provided on the draft Pro Forma</t>
  </si>
  <si>
    <t>Correction</t>
  </si>
  <si>
    <t>Commentary</t>
  </si>
  <si>
    <t>Transfers out on adoption of IFRS 9 - Financial Instruments</t>
  </si>
  <si>
    <t>Financial Instruments Revaluation Reserve</t>
  </si>
  <si>
    <t>BFIRR</t>
  </si>
  <si>
    <t>Available for Sale Financial Instruments Adjustment Reserve and Financial Instruments Revaluation Reserve</t>
  </si>
  <si>
    <t>Transfers in on adoption of IFRS 9 - Financial Instruments</t>
  </si>
  <si>
    <t xml:space="preserve">Transfers in on adoption of IFRS 9 </t>
  </si>
  <si>
    <t xml:space="preserve">Transfers in /out on adoption of IFRS 9 </t>
  </si>
  <si>
    <t>Surplus/(Deficit) arising on revaluation of available-for-sale financial assets and financial assets through other comprehensive income and expenditure</t>
  </si>
  <si>
    <t>Available-for-Sale Financial Instruments Adjustment Reserve and Financial Instruments Revaluation Reserve</t>
  </si>
  <si>
    <t>Councils need to include a note if relevant or state not applicable.</t>
  </si>
  <si>
    <t>Transfers in on adoption of IFRS 9</t>
  </si>
  <si>
    <t>Amendments to version 1</t>
  </si>
  <si>
    <r>
      <t xml:space="preserve">The Pro forma has been designed to meet the requirements of Local Councils in Northern Ireland, as such not all areas of the Pro forma will be relevant to all Councils.
</t>
    </r>
    <r>
      <rPr>
        <b/>
        <sz val="12"/>
        <color rgb="FFFF0000"/>
        <rFont val="Calibri"/>
        <family val="2"/>
      </rPr>
      <t>Please note: Local Councils should contact Local Government Finance Branch if they believe that the Pro forma does not fully meet their requirements.</t>
    </r>
  </si>
  <si>
    <t>Landfill related projects - £x.x million, Other - not yet specified in sufficient detail and/or subject to tender and therefore unable to reasonably estimate.</t>
  </si>
  <si>
    <t>The Council has made a provision for the costs of settling claims for back pay arising from discriminatory payments incurred before the Council implemented its Single Status Policy.  Local government reform resulted in the assets and liabilities of the former x legacy councils being transferred to xx on 1 April 2015.  
As each of the legacy councils had substantially completed its Single Status, Job Evaluation and Pay and Grading Reviews, Council has not acquired an opening provision for such matters.  As the staff of the former legacy councils and those transferring in from the Department of the Environment's Planning Service are protected by the Transfer of Protected Undertakings Act (Northern Ireland) 2006 (TUPE), Council has not sought to amend these employees' terms and conditions of employment.  Appropriate provision will be made for any financial consequences of employees' terms and conditions as and when required.</t>
  </si>
  <si>
    <t>The loan to Council A to redevelop the business park to make it fit for 21st century small and medium-sized businesses is deemed to be a material soft loan - the loan is an interest free loan of £x to Council A.</t>
  </si>
  <si>
    <t>* A rating of +1 year means that members are assumed to follow the mortality pattern of the base table above for an individual that is 1 year older than that.</t>
  </si>
  <si>
    <t>The Council considers its only significant trading operation to be the provision of car parking facilities. The results for this are disclosed in Note 2, namely Income of £xx and costs of £xx.</t>
  </si>
  <si>
    <t>2021/22</t>
  </si>
  <si>
    <t>Differs as info presented separately on Tullyvar</t>
  </si>
  <si>
    <t>Depreciation is calculated on the following bases:</t>
  </si>
  <si>
    <t>In applying accounting policies set out from 1a above,  the Council has had to make certain judgements about complex transactions or those involving uncertainty about future events.  The critical judgements made in the Statement of Accounts are:</t>
  </si>
  <si>
    <t>Note 16: Investments</t>
  </si>
  <si>
    <t>Note 17: Borrowings</t>
  </si>
  <si>
    <t>Note 18: Creditors</t>
  </si>
  <si>
    <t>Note 19: Provisions</t>
  </si>
  <si>
    <t>Note 20: Financial Instruments</t>
  </si>
  <si>
    <t>Note 21: Retirement Benefits</t>
  </si>
  <si>
    <t>Note 22: Donated Assets Account</t>
  </si>
  <si>
    <t>Note 23: Capital Grants Received in Advance</t>
  </si>
  <si>
    <t>Note 24: Contingencies</t>
  </si>
  <si>
    <t>Note 25: Other cash flow disclosures</t>
  </si>
  <si>
    <t>Note 26: Usable Reserves</t>
  </si>
  <si>
    <t>Note 27: Unuseable Reserves</t>
  </si>
  <si>
    <t>Note 28: Disclosure on Transition to IFRS 15</t>
  </si>
  <si>
    <t>Note 29: Significant Trading Operations</t>
  </si>
  <si>
    <t>Note 30: Agency Services</t>
  </si>
  <si>
    <t>Note 31: Joint Arrangements</t>
  </si>
  <si>
    <t>Note 32: Related Party Transactions</t>
  </si>
  <si>
    <t>Note 33: Prior Year Re - statement</t>
  </si>
  <si>
    <t xml:space="preserve">Narrative Report </t>
  </si>
  <si>
    <t>Table 2: Remuneration (including salary)[audited information]</t>
  </si>
  <si>
    <t>Where an individual has a non-standard pension arrangement (e.g. accelerated accrual or membership of a Supplementary Scheme), this should be disclosed in the report.</t>
  </si>
  <si>
    <t xml:space="preserve">Property, plant and equipment </t>
  </si>
  <si>
    <t>lease debtors-Note 5c)</t>
  </si>
  <si>
    <t>Leases are classified as leases where the terms of the lease transfer substantially all the risks and rewards incidental to ownership of the property, plant or equipment from the lessor to the lessee.  All other leases are classified as operating leases.
.</t>
  </si>
  <si>
    <t>The Council as Lessee - lease</t>
  </si>
  <si>
    <t>Property, plant and equipment held under leases is recognised on the Balance Sheet at the commencement of the lease at its fair value measured at the lease’s inception (or the present value of the minimum lease payments, if lower).  The asset recognised is matched by a liability for the obligation to pay the lessor.  Initial direct costs of the Council are added to the carrying amount of the asset.  Premiums paid on entry into a lease are applied to writing down the lease liability.  Contingent rents are charged as expenses in the periods in which they are incurred.</t>
  </si>
  <si>
    <t>Property, Plant and Equipment recognised under leases is accounted for using the policies applied generally to such assets, subject to depreciation being charged over the lease term if this is shorter than the asset’s estimated useful life (where ownership of the asset does not transfer to the Council at the end of the lease period).</t>
  </si>
  <si>
    <t>The Council as Lessor - lease</t>
  </si>
  <si>
    <t xml:space="preserve">Where the Council grants a lease over a property or an item of plant or equipment, the relevant asset is written out of the Balance Sheet as a disposal. At the commencement of the lease, the carrying amount of the asset in the Balance Sheet (whether Property, Plant and Equipment or Assets Held for Sale) is written off to the Other Operating Expenditure line in the Comprehensive Income and Expenditure Statement as part of the gain or loss on disposal.  A gain, representing the Council’s net investment in the lease, is credited to the same line in the Comprehensive Income and Expenditure Statement also as part of the gain or loss on disposal (i.e. netted off against the carrying value of the asset at the time of disposal), matched by a lease asset (long term debtor) in the Balance Sheet. </t>
  </si>
  <si>
    <t>Operating and leases</t>
  </si>
  <si>
    <t>leases 1</t>
  </si>
  <si>
    <t xml:space="preserve">The Council has leased out property to a local community sports and leisure provider on a lease with a remaining term of 50 years.
</t>
  </si>
  <si>
    <t>leases 2</t>
  </si>
  <si>
    <t>leases 3</t>
  </si>
  <si>
    <t>lease debtors (net present value of minimum lease payments): current</t>
  </si>
  <si>
    <t>lease debtors (net present value of minimum lease payments): non - current</t>
  </si>
  <si>
    <t>The Council has acquired a number of administrative buildings and its IT and telecommunications system under leases.</t>
  </si>
  <si>
    <t>lease liabilities (net present value of minimum lease payments): current</t>
  </si>
  <si>
    <t>lease liabilities (net present value of minimum lease payments): non - current</t>
  </si>
  <si>
    <t>lease disclosure</t>
  </si>
  <si>
    <t>lease liabilities: not later than one year</t>
  </si>
  <si>
    <t>lease liabilities: later than one year and not later than five years</t>
  </si>
  <si>
    <t>lease liabilities: later than five years</t>
  </si>
  <si>
    <t>The total amount of capital expenditure incurred in the year is shown in the table below (including the value of assets acquired under leases and PFI contracts), together with the resources that have been used to finance it.  Where capital expenditure is to be financed in future years by charges to revenue as assets are used by the Council, the expenditure results in an increase in the Capital Financing Requirement (CF), a measure of the capital expenditure incurred historically by the Council that is yet to be financed.  The CFR is analysed in the second part of this note.</t>
  </si>
  <si>
    <t>Explanation of Movements in Year: Assets acquired under leases</t>
  </si>
  <si>
    <t>PFI and lease liabilities</t>
  </si>
  <si>
    <t>Cash Payments for the reduction of the outstanding liability relating to a lease and on-Balance Sheet PFI Contracts</t>
  </si>
  <si>
    <t>Note 6: Operating and leases</t>
  </si>
  <si>
    <t>leases (Council as lessor)</t>
  </si>
  <si>
    <t>leases (Council as lessee)</t>
  </si>
  <si>
    <t>lease debtor (net present value of minimum lease payments):</t>
  </si>
  <si>
    <t>Assets acquired under leases</t>
  </si>
  <si>
    <t>lease debtors</t>
  </si>
  <si>
    <t>Cash payments for the reduction of the outstanding liability relating to a lease and on-Balance Sheet PFI contracts</t>
  </si>
  <si>
    <t>Paragraph 3.4.2.46 of the Code requires that a local authority provides a disclosure on the nature of expenses. This requirement is fulfilled through Note 3 Expenditure and Income analysed by nature.</t>
  </si>
  <si>
    <t>Where financial assets are measured at fair value through other comprehensive income in accordance with paragraph 7.1.5.3 of the code, paragraph 7.3.2.13 requires that gains and losses recognised in Other Comprehensive Income and Expenditure should be shown separately from the amount reclassified on derecognition from accumulated Other Comprehensive Income and Expenditure to the Surplus or Deficit on the Provision of Services.</t>
  </si>
  <si>
    <t xml:space="preserve">Landfill Allowance and Other Trading Schemes
The Waste and Emissions Trading Act 2003 placed a duty on waste disposal authorities (WDAs) 
in England, Scotland, Wales and Northern Ireland to reduce the amount of biodegradable 
municipal waste (BMW) disposed of to landfill. It also provides the legal framework for the Landfill Allowances Scheme (Northern Ireland) Regulations, which came into force on 1 April 
2005.
The landfill allowance schemes that operate in Wales and Northern Ireland are not ‘cap and 
trade’ schemes and therefore authorities shall not recognise an asset for landfill allowances, 
grant income in respect of the allowances or liabilities for actual BMW landfill usage.
 WDAs in Wales and district councils in Northern Ireland are required to meet annual target 
figures for the maximum amount of BMW that can be sent to landfill. For each tonne of BMW 
sent to landfill in excess of the target, an authority may be liable to a penalty (different values 
apply in Wales and Northern Ireland). However, current guidance indicates the penalty will be 
exercised with discretion rather than as an automatic consequence of exceeding the target. An 
authority shall recognise a provision for penalties payable to the Welsh Government or the 
Department of Agriculture, Environment and Rural Affairs in Northern Ireland. Where a possible 
landfill allowance liability exists but the authority has concluded that it does not need to make a 
provision, the authority shall disclose a separate class of contingent liability in relation to the 
possible penalty.
</t>
  </si>
  <si>
    <t>2022/23</t>
  </si>
  <si>
    <t>Office units as at 31/3/2022</t>
  </si>
  <si>
    <t>Commercial units as at 31/3/2022</t>
  </si>
  <si>
    <t>The Council intends to dispose of a piece of land at ………… that it no longer uses. The sale is expected to take place within the next X months. The Council is actively seeking a buyer for the land.</t>
  </si>
  <si>
    <t>The Financial Instruments Adjustment Account absorbs the timing differences arising from the different arrangements for accounting for income and expenses relating to certain financial instruments and for bearing losses or benefiting from gains per statutory provisions.  The council uses the account to manage premiums paid on the early redemption of loans.  Premiums are debited to the Comprehensive Income and Expenditure Statement when they are incurred, but reversed out of the General Fund Balance to the account in the Movement in Reserves Statement.  Over time, the expense is posted back to the General Fund Balance in accordance with statutory arrangements for spreading burden on rates.  In the Council's case, this period is the unexpired term that was outstanding on the loans when they were redeemed.  As a result, the balance on the account at 31st March 20YY will be charged to the General Fund over the next YY years.</t>
  </si>
  <si>
    <t>The existence and amount of any restrictions on the realisability of the investment properties or remittance of income and proceeds of disposal, in accordance with paragraph 4.4.4.2.(2) of the Code</t>
  </si>
  <si>
    <t>Contractual obligations to purchase, construct or develop investment property or for repairs, maintenance or enhancements, in accordance with paragraph 4.4.4.2.(3) of the Code</t>
  </si>
  <si>
    <t>Balance as at 31 March 2024</t>
  </si>
  <si>
    <t>1 April 2023 - 31 March 2024</t>
  </si>
  <si>
    <t>2023/24</t>
  </si>
  <si>
    <t>2023/24 Balance Sheet</t>
  </si>
  <si>
    <t>GROUP ACCOUNTS - 2023/24 Balance Sheet</t>
  </si>
  <si>
    <t>31st March 2024</t>
  </si>
  <si>
    <t>Fair value as at 31st March 2024</t>
  </si>
  <si>
    <t>[Paragraph 3.4.2.100 of the Code requires disclosure of the factors used to identify the Council's reportable segments, including the basis of organisation.]</t>
  </si>
  <si>
    <t>Paragraphs 7.3.2.8 to 7.3.2.12 of the Code contain a number of disclosure requirements that will rarely be applicable to Councils.  Additional notes will be required where a Council has a material involvement in any of the following:</t>
  </si>
  <si>
    <t>As at 31/03/2024</t>
  </si>
  <si>
    <t>The Provisions Discount Rate Reserve covers the arrangement, put in place by the Department under its amendment to the 2018/19 accounts direction (see DfC circular 18/19), to allow for mitigation of the costs not allowed for by Councils who had adopted the HM Treasury Central Government discount rate for long-term provisions such as Landfill costs.</t>
  </si>
  <si>
    <t>The Provisions Discount Rate Reserve covers the arrangement, put in place by the Department under its amendment to the 2018/19 accounts direction (see DOE circular 28/2013), to allow for mitigation of the costs not allowed for by Councils who had adopted the HM Treasury Central Government discount rate for long-term provisions such as Landfill costs.</t>
  </si>
  <si>
    <t>Accounts Signed Date</t>
  </si>
  <si>
    <t>Accounts Published Date</t>
  </si>
  <si>
    <t xml:space="preserve">Employers’ contribution rates are determined by the fund’s actuary every three years at the triennial valuation. A formal triennial acturial valuation of the Fund as at 31 March 2022 was carried out in 2022/23 and set the employer contribution rates for the 3 years commencing 1 April 2023 as follows: </t>
  </si>
  <si>
    <t>1 April 2024 - 31 March 2025</t>
  </si>
  <si>
    <t>1 April 2025 - 31 March 2026</t>
  </si>
  <si>
    <t>Balance as at 31 March 2023</t>
  </si>
  <si>
    <r>
      <rPr>
        <b/>
        <sz val="12"/>
        <color rgb="FF7030A0"/>
        <rFont val="Calibri"/>
        <family val="2"/>
      </rPr>
      <t>The Pro forma enables Councils which have subsidiaries to produce group accounts. If you do not have any subsidiaries please</t>
    </r>
    <r>
      <rPr>
        <b/>
        <sz val="12"/>
        <color rgb="FFFF0000"/>
        <rFont val="Calibri"/>
        <family val="2"/>
      </rPr>
      <t xml:space="preserve"> IGNORE</t>
    </r>
    <r>
      <rPr>
        <b/>
        <sz val="12"/>
        <color rgb="FF7030A0"/>
        <rFont val="Calibri"/>
        <family val="2"/>
      </rPr>
      <t xml:space="preserve"> notes and input columns which relate solely to</t>
    </r>
    <r>
      <rPr>
        <b/>
        <sz val="12"/>
        <color rgb="FFFF0000"/>
        <rFont val="Calibri"/>
        <family val="2"/>
      </rPr>
      <t xml:space="preserve"> SUBSIDIARIES.</t>
    </r>
  </si>
  <si>
    <t>The objective of the Expenditure and Funding Analysis is to demonstrate to ratepayers how the funding available to the authority (i.e. government grants, rates and business rates) for the year has been used in providing services in comparison with those resources consumed or earned by authorities in accordance with generally accepted accounting practices. The Expenditure and Funding Analysis also shows how this expenditure is allocated for decision making purposes between the Council’s directorates [services or departments]. Income and expenditure accounted for under generally accepted accounting practices is presented more fully in the Comprehensive Income and Expenditure Statement.</t>
  </si>
  <si>
    <t>Raising concerns and for receiving and investigating complaints from the public</t>
  </si>
  <si>
    <t>The Authority</t>
  </si>
  <si>
    <t>The Executive</t>
  </si>
  <si>
    <t>The Standards Committee</t>
  </si>
  <si>
    <t>Internal Audit</t>
  </si>
  <si>
    <t>Ensuring compliance with relevant laws and regulations, internal policies and procedures, and that expenditure is lawful</t>
  </si>
  <si>
    <t>Reviewing the effectiveness of the authority's decision-making framework, including delegation arrangements, decision making in partnerships and robustness of data quality</t>
  </si>
  <si>
    <t xml:space="preserve">Reviewing the effectiveness of the framework for identifying and managing risks and demonstrating clear accountability </t>
  </si>
  <si>
    <t>Ensuring effective counter-fraud and anti-corruption arrangements are developed and maintained</t>
  </si>
  <si>
    <t>Ensuring effective management of change and transformation</t>
  </si>
  <si>
    <t>Ensuring compliance with relevant laws and regulations, internal policies and procedures, and that expenditure is lawful.</t>
  </si>
  <si>
    <t xml:space="preserve">Ensuring the authority’s assurance arrangements conform with the governance requirements of the CIPFA Statement on the Role of the Head of Internal Audit (2010) and, where they do not, explain why and how they deliver the same impact </t>
  </si>
  <si>
    <t>Ensuring effective arrangements are in place for the discharge of the monitoring officer function</t>
  </si>
  <si>
    <t>Ensuring effective arrangements are in place for the discharge of the head of paid service function</t>
  </si>
  <si>
    <t>Undertaking the core functions of an audit committee, as identified in CIPFA’s Audit Committees: Practical Guidance for Local Authorities</t>
  </si>
  <si>
    <t>Identifying the development needs of members and senior officers in relation to their strategic roles, supported by appropriate training</t>
  </si>
  <si>
    <t>Establishing clear channels of communication with all sections of the community and other stakeholders, ensuring accountability and encouraging open consultation</t>
  </si>
  <si>
    <t>Enhancing the accountability for service delivery and effectiveness of other public service providers</t>
  </si>
  <si>
    <t>Incorporating good governance arrangements in respect of partnerships and other joint working as identified by the Audit Commission’s report on the governance of partnerships, and reflecting these in the authority’s overall governance arrangements.</t>
  </si>
  <si>
    <t>Council appointments of employees are made in accordance with the Local Government Staff Commission’s Code of Procedures on Recruitment and Selection, which requires appointment to be on merit and on the basis of fair and open competition.</t>
  </si>
  <si>
    <t xml:space="preserve">Councils are required to disclose the relationship between the remuneration of the highest paid member of the Executive Management Team/Senior Management Team and the median remuneration of the Council's workforce.
</t>
  </si>
  <si>
    <t>For financing and investment income and expenditure the other non-statutory adjustments column recognises adjustments to service segments, e.g. for interest income and expenditure and changes in the fair values of investment propertis.</t>
  </si>
  <si>
    <t>For taxation and non-specific grant income and expenditure the other non-statuory adjustments column recognised adjustments to service segments, e.g. for unringfenced government grants.</t>
  </si>
  <si>
    <r>
      <rPr>
        <b/>
        <sz val="14"/>
        <rFont val="Calibri"/>
        <family val="2"/>
      </rPr>
      <t>Within Financing and Investment Income and Expenditure</t>
    </r>
    <r>
      <rPr>
        <sz val="14"/>
        <rFont val="Calibri"/>
        <family val="2"/>
      </rPr>
      <t xml:space="preserve">
Net interest on the net defined benefit liability (asset), – i.e. net interest expense for the Council, the change during the period in the net defined benefit liability (asset) that arises from the passage of time charged to the Financing and Investment Income and Expenditure line of the Comprehensive Income and Expenditure Statement - this is calculated by applying the discount rate used to measure the defined benefit obligation at the beginning of the period to the net defined benefit liability (asset) at the beginning of the period - taking into account any changes in the net defined benefit liability (asset) during the period as a result of contribution and benefit payments.</t>
    </r>
  </si>
  <si>
    <t>ii) Financing and investment income and expenditure - the statutory charges for capital financing, i.e. Minimum Revenue Provision and other revenue contributions are deducted from financing and investment income and expenditure as these are not chargeable under generally accepted accounting practices.</t>
  </si>
  <si>
    <t>The Balance Sheet, as set out on page X, shows the value as at the Balance Sheet date of [the Authority]'s assets and liabilities. The net assets of the Council (assets less liabilities) are matched by the reserves held by the Authority. Reserves are reported in two categories. The first category of reserves are usable reserves, i.e. those reserves that the Council may use to provide services, subject to the need to maintain a prudent level of reserves and any statutory limitations on their use (for example the Capital Receipts Reserve that may only be used to fund capital expenditure or repay debt). The second category of reserves are those that the authority is not able to use to provide services. This category of reserves includes reserves that hold unrealised gains and losses (for example the Revaluation Reserve), where amounts would only become available to provide services if the assets are sold; and reserves that hold timing differences shown in the Movement in Reserves Statement line ‘Adjustments between accounting basis and funding basis under regulations’.</t>
  </si>
  <si>
    <r>
      <t xml:space="preserve">The Code states that an authority shall present information on reportable segments within the notes, where necessary.
It is expected that the service analysis in the CIES and the segmental analysis within the EFA should fulfill a local authority's segmental reporting requirements, however should the first column of the EFA, i.e. 'Net Expenditure Chargable to the General Fund' include the items listed below, then they should be reported on a segmental basis. 
- Revenues from external customers
- Revenues from transactions with other operating segments of the authority
- Interest revenue
- Interest expense
- Depreciation and amortisation
- Material items of income and expense disclosed
- Local Authority's interest in the profit or loss of associates and joint ventures accounted for by the equity method
- Income tax expense or income and
- Material non-cash items other than depreciation and amortisation
</t>
    </r>
    <r>
      <rPr>
        <b/>
        <sz val="14"/>
        <color rgb="FFFF0000"/>
        <rFont val="Calibri"/>
        <family val="2"/>
      </rPr>
      <t xml:space="preserve">To report these relevant items on a segmental basis please complete Note 2c Segmental Income. </t>
    </r>
    <r>
      <rPr>
        <sz val="12"/>
        <rFont val="Calibri"/>
        <family val="2"/>
      </rPr>
      <t xml:space="preserve">
</t>
    </r>
  </si>
  <si>
    <t>The Movement in Reserves Statement shows the movement from the start of the year to the end on the different reserves heldby the authority, analysed into 'usable reserves' (i.e. those that can be applied to fund expenditure or reduce local taxation) and other 'unusable reserves'. The Statement shows how the movements in year of the Council's reserves are broken down between gains and losses incurred in accordance with generally accepted accounting practices and the statutory adjustment required to return to the amounts chargeable to council tax for the year.  The Net Increase/Decrease line shows the statutory General Fund Balance movements in the year following those adjustments.</t>
  </si>
  <si>
    <t>The Balance Sheet shows the value as at the Balance Sheet date of the assets and liabilities recognised by the Council.  The net assets of the Council (assets less liabilities) are matched by the reserves held by the Council. Reserves are reported in two categories.  The first category of reserves are usable reserves, i.e. those reserves that the Council may use to provide services, subject to the need to maintain a prudent level of reserves and any statutory limitations on their use.  The second category of reserves is those that the Council is not able to use to provide services.  This category of reserves includes reserves that hold unrealised gains and losses (for example the Revaluation Reserve), where amounts would only become available to provide services if the assets are sold; and reserves that hold timing differences shown in the Movement in Reserves Statement line ' Adjustments between accounting basis and funding basis under regulations'.</t>
  </si>
  <si>
    <t>The Cash Flow Statement shows the changes in cash and cash equivalents of the Council during the reporting period.  The statement shows how the Council generates and uses cash and cash equivalents by classifying cash flows as operating, investing and financing activities.  The amount of net cash flows arising from operating activities is a key indicator of the extent to which the operations of the Council are funded by way of taxation and grant income or from the recipients of services provided by the Council.  Investing activities represent the extent to which cash outflows have been made for resources which are intended to contribute to the Council's future service delivery.  Cash flows arising from financing activities are useful in predicting claims on future cash flows by providers of capital (i.e. borrowing) to the Council.</t>
  </si>
  <si>
    <t>Short-term employee benefits are those due to be settled wholly within 12 months of the year-end. They include such benefits as wages and salaries, paid annual leave and paid sick leave, bonuses and non-monetary benefits (e.g. cars) for current employees, and are recognised as an expense in the year in which employees render service to the Council.  An accrual is made for the cost of holiday entitlements (or any form of leave, e.g. time off in lieu) earned by employees but not taken before the year-end which employees can carry forward into the next financial year.  The accrual is made at the wage and salary rates applicable in the following accounting year, being the period in which the employee takes the benefit.  The accrual is charged to Surplus or Deficit on the Provision of Services, but then reversed out through the Movement in Reserves Statement so that holiday entitlements are charged to revenue in the financial year in which the holiday absence occurs.</t>
  </si>
  <si>
    <t xml:space="preserve">The Northern Ireland Local Government Officers' Pension Fund is accounted for as a defined benefits scheme.
The liabilities of the Northern Ireland Local Government Officers' Pension Fund attributable to the Council are included in the Balance Sheet on an actuarial basis using the projected unit method – i.e. an assessment of the future payments that will be made in relation to retirement benefits earned to date by employees, based on assumptions about mortality rates, employee turnover rates, etc., and projections of projected earnings for current employees.
</t>
  </si>
  <si>
    <r>
      <t xml:space="preserve">The change in the net pensions liability is analysed into the following components:
</t>
    </r>
    <r>
      <rPr>
        <b/>
        <sz val="14"/>
        <rFont val="Calibri"/>
        <family val="2"/>
      </rPr>
      <t>Service cost comprising:</t>
    </r>
    <r>
      <rPr>
        <sz val="14"/>
        <rFont val="Calibri"/>
        <family val="2"/>
      </rPr>
      <t xml:space="preserve">
</t>
    </r>
    <r>
      <rPr>
        <b/>
        <sz val="14"/>
        <rFont val="Calibri"/>
        <family val="2"/>
      </rPr>
      <t xml:space="preserve">Current Service Cost </t>
    </r>
    <r>
      <rPr>
        <sz val="14"/>
        <rFont val="Calibri"/>
        <family val="2"/>
      </rPr>
      <t xml:space="preserve">– the increase in liabilities as a result of years of service earned this year - allocated in the Comprehensive Income and Expenditure Statement to the services for which the employees worked.
</t>
    </r>
    <r>
      <rPr>
        <b/>
        <sz val="14"/>
        <rFont val="Calibri"/>
        <family val="2"/>
      </rPr>
      <t xml:space="preserve">
Past Service Cost</t>
    </r>
    <r>
      <rPr>
        <sz val="14"/>
        <rFont val="Calibri"/>
        <family val="2"/>
      </rPr>
      <t xml:space="preserve"> – the increase in liabilities as a result of a scheme amendment or curtailment whose effect relates to years of service earned in earlier years - debited to the Surplus or Deficit on the Provision of Services in the Comprehensive Income and Expenditure Statements. [The treatment of past service costs will depend on the decisions of the Council about how they are allocated to service segments.]
</t>
    </r>
    <r>
      <rPr>
        <b/>
        <sz val="14"/>
        <rFont val="Calibri"/>
        <family val="2"/>
      </rPr>
      <t xml:space="preserve">
</t>
    </r>
  </si>
  <si>
    <r>
      <rPr>
        <b/>
        <sz val="14"/>
        <rFont val="Calibri"/>
        <family val="2"/>
      </rPr>
      <t>Within the Movement in Reserves Statement Appropriations</t>
    </r>
    <r>
      <rPr>
        <sz val="14"/>
        <rFont val="Calibri"/>
        <family val="2"/>
      </rPr>
      <t xml:space="preserve">
Contributions by Scheme Participants – the increase in scheme liabilities and assets due to payments into the scheme by employees (where increased contribution increases pension due to the employee in the future).
Contributions by the Employer -  the increase in scheme assets due to payments into the scheme by the employer.</t>
    </r>
  </si>
  <si>
    <t xml:space="preserve">Events after the Balance Sheet date are those events, both favourable and unfavourable, that occur between the end of the reporting period and the date when the Statement of Accounts is authorised for issue. Two types of events can be identified:
 -  those that provide evidence of conditions that existed at the end of the reporting period – the Statement of Accounts is adjusted to reflect such events.
 - those that are indicative of conditions that arose after the reporting period – the Statement of Accounts is not adjusted to reflect such events, but where a category of events would have a material effect, disclosure is made in the notes of the nature of the events and their estimated financial effect.
</t>
  </si>
  <si>
    <t>The Council's business model is to hold investments to collect contractual cash flows.  Financial assets are therefore classified as amortised cost, except for those whose contractual payments are not solely payment of principal and interest (i.e. where the cash flows do not take the form of a basic debt instrument).</t>
  </si>
  <si>
    <t>The cost of assets acquired other than by purchase is deemed to be its fair value, unless the acquisition does not have commercial substance (i.e. it will not lead to a variation in the cash flows of the Council). In the latter case, where an asset is acquired via an exchange, the cost of the acquisition is the carrying amount of the asset given up by the Council.</t>
  </si>
  <si>
    <t xml:space="preserve">The carrying amounts of heritage assets are reviewed where there is evidence of impairment for heritage assets, e.g. where an item has suffered physical deterioration or breakage or where doubts arise as to its authenticity.  Any impairment is recognised and measured in accordance with the Council's general policy on impairment.  </t>
  </si>
  <si>
    <r>
      <rPr>
        <sz val="14"/>
        <color rgb="FFFF0000"/>
        <rFont val="Calibri"/>
        <family val="2"/>
      </rPr>
      <t>Examples below are for illustration only and Councils must adapt to their own local circumstances</t>
    </r>
    <r>
      <rPr>
        <sz val="14"/>
        <rFont val="Calibri"/>
        <family val="2"/>
      </rPr>
      <t xml:space="preserve">
- There is a high degree of uncertainty about future levels of funding for local government.  However, the Council has determined that this uncertainty is not yet sufficient to provide an indication that the assets of the Council might be impaired as a result of a need to close facilities and reduce levels of service provision.</t>
    </r>
  </si>
  <si>
    <t>When the fair values of financial assets and financial liabilities cannot be measured based on quoted prices in active markets (i.e. Level 1 inputs), their fair value is measured using valuation techniques (e.g. quoted prices for similar assets or liabilities in active markets or the discounted cash flow (DCF) model.  Where possible, the inputs to these valuation techniques are based on observable data, but where this is not possible judgement is required in establishing fair values.  These judgements typically include considerations such as uncertainty and risk.  However, changes in the assumptions used could affect the fair value of the Council's assets and liabilities.
Where Level 1 inputs are not available, the Council employs relevant experts to identify the most appropriate valuation techniques to determine fair value (for example for investment properties, the Council's Chief Valuation Officer and External Valuer).
Information about the valuation techniques and inputs used in determining the fair value of the Council's assets and liabilities is disclosed in notes xx and xx below.
The Council uses the discounted cash flow (DCF) model to measure the fair value of some of its investment properties and financial assets.
The significant unobservable inputs used in the fair value measurement include management assumptions regarding rent growth, vacancy levels (for investment properties) and discounts rates - adjusted for regional factors (for both investment properties and some financial assets)
Significant changes in any of the unobservable inputs would result in a significantly lower or higher fair value measurement for the investment properties and financial assets.</t>
  </si>
  <si>
    <t>Fees, Charges and Other Service Income</t>
  </si>
  <si>
    <t xml:space="preserve">Paragraph 2.7.4.6 of the Code requires disaggregation of the revenue recognised where this is material and would assist readers.  Councils may consider whether the disclosure of 'Fees, Charges and Other Service Income' in Note 13A Expenditure and Income Analysed by Nature provides sufficient information for readers regarding the nature of such revenues.  Paragraph 2.7.4.7 of the Code requires an indication of how the figures relate to segment reporting.  This may particularly be required where Note 7B Segmental income has not been provided.  </t>
  </si>
  <si>
    <t>Paragraph 2.7.4.13 of the Code allows some obligations to be exempted from this disclosure where the obligation is part of a contract that has an original expected duration of one year or less, or if the revenue is recognised in accordance with paragraph B16 of IFRS 15 (e.g. service where there is a fixed amount per hour).  If these exemptions are applied, this should be explained in the financial statements.  Any consideration not included in the total transaction price, for example constrained variable elements, should also be explained.</t>
  </si>
  <si>
    <t>- explanation of the judgements regarding the different types of contracts included (as required by paragraph 2.7.4.3 of the Code)
- explanation of how the timing of performance obligations relates to cash flow timings (as required by paragraph 2.7.4.9 of the Code)
- information about performance obligations in contracts, including normal performance, payment terms, nature of goods and services, obligations and warranties (as required by paragraph 2.7.4.11 of the Code)
- judgements which significantly affect revenue recognition (as required by paragraph 2.7.4.15 of the Code), in particular:
   - the judgements used to determine the timing of performance obligations:
          - satisfied over time (as required by paragraph 2.7.4.16 of the Code), and 
          - satisfied at a point in time (as required by paragraph 2.7.4.17 of the Code)
- the methods, inputs and assumptions used in determining the transaction price, variable consideration, allocation of the transaction price, and measurement of obligations for obligations such as returns and refunds (as required by paragraph 2.7.4.18 of the Code).
Explanation of the methods used to recognise revenue for performance obligations satisfied over time (as required by paragraph 2.7.4.16 of the Code).</t>
  </si>
  <si>
    <t>Adjustments in relation to short-term compensated absences</t>
  </si>
  <si>
    <t>Leases (Council as lessor)</t>
  </si>
  <si>
    <t>The Council leases out property and equipment under operating leases for the following purposes:
- for the provision of community services, such as sports facilities, tourism services and community centres.
- for economic development purposes to provide suitable affordable accommodation for local businesses.</t>
  </si>
  <si>
    <t>Leases liabilities (net present value of minimum lease payments):</t>
  </si>
  <si>
    <t>Lease Liabilities</t>
  </si>
  <si>
    <t>Surplus/Deficit on Non-Current Assets (exc.l.Investment Properties)</t>
  </si>
  <si>
    <t>Carrying amount of non-current assets sold (excl. Investment Properties)</t>
  </si>
  <si>
    <t>(Surplus)/Deficit on Non Current Assets</t>
  </si>
  <si>
    <t>Other Operating (Income)/Expenditure</t>
  </si>
  <si>
    <t>Transfers in/out on adoption of IFRS9 - Financial Instruments</t>
  </si>
  <si>
    <t>The following useful lives and depreciation rates have been used in the calculation of depreciation:
- buildings - xx years
- vehicles, plant, furniture and equipments - xx% of carrying amount
 - infrastructure - xx years</t>
  </si>
  <si>
    <t>All software is given a finite useful life, based on assessment of the period that the software is expected to be of use to the Council.  The useful lives assigned to the major software suites used by the Council are given in Note 1: Accounting Policies.</t>
  </si>
  <si>
    <t>Impairment losses recognised or reversed directly in the Surplus/Deficit on the Provision of Services</t>
  </si>
  <si>
    <t>(Surplus)/Deficit on Trading Operations</t>
  </si>
  <si>
    <t>Transfers to/from inventories</t>
  </si>
  <si>
    <t>Transfers to/from property, plant and equipment</t>
  </si>
  <si>
    <t>Commercial units</t>
  </si>
  <si>
    <t>The fair value for the residential properties (at market rents) has been based on the market approach using current market conditions and recent sales prices and other relevant information for similar assets in the local Council area. Market conditions are such that similar properties are actively purchased and sold and the level of observable inputs are significant, leading to the properties being categorised at Level 2 in the fair value hierarchy.</t>
  </si>
  <si>
    <t>[Note that if the highest and best use of a non-financial asset differs from its current use, the authority is required to disclose that fact and why the non-financial asset is being used in a manner that differs from its highest and best use.]</t>
  </si>
  <si>
    <t>Councils should disclose information for each material impairment loss recognised or reversed during the period in accordance with paragraph 4.7.4.2.(2) of the Code.</t>
  </si>
  <si>
    <t>Reclassified from Current Assets Held for Sale to Non-Current Assets Held for Sale</t>
  </si>
  <si>
    <t>Lease debtors</t>
  </si>
  <si>
    <t>Total Long-Term and Short-term Investments</t>
  </si>
  <si>
    <t>Lease Principal</t>
  </si>
  <si>
    <t xml:space="preserve">The council has a target,  where no other terms are agreed, of paying supplier invoices within 30 calendar days.  During the year the Council paid xx invoices totalling £xx.    
</t>
  </si>
  <si>
    <t>A case has been lodged against the council for negligence in its responsibilities.  A provision of £x has been made for the possible settlement that the authority will have to pay.  However, in order not to prejudice seriously the privacy of individuals and the Council's position in the case, any further information has been withheld from this publication.  Experience of similar cases in other authorities suggests it will be three to five years before the case is concluded.</t>
  </si>
  <si>
    <t>The Council makes loans for car purchases to X employees in the authority who are in posts that require them to drive regularly on the Council's business.</t>
  </si>
  <si>
    <t>There has been no change in the valuation technique used during the year for the financial instruments.
[If there has been a change in valuation technique (e.g. changing from a market approach to an income approach or the use of an additional valuation technique), the Council shall disclose that change and the reason(s) for making it.</t>
  </si>
  <si>
    <t>Except for the financial assets carried at fair value (described in the table above) all other financial liabilities and financial assets held by the authority are classified as loans and receivables and long-term debtors and creditors and are carried in the Balance Sheet at amortised cost.  The fair values calculated are as follows.</t>
  </si>
  <si>
    <t xml:space="preserve">The fair value for financial liabilities and financial assets that are not measured at fair value included in Levels 2 and 3 in the table above have been arrived at using a discounted cash flow analysis with the most significant inputs being the discount rate [describe other techniques used].
The fair value for financial liabilities and financial assets that are not measured at fair value can be assessed by calculating the present value of the cash flows that will take place over the remaining term of the instruments, using the following assumptions. </t>
  </si>
  <si>
    <t>Experience gains and (losses) on Assets</t>
  </si>
  <si>
    <t>Guaranteed Minimum Pension (GMP) is a portion of pension that was accrued by individuals who were contracted out of the state pension prior to 6 April 1997.  At present there is an inequality of benefits between male and female members who have GMP.  Although the Government intends that GMP should be equalised, at present it is not clear how this equalisation will be implemented.  In July 2014 the Government stated an intention to develop fully considered proposals and to publish guidance when this work is completed, but no target date was given.  The impact of any liabilities relating to the Council is therefore uncertain and no provision has been made in these financial statements.</t>
  </si>
  <si>
    <t>Add: new donated assets received (condition of use not met)</t>
  </si>
  <si>
    <t>Add: new capital grants received in advance (condition of use not met)</t>
  </si>
  <si>
    <t>Adjustment to surplus or deficit on the provision of services for non-cash movements</t>
  </si>
  <si>
    <t>Increase/(Decrease) in impairment provision for bad debts</t>
  </si>
  <si>
    <t>The Pensions Reserve absorbs the timing differences arising from the different arrangements for accounting for post-employment benefits and for funding benefits in accordance with statutory provisions.  The Council accouns for post-employment benefits in the Comprehensive Income and Expenditure Statement as benefits are earned by employees accruing years of service, updating the liabilities recognised to reflect inflation, changing assumptions and investment returns on any resources set aside to meet the costs</t>
  </si>
  <si>
    <t>Increase/Decrease in year</t>
  </si>
  <si>
    <t>Transfers to/from Statutory and Other Reserves</t>
  </si>
  <si>
    <t xml:space="preserve">Surplus/(Deficit) on the provision of services </t>
  </si>
  <si>
    <t>Revaluation increases/(decreases) to Surplus or Deficit on the Provision of Services</t>
  </si>
  <si>
    <t>Revaluation increases/(decreases) to Revaluation Reserve</t>
  </si>
  <si>
    <t>Total Long Term Debtors</t>
  </si>
  <si>
    <t>Net Interest on net defined benefit liability (asset)</t>
  </si>
  <si>
    <t>The following useful lives  and depreciation rates have been used in the calculation of depreciation:
- buildings - xx years
- vehicles, plant, furniture and equipments - xx of carrying amount
- infratructure - xx years</t>
  </si>
  <si>
    <t>The Council carries out a rolling programme that ensures that all property, plant and equipments required to be measured at current value is revalued at least every five years.  All valuations were carried out internally.  Valuations of land and buildings were carried out in accordance with the methodologies and basis for estimation set out in the professional standards of the Royal Institution of Chartered Surveyors.  Valuations of vehicles, plant, furniture and equipment are based on current prices where there is an active second-hand market or latest list prices adjusted for the condition of the asset.</t>
  </si>
  <si>
    <t>The Council's valuation experts work closely with finance officers reporting directly to the Chief Financial Officer on a regular basis regarding all valuation matters.</t>
  </si>
  <si>
    <t>This fund was established under section 56 of the Local Government Act (NI) 1972, however this section of the act was repealed under the Local Government Finance Act (Northern Ireland) 2011. Councils should disclose details where any of these reserves are earmarked for specific purposes.</t>
  </si>
  <si>
    <t xml:space="preserve">The fair value of the Council’s Surplus Assets is measured at minimum 5 year intervals. All valuations are carried out externally by Land &amp; Property Services, in accordance with the methodologies and basis for estimation set out in the professional standards of the Royal Institution of Chartered Surveyors. </t>
  </si>
  <si>
    <t>Lease / hire purchase interest</t>
  </si>
  <si>
    <t>(Surplus)/Deficit on Continuing Operations</t>
  </si>
  <si>
    <t>Transfers (to)/from inventories</t>
  </si>
  <si>
    <t>Investment Properties Transfers (to)/from inventories</t>
  </si>
  <si>
    <t>Actuarial losses/(gains) liability experience</t>
  </si>
  <si>
    <t>Actuarial losses/(gains) demographic experience</t>
  </si>
  <si>
    <t>Actuarial losses/(gains) financial assumptions</t>
  </si>
  <si>
    <t>Remeasurement gains/(losses)</t>
  </si>
  <si>
    <t xml:space="preserve">Inventories are included in the Balance Sheet at the lower of cost and net realisable value.  The cost of inventories is assigned using the [FIFO/weighted average] costing formula.
</t>
  </si>
  <si>
    <t>The Expenditure and Funding Analysis shows how annual expenditure is used and funded from resources (government grants, rents, council tax and business rates) by local authorities in comparison with those resources consumed or earned by authorities in accordance with generally accepted accounting practices. It also shows how this expenditure is allocated for decision making purposes between the council's [directorates/services/departments].  Income and expenditure accounted for under generally accepted accounting practices is presented more fully in the Comprehensive Income and Expenditure Statement.</t>
  </si>
  <si>
    <t>Loans/borrowings</t>
  </si>
  <si>
    <t>Quoted prices in active markets for identical assets/liabilities (level 1)</t>
  </si>
  <si>
    <t>Increase/Decrease in Inventories - adjustments</t>
  </si>
  <si>
    <t>Increase/Decrease in Contract costs - adjustments</t>
  </si>
  <si>
    <t>Increase/Decrease in Contract Assets - adjustments</t>
  </si>
  <si>
    <t>Increase/Decrease in Trade and other receivables - adjustments</t>
  </si>
  <si>
    <t>Increase/Decrease in Trade and other payables - adjustments</t>
  </si>
  <si>
    <t>Increase/Decrease in Provisions - adjustments</t>
  </si>
  <si>
    <t>Increase/Decrease in Contract Liabilities - adjustments</t>
  </si>
  <si>
    <t>Increase Decrease in Deferred Revenue - adjustments</t>
  </si>
  <si>
    <t>Income/Expenditure and changes in Fair Value of Investment Properties</t>
  </si>
  <si>
    <t>Location/Detail</t>
  </si>
  <si>
    <t>Surplus/Deficit on Continuing Operations of Subsidiaries</t>
  </si>
  <si>
    <t>We have been advised on the implications of the result of the review of the effectiveness of the governance framework by the executive / Audit Committee/ Overview and Scrutiny Committee/ Risk Management Committee, and a plan to address weaknesses and ensure continuous improvement of the system is in place.</t>
  </si>
  <si>
    <t>Courses/Conferences Visits (registration &amp; joining fees)</t>
  </si>
  <si>
    <t>Salary Band of Highest Paid member of the Executive Management Team / Senior Management Team</t>
  </si>
  <si>
    <t>Other Operating Expenditure/Income</t>
  </si>
  <si>
    <t>Surplus/(Deficit) on General Fund Balance in Year</t>
  </si>
  <si>
    <t xml:space="preserve">Reclassified to(-)/from(+) Held for Sale </t>
  </si>
  <si>
    <t>Transfers between Capital Fund / Renewal &amp; Repair Fund &amp; CAA to finance Capital Expenditure</t>
  </si>
  <si>
    <t>Increase/Decrease in:</t>
  </si>
  <si>
    <t>Investment Properties Transfers (to)/from Property, Plant and Equipment</t>
  </si>
  <si>
    <t>Disposal of Non Current Assets / Capital Sales</t>
  </si>
  <si>
    <t>Disposal of Fixed Assets / Capital Sales</t>
  </si>
  <si>
    <t>Transfers in/out on adoption of IFRS 9 - Financial Instruments</t>
  </si>
  <si>
    <t>This Statement, as set out on page X, shows the movement in the year on the different reserves held by [the Authority], analysed into 'usable reserves' (i.e. those that can be applied to fund expenditure or reduce local taxation) and other reserves.  The 'Surplus or (deficit) on the provision of services' line shows the true economic cost of providing [the Authority]'s services, more details of which are shown in the Comprehensive Income and Expenditure Summary (CIES).  These are different from the statutory amounts required to be charged to the General Fund Balance and the Housing Revenue Account for council tax setting and dwellings rent setting purposes.  The Net increase/Decrease before transfers to Earmarked Reserves line shows the statutory General Fund Balance before any discretionary transfers to or from earmarked reserves undertaken by [the Authority].</t>
  </si>
  <si>
    <t>Summary of Material Accounting Policy Information</t>
  </si>
  <si>
    <t>Impairment losses are calculated to reflect the expectation that the future cash flows might not take place because the borrower could default on their obligations.  Credit risk plays a crucial part in assessing losses.  Where risk has increased significantly since an instrument was initially recognised, losses are assessed on a lifetime basis.  Where risk has not increased significantly or remains low, losses are assessed on the basis of 12-month expected losses</t>
  </si>
  <si>
    <t>DfC Accounts Direction Circular</t>
  </si>
  <si>
    <t>Comprehensive Income and Expenditure Statement for the year ended 31 March 2025</t>
  </si>
  <si>
    <t>Balance Sheet as at 31 March 2025</t>
  </si>
  <si>
    <t>FOR THE YEAR ENDED 31 March 2025</t>
  </si>
  <si>
    <t>Balance as at 31 March 2025</t>
  </si>
  <si>
    <t xml:space="preserve">At 31 March 2025, the Council had a balance of sundry debtors for £Xk.  A review of significant balances suggested that an allowance for doubtful debts of X% (£Xk) was appropriate.  However, in the current economic climate it is not certain that such an allowance would be sufficient.
If collection rates were to deteriorate, a doubling of the amount of doubtful debts would require an additional £Xk to set aside as an allowance.
</t>
  </si>
  <si>
    <t>Residential (market rental properties) - Fair value as at 31 March 2025</t>
  </si>
  <si>
    <t>Office units - Fair value as at 31 March 2025</t>
  </si>
  <si>
    <t>Commercial units - Fair value as at 31 March 2025</t>
  </si>
  <si>
    <t>The fair value of borrowings is lower than the carrying amount because the Council’s portfolio of loans includes a number of fixed rate loans where the interest rate payable is lower than the prevailing rates at the Balance Sheet date. This shows a notional future gain (based on economic conditions at 31 March 2025) arising from a commitment to pay interest to lenders below current market rates.</t>
  </si>
  <si>
    <t>Cash Flow Statement for the year ended 31 March 2025</t>
  </si>
  <si>
    <t>Analysis of projected amount to be charged to the Comprehensive Income and Expenditure Statement for the year to 31 March 2025</t>
  </si>
  <si>
    <t>At 31 March 2025</t>
  </si>
  <si>
    <t>Financial Assets as at 31 March 2025</t>
  </si>
  <si>
    <t>Financial Liabilities as at 31 March 2025</t>
  </si>
  <si>
    <t>Balance at 31 March 2025 carried forward</t>
  </si>
  <si>
    <t>2024/25</t>
  </si>
  <si>
    <t>Restated 2024/25</t>
  </si>
  <si>
    <t>2024/25 CIES</t>
  </si>
  <si>
    <t>Amendments to 2024/25 Trial Balance Version 1</t>
  </si>
  <si>
    <t>2024/25 Balance Sheet</t>
  </si>
  <si>
    <t>2024/25 Note to EFA</t>
  </si>
  <si>
    <t>GROUP ACCOUNTS - 2024/25 CIES</t>
  </si>
  <si>
    <t>GROUP ACCOUNTS - 2024/25 Balance Sheet</t>
  </si>
  <si>
    <t>Adjustments between Funding and Accounting Basis 
2024/25</t>
  </si>
  <si>
    <t>2024/25 Recurring fair value measurements using:</t>
  </si>
  <si>
    <t>As reported
(2024/25)</t>
  </si>
  <si>
    <t>Movement in Reserve Statement during 2024/25</t>
  </si>
  <si>
    <t>Increase or Decrease in 2024/25</t>
  </si>
  <si>
    <t>31st March 2025</t>
  </si>
  <si>
    <t>Fair value as at 31st March 2025</t>
  </si>
  <si>
    <t>As at 31/03/2025</t>
  </si>
  <si>
    <t>Office units as at 31/03/2025</t>
  </si>
  <si>
    <t>Commercial units as at 31/03/2025</t>
  </si>
  <si>
    <t>CETV at 31/03/2025
£'000</t>
  </si>
  <si>
    <t>As at 31/03/2025
£</t>
  </si>
  <si>
    <t>Balance as at 1 April 2024</t>
  </si>
  <si>
    <t>At 1 April 2024</t>
  </si>
  <si>
    <t>Amendments to 2023/24 audited figures</t>
  </si>
  <si>
    <t>The Council's current contribution rate to NILGOSC scheme is XX%.  At the last acturial valuation, dated 31 March 20YY, the Fund's assets as a whole were sufficient to meet x% of the liabilities accrued up to that date.</t>
  </si>
  <si>
    <t>Comprehensive Income and Expenditure Statement for the year ended 31 March 2026</t>
  </si>
  <si>
    <t>Group Comprehensive Income and Expenditure Statement for the year ended 31 March 2026</t>
  </si>
  <si>
    <t>Movement in Reserves Statement for the year ended 31 March 2026</t>
  </si>
  <si>
    <t>Group Movement in Reserves Statement for the year ended 31 March 2026</t>
  </si>
  <si>
    <t>Balance Sheet as at 31 March 2026</t>
  </si>
  <si>
    <t>Group Balance Sheet as at 31 March 2026</t>
  </si>
  <si>
    <t>Cash Flow Statement at 31 March 2026</t>
  </si>
  <si>
    <t>Group Cash Flow Statement at 31 March 2026</t>
  </si>
  <si>
    <t>FOR THE YEAR ENDED 31 March 2026</t>
  </si>
  <si>
    <t>2025/26</t>
  </si>
  <si>
    <t>Restated 2025/26</t>
  </si>
  <si>
    <t>31st March 2026</t>
  </si>
  <si>
    <t>31 March 2026</t>
  </si>
  <si>
    <t>Balance as at 31 March 2026</t>
  </si>
  <si>
    <t>Balance as at 1 April 2025</t>
  </si>
  <si>
    <t>Restated 31st March 2025</t>
  </si>
  <si>
    <t>Restated 31/03/2025</t>
  </si>
  <si>
    <t>Restated Balance as at 31 March 2025</t>
  </si>
  <si>
    <t>Restated Balance as at 1 April 2024</t>
  </si>
  <si>
    <t>xx/xx/2026</t>
  </si>
  <si>
    <t>LG xx/2026</t>
  </si>
  <si>
    <t>June 2026</t>
  </si>
  <si>
    <t>September 2026</t>
  </si>
  <si>
    <t xml:space="preserve">IFRS Council 2025/26 Pro forma Accounts </t>
  </si>
  <si>
    <t>To comply with paragraph 3.4.2.104 of the CIPFA Code of Practice on  Local Authority Accounting in the United Kingdom. When reporting on 2025/26 financial statements, Northern Ireland Councils will be required to include a description of the purpose of the Expenditure and Funding Analysis in the financial statements and/or the Narrative Report.</t>
  </si>
  <si>
    <t>2025/26 CIES</t>
  </si>
  <si>
    <t>Amendments to 2025/26 Trial Balance Version 1</t>
  </si>
  <si>
    <t>Practitioners should complete column P with the trial balance version 1 2024/25 information which now reflects the change in service lines. This information will populate column U which will feed into the det CIES, Prime tab and associated notes.</t>
  </si>
  <si>
    <t>Practitioners should note that where amendments have been made to the 2024/25 audited figures, adjustments should be made in column Q. Adjustments will flow through to column U which will feed CIES and associated notes.</t>
  </si>
  <si>
    <t>2025/26 Balance Sheet</t>
  </si>
  <si>
    <t>Amendments to 2025/26 trial balance version 1</t>
  </si>
  <si>
    <t>Practitioners should note that where amendments have been made to the Council 2025/26figures, adjustments should be made in column K. Adjustments will flow through to column O which will feed into Det Bal Sheet, Prime tab and associated notes.</t>
  </si>
  <si>
    <t>2025/26 Note to EFA</t>
  </si>
  <si>
    <t>Practitioners will insert figures from the 2025/26 TB V1 against the specified items in column J , this will then populate column L which will populate Note 2b for 2025/26 .</t>
  </si>
  <si>
    <t>Amendments to 2025/26  trial balance version 1</t>
  </si>
  <si>
    <t>Should Practitioners be required to make amendments to the figures in version 1 of the 2025/26  trial balance, they can insert the adjustment in column K, which will populate amend column L.</t>
  </si>
  <si>
    <t>2025/26 Segmental Income</t>
  </si>
  <si>
    <t>Practitioners will insert figures from the 2025/26 TB V1 against the items in column J91 to J270 , this will then populate column L which will populate Note 2c for 2025/26.</t>
  </si>
  <si>
    <t>Should Practitioners be required to make amendments to the figures in version 1 of the 2025/26 trial balance, they can insert the adjustment in column K, which will populate amend column L.</t>
  </si>
  <si>
    <t>Practitioners will insert figures from the 2025/26 TB against the items in cells M91 to M270 , this will then populate column O which will populate Note 2C for 2025/26.</t>
  </si>
  <si>
    <t>GROUP ACCOUNTS - 2025/26 CIES</t>
  </si>
  <si>
    <t xml:space="preserve">Where Councils have a Subsidiary, the results of the Subsidiary can be inserted into Input - CIES tab at column M, this will populate into the total column O for 2025/26. </t>
  </si>
  <si>
    <t>Amendments can be made to Subsidiary trial balance version 1 figures at column N of the Input - CIES tab.  These amendments will feed into the total column O for 2025/26.</t>
  </si>
  <si>
    <t>GROUP ACCOUNTS - 2025/26 Balance Sheet</t>
  </si>
  <si>
    <t>Where the Council has a subsidiary, practitioners should enter trial balance version 1 results of the subsidiary at column M of the Input BS tab.  This information will then feed into column O, 2025/26 Group total.</t>
  </si>
  <si>
    <t>Amendments can be made to Subsidiary trial balance version 1 figures at column N of the Input - BS tab.  These amendments will feed into the total column O for 2025/26.</t>
  </si>
  <si>
    <t>Practitioners should complete column P with the audited 2024/25 figures, this will populate column U the 2024/25 total which will feed into Det BS, prime tab - Balance Sheet and associated notes.</t>
  </si>
  <si>
    <t>Amendments to 2024/25 audited figures</t>
  </si>
  <si>
    <t>Practitioners should note that where amendments have been made to the 2024/25 audited figures, adjustments should be made in column Q. Adjustments will flow through to column U which will feed Balance Sheet and associated notes.</t>
  </si>
  <si>
    <t>Practitioners will insert figures from the 2024/25 TB against the specified items in column M, this will then populate column O which will populate Note 2b for 2024/25.</t>
  </si>
  <si>
    <t>Should Practitioners be required to make amendments to the figures in 2024/25 trial balance, they can insert the adjustment in column N, which will populate amend column 0.</t>
  </si>
  <si>
    <t xml:space="preserve">Where Councils have a Subsidiary, the 2024/25 audited results of the Subsidiary can be inserted into Input - CIES tab at column S, this will populate into the total column U for 2024/25. </t>
  </si>
  <si>
    <t>Amendments can be made to Subsidiary trial balance version 1 figures at column T of the Input - CIES tab.  These amendments will feed into the total column U for 2024/25.</t>
  </si>
  <si>
    <t>Where the Council has a subsidiary, 2024/25 audited figures relating to the subsidiary should be input into column S of Input - BS tab which will populate column U of 2024/25 total, this will feed into Det Group BS, Group prime tab and Group Account notes, Group Account Fixed Assets and Group Account Notes Reserves.</t>
  </si>
  <si>
    <t>Amendments can be made to Subsidiary trial balance 2024/25 figures at column T of the Input - BS tab.  These amendments will feed into the total column U for 2024/25.</t>
  </si>
  <si>
    <t>With regards to 2023/24 audited figures, Practitioners should complete the highlighted cells in column V rows 293 to 350 and rows 371 to 380 with the audited information, this will populate column X which will feed into Det BS tab, prime tab  and associated Balance Sheet and Cash Flow statement notes.</t>
  </si>
  <si>
    <t>Where the Council has a subsidiary, relevant 2023/24 audited figures relating to the subsidiary should be input into column V, row 293 - 350 and row 371 - 380 of Input - BS tab which will populate column X of 2023/24 total, this will feed into Det  Group BS, Group prime tab  and Group Account notes, Group Account Fixed Assets and Group Account Notes Reserves.</t>
  </si>
  <si>
    <t>Amendments can be made to Subsidiary audited 2023/24 figures at column W of the Input - BS tab.  These amendments will feed into the total column X for 2023/24.</t>
  </si>
  <si>
    <t>Practitioners should note that the 2025/26 opening balances will be derived from 2024/25closing balances.
IT IS RECOMMENDED THAT PRACTITIONERS POPULATE THE 2025/26 FIGURES IN INPUT - BS TAB FIRST BEFORE POPULATING COLUMN J WITH 2024/25 FIGURES.</t>
  </si>
  <si>
    <t xml:space="preserve">The Statement of Accounts summarises the Council’s transactions for the 2025/26 financial year and its position at the year-end of 31 March 2026.  The Council is required to prepare an annual Statement of Accounts in a form directed by the Department for Communities in accordance with regulations 3 (7) and (8) in the Local Government (Accounts and Audit) Regulations (Northern Ireland) 2015 in accordance with proper accounting practices.  
</t>
  </si>
  <si>
    <t>However, the bonds issued by the Council in 2025/26 are carried at a lower amortised cost than the outstanding principal, and interest is charged at a marginally higher effective rate of interest than the rate payable to bondholders, as a material amount of costs incurred in its issue is being financed over the life of the stock.</t>
  </si>
  <si>
    <t>For 2025/26 the accounting policy changes that need to be reported will be confirmed in the year-end CIPFA Bulletin issued under the guidance of LAAP.  Appendix C of the 2025/26 Code will provide details of the disclosures required.</t>
  </si>
  <si>
    <t xml:space="preserve">The Statement of Accounts contains estimated figures that are based on assumptions made by the Council about the future or that are otherwise uncertain.  Estimates are made taking into account historical experience, current trends and other relevant factors.  However, because balances cannot be determined with certainty, actual results could be materially different from the assumptions and estimates.
The items in the Council’s Balance Sheet at 31 March 2026 for which there is a significant risk of material adjustment in the forthcoming financial year are as follows:
</t>
  </si>
  <si>
    <t>Estimation of the net liability to pay pensions depends on a number of complex judgements relating to the discount rate used, the rate at which salaries are projected to increase, changes in retirement ages, mortality rates and expected returns on pension fund assets.  A firm of consulting actuaries is engaged to provide the Council with expert advice about the assumptions to be applied.
The effects on the net pension liability of changes in individual assumptions can be measured.  For instance, a 0.5% increase in the discount rate assumption would result in a decrease in the pension liability of £x.
However, the assumptions interact in complex ways.  During 2025/26, the Council's actuaries advised that the net pensions liability had increased by £x as a result of experience and decreased by £x attributable to updating of the assumptions.</t>
  </si>
  <si>
    <t>The actual expenditure under the power of competence amounted to £xx during 2025/26 (£xx in 2024/25).</t>
  </si>
  <si>
    <t>The other fees of £xx (2024/25 £xx ) were incurred in respect of performance audit services provided by the appointed auditor.</t>
  </si>
  <si>
    <t>As there is a possibility that worsening financial circumstances might result in lease payments not being made, the Council has set aside an allowance for uncollectable amounts of £x (£x at 31 March 2025).</t>
  </si>
  <si>
    <t>The minimum lease payments do not include rents that are contingent on events taking place after the lease was entered into, such as adjustments following rent reviews.  In 2025/26, £x contingent rents were receivable by the Council (2024/25 £x).</t>
  </si>
  <si>
    <t>The minimum lease payments receivable do not include rents that are contingent on events taking place after the lease was entered into, such as adjustments following rent reviews.  In 2025/26, £x contingent rents were receivable by the Council (2024/25 £x).</t>
  </si>
  <si>
    <t>The minimum lease payments do not include rents that are contingent on events taking place after the lease was entered into, such as adjustments following rent reviews.  In 2025/26, £x contingent rents were payable by the Council (2024/25 £x).</t>
  </si>
  <si>
    <t>The Council has sub-let some of the office accommodation held under these leases.  At 31 March 2026 the minimum payments expected to be received under non-cancellable sub-leases was £x (2024/25 £x).</t>
  </si>
  <si>
    <t>In addition, agency costs during the year amounted to £xx (2024/25 £xx) and short term compensated absences during the year amounted to £xx (2024/25 £xx).</t>
  </si>
  <si>
    <t xml:space="preserve">The Northern Ireland Civil Service Pension arrangements are unfunded multi-employer defined benefit schemes but the Department for Communities is unable to identify its share of the underlying assets and liabilities. The most up to date actuarial valuation was carried out as at 31 March 20xx. This valuation is then reviewed by the Scheme Actuary and updated to reflect current conditions and rolled forward to the reporting date of the DOF Superannuation and Other Allowances Resource Accounts as at 31 March 2026. </t>
  </si>
  <si>
    <t>For 2025/26, employers’ contributions of £xx were payable to the NICS pension arrangements at one of four rates in the range xx% to xx% of pensionable pay, based on salary bands. 
The scheme’s Actuary reviews employer contributions every four years following a full scheme valuation. A new scheme funding valuation based on data as at 31 March 20xx was completed by the Actuary during 20xx-xx. This valuation was used to determine employer contribution rates for the introduction of a new career average earning scheme from April 20xx. The contribution rates are set to meet the cost of the benefits accruing during 2025/26 to be paid when the member retires, and not the benefits paid during this period to existing pensioners.</t>
  </si>
  <si>
    <t>The carrying amount of intangible assets is amortised on a straight-line basis.  The amortisation of £x charged to revenue in 2025/26 was charged to the IT Administration cost centre and then absorbed as an overhead across all the service headings in the Cost of Services.  It is not possible to quantify exactly how much of the amortisation is attributable to each service heading.</t>
  </si>
  <si>
    <t>Details of the Council's Investment Properties and information about the fair value hierarchy as at 31 March 2026 and 31 March 2025 are as follows</t>
  </si>
  <si>
    <t xml:space="preserve">The Authority’s external valuer for its art work (Pikaso, VanGok and Co) carried out a full valuation of the collection of paintings as at 31 March 2026. The valuations were based on commercial markets including recent transaction information from auctions where similar types of paintings are regularly being purchased. During the year one of the paintings of Lady Daisy Grace’s collection that was previously valued at £x suffered major damage due to damp and was revalued at 31 March 2026 at £x. The write-down of £x was charged to the Comprehensive Income and Expenditure Statement. In accordance with statutory provisions, its impact on the general fund was reversed out to the Capital Adjustment Account. </t>
  </si>
  <si>
    <t>The gain/loss on assets classified to held for sale and sold during the year was £x (2024/25 £y)</t>
  </si>
  <si>
    <t>Details of the Council's surplus assets and information about the fair value hierarchy as at 31 March 2026 and 31 March 2025 are as follows:</t>
  </si>
  <si>
    <t>The fair value of the financial assets is lower than the carrying amount because the Council’s portfolio of investments includes a number of fixed rate loans where the interest rate receivable is lower than the rates available for similar loans at the Balance Sheet date. This shows a notional future loss (based on economic conditions at 31 March 2026) attributable to the commitment to receive interest below current market rates. 
Short-term debtors and creditors are carried at cost as this is a fair approximation of their value.</t>
  </si>
  <si>
    <t>- Estimated ranges of interest rates at 31 March 2026 of x% to x% for loans receivable, based on new lending rates for equivalent loans at that date.</t>
  </si>
  <si>
    <t>- Estimated ranges of interest rates at 31 March 2026 of x% to x% for loans payable based on new lending rates for equivalent loans at that date.</t>
  </si>
  <si>
    <t>The actual return on scheme assets in the year was a gain of £xx (2024/25 gain of £xx).</t>
  </si>
  <si>
    <t>The total contributions expected to be made to the Northern Ireland Local Government Officers' Pension Fund by the council in the year to 31 March 2026 is £xx.</t>
  </si>
  <si>
    <t>The actuarial gains/losses identified as movements on the Pensions Reserve 2025/26 can be analysed into the following categories, measured as a percentage of assets or liabilities at 31 March 2026.</t>
  </si>
  <si>
    <t>Liabilities have been assessed on an actuarial basis using the projected unit method, an estimate of the pensions that will be payable in the future years dependent on assumptions about mortality rates, salary levels, etc. The Council's Fund liabilities have been assessed by Aon Hewitt Limited, an independent firm of actuaries, estimates for the Council Fund being based on data pertaining to the latest full valuation of the scheme as at 31 March 2026.</t>
  </si>
  <si>
    <t>The approximate impact of changing key assumptions on the present value of the funded defined benefit obligation as at 31 March 2026 is set out below.</t>
  </si>
  <si>
    <t xml:space="preserve">The Northern Ireland Civil Service Pension arrangements are unfunded multi-employer defined benefit schemes but the Council is unable to identify its share of the underlying assets and liabilities. The most up to date actuarial valuation was carried out as at 31/03/YY. This valuation is then reviewed by the Scheme Actuary and updated to reflect current conditions and rolled forward to the reporting date of the DoF Superannuation and Other Allowances Resource Accounts as at 31 March 2026. </t>
  </si>
  <si>
    <t xml:space="preserve">The Council provides specialist payroll services to the local Museum and Arts Centre. The Museum and Arts Centre pay a management fee of approximately x% of payroll payments made to their employees, to the Council. This management fee less expenditure incurred by the Council in providing these payroll services amounted to £x (2024/25 £y). £X was outstanding at 31 March 2026. Transactions relating to Agency Services are included within (e.g.) other services in Cost of Services on Continuing Operations in the Comprehensive Income and Expenditure Statement. </t>
  </si>
  <si>
    <t>The financial provision for landfill capping and aftercare costs was reviewed in the year and discounted in accordance with IAS 37, this resulted in a total discounted provision of £xx (2024/25 £xx). Also, in accordance with IAS 37, the provision is based on the percentage utilisation of the site which has been changed from xx% in the previous year to xx% currently and calculated to be £xx (2024/25 £xx). This is to bring the assumptions into line with the current management position that the site is to be "mothballed" for a number of years with the potential for re-opening to fill cell 4. The Northern Ireland Environment Agency have reviewed Tullyvar's financial provision for landfill capping and aftercare costs in line with its paper "Financial Provision for waste management activities in NI" and have confirmed they are comfortable with the current provision.</t>
  </si>
  <si>
    <t>Golder Associates previously reviewed the site gas generation potential and modelled the income projection.  Their model has been reviewed by management to reflect more recent actual gas generation and income figures.  The future projected discounted gas income is £xx over the next 9 years (2024/25 £xx)</t>
  </si>
  <si>
    <t>The value of Mid Ulster's investment in Tullyvar is £xx (2024/25 £xx) which represents half of Tullyvar's net assets employed and is broken down as follows:-</t>
  </si>
  <si>
    <t>The movement in Mid Ulster District Council's investment in Tullyvar is a decrease of £xx (2024/25£xx) which is broken down as follows:-</t>
  </si>
  <si>
    <t>Central government has significant influence over the general operations of the council - it is responsible for providing the statutory framework within which the council operates, provides the majority of its funding in the form of grants and prescribes the terms of many of the transactions that the council has with other parties.  Grant receipts outstanding at 31 March 2026 are shown in Note 4.</t>
  </si>
  <si>
    <t>Members of the council have direct control over the council's financing and operating policies.  The total of members' allowances paid in 2025/26 is shown in Note xx. [Delete as appropriate]   During 2025/26, works and services to the value of £x were commissioned from companies in which x members had control or influence in a decision-making capacity.  These companies are :  (insert names of companies and value of the contracts received).  Contracts were entered into in full compliance with the council's standing orders.  In addition, the council paid grants totalling £x to voluntary organisations in which x members had positions on the governing body.  Grants totalling £x were also made to organisations whose senior management included close members of the families of members.  In all instances, the grants were made with proper consideration of declarations of interest.  The relevant members did not take part in any discussion or decision relating to the grants.  Details of all these transactions are recorded in the Register of Members' Interest, open to public inspection at the Civic Centre during office hours.</t>
  </si>
  <si>
    <t>During 2025/26, works and services to the value of £X were commissioned from companies in which  key management personnel,  other than elected members,  had control or influence in a decision-making capacity. These key management personnel include all chief officers (or equivalent) chief executive and other persons having the authority and responsibility for planning, directing and controlling the activities of the council, including the oversight of these activities.   These companies are:  [insert name and value of contracts].   In addition, the council paid grants totalling £x to voluntary organisations in which x members had positions on the governing body.  Grants totalling £x were also made to organisations whose senior management included close members of the families of key management personnel (other than elected members).  In all instances, the grants were made with proper consideration of declarations of interest.  The relevant members did not take part in any discussion or decision relating to the grants.  Details of all these transactions are recorded in ........</t>
  </si>
  <si>
    <t>The Statement of Accounts was authorised for issue by [xxx] on XX September 2025.  Events taking place after this date are not reflected in the financial statements or notes.  Where events taking place before this date provided information about conditions existing at 31 March 2026, the figures in the financial statements have been adjusted in all material respects to reflect the impact of this information.
The financial statements and notes have not been adjusted for the following events which took place after 31 March 2026 as they provide information that is relevant to an understanding of the Council's financial position but do not relate to conditions at that date:
- Provide details of the relevant events</t>
  </si>
  <si>
    <t>The Chief Financial Officer authorised these financial statements for issue on xx September 2026</t>
  </si>
  <si>
    <t>Net assets of the company were £Xmillion at 31 March 2026 compared to £X million at 31 March 2025. The profit on ordinary activities before taxation for the period to 31 March 2026 was £x million compared to £Y million for the period to 31 March 2025. The limit of the Authority's commitment to meet accumulated losses is £X million (exclusive of RPI increases) plus the value of any rates paid or payable in the year for the Conference Centre. No dividend payments were due to, or received by, the Authority in respect of its investment.</t>
  </si>
  <si>
    <t>The latest set of audited accounts is for the year to 31 March 2025 and has an unqualified audit certificate. Copies of the audited accounts may be obtained from the Chief Executive, X Limited.</t>
  </si>
  <si>
    <t>The effect of the inclusion of the subsidiaries and associates in 2025/26 was to reduce the Council's reserves and net assets by £X million (2024/25 £Y million) representing the net liability in the consolidating entities.</t>
  </si>
  <si>
    <t>The actual return on scheme assets in the year was a gain/loss of £x (2024/25 gain/loss of £x).</t>
  </si>
  <si>
    <t xml:space="preserve">The total contributions expected to be made to the Northern Ireland Local Government Officers' Pension Fund by the Group in the year to 31 March 2026 is £x. </t>
  </si>
  <si>
    <t>The actuarial gains identified as movements on the Pensions Reserve 2025/26 can be analysed into the following categories, measured as a percentage of assets or liabilities at 31 March 2026.</t>
  </si>
  <si>
    <t xml:space="preserve">The Northern Ireland Civil Service Pension arrangements are unfunded multi-employer defined benefit schemes but the Group is unable to identify its share of the underlying assets and liabilities. The most up to date actuarial valuation was carried out as at DD/MM/20YY. This valuation is then reviewed by the Scheme Actuary and updated to reflect current conditions and rolled forward to the reporting date of the DoF Superannuation and Other Allowances Resource Accounts as at 31 March 2026. </t>
  </si>
  <si>
    <t>In 2025/26, the Council made two material changes to its accounting estimates for property, plant and equipment:
- During the revaluation of the Council's office accommodation, remaining useful lives were reviewed criticially for all properties occupied by the Council.  As a result, the depreciation charge for the properties of £x for 2025/26 was £x lower than it would have been if the useful lives assessed in 2024/25 had been used for the calculations.  The impact of this change will carry forward into 2025/26 and future years.
- It has been determined that a unit of consumption depreciation methodology will be a more effective measure of the use of the Council's vehicle fleet than straight line calculations.  The change in methodology has resulted in a depreciation charge £x higher than would have been calculated under previous methodology.  The impact of this change will carry forward into 2025/26 and future years.</t>
  </si>
  <si>
    <t>There were no events occurring after 31 March 2026 which require adjustment to the Council's financial statements or additional disclosures.</t>
  </si>
  <si>
    <t>The Chief Financial Officer authorised these financial statements for issue on xx September 2026.</t>
  </si>
  <si>
    <t xml:space="preserve">These accounts were approved by the Chief Executive on xxth June 2026.                           </t>
  </si>
  <si>
    <t>The governance framework has been in place at the local authority for the year ended 31 March 2026 and up to the date of approval of the financial statements.</t>
  </si>
  <si>
    <t>REMUNERATION REPORT FOR THE YEAR ENDED 31 March 2026</t>
  </si>
  <si>
    <t>Guidance and determinations on Councillors’ Allowances applicable from 1 April 2025 were issued by the Department for Communities on 20 October 2025 (Circular LG 17/2025). Details of the allowances paid to individual councillors are published on council websites.</t>
  </si>
  <si>
    <t>Following local elections on 18 May 2023, 462 councillors were elected to the 11 new councils for a four year term. XYZ Council had X councillors in 2025/26.</t>
  </si>
  <si>
    <t xml:space="preserve">Details of the allowances paid to individual councillors in 2025/26 are published on the council website at www.xyz.gov.uk/remunerationreport. </t>
  </si>
  <si>
    <t>The banded remuneration of the highest paid member of the Executive Management Team/Senior Management Team in the financial year 2025/26 was £xxk - £xxk. This was xx times the median remuneration of the workforce, which was £xxx.</t>
  </si>
  <si>
    <t xml:space="preserve">In 2025/26, xx employees received remuneration in excess of the highest paid member of the Executive Management Team/Senior Management Team. </t>
  </si>
  <si>
    <t xml:space="preserve">Bonus Payments
Bonus payments are based on performance levels attained and are made as part of the appraisal process. Bonuses relate to the performance in the year in which they become payable to the individual. The bonuses reported in 2025/26 relate to performance in 2025/26.
</t>
  </si>
  <si>
    <t xml:space="preserve">Table 4: Exit Packages in 2025/26 (audited information)
</t>
  </si>
  <si>
    <t xml:space="preserve">Councillors have been able to join the Scheme since May 2011 and therefore have not accrued significant benefits thus far. However, the in-year pension contributions made by the Council for all councillors during 2025/26 was £x. </t>
  </si>
  <si>
    <t xml:space="preserve">Table 7: Pension Benefits of senior staff in 2025/26 (audited information)
</t>
  </si>
  <si>
    <t>£0 - £18,300</t>
  </si>
  <si>
    <t>£18,301 - £28,100</t>
  </si>
  <si>
    <t>£28,101 - £47,000</t>
  </si>
  <si>
    <t>£47,001 - £57,200</t>
  </si>
  <si>
    <t>£57,201 - £113,500</t>
  </si>
  <si>
    <t>More than £113,500</t>
  </si>
  <si>
    <t>xx September 2026</t>
  </si>
  <si>
    <t>Adjustments between Funding and Accounting Basis 
2025/26</t>
  </si>
  <si>
    <t>In 2025/26, the Council made two material changes to its accounting estimates for property, plant and equipment:
- During the revaluation of the Council's office accommodation, remaining useful lives were reviewed criticially for all properties occupied by the Council.  As a result, the depreciation charge for the properties of £x for 2025/26 was £x lower than it would have been if the useful lives assessed in 2024/25 had been used for the calculations.  The impact of this change will carry forward into 2025/26 and will also affect future years.
- It has been determined that a unit of consumption depreciation methodology is a more effective measure of the use of the Council's vehicle fleet than straight line calculations.  The change in methodology has resulted in a depreciation charge £x higher than would have been calculated under previous methodology.  The impact of this change will carry forward into 2025/26 and will also affect future years.</t>
  </si>
  <si>
    <t>At 1 April 2025</t>
  </si>
  <si>
    <t>At 31 March 2026</t>
  </si>
  <si>
    <t>2025/26 Recurring fair value measurements using:</t>
  </si>
  <si>
    <t>Financial Assets as at 31 March 2026</t>
  </si>
  <si>
    <t>Financial Liabilities as at 31 March 2026</t>
  </si>
  <si>
    <t>Analysis of projected amount to be charged to the Comprehensive Income and Expenditure Statement for the year to 31 March 2026</t>
  </si>
  <si>
    <t>There are a number of legal claims in which Council is a defendant.  It is uncertain whether these cases will proceed to court or if they do, the courts will have reached a decision in relation to them by 31 March 2026.  Council is of the opinion that, in the majority of cases, it is not probable that an outflow of resources will be required to settle the claim.  Council is also of the opinion that, in any event, it is not possible to make a sufficiently reliable estimate of potential contingent liabilities for disclosure purposes.  Where legal claims predate the formation of the Council, i.e. the defendant was originally one of the former legacy councils, there has been no change in the amount recognised as a potential liability at 31 March 2026 as there has been no change in Council’s assessment of the probability of a negative outcome for Council in relation to the claim.</t>
  </si>
  <si>
    <t>The balance of all the DfC Covid funding/cost of living funding at 31/03/2026 is £xxx (£xxx at 31/03/2025)</t>
  </si>
  <si>
    <t>Fair value as at 31st March 2026</t>
  </si>
  <si>
    <t>These practices primarily comprise the Code of Practice on Local Authority Accounting in the United Kingdom 2025/26, supported by International Financial Reporting Standards (IFRS). The accounting convention adopted in the Statement of Accounts is principally historical cost, modified by the revaluation of certain categories of non-current assets and financial instruments. 
The Code of Practice on Local Authority Accounting in the United Kingdom 2024/25 also requires disclosure in respect of:</t>
  </si>
  <si>
    <t>Movement in Reserves Statement during 2025/26</t>
  </si>
  <si>
    <t>Cash Flow Statement for the year ended 31 March 2026</t>
  </si>
  <si>
    <t>Accrued Pension at pension age as at 31/03/2026
£'000</t>
  </si>
  <si>
    <t>CETV at 31/03/2026
£'000</t>
  </si>
  <si>
    <t>The ranges for the bands for tiered contribution rates are revised by the Department for Communities in April each year in accordance with the increase applied to a pension in payment. The bands, effective from 1 April 2025, were as follows:</t>
  </si>
  <si>
    <t>As at 31/03/2026
£</t>
  </si>
  <si>
    <t>Ensuring the authority’s financial management arrangements conform with the governance requirements of the Code of Practice for the Governance of Internal Audit effective from 1 April 2025  and, where they do not, explain why and how they deliver the same impact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</si>
</sst>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quot;£&quot;#,##0_);[Red]\(&quot;£&quot;#,##0\)"/>
    <numFmt numFmtId="165" formatCode="_(* #,##0_);_(* \(#,##0\);_(* &quot;-&quot;_);_(@_)"/>
    <numFmt numFmtId="166" formatCode="_(* #,##0.00_);_(* \(#,##0.00\);_(* &quot;-&quot;??_);_(@_)"/>
    <numFmt numFmtId="167" formatCode="#,##0.00;\(#,##0.00\)"/>
    <numFmt numFmtId="168" formatCode="#,##0;[Red]\(#,##0\)"/>
    <numFmt numFmtId="169" formatCode="#,##0;\(#,##0\)"/>
    <numFmt numFmtId="170" formatCode="[$-809]dd\ mmmm\ yyyy;@"/>
    <numFmt numFmtId="171" formatCode="_-* #,##0_-;\-* #,##0_-;_-* &quot;-&quot;??_-;_-@_-"/>
    <numFmt numFmtId="172" formatCode="[$-2]\ #,##0\ ;[Black]\([$-2]#,##0\)"/>
    <numFmt numFmtId="173" formatCode="0.0%"/>
    <numFmt numFmtId="174" formatCode="_-* #,##0_-;\(#,##0\)_-;_-* &quot;-&quot;??_-;_-@_-"/>
    <numFmt numFmtId="175" formatCode="_-* #,##0.000_-;\(#,##0.000\)_-;_-* &quot;-&quot;??_-;_-@_-"/>
    <numFmt numFmtId="176" formatCode="0.0"/>
    <numFmt numFmtId="177" formatCode="#,##0.0"/>
  </numFmts>
  <fonts count="138" x14ac:knownFonts="1">
    <font>
      <sz val="1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alibri"/>
      <family val="2"/>
    </font>
    <font>
      <sz val="10"/>
      <name val="Calibri"/>
      <family val="2"/>
    </font>
    <font>
      <b/>
      <sz val="9"/>
      <color indexed="81"/>
      <name val="Tahoma"/>
      <family val="2"/>
    </font>
    <font>
      <sz val="9"/>
      <color indexed="81"/>
      <name val="Tahoma"/>
      <family val="2"/>
    </font>
    <font>
      <sz val="8"/>
      <name val="Calibri"/>
      <family val="2"/>
    </font>
    <font>
      <sz val="10"/>
      <color indexed="9"/>
      <name val="Calibri"/>
      <family val="2"/>
    </font>
    <font>
      <b/>
      <sz val="10"/>
      <name val="Calibri"/>
      <family val="2"/>
    </font>
    <font>
      <sz val="10"/>
      <name val="Arial"/>
      <family val="2"/>
    </font>
    <font>
      <sz val="9"/>
      <name val="Calibri"/>
      <family val="2"/>
    </font>
    <font>
      <sz val="12"/>
      <color indexed="9"/>
      <name val="Calibri"/>
      <family val="2"/>
    </font>
    <font>
      <b/>
      <sz val="12"/>
      <name val="Calibri"/>
      <family val="2"/>
    </font>
    <font>
      <b/>
      <sz val="11"/>
      <name val="Calibri"/>
      <family val="2"/>
    </font>
    <font>
      <b/>
      <sz val="10"/>
      <color indexed="9"/>
      <name val="Calibri"/>
      <family val="2"/>
    </font>
    <font>
      <b/>
      <sz val="10"/>
      <name val="Calibri"/>
      <family val="2"/>
    </font>
    <font>
      <sz val="12"/>
      <color indexed="9"/>
      <name val="Calibri"/>
      <family val="2"/>
    </font>
    <font>
      <sz val="11"/>
      <name val="Calibri"/>
      <family val="2"/>
    </font>
    <font>
      <b/>
      <sz val="10"/>
      <color indexed="9"/>
      <name val="Calibri"/>
      <family val="2"/>
    </font>
    <font>
      <b/>
      <sz val="11"/>
      <color indexed="9"/>
      <name val="Calibri"/>
      <family val="2"/>
    </font>
    <font>
      <sz val="10"/>
      <name val="Calibri"/>
      <family val="2"/>
    </font>
    <font>
      <sz val="10"/>
      <color indexed="12"/>
      <name val="Calibri"/>
      <family val="2"/>
    </font>
    <font>
      <sz val="10"/>
      <color indexed="8"/>
      <name val="Calibri"/>
      <family val="2"/>
    </font>
    <font>
      <b/>
      <sz val="10"/>
      <color indexed="8"/>
      <name val="Calibri"/>
      <family val="2"/>
    </font>
    <font>
      <sz val="10"/>
      <color indexed="48"/>
      <name val="Calibri"/>
      <family val="2"/>
    </font>
    <font>
      <sz val="10"/>
      <name val="Times New Roman"/>
      <family val="1"/>
    </font>
    <font>
      <b/>
      <i/>
      <sz val="10"/>
      <color indexed="48"/>
      <name val="Calibri"/>
      <family val="2"/>
    </font>
    <font>
      <sz val="10"/>
      <color indexed="48"/>
      <name val="Calibri"/>
      <family val="2"/>
    </font>
    <font>
      <b/>
      <sz val="12"/>
      <color indexed="9"/>
      <name val="Calibri"/>
      <family val="2"/>
    </font>
    <font>
      <sz val="10"/>
      <color rgb="FF7030A0"/>
      <name val="Calibri"/>
      <family val="2"/>
    </font>
    <font>
      <sz val="10"/>
      <color rgb="FF008000"/>
      <name val="Calibri"/>
      <family val="2"/>
    </font>
    <font>
      <sz val="10"/>
      <color theme="0"/>
      <name val="Calibri"/>
      <family val="2"/>
    </font>
    <font>
      <sz val="10"/>
      <color rgb="FFFF0000"/>
      <name val="Calibri"/>
      <family val="2"/>
    </font>
    <font>
      <b/>
      <sz val="10"/>
      <name val="Arial"/>
      <family val="2"/>
    </font>
    <font>
      <sz val="12"/>
      <name val="Arial"/>
      <family val="2"/>
    </font>
    <font>
      <sz val="9.5"/>
      <name val="Arial"/>
      <family val="2"/>
    </font>
    <font>
      <b/>
      <sz val="12"/>
      <name val="Arial"/>
      <family val="2"/>
    </font>
    <font>
      <sz val="11"/>
      <name val="Arial"/>
      <family val="2"/>
    </font>
    <font>
      <b/>
      <sz val="14"/>
      <name val="Arial"/>
      <family val="2"/>
    </font>
    <font>
      <sz val="10"/>
      <name val="Arial"/>
      <family val="2"/>
    </font>
    <font>
      <b/>
      <u/>
      <sz val="12"/>
      <name val="Arial"/>
      <family val="2"/>
    </font>
    <font>
      <i/>
      <sz val="10"/>
      <color theme="3"/>
      <name val="Calibri"/>
      <family val="2"/>
    </font>
    <font>
      <sz val="11"/>
      <color rgb="FF373737"/>
      <name val="Arial"/>
      <family val="2"/>
    </font>
    <font>
      <b/>
      <sz val="11"/>
      <name val="Verdana"/>
      <family val="2"/>
    </font>
    <font>
      <sz val="11"/>
      <name val="Verdana"/>
      <family val="2"/>
    </font>
    <font>
      <b/>
      <i/>
      <sz val="11"/>
      <name val="Verdana"/>
      <family val="2"/>
    </font>
    <font>
      <b/>
      <sz val="11"/>
      <color rgb="FF7030A0"/>
      <name val="Calibri"/>
      <family val="2"/>
    </font>
    <font>
      <b/>
      <u/>
      <sz val="12"/>
      <color rgb="FF7030A0"/>
      <name val="Verdana"/>
      <family val="2"/>
    </font>
    <font>
      <sz val="11"/>
      <color rgb="FF7030A0"/>
      <name val="Verdana"/>
      <family val="2"/>
    </font>
    <font>
      <b/>
      <sz val="11"/>
      <color rgb="FF7030A0"/>
      <name val="Verdana"/>
      <family val="2"/>
    </font>
    <font>
      <b/>
      <i/>
      <sz val="11"/>
      <color rgb="FF7030A0"/>
      <name val="Verdana"/>
      <family val="2"/>
    </font>
    <font>
      <sz val="10"/>
      <name val="Arial"/>
      <family val="2"/>
    </font>
    <font>
      <sz val="10"/>
      <color indexed="20"/>
      <name val="Calibri"/>
      <family val="2"/>
    </font>
    <font>
      <b/>
      <sz val="10"/>
      <color indexed="52"/>
      <name val="Calibri"/>
      <family val="2"/>
    </font>
    <font>
      <i/>
      <sz val="10"/>
      <color indexed="23"/>
      <name val="Calibri"/>
      <family val="2"/>
    </font>
    <font>
      <sz val="10"/>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Calibri"/>
      <family val="2"/>
    </font>
    <font>
      <sz val="10"/>
      <color indexed="52"/>
      <name val="Calibri"/>
      <family val="2"/>
    </font>
    <font>
      <sz val="10"/>
      <color indexed="60"/>
      <name val="Calibri"/>
      <family val="2"/>
    </font>
    <font>
      <b/>
      <sz val="10"/>
      <color indexed="63"/>
      <name val="Calibri"/>
      <family val="2"/>
    </font>
    <font>
      <b/>
      <sz val="18"/>
      <color indexed="56"/>
      <name val="Cambria"/>
      <family val="2"/>
    </font>
    <font>
      <sz val="10"/>
      <color indexed="10"/>
      <name val="Calibri"/>
      <family val="2"/>
    </font>
    <font>
      <b/>
      <sz val="12"/>
      <color rgb="FF7030A0"/>
      <name val="Calibri"/>
      <family val="2"/>
    </font>
    <font>
      <sz val="14"/>
      <name val="Calibri"/>
      <family val="2"/>
    </font>
    <font>
      <b/>
      <sz val="14"/>
      <color rgb="FFFF0000"/>
      <name val="Calibri"/>
      <family val="2"/>
    </font>
    <font>
      <b/>
      <sz val="16"/>
      <name val="Calibri"/>
      <family val="2"/>
    </font>
    <font>
      <sz val="14"/>
      <color rgb="FFFF0000"/>
      <name val="Calibri"/>
      <family val="2"/>
    </font>
    <font>
      <b/>
      <sz val="14"/>
      <name val="Calibri"/>
      <family val="2"/>
    </font>
    <font>
      <i/>
      <sz val="14"/>
      <name val="Calibri"/>
      <family val="2"/>
    </font>
    <font>
      <b/>
      <i/>
      <sz val="14"/>
      <name val="Calibri"/>
      <family val="2"/>
    </font>
    <font>
      <b/>
      <sz val="10"/>
      <color rgb="FF7030A0"/>
      <name val="Calibri"/>
      <family val="2"/>
    </font>
    <font>
      <b/>
      <sz val="18"/>
      <name val="Calibri"/>
      <family val="2"/>
    </font>
    <font>
      <b/>
      <sz val="12"/>
      <color rgb="FFFF0000"/>
      <name val="Calibri"/>
      <family val="2"/>
    </font>
    <font>
      <sz val="12"/>
      <name val="Calibri"/>
      <family val="2"/>
    </font>
    <font>
      <sz val="12"/>
      <color rgb="FFFF0000"/>
      <name val="Calibri"/>
      <family val="2"/>
    </font>
    <font>
      <sz val="10"/>
      <name val="Century Gothic"/>
      <family val="2"/>
    </font>
    <font>
      <b/>
      <i/>
      <sz val="10"/>
      <name val="Century Gothic"/>
      <family val="2"/>
    </font>
    <font>
      <b/>
      <sz val="10"/>
      <name val="Century Gothic"/>
      <family val="2"/>
    </font>
    <font>
      <sz val="10"/>
      <color indexed="12"/>
      <name val="Century Gothic"/>
      <family val="2"/>
    </font>
    <font>
      <sz val="10"/>
      <color indexed="8"/>
      <name val="Century Gothic"/>
      <family val="2"/>
    </font>
    <font>
      <i/>
      <sz val="10"/>
      <name val="Century Gothic"/>
      <family val="2"/>
    </font>
    <font>
      <b/>
      <sz val="10"/>
      <color indexed="8"/>
      <name val="Century Gothic"/>
      <family val="2"/>
    </font>
    <font>
      <sz val="10"/>
      <color indexed="48"/>
      <name val="Century Gothic"/>
      <family val="2"/>
    </font>
    <font>
      <sz val="10"/>
      <color indexed="54"/>
      <name val="Century Gothic"/>
      <family val="2"/>
    </font>
    <font>
      <u/>
      <sz val="10"/>
      <name val="Century Gothic"/>
      <family val="2"/>
    </font>
    <font>
      <b/>
      <i/>
      <sz val="10"/>
      <color indexed="8"/>
      <name val="Century Gothic"/>
      <family val="2"/>
    </font>
    <font>
      <u/>
      <sz val="10"/>
      <color indexed="54"/>
      <name val="Century Gothic"/>
      <family val="2"/>
    </font>
    <font>
      <b/>
      <sz val="9.5"/>
      <name val="Arial"/>
      <family val="2"/>
    </font>
    <font>
      <b/>
      <u/>
      <sz val="11"/>
      <color rgb="FF7030A0"/>
      <name val="Verdana"/>
      <family val="2"/>
    </font>
    <font>
      <b/>
      <sz val="11"/>
      <color rgb="FFFF0000"/>
      <name val="Calibri"/>
      <family val="2"/>
    </font>
    <font>
      <b/>
      <u/>
      <sz val="12"/>
      <color rgb="FF7030A0"/>
      <name val="Calibri"/>
      <family val="2"/>
    </font>
    <font>
      <b/>
      <u/>
      <sz val="12"/>
      <color rgb="FFFF0000"/>
      <name val="Calibri"/>
      <family val="2"/>
    </font>
    <font>
      <b/>
      <u/>
      <sz val="16"/>
      <color rgb="FF7030A0"/>
      <name val="Calibri"/>
      <family val="2"/>
    </font>
    <font>
      <b/>
      <sz val="14"/>
      <color rgb="FF7030A0"/>
      <name val="Calibri"/>
      <family val="2"/>
    </font>
    <font>
      <b/>
      <sz val="16"/>
      <color rgb="FF7030A0"/>
      <name val="Calibri"/>
      <family val="2"/>
    </font>
    <font>
      <b/>
      <sz val="18"/>
      <color rgb="FF7030A0"/>
      <name val="Calibri"/>
      <family val="2"/>
    </font>
    <font>
      <sz val="16"/>
      <name val="Calibri"/>
      <family val="2"/>
    </font>
    <font>
      <sz val="16"/>
      <color theme="0"/>
      <name val="Calibri"/>
      <family val="2"/>
    </font>
    <font>
      <b/>
      <sz val="10"/>
      <color indexed="12"/>
      <name val="Century Gothic"/>
      <family val="2"/>
    </font>
    <font>
      <b/>
      <sz val="10"/>
      <color indexed="9"/>
      <name val="Century Gothic"/>
      <family val="2"/>
    </font>
    <font>
      <sz val="10"/>
      <color indexed="9"/>
      <name val="Century Gothic"/>
      <family val="2"/>
    </font>
    <font>
      <b/>
      <sz val="10"/>
      <color indexed="48"/>
      <name val="Century Gothic"/>
      <family val="2"/>
    </font>
    <font>
      <sz val="10"/>
      <color rgb="FFFF0000"/>
      <name val="Century Gothic"/>
      <family val="2"/>
    </font>
    <font>
      <sz val="9"/>
      <name val="Century Gothic"/>
      <family val="2"/>
    </font>
    <font>
      <b/>
      <sz val="9"/>
      <name val="Century Gothic"/>
      <family val="2"/>
    </font>
    <font>
      <b/>
      <sz val="9"/>
      <color indexed="9"/>
      <name val="Century Gothic"/>
      <family val="2"/>
    </font>
    <font>
      <b/>
      <sz val="10"/>
      <color theme="1"/>
      <name val="Century Gothic"/>
      <family val="2"/>
    </font>
    <font>
      <sz val="10"/>
      <color theme="1"/>
      <name val="Century Gothic"/>
      <family val="2"/>
    </font>
    <font>
      <b/>
      <sz val="10"/>
      <color rgb="FFFF0000"/>
      <name val="Century Gothic"/>
      <family val="2"/>
    </font>
    <font>
      <b/>
      <sz val="10"/>
      <color theme="0"/>
      <name val="Century Gothic"/>
      <family val="2"/>
    </font>
    <font>
      <sz val="10"/>
      <color theme="0"/>
      <name val="Century Gothic"/>
      <family val="2"/>
    </font>
    <font>
      <b/>
      <u/>
      <sz val="10"/>
      <name val="Century Gothic"/>
      <family val="2"/>
    </font>
    <font>
      <sz val="10"/>
      <color rgb="FF7030A0"/>
      <name val="Century Gothic"/>
      <family val="2"/>
    </font>
    <font>
      <b/>
      <sz val="11"/>
      <name val="Century Gothic"/>
      <family val="2"/>
    </font>
    <font>
      <b/>
      <sz val="14"/>
      <name val="Century Gothic"/>
      <family val="2"/>
    </font>
    <font>
      <b/>
      <sz val="12"/>
      <name val="Century Gothic"/>
      <family val="2"/>
    </font>
    <font>
      <b/>
      <sz val="11"/>
      <color theme="0"/>
      <name val="Calibri"/>
      <family val="2"/>
    </font>
    <font>
      <b/>
      <sz val="10"/>
      <color rgb="FF7030A0"/>
      <name val="Century Gothic"/>
      <family val="2"/>
    </font>
    <font>
      <i/>
      <sz val="10"/>
      <color rgb="FF0070C0"/>
      <name val="Calibri"/>
      <family val="2"/>
    </font>
    <font>
      <b/>
      <u/>
      <sz val="14"/>
      <name val="Century Gothic"/>
      <family val="2"/>
    </font>
    <font>
      <i/>
      <sz val="8"/>
      <color rgb="FFFF0000"/>
      <name val="Century Gothic"/>
      <family val="2"/>
    </font>
    <font>
      <sz val="11"/>
      <color theme="0"/>
      <name val="Calibri"/>
      <family val="2"/>
    </font>
    <font>
      <b/>
      <u/>
      <sz val="11"/>
      <name val="Calibri"/>
      <family val="2"/>
    </font>
    <font>
      <b/>
      <u/>
      <sz val="14"/>
      <color rgb="FF7030A0"/>
      <name val="Calibri"/>
      <family val="2"/>
    </font>
    <font>
      <i/>
      <sz val="10"/>
      <color theme="8"/>
      <name val="Century Gothic"/>
      <family val="2"/>
    </font>
    <font>
      <b/>
      <sz val="10"/>
      <color theme="8"/>
      <name val="Century Gothic"/>
      <family val="2"/>
    </font>
    <font>
      <sz val="10"/>
      <color rgb="FF0070C0"/>
      <name val="Calibri"/>
      <family val="2"/>
    </font>
    <font>
      <b/>
      <sz val="10"/>
      <color rgb="FF0070C0"/>
      <name val="Calibri"/>
      <family val="2"/>
    </font>
    <font>
      <i/>
      <sz val="10"/>
      <color rgb="FF0070C0"/>
      <name val="Century Gothic"/>
      <family val="2"/>
    </font>
    <font>
      <b/>
      <i/>
      <sz val="10"/>
      <color rgb="FF0070C0"/>
      <name val="Calibri"/>
      <family val="2"/>
    </font>
    <font>
      <sz val="11"/>
      <name val="Century Gothic"/>
      <family val="2"/>
    </font>
    <font>
      <sz val="9"/>
      <color indexed="9"/>
      <name val="Century Gothic"/>
      <family val="2"/>
    </font>
  </fonts>
  <fills count="118">
    <fill>
      <patternFill patternType="none"/>
    </fill>
    <fill>
      <patternFill patternType="gray125"/>
    </fill>
    <fill>
      <patternFill patternType="solid">
        <fgColor indexed="51"/>
        <bgColor indexed="64"/>
      </patternFill>
    </fill>
    <fill>
      <patternFill patternType="solid">
        <fgColor indexed="40"/>
        <bgColor indexed="64"/>
      </patternFill>
    </fill>
    <fill>
      <patternFill patternType="solid">
        <fgColor indexed="44"/>
        <bgColor indexed="64"/>
      </patternFill>
    </fill>
    <fill>
      <patternFill patternType="solid">
        <fgColor indexed="10"/>
        <bgColor indexed="64"/>
      </patternFill>
    </fill>
    <fill>
      <patternFill patternType="solid">
        <fgColor indexed="45"/>
        <bgColor indexed="64"/>
      </patternFill>
    </fill>
    <fill>
      <patternFill patternType="solid">
        <fgColor indexed="48"/>
        <bgColor indexed="64"/>
      </patternFill>
    </fill>
    <fill>
      <patternFill patternType="solid">
        <fgColor rgb="FFFF99CC"/>
        <bgColor indexed="64"/>
      </patternFill>
    </fill>
    <fill>
      <patternFill patternType="solid">
        <fgColor rgb="FF00CCFF"/>
        <bgColor indexed="64"/>
      </patternFill>
    </fill>
    <fill>
      <patternFill patternType="solid">
        <fgColor rgb="FFFFCC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indexed="46"/>
        <bgColor indexed="64"/>
      </patternFill>
    </fill>
    <fill>
      <patternFill patternType="solid">
        <fgColor theme="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rgb="FF92D050"/>
        <bgColor indexed="64"/>
      </patternFill>
    </fill>
    <fill>
      <patternFill patternType="solid">
        <fgColor rgb="FF00B0F0"/>
        <bgColor indexed="64"/>
      </patternFill>
    </fill>
    <fill>
      <patternFill patternType="solid">
        <fgColor theme="3" tint="0.39997558519241921"/>
        <bgColor indexed="64"/>
      </patternFill>
    </fill>
    <fill>
      <patternFill patternType="solid">
        <fgColor theme="2"/>
        <bgColor indexed="64"/>
      </patternFill>
    </fill>
    <fill>
      <patternFill patternType="solid">
        <fgColor rgb="FF99CCFF"/>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bgColor indexed="64"/>
      </patternFill>
    </fill>
    <fill>
      <patternFill patternType="solid">
        <fgColor theme="6"/>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7"/>
        <bgColor indexed="64"/>
      </patternFill>
    </fill>
    <fill>
      <patternFill patternType="solid">
        <fgColor theme="8"/>
        <bgColor indexed="64"/>
      </patternFill>
    </fill>
    <fill>
      <patternFill patternType="solid">
        <fgColor theme="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CFF99"/>
        <bgColor indexed="64"/>
      </patternFill>
    </fill>
    <fill>
      <patternFill patternType="solid">
        <fgColor rgb="FF00FF00"/>
        <bgColor indexed="64"/>
      </patternFill>
    </fill>
    <fill>
      <patternFill patternType="solid">
        <fgColor rgb="FFCCFF66"/>
        <bgColor indexed="64"/>
      </patternFill>
    </fill>
    <fill>
      <patternFill patternType="solid">
        <fgColor rgb="FFCCFFCC"/>
        <bgColor indexed="64"/>
      </patternFill>
    </fill>
    <fill>
      <patternFill patternType="solid">
        <fgColor rgb="FFCCFF33"/>
        <bgColor indexed="64"/>
      </patternFill>
    </fill>
    <fill>
      <patternFill patternType="solid">
        <fgColor rgb="FFCC99FF"/>
        <bgColor indexed="64"/>
      </patternFill>
    </fill>
    <fill>
      <patternFill patternType="solid">
        <fgColor rgb="FFCC00FF"/>
        <bgColor indexed="64"/>
      </patternFill>
    </fill>
    <fill>
      <patternFill patternType="solid">
        <fgColor rgb="FFCCCCFF"/>
        <bgColor indexed="64"/>
      </patternFill>
    </fill>
    <fill>
      <patternFill patternType="solid">
        <fgColor rgb="FF9900CC"/>
        <bgColor indexed="64"/>
      </patternFill>
    </fill>
    <fill>
      <patternFill patternType="solid">
        <fgColor rgb="FFFFFF99"/>
        <bgColor indexed="64"/>
      </patternFill>
    </fill>
    <fill>
      <patternFill patternType="solid">
        <fgColor rgb="FFFFFF66"/>
        <bgColor indexed="64"/>
      </patternFill>
    </fill>
    <fill>
      <patternFill patternType="solid">
        <fgColor rgb="FFFFFFCC"/>
        <bgColor indexed="64"/>
      </patternFill>
    </fill>
    <fill>
      <patternFill patternType="solid">
        <fgColor rgb="FF00FFFF"/>
        <bgColor indexed="64"/>
      </patternFill>
    </fill>
    <fill>
      <patternFill patternType="solid">
        <fgColor rgb="FF33CCCC"/>
        <bgColor indexed="64"/>
      </patternFill>
    </fill>
    <fill>
      <patternFill patternType="solid">
        <fgColor rgb="FFCCFFFF"/>
        <bgColor indexed="64"/>
      </patternFill>
    </fill>
    <fill>
      <patternFill patternType="solid">
        <fgColor rgb="FF006699"/>
        <bgColor indexed="64"/>
      </patternFill>
    </fill>
    <fill>
      <patternFill patternType="solid">
        <fgColor rgb="FFFF6699"/>
        <bgColor indexed="64"/>
      </patternFill>
    </fill>
    <fill>
      <patternFill patternType="solid">
        <fgColor rgb="FFFF0066"/>
        <bgColor indexed="64"/>
      </patternFill>
    </fill>
    <fill>
      <patternFill patternType="solid">
        <fgColor rgb="FFD60093"/>
        <bgColor indexed="64"/>
      </patternFill>
    </fill>
    <fill>
      <patternFill patternType="solid">
        <fgColor rgb="FF0066FF"/>
        <bgColor indexed="64"/>
      </patternFill>
    </fill>
    <fill>
      <patternFill patternType="solid">
        <fgColor rgb="FF0099FF"/>
        <bgColor indexed="64"/>
      </patternFill>
    </fill>
    <fill>
      <patternFill patternType="solid">
        <fgColor rgb="FFCCECFF"/>
        <bgColor indexed="64"/>
      </patternFill>
    </fill>
    <fill>
      <patternFill patternType="solid">
        <fgColor rgb="FF0099CC"/>
        <bgColor indexed="64"/>
      </patternFill>
    </fill>
    <fill>
      <patternFill patternType="solid">
        <fgColor rgb="FF66FF99"/>
        <bgColor indexed="64"/>
      </patternFill>
    </fill>
    <fill>
      <patternFill patternType="solid">
        <fgColor rgb="FF99FFCC"/>
        <bgColor indexed="64"/>
      </patternFill>
    </fill>
    <fill>
      <patternFill patternType="solid">
        <fgColor rgb="FF00CC00"/>
        <bgColor indexed="64"/>
      </patternFill>
    </fill>
    <fill>
      <patternFill patternType="solid">
        <fgColor rgb="FF6699FF"/>
        <bgColor indexed="64"/>
      </patternFill>
    </fill>
    <fill>
      <patternFill patternType="solid">
        <fgColor rgb="FF3366FF"/>
        <bgColor indexed="64"/>
      </patternFill>
    </fill>
    <fill>
      <patternFill patternType="solid">
        <fgColor rgb="FF3333CC"/>
        <bgColor indexed="64"/>
      </patternFill>
    </fill>
    <fill>
      <patternFill patternType="solid">
        <fgColor rgb="FFFFCC66"/>
        <bgColor indexed="64"/>
      </patternFill>
    </fill>
    <fill>
      <patternFill patternType="solid">
        <fgColor rgb="FFFFCCCC"/>
        <bgColor indexed="64"/>
      </patternFill>
    </fill>
    <fill>
      <patternFill patternType="solid">
        <fgColor rgb="FFFF9900"/>
        <bgColor indexed="64"/>
      </patternFill>
    </fill>
    <fill>
      <patternFill patternType="solid">
        <fgColor rgb="FFFF33CC"/>
        <bgColor indexed="64"/>
      </patternFill>
    </fill>
    <fill>
      <patternFill patternType="solid">
        <fgColor rgb="FFCC00CC"/>
        <bgColor indexed="64"/>
      </patternFill>
    </fill>
    <fill>
      <patternFill patternType="solid">
        <fgColor rgb="FFFF66FF"/>
        <bgColor indexed="64"/>
      </patternFill>
    </fill>
    <fill>
      <patternFill patternType="solid">
        <fgColor rgb="FFFF99FF"/>
        <bgColor indexed="64"/>
      </patternFill>
    </fill>
    <fill>
      <patternFill patternType="solid">
        <fgColor rgb="FF660066"/>
        <bgColor indexed="64"/>
      </patternFill>
    </fill>
    <fill>
      <patternFill patternType="solid">
        <fgColor rgb="FF33CC33"/>
        <bgColor indexed="64"/>
      </patternFill>
    </fill>
    <fill>
      <patternFill patternType="solid">
        <fgColor rgb="FF008000"/>
        <bgColor indexed="64"/>
      </patternFill>
    </fill>
    <fill>
      <patternFill patternType="solid">
        <fgColor rgb="FF99FF99"/>
        <bgColor indexed="64"/>
      </patternFill>
    </fill>
    <fill>
      <patternFill patternType="solid">
        <fgColor theme="1"/>
        <bgColor indexed="64"/>
      </patternFill>
    </fill>
  </fills>
  <borders count="23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ck">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ck">
        <color auto="1"/>
      </right>
      <top/>
      <bottom style="thin">
        <color auto="1"/>
      </bottom>
      <diagonal/>
    </border>
    <border>
      <left style="thin">
        <color indexed="64"/>
      </left>
      <right style="thick">
        <color auto="1"/>
      </right>
      <top style="thick">
        <color auto="1"/>
      </top>
      <bottom style="thick">
        <color indexed="64"/>
      </bottom>
      <diagonal/>
    </border>
    <border>
      <left style="thin">
        <color auto="1"/>
      </left>
      <right style="thin">
        <color auto="1"/>
      </right>
      <top/>
      <bottom style="thick">
        <color auto="1"/>
      </bottom>
      <diagonal/>
    </border>
    <border>
      <left style="thin">
        <color auto="1"/>
      </left>
      <right style="thin">
        <color auto="1"/>
      </right>
      <top style="thick">
        <color auto="1"/>
      </top>
      <bottom style="thick">
        <color auto="1"/>
      </bottom>
      <diagonal/>
    </border>
    <border>
      <left style="thin">
        <color indexed="64"/>
      </left>
      <right/>
      <top style="thick">
        <color auto="1"/>
      </top>
      <bottom/>
      <diagonal/>
    </border>
    <border>
      <left/>
      <right/>
      <top style="thick">
        <color auto="1"/>
      </top>
      <bottom/>
      <diagonal/>
    </border>
    <border>
      <left/>
      <right style="thick">
        <color auto="1"/>
      </right>
      <top style="thick">
        <color auto="1"/>
      </top>
      <bottom/>
      <diagonal/>
    </border>
    <border>
      <left style="thin">
        <color indexed="64"/>
      </left>
      <right style="thin">
        <color indexed="64"/>
      </right>
      <top style="thick">
        <color auto="1"/>
      </top>
      <bottom/>
      <diagonal/>
    </border>
    <border>
      <left style="thin">
        <color indexed="64"/>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thin">
        <color indexed="64"/>
      </top>
      <bottom/>
      <diagonal/>
    </border>
    <border>
      <left style="thin">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ck">
        <color auto="1"/>
      </right>
      <top style="thin">
        <color auto="1"/>
      </top>
      <bottom style="thin">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ck">
        <color auto="1"/>
      </right>
      <top/>
      <bottom/>
      <diagonal/>
    </border>
    <border>
      <left style="thin">
        <color auto="1"/>
      </left>
      <right style="thin">
        <color auto="1"/>
      </right>
      <top style="double">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thin">
        <color indexed="64"/>
      </bottom>
      <diagonal/>
    </border>
    <border>
      <left/>
      <right style="thin">
        <color indexed="64"/>
      </right>
      <top style="medium">
        <color auto="1"/>
      </top>
      <bottom style="thin">
        <color indexed="64"/>
      </bottom>
      <diagonal/>
    </border>
    <border>
      <left style="medium">
        <color auto="1"/>
      </left>
      <right/>
      <top style="thin">
        <color auto="1"/>
      </top>
      <bottom style="thin">
        <color indexed="64"/>
      </bottom>
      <diagonal/>
    </border>
    <border>
      <left style="medium">
        <color auto="1"/>
      </left>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indexed="64"/>
      </top>
      <bottom style="thin">
        <color auto="1"/>
      </bottom>
      <diagonal/>
    </border>
    <border>
      <left style="medium">
        <color auto="1"/>
      </left>
      <right/>
      <top/>
      <bottom/>
      <diagonal/>
    </border>
    <border>
      <left style="thin">
        <color indexed="64"/>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style="medium">
        <color auto="1"/>
      </right>
      <top/>
      <bottom style="medium">
        <color auto="1"/>
      </bottom>
      <diagonal/>
    </border>
    <border>
      <left/>
      <right/>
      <top style="thin">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top style="thin">
        <color auto="1"/>
      </top>
      <bottom style="thin">
        <color indexed="64"/>
      </bottom>
      <diagonal/>
    </border>
    <border>
      <left style="thin">
        <color auto="1"/>
      </left>
      <right style="thin">
        <color auto="1"/>
      </right>
      <top style="medium">
        <color auto="1"/>
      </top>
      <bottom/>
      <diagonal/>
    </border>
    <border>
      <left style="thin">
        <color auto="1"/>
      </left>
      <right style="medium">
        <color auto="1"/>
      </right>
      <top/>
      <bottom/>
      <diagonal/>
    </border>
    <border>
      <left/>
      <right style="medium">
        <color auto="1"/>
      </right>
      <top style="medium">
        <color indexed="64"/>
      </top>
      <bottom/>
      <diagonal/>
    </border>
    <border>
      <left style="thin">
        <color auto="1"/>
      </left>
      <right style="medium">
        <color auto="1"/>
      </right>
      <top style="medium">
        <color auto="1"/>
      </top>
      <bottom/>
      <diagonal/>
    </border>
    <border>
      <left style="medium">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style="medium">
        <color auto="1"/>
      </left>
      <right style="thin">
        <color indexed="64"/>
      </right>
      <top/>
      <bottom/>
      <diagonal/>
    </border>
    <border>
      <left style="thin">
        <color auto="1"/>
      </left>
      <right style="medium">
        <color auto="1"/>
      </right>
      <top style="thin">
        <color auto="1"/>
      </top>
      <bottom style="thin">
        <color auto="1"/>
      </bottom>
      <diagonal/>
    </border>
    <border>
      <left/>
      <right/>
      <top/>
      <bottom style="medium">
        <color auto="1"/>
      </bottom>
      <diagonal/>
    </border>
    <border>
      <left/>
      <right/>
      <top style="thin">
        <color auto="1"/>
      </top>
      <bottom style="thin">
        <color indexed="64"/>
      </bottom>
      <diagonal/>
    </border>
    <border>
      <left/>
      <right/>
      <top style="thin">
        <color auto="1"/>
      </top>
      <bottom/>
      <diagonal/>
    </border>
    <border>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ck">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style="thin">
        <color auto="1"/>
      </right>
      <top/>
      <bottom style="medium">
        <color auto="1"/>
      </bottom>
      <diagonal/>
    </border>
    <border>
      <left style="thin">
        <color indexed="64"/>
      </left>
      <right/>
      <top style="thin">
        <color indexed="64"/>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indexed="64"/>
      </top>
      <bottom style="thin">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auto="1"/>
      </right>
      <top style="thin">
        <color indexed="64"/>
      </top>
      <bottom style="thick">
        <color indexed="64"/>
      </bottom>
      <diagonal/>
    </border>
    <border>
      <left style="thin">
        <color indexed="64"/>
      </left>
      <right/>
      <top style="medium">
        <color auto="1"/>
      </top>
      <bottom/>
      <diagonal/>
    </border>
    <border>
      <left style="thin">
        <color indexed="64"/>
      </left>
      <right/>
      <top/>
      <bottom style="medium">
        <color indexed="64"/>
      </bottom>
      <diagonal/>
    </border>
    <border>
      <left/>
      <right style="medium">
        <color auto="1"/>
      </right>
      <top/>
      <bottom style="medium">
        <color indexed="64"/>
      </bottom>
      <diagonal/>
    </border>
    <border>
      <left style="thin">
        <color auto="1"/>
      </left>
      <right style="thick">
        <color auto="1"/>
      </right>
      <top style="thin">
        <color auto="1"/>
      </top>
      <bottom/>
      <diagonal/>
    </border>
    <border>
      <left style="thin">
        <color auto="1"/>
      </left>
      <right/>
      <top style="medium">
        <color auto="1"/>
      </top>
      <bottom style="medium">
        <color auto="1"/>
      </bottom>
      <diagonal/>
    </border>
    <border>
      <left style="thick">
        <color auto="1"/>
      </left>
      <right/>
      <top style="thick">
        <color auto="1"/>
      </top>
      <bottom/>
      <diagonal/>
    </border>
    <border>
      <left style="thick">
        <color auto="1"/>
      </left>
      <right/>
      <top/>
      <bottom/>
      <diagonal/>
    </border>
    <border>
      <left style="thick">
        <color auto="1"/>
      </left>
      <right/>
      <top/>
      <bottom style="thick">
        <color auto="1"/>
      </bottom>
      <diagonal/>
    </border>
    <border>
      <left style="thin">
        <color auto="1"/>
      </left>
      <right style="thick">
        <color auto="1"/>
      </right>
      <top style="thin">
        <color auto="1"/>
      </top>
      <bottom style="thin">
        <color auto="1"/>
      </bottom>
      <diagonal/>
    </border>
    <border>
      <left/>
      <right style="thick">
        <color auto="1"/>
      </right>
      <top style="thin">
        <color auto="1"/>
      </top>
      <bottom/>
      <diagonal/>
    </border>
    <border>
      <left style="thin">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ck">
        <color auto="1"/>
      </right>
      <top style="thin">
        <color indexed="64"/>
      </top>
      <bottom style="thin">
        <color indexed="64"/>
      </bottom>
      <diagonal/>
    </border>
    <border>
      <left/>
      <right/>
      <top style="thin">
        <color auto="1"/>
      </top>
      <bottom style="medium">
        <color auto="1"/>
      </bottom>
      <diagonal/>
    </border>
    <border>
      <left style="thin">
        <color indexed="64"/>
      </left>
      <right style="thin">
        <color indexed="64"/>
      </right>
      <top style="thick">
        <color auto="1"/>
      </top>
      <bottom style="medium">
        <color indexed="64"/>
      </bottom>
      <diagonal/>
    </border>
    <border>
      <left style="thin">
        <color indexed="64"/>
      </left>
      <right style="thick">
        <color auto="1"/>
      </right>
      <top style="thick">
        <color auto="1"/>
      </top>
      <bottom style="medium">
        <color indexed="64"/>
      </bottom>
      <diagonal/>
    </border>
    <border>
      <left/>
      <right style="thick">
        <color auto="1"/>
      </right>
      <top/>
      <bottom style="thin">
        <color indexed="64"/>
      </bottom>
      <diagonal/>
    </border>
    <border>
      <left style="thick">
        <color indexed="64"/>
      </left>
      <right style="thin">
        <color indexed="64"/>
      </right>
      <top style="thick">
        <color auto="1"/>
      </top>
      <bottom/>
      <diagonal/>
    </border>
  </borders>
  <cellStyleXfs count="184">
    <xf numFmtId="0" fontId="0" fillId="0" borderId="0"/>
    <xf numFmtId="166" fontId="5" fillId="0" borderId="0" applyFont="0" applyFill="0" applyBorder="0" applyAlignment="0" applyProtection="0"/>
    <xf numFmtId="0" fontId="28" fillId="0" borderId="0"/>
    <xf numFmtId="0" fontId="12" fillId="0" borderId="0"/>
    <xf numFmtId="9" fontId="5" fillId="0" borderId="0" applyFont="0" applyFill="0" applyBorder="0" applyAlignment="0" applyProtection="0"/>
    <xf numFmtId="0" fontId="40" fillId="0" borderId="0"/>
    <xf numFmtId="0" fontId="42" fillId="0" borderId="0"/>
    <xf numFmtId="9" fontId="42" fillId="0" borderId="0" applyFont="0" applyFill="0" applyBorder="0" applyAlignment="0" applyProtection="0"/>
    <xf numFmtId="0" fontId="4" fillId="0" borderId="0"/>
    <xf numFmtId="166" fontId="5" fillId="0" borderId="0" applyFont="0" applyFill="0" applyBorder="0" applyAlignment="0" applyProtection="0"/>
    <xf numFmtId="0" fontId="12" fillId="0" borderId="0"/>
    <xf numFmtId="9" fontId="12" fillId="0" borderId="0" applyFont="0" applyFill="0" applyBorder="0" applyAlignment="0" applyProtection="0"/>
    <xf numFmtId="0" fontId="3" fillId="0" borderId="0"/>
    <xf numFmtId="0" fontId="54" fillId="0" borderId="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8" borderId="0" applyNumberFormat="0" applyBorder="0" applyAlignment="0" applyProtection="0"/>
    <xf numFmtId="0" fontId="55" fillId="22" borderId="0" applyNumberFormat="0" applyBorder="0" applyAlignment="0" applyProtection="0"/>
    <xf numFmtId="0" fontId="56" fillId="39" borderId="32" applyNumberFormat="0" applyAlignment="0" applyProtection="0"/>
    <xf numFmtId="0" fontId="17" fillId="40" borderId="33" applyNumberFormat="0" applyAlignment="0" applyProtection="0"/>
    <xf numFmtId="166" fontId="54" fillId="0" borderId="0" applyFont="0" applyFill="0" applyBorder="0" applyAlignment="0" applyProtection="0"/>
    <xf numFmtId="166" fontId="12" fillId="0" borderId="0" applyFont="0" applyFill="0" applyBorder="0" applyAlignment="0" applyProtection="0"/>
    <xf numFmtId="0" fontId="57" fillId="0" borderId="0" applyNumberFormat="0" applyFill="0" applyBorder="0" applyAlignment="0" applyProtection="0"/>
    <xf numFmtId="0" fontId="58" fillId="23" borderId="0" applyNumberFormat="0" applyBorder="0" applyAlignment="0" applyProtection="0"/>
    <xf numFmtId="0" fontId="59" fillId="0" borderId="34" applyNumberFormat="0" applyFill="0" applyAlignment="0" applyProtection="0"/>
    <xf numFmtId="0" fontId="60" fillId="0" borderId="35" applyNumberFormat="0" applyFill="0" applyAlignment="0" applyProtection="0"/>
    <xf numFmtId="0" fontId="61" fillId="0" borderId="36" applyNumberFormat="0" applyFill="0" applyAlignment="0" applyProtection="0"/>
    <xf numFmtId="0" fontId="61" fillId="0" borderId="0" applyNumberFormat="0" applyFill="0" applyBorder="0" applyAlignment="0" applyProtection="0"/>
    <xf numFmtId="0" fontId="62" fillId="26" borderId="32" applyNumberFormat="0" applyAlignment="0" applyProtection="0"/>
    <xf numFmtId="0" fontId="63" fillId="0" borderId="37" applyNumberFormat="0" applyFill="0" applyAlignment="0" applyProtection="0"/>
    <xf numFmtId="0" fontId="64" fillId="41" borderId="0" applyNumberFormat="0" applyBorder="0" applyAlignment="0" applyProtection="0"/>
    <xf numFmtId="0" fontId="12" fillId="42" borderId="38" applyNumberFormat="0" applyFont="0" applyAlignment="0" applyProtection="0"/>
    <xf numFmtId="0" fontId="65" fillId="39" borderId="39" applyNumberFormat="0" applyAlignment="0" applyProtection="0"/>
    <xf numFmtId="9" fontId="54" fillId="0" borderId="0" applyFont="0" applyFill="0" applyBorder="0" applyAlignment="0" applyProtection="0"/>
    <xf numFmtId="0" fontId="66" fillId="0" borderId="0" applyNumberFormat="0" applyFill="0" applyBorder="0" applyAlignment="0" applyProtection="0"/>
    <xf numFmtId="0" fontId="26" fillId="0" borderId="40" applyNumberFormat="0" applyFill="0" applyAlignment="0" applyProtection="0"/>
    <xf numFmtId="0" fontId="67" fillId="0" borderId="0" applyNumberFormat="0" applyFill="0" applyBorder="0" applyAlignment="0" applyProtection="0"/>
    <xf numFmtId="0" fontId="56" fillId="39" borderId="41" applyNumberFormat="0" applyAlignment="0" applyProtection="0"/>
    <xf numFmtId="0" fontId="62" fillId="26" borderId="41" applyNumberFormat="0" applyAlignment="0" applyProtection="0"/>
    <xf numFmtId="0" fontId="12" fillId="42" borderId="42" applyNumberFormat="0" applyFont="0" applyAlignment="0" applyProtection="0"/>
    <xf numFmtId="0" fontId="65" fillId="39" borderId="43" applyNumberFormat="0" applyAlignment="0" applyProtection="0"/>
    <xf numFmtId="0" fontId="26" fillId="0" borderId="44" applyNumberFormat="0" applyFill="0" applyAlignment="0" applyProtection="0"/>
    <xf numFmtId="166" fontId="5" fillId="0" borderId="0" applyFont="0" applyFill="0" applyBorder="0" applyAlignment="0" applyProtection="0"/>
    <xf numFmtId="0" fontId="2" fillId="0" borderId="0"/>
    <xf numFmtId="166" fontId="5" fillId="0" borderId="0" applyFont="0" applyFill="0" applyBorder="0" applyAlignment="0" applyProtection="0"/>
    <xf numFmtId="0" fontId="2" fillId="0" borderId="0"/>
    <xf numFmtId="0" fontId="12" fillId="0" borderId="0"/>
    <xf numFmtId="0" fontId="56" fillId="39" borderId="102" applyNumberFormat="0" applyAlignment="0" applyProtection="0"/>
    <xf numFmtId="0" fontId="56" fillId="39" borderId="94" applyNumberFormat="0" applyAlignment="0" applyProtection="0"/>
    <xf numFmtId="0" fontId="56" fillId="39" borderId="98" applyNumberFormat="0" applyAlignment="0" applyProtection="0"/>
    <xf numFmtId="0" fontId="56" fillId="39" borderId="106" applyNumberFormat="0" applyAlignment="0" applyProtection="0"/>
    <xf numFmtId="0" fontId="56" fillId="39" borderId="90"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0" fontId="62" fillId="26" borderId="106" applyNumberFormat="0" applyAlignment="0" applyProtection="0"/>
    <xf numFmtId="0" fontId="62" fillId="26" borderId="98" applyNumberFormat="0" applyAlignment="0" applyProtection="0"/>
    <xf numFmtId="0" fontId="12" fillId="42" borderId="99" applyNumberFormat="0" applyFont="0" applyAlignment="0" applyProtection="0"/>
    <xf numFmtId="0" fontId="62" fillId="26" borderId="90" applyNumberFormat="0" applyAlignment="0" applyProtection="0"/>
    <xf numFmtId="0" fontId="12" fillId="42" borderId="91" applyNumberFormat="0" applyFont="0" applyAlignment="0" applyProtection="0"/>
    <xf numFmtId="0" fontId="65" fillId="39" borderId="92" applyNumberFormat="0" applyAlignment="0" applyProtection="0"/>
    <xf numFmtId="9" fontId="12" fillId="0" borderId="0" applyFont="0" applyFill="0" applyBorder="0" applyAlignment="0" applyProtection="0"/>
    <xf numFmtId="0" fontId="26" fillId="0" borderId="93" applyNumberFormat="0" applyFill="0" applyAlignment="0" applyProtection="0"/>
    <xf numFmtId="0" fontId="12" fillId="42" borderId="103" applyNumberFormat="0" applyFont="0" applyAlignment="0" applyProtection="0"/>
    <xf numFmtId="0" fontId="56" fillId="39" borderId="90" applyNumberFormat="0" applyAlignment="0" applyProtection="0"/>
    <xf numFmtId="0" fontId="62" fillId="26" borderId="90" applyNumberFormat="0" applyAlignment="0" applyProtection="0"/>
    <xf numFmtId="0" fontId="12" fillId="42" borderId="91" applyNumberFormat="0" applyFont="0" applyAlignment="0" applyProtection="0"/>
    <xf numFmtId="0" fontId="65" fillId="39" borderId="92" applyNumberFormat="0" applyAlignment="0" applyProtection="0"/>
    <xf numFmtId="0" fontId="26" fillId="0" borderId="93" applyNumberFormat="0" applyFill="0" applyAlignment="0" applyProtection="0"/>
    <xf numFmtId="0" fontId="62" fillId="26" borderId="102" applyNumberFormat="0" applyAlignment="0" applyProtection="0"/>
    <xf numFmtId="0" fontId="62" fillId="26" borderId="94" applyNumberFormat="0" applyAlignment="0" applyProtection="0"/>
    <xf numFmtId="0" fontId="12" fillId="42" borderId="95" applyNumberFormat="0" applyFont="0" applyAlignment="0" applyProtection="0"/>
    <xf numFmtId="0" fontId="65" fillId="39" borderId="96" applyNumberFormat="0" applyAlignment="0" applyProtection="0"/>
    <xf numFmtId="0" fontId="26" fillId="0" borderId="97" applyNumberFormat="0" applyFill="0" applyAlignment="0" applyProtection="0"/>
    <xf numFmtId="0" fontId="12" fillId="42" borderId="107" applyNumberFormat="0" applyFont="0" applyAlignment="0" applyProtection="0"/>
    <xf numFmtId="0" fontId="56" fillId="39" borderId="94" applyNumberFormat="0" applyAlignment="0" applyProtection="0"/>
    <xf numFmtId="0" fontId="62" fillId="26" borderId="94" applyNumberFormat="0" applyAlignment="0" applyProtection="0"/>
    <xf numFmtId="0" fontId="12" fillId="42" borderId="95" applyNumberFormat="0" applyFont="0" applyAlignment="0" applyProtection="0"/>
    <xf numFmtId="0" fontId="65" fillId="39" borderId="96" applyNumberFormat="0" applyAlignment="0" applyProtection="0"/>
    <xf numFmtId="0" fontId="26" fillId="0" borderId="97" applyNumberFormat="0" applyFill="0" applyAlignment="0" applyProtection="0"/>
    <xf numFmtId="0" fontId="65" fillId="39" borderId="100" applyNumberFormat="0" applyAlignment="0" applyProtection="0"/>
    <xf numFmtId="0" fontId="26" fillId="0" borderId="101" applyNumberFormat="0" applyFill="0" applyAlignment="0" applyProtection="0"/>
    <xf numFmtId="0" fontId="56" fillId="39" borderId="98" applyNumberFormat="0" applyAlignment="0" applyProtection="0"/>
    <xf numFmtId="0" fontId="62" fillId="26" borderId="98" applyNumberFormat="0" applyAlignment="0" applyProtection="0"/>
    <xf numFmtId="0" fontId="12" fillId="42" borderId="99" applyNumberFormat="0" applyFont="0" applyAlignment="0" applyProtection="0"/>
    <xf numFmtId="0" fontId="65" fillId="39" borderId="100" applyNumberFormat="0" applyAlignment="0" applyProtection="0"/>
    <xf numFmtId="0" fontId="26" fillId="0" borderId="101" applyNumberFormat="0" applyFill="0" applyAlignment="0" applyProtection="0"/>
    <xf numFmtId="0" fontId="65" fillId="39" borderId="104" applyNumberFormat="0" applyAlignment="0" applyProtection="0"/>
    <xf numFmtId="0" fontId="26" fillId="0" borderId="105" applyNumberFormat="0" applyFill="0" applyAlignment="0" applyProtection="0"/>
    <xf numFmtId="0" fontId="56" fillId="39" borderId="102" applyNumberFormat="0" applyAlignment="0" applyProtection="0"/>
    <xf numFmtId="0" fontId="62" fillId="26" borderId="102" applyNumberFormat="0" applyAlignment="0" applyProtection="0"/>
    <xf numFmtId="0" fontId="12" fillId="42" borderId="103" applyNumberFormat="0" applyFont="0" applyAlignment="0" applyProtection="0"/>
    <xf numFmtId="0" fontId="65" fillId="39" borderId="104" applyNumberFormat="0" applyAlignment="0" applyProtection="0"/>
    <xf numFmtId="0" fontId="26" fillId="0" borderId="105" applyNumberFormat="0" applyFill="0" applyAlignment="0" applyProtection="0"/>
    <xf numFmtId="0" fontId="65" fillId="39" borderId="108" applyNumberFormat="0" applyAlignment="0" applyProtection="0"/>
    <xf numFmtId="0" fontId="26" fillId="0" borderId="109" applyNumberFormat="0" applyFill="0" applyAlignment="0" applyProtection="0"/>
    <xf numFmtId="0" fontId="56" fillId="39" borderId="106" applyNumberFormat="0" applyAlignment="0" applyProtection="0"/>
    <xf numFmtId="0" fontId="62" fillId="26" borderId="106" applyNumberFormat="0" applyAlignment="0" applyProtection="0"/>
    <xf numFmtId="0" fontId="12" fillId="42" borderId="107" applyNumberFormat="0" applyFont="0" applyAlignment="0" applyProtection="0"/>
    <xf numFmtId="0" fontId="65" fillId="39" borderId="108" applyNumberFormat="0" applyAlignment="0" applyProtection="0"/>
    <xf numFmtId="0" fontId="26" fillId="0" borderId="109" applyNumberFormat="0" applyFill="0" applyAlignment="0" applyProtection="0"/>
    <xf numFmtId="166" fontId="5" fillId="0" borderId="0" applyFont="0" applyFill="0" applyBorder="0" applyAlignment="0" applyProtection="0"/>
    <xf numFmtId="0" fontId="1" fillId="0" borderId="0"/>
    <xf numFmtId="166" fontId="5" fillId="0" borderId="0" applyFont="0" applyFill="0" applyBorder="0" applyAlignment="0" applyProtection="0"/>
    <xf numFmtId="0" fontId="1" fillId="0" borderId="0"/>
    <xf numFmtId="166" fontId="12" fillId="0" borderId="0" applyFont="0" applyFill="0" applyBorder="0" applyAlignment="0" applyProtection="0"/>
    <xf numFmtId="166" fontId="12" fillId="0" borderId="0" applyFont="0" applyFill="0" applyBorder="0" applyAlignment="0" applyProtection="0"/>
    <xf numFmtId="0" fontId="12" fillId="42" borderId="42" applyNumberFormat="0" applyFont="0" applyAlignment="0" applyProtection="0"/>
    <xf numFmtId="166" fontId="5" fillId="0" borderId="0" applyFont="0" applyFill="0" applyBorder="0" applyAlignment="0" applyProtection="0"/>
    <xf numFmtId="0" fontId="1" fillId="0" borderId="0"/>
    <xf numFmtId="166" fontId="5" fillId="0" borderId="0" applyFont="0" applyFill="0" applyBorder="0" applyAlignment="0" applyProtection="0"/>
    <xf numFmtId="0" fontId="1" fillId="0" borderId="0"/>
    <xf numFmtId="0" fontId="56" fillId="39" borderId="189" applyNumberFormat="0" applyAlignment="0" applyProtection="0"/>
    <xf numFmtId="0" fontId="56" fillId="39" borderId="189" applyNumberFormat="0" applyAlignment="0" applyProtection="0"/>
    <xf numFmtId="0" fontId="56" fillId="39" borderId="189" applyNumberFormat="0" applyAlignment="0" applyProtection="0"/>
    <xf numFmtId="0" fontId="56" fillId="39" borderId="189" applyNumberFormat="0" applyAlignment="0" applyProtection="0"/>
    <xf numFmtId="0" fontId="56" fillId="39" borderId="189"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0" fontId="62" fillId="26"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12" fillId="42" borderId="190" applyNumberFormat="0" applyFont="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62" fillId="26"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12" fillId="42" borderId="190" applyNumberFormat="0" applyFont="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65" fillId="39" borderId="191" applyNumberFormat="0" applyAlignment="0" applyProtection="0"/>
    <xf numFmtId="0" fontId="26" fillId="0" borderId="192" applyNumberFormat="0" applyFill="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65" fillId="39" borderId="191" applyNumberFormat="0" applyAlignment="0" applyProtection="0"/>
    <xf numFmtId="0" fontId="26" fillId="0" borderId="192" applyNumberFormat="0" applyFill="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xf numFmtId="0" fontId="65" fillId="39" borderId="191" applyNumberFormat="0" applyAlignment="0" applyProtection="0"/>
    <xf numFmtId="0" fontId="26" fillId="0" borderId="192" applyNumberFormat="0" applyFill="0" applyAlignment="0" applyProtection="0"/>
    <xf numFmtId="0" fontId="56" fillId="39" borderId="189" applyNumberFormat="0" applyAlignment="0" applyProtection="0"/>
    <xf numFmtId="0" fontId="62" fillId="26" borderId="189" applyNumberFormat="0" applyAlignment="0" applyProtection="0"/>
    <xf numFmtId="0" fontId="12" fillId="42" borderId="190" applyNumberFormat="0" applyFont="0" applyAlignment="0" applyProtection="0"/>
    <xf numFmtId="0" fontId="65" fillId="39" borderId="191" applyNumberFormat="0" applyAlignment="0" applyProtection="0"/>
    <xf numFmtId="0" fontId="26" fillId="0" borderId="192" applyNumberFormat="0" applyFill="0" applyAlignment="0" applyProtection="0"/>
  </cellStyleXfs>
  <cellXfs count="2112">
    <xf numFmtId="0" fontId="0" fillId="0" borderId="0" xfId="0"/>
    <xf numFmtId="0" fontId="6" fillId="0" borderId="0" xfId="0" applyFont="1"/>
    <xf numFmtId="0" fontId="6" fillId="0" borderId="0" xfId="0" applyFont="1" applyAlignment="1">
      <alignment wrapText="1"/>
    </xf>
    <xf numFmtId="0" fontId="5" fillId="0" borderId="0" xfId="0" applyFont="1"/>
    <xf numFmtId="167" fontId="0" fillId="0" borderId="0" xfId="0" applyNumberFormat="1"/>
    <xf numFmtId="0" fontId="0" fillId="0" borderId="0" xfId="0" applyAlignment="1">
      <alignment horizontal="center" wrapText="1"/>
    </xf>
    <xf numFmtId="0" fontId="11" fillId="0" borderId="0" xfId="0" applyFont="1"/>
    <xf numFmtId="169" fontId="0" fillId="0" borderId="0" xfId="0" applyNumberFormat="1"/>
    <xf numFmtId="0" fontId="6" fillId="0" borderId="0" xfId="3" applyFont="1"/>
    <xf numFmtId="0" fontId="0" fillId="5" borderId="0" xfId="0" applyFill="1"/>
    <xf numFmtId="0" fontId="13" fillId="0" borderId="0" xfId="0" applyFont="1"/>
    <xf numFmtId="0" fontId="10" fillId="5" borderId="0" xfId="0" applyFont="1" applyFill="1"/>
    <xf numFmtId="0" fontId="11" fillId="0" borderId="0" xfId="0" applyFont="1" applyAlignment="1">
      <alignment horizontal="left" wrapText="1"/>
    </xf>
    <xf numFmtId="0" fontId="0" fillId="0" borderId="0" xfId="0" applyAlignment="1">
      <alignment horizontal="left"/>
    </xf>
    <xf numFmtId="0" fontId="16" fillId="0" borderId="0" xfId="0" applyFont="1"/>
    <xf numFmtId="167" fontId="5" fillId="0" borderId="0" xfId="0" applyNumberFormat="1" applyFont="1"/>
    <xf numFmtId="169" fontId="5" fillId="0" borderId="0" xfId="0" applyNumberFormat="1" applyFont="1"/>
    <xf numFmtId="0" fontId="18" fillId="0" borderId="0" xfId="0" applyFont="1"/>
    <xf numFmtId="0" fontId="5" fillId="0" borderId="0" xfId="0" applyFont="1" applyAlignment="1">
      <alignment wrapText="1"/>
    </xf>
    <xf numFmtId="0" fontId="19" fillId="5" borderId="0" xfId="0" applyFont="1" applyFill="1"/>
    <xf numFmtId="0" fontId="11" fillId="0" borderId="0" xfId="0" applyFont="1" applyAlignment="1">
      <alignment horizontal="right"/>
    </xf>
    <xf numFmtId="0" fontId="10" fillId="0" borderId="0" xfId="0" applyFont="1"/>
    <xf numFmtId="167" fontId="0" fillId="0" borderId="0" xfId="0" applyNumberFormat="1" applyAlignment="1">
      <alignment horizontal="right"/>
    </xf>
    <xf numFmtId="0" fontId="23" fillId="0" borderId="0" xfId="0" applyFont="1"/>
    <xf numFmtId="167" fontId="10" fillId="0" borderId="0" xfId="0" applyNumberFormat="1" applyFont="1" applyAlignment="1">
      <alignment horizontal="right"/>
    </xf>
    <xf numFmtId="0" fontId="23" fillId="0" borderId="0" xfId="0" applyFont="1" applyAlignment="1">
      <alignment wrapText="1"/>
    </xf>
    <xf numFmtId="169" fontId="23" fillId="0" borderId="0" xfId="0" applyNumberFormat="1" applyFont="1"/>
    <xf numFmtId="0" fontId="23" fillId="0" borderId="0" xfId="0" applyFont="1" applyAlignment="1">
      <alignment horizontal="right"/>
    </xf>
    <xf numFmtId="167" fontId="23" fillId="0" borderId="0" xfId="0" applyNumberFormat="1" applyFont="1"/>
    <xf numFmtId="0" fontId="6" fillId="0" borderId="0" xfId="0" applyFont="1" applyAlignment="1">
      <alignment horizontal="center" wrapText="1"/>
    </xf>
    <xf numFmtId="0" fontId="23" fillId="4" borderId="0" xfId="0" applyFont="1" applyFill="1" applyAlignment="1">
      <alignment horizontal="right"/>
    </xf>
    <xf numFmtId="0" fontId="0" fillId="0" borderId="0" xfId="0" applyAlignment="1">
      <alignment vertical="top"/>
    </xf>
    <xf numFmtId="0" fontId="20" fillId="0" borderId="0" xfId="0" applyFont="1" applyAlignment="1">
      <alignment wrapText="1"/>
    </xf>
    <xf numFmtId="0" fontId="20" fillId="0" borderId="0" xfId="0" applyFont="1"/>
    <xf numFmtId="0" fontId="33" fillId="0" borderId="0" xfId="0" applyFont="1" applyAlignment="1">
      <alignment horizontal="center" wrapText="1"/>
    </xf>
    <xf numFmtId="0" fontId="32" fillId="0" borderId="0" xfId="0" applyFont="1"/>
    <xf numFmtId="167" fontId="32" fillId="0" borderId="0" xfId="0" applyNumberFormat="1" applyFont="1"/>
    <xf numFmtId="0" fontId="0" fillId="12" borderId="0" xfId="0" applyFill="1"/>
    <xf numFmtId="0" fontId="11" fillId="0" borderId="0" xfId="0" applyFont="1" applyAlignment="1">
      <alignment wrapText="1"/>
    </xf>
    <xf numFmtId="0" fontId="0" fillId="0" borderId="0" xfId="0" applyAlignment="1">
      <alignment wrapText="1"/>
    </xf>
    <xf numFmtId="0" fontId="18" fillId="0" borderId="0" xfId="0" applyFont="1" applyAlignment="1">
      <alignment wrapText="1"/>
    </xf>
    <xf numFmtId="0" fontId="5" fillId="13" borderId="0" xfId="0" applyFont="1" applyFill="1"/>
    <xf numFmtId="0" fontId="0" fillId="13" borderId="0" xfId="0" applyFill="1"/>
    <xf numFmtId="0" fontId="5" fillId="13" borderId="0" xfId="0" applyFont="1" applyFill="1" applyAlignment="1">
      <alignment wrapText="1"/>
    </xf>
    <xf numFmtId="0" fontId="32" fillId="0" borderId="0" xfId="0" applyFont="1" applyAlignment="1">
      <alignment wrapText="1"/>
    </xf>
    <xf numFmtId="0" fontId="16" fillId="0" borderId="0" xfId="0" applyFont="1" applyAlignment="1">
      <alignment wrapText="1"/>
    </xf>
    <xf numFmtId="0" fontId="0" fillId="0" borderId="0" xfId="0" applyAlignment="1">
      <alignment horizontal="left" vertical="top"/>
    </xf>
    <xf numFmtId="0" fontId="0" fillId="0" borderId="0" xfId="0" applyAlignment="1">
      <alignment vertical="top" wrapText="1"/>
    </xf>
    <xf numFmtId="0" fontId="23" fillId="0" borderId="0" xfId="0" applyFont="1" applyAlignment="1">
      <alignment horizontal="justify" wrapText="1"/>
    </xf>
    <xf numFmtId="0" fontId="23" fillId="0" borderId="0" xfId="0" applyFont="1" applyAlignment="1">
      <alignment horizontal="justify"/>
    </xf>
    <xf numFmtId="0" fontId="5" fillId="0" borderId="0" xfId="0" applyFont="1" applyAlignment="1">
      <alignment horizontal="center"/>
    </xf>
    <xf numFmtId="0" fontId="37" fillId="0" borderId="0" xfId="0" applyFont="1" applyAlignment="1">
      <alignment vertical="top" wrapText="1"/>
    </xf>
    <xf numFmtId="3" fontId="37" fillId="0" borderId="0" xfId="0" applyNumberFormat="1" applyFont="1" applyAlignment="1">
      <alignment horizontal="right" vertical="top" wrapText="1"/>
    </xf>
    <xf numFmtId="14" fontId="39" fillId="0" borderId="0" xfId="0" applyNumberFormat="1" applyFont="1" applyAlignment="1">
      <alignment horizontal="center" vertical="top" wrapText="1"/>
    </xf>
    <xf numFmtId="0" fontId="39" fillId="0" borderId="0" xfId="0" applyFont="1" applyAlignment="1">
      <alignment horizontal="center" vertical="top" wrapText="1"/>
    </xf>
    <xf numFmtId="0" fontId="39" fillId="0" borderId="0" xfId="0" applyFont="1" applyAlignment="1">
      <alignment horizontal="right" wrapText="1"/>
    </xf>
    <xf numFmtId="0" fontId="37" fillId="0" borderId="0" xfId="5" applyFont="1"/>
    <xf numFmtId="0" fontId="39" fillId="0" borderId="0" xfId="5" applyFont="1" applyAlignment="1">
      <alignment horizontal="right"/>
    </xf>
    <xf numFmtId="0" fontId="42" fillId="0" borderId="0" xfId="6"/>
    <xf numFmtId="0" fontId="36" fillId="0" borderId="0" xfId="5" applyFont="1"/>
    <xf numFmtId="0" fontId="37" fillId="0" borderId="7" xfId="5" applyFont="1" applyBorder="1" applyAlignment="1">
      <alignment horizontal="center" vertical="center"/>
    </xf>
    <xf numFmtId="0" fontId="39" fillId="0" borderId="7" xfId="5" applyFont="1" applyBorder="1" applyAlignment="1">
      <alignment horizontal="center" vertical="center" wrapText="1"/>
    </xf>
    <xf numFmtId="0" fontId="39" fillId="0" borderId="29" xfId="5" applyFont="1" applyBorder="1" applyAlignment="1">
      <alignment horizontal="center" vertical="center" wrapText="1"/>
    </xf>
    <xf numFmtId="0" fontId="39" fillId="0" borderId="4" xfId="5" applyFont="1" applyBorder="1" applyAlignment="1">
      <alignment horizontal="center" vertical="center" wrapText="1"/>
    </xf>
    <xf numFmtId="0" fontId="39" fillId="0" borderId="4" xfId="5" applyFont="1" applyBorder="1" applyAlignment="1">
      <alignment horizontal="right" vertical="center"/>
    </xf>
    <xf numFmtId="0" fontId="37" fillId="0" borderId="4" xfId="5" quotePrefix="1" applyFont="1" applyBorder="1" applyAlignment="1">
      <alignment horizontal="left" vertical="center"/>
    </xf>
    <xf numFmtId="0" fontId="39" fillId="0" borderId="8" xfId="5" applyFont="1" applyBorder="1" applyAlignment="1">
      <alignment horizontal="right" vertical="center"/>
    </xf>
    <xf numFmtId="0" fontId="37" fillId="0" borderId="4" xfId="5" applyFont="1" applyBorder="1" applyAlignment="1">
      <alignment vertical="center"/>
    </xf>
    <xf numFmtId="9" fontId="0" fillId="0" borderId="0" xfId="7" applyFont="1"/>
    <xf numFmtId="0" fontId="37" fillId="0" borderId="4" xfId="5" quotePrefix="1" applyFont="1" applyBorder="1" applyAlignment="1">
      <alignment horizontal="left" vertical="center" wrapText="1"/>
    </xf>
    <xf numFmtId="0" fontId="39" fillId="0" borderId="0" xfId="5" applyFont="1"/>
    <xf numFmtId="0" fontId="37" fillId="0" borderId="0" xfId="6" applyFont="1"/>
    <xf numFmtId="0" fontId="37" fillId="0" borderId="1" xfId="6" applyFont="1" applyBorder="1"/>
    <xf numFmtId="0" fontId="43" fillId="0" borderId="0" xfId="5" applyFont="1"/>
    <xf numFmtId="0" fontId="23" fillId="0" borderId="0" xfId="0" applyFont="1" applyAlignment="1">
      <alignment vertical="top"/>
    </xf>
    <xf numFmtId="0" fontId="5" fillId="0" borderId="0" xfId="0" applyFont="1" applyAlignment="1">
      <alignment vertical="top"/>
    </xf>
    <xf numFmtId="0" fontId="44" fillId="0" borderId="0" xfId="0" applyFont="1" applyAlignment="1">
      <alignment horizontal="left" vertical="top" wrapText="1"/>
    </xf>
    <xf numFmtId="0" fontId="5" fillId="0" borderId="0" xfId="0" applyFont="1" applyAlignment="1">
      <alignment vertical="top" wrapText="1"/>
    </xf>
    <xf numFmtId="0" fontId="23" fillId="0" borderId="0" xfId="0" applyFont="1" applyAlignment="1">
      <alignment vertical="top" wrapText="1"/>
    </xf>
    <xf numFmtId="0" fontId="30" fillId="0" borderId="0" xfId="0" applyFont="1" applyAlignment="1">
      <alignment horizontal="justify" wrapText="1"/>
    </xf>
    <xf numFmtId="0" fontId="5" fillId="0" borderId="0" xfId="0" applyFont="1" applyAlignment="1">
      <alignment horizontal="left" vertical="top"/>
    </xf>
    <xf numFmtId="0" fontId="13" fillId="11" borderId="0" xfId="0" applyFont="1" applyFill="1"/>
    <xf numFmtId="0" fontId="11" fillId="0" borderId="0" xfId="0" applyFont="1" applyAlignment="1">
      <alignment horizontal="left" vertical="top" wrapText="1"/>
    </xf>
    <xf numFmtId="0" fontId="23" fillId="0" borderId="0" xfId="0" applyFont="1" applyAlignment="1">
      <alignment horizontal="left" vertical="top"/>
    </xf>
    <xf numFmtId="0" fontId="5" fillId="0" borderId="0" xfId="0" applyFont="1" applyAlignment="1">
      <alignment horizontal="left"/>
    </xf>
    <xf numFmtId="0" fontId="45" fillId="0" borderId="0" xfId="0" applyFont="1"/>
    <xf numFmtId="0" fontId="46" fillId="0" borderId="14" xfId="0" applyFont="1" applyBorder="1" applyAlignment="1">
      <alignment horizontal="left"/>
    </xf>
    <xf numFmtId="0" fontId="47" fillId="0" borderId="0" xfId="0" applyFont="1" applyAlignment="1">
      <alignment horizontal="left"/>
    </xf>
    <xf numFmtId="0" fontId="47" fillId="0" borderId="0" xfId="0" applyFont="1"/>
    <xf numFmtId="0" fontId="46" fillId="0" borderId="0" xfId="0" applyFont="1" applyAlignment="1">
      <alignment horizontal="left"/>
    </xf>
    <xf numFmtId="0" fontId="48" fillId="0" borderId="0" xfId="0" applyFont="1" applyAlignment="1">
      <alignment horizontal="right"/>
    </xf>
    <xf numFmtId="0" fontId="48" fillId="0" borderId="0" xfId="0" applyFont="1" applyAlignment="1">
      <alignment horizontal="left"/>
    </xf>
    <xf numFmtId="14" fontId="46" fillId="0" borderId="14" xfId="0" quotePrefix="1" applyNumberFormat="1" applyFont="1" applyBorder="1" applyAlignment="1">
      <alignment horizontal="left"/>
    </xf>
    <xf numFmtId="14" fontId="48" fillId="0" borderId="0" xfId="0" applyNumberFormat="1" applyFont="1" applyAlignment="1">
      <alignment horizontal="left"/>
    </xf>
    <xf numFmtId="14" fontId="33" fillId="0" borderId="0" xfId="0" applyNumberFormat="1" applyFont="1" applyAlignment="1">
      <alignment horizontal="right"/>
    </xf>
    <xf numFmtId="14" fontId="0" fillId="0" borderId="0" xfId="0" applyNumberFormat="1" applyAlignment="1">
      <alignment horizontal="right"/>
    </xf>
    <xf numFmtId="0" fontId="0" fillId="0" borderId="0" xfId="0" applyAlignment="1">
      <alignment horizontal="right"/>
    </xf>
    <xf numFmtId="0" fontId="33" fillId="0" borderId="0" xfId="0" applyFont="1" applyAlignment="1">
      <alignment horizontal="right"/>
    </xf>
    <xf numFmtId="14" fontId="0" fillId="0" borderId="0" xfId="0" applyNumberFormat="1" applyAlignment="1">
      <alignment horizontal="center"/>
    </xf>
    <xf numFmtId="170" fontId="0" fillId="0" borderId="0" xfId="0" applyNumberFormat="1"/>
    <xf numFmtId="49" fontId="46" fillId="0" borderId="14" xfId="0" applyNumberFormat="1" applyFont="1" applyBorder="1" applyAlignment="1">
      <alignment horizontal="left"/>
    </xf>
    <xf numFmtId="14" fontId="0" fillId="0" borderId="0" xfId="0" applyNumberFormat="1"/>
    <xf numFmtId="0" fontId="30" fillId="0" borderId="0" xfId="0" applyFont="1" applyAlignment="1">
      <alignment wrapText="1"/>
    </xf>
    <xf numFmtId="168" fontId="37" fillId="0" borderId="6" xfId="5" applyNumberFormat="1" applyFont="1" applyBorder="1" applyAlignment="1">
      <alignment horizontal="right"/>
    </xf>
    <xf numFmtId="0" fontId="49" fillId="0" borderId="0" xfId="0" applyFont="1"/>
    <xf numFmtId="0" fontId="50" fillId="0" borderId="0" xfId="0" applyFont="1"/>
    <xf numFmtId="0" fontId="51" fillId="0" borderId="0" xfId="0" applyFont="1"/>
    <xf numFmtId="0" fontId="51" fillId="0" borderId="0" xfId="0" applyFont="1" applyAlignment="1">
      <alignment wrapText="1"/>
    </xf>
    <xf numFmtId="0" fontId="52" fillId="0" borderId="0" xfId="0" applyFont="1"/>
    <xf numFmtId="0" fontId="53" fillId="0" borderId="0" xfId="0" applyFont="1"/>
    <xf numFmtId="0" fontId="52" fillId="0" borderId="0" xfId="0" applyFont="1" applyAlignment="1">
      <alignment wrapText="1"/>
    </xf>
    <xf numFmtId="49" fontId="34" fillId="0" borderId="0" xfId="0" applyNumberFormat="1" applyFont="1"/>
    <xf numFmtId="0" fontId="37" fillId="16" borderId="0" xfId="5" applyFont="1" applyFill="1"/>
    <xf numFmtId="168" fontId="37" fillId="0" borderId="4" xfId="5" applyNumberFormat="1" applyFont="1" applyBorder="1" applyAlignment="1">
      <alignment horizontal="right"/>
    </xf>
    <xf numFmtId="0" fontId="23" fillId="0" borderId="0" xfId="0" applyFont="1" applyAlignment="1">
      <alignment horizontal="center" vertical="center" wrapText="1"/>
    </xf>
    <xf numFmtId="0" fontId="0" fillId="11" borderId="0" xfId="0" applyFill="1" applyAlignment="1">
      <alignment vertical="top"/>
    </xf>
    <xf numFmtId="0" fontId="15" fillId="0" borderId="0" xfId="0" applyFont="1" applyAlignment="1">
      <alignment wrapText="1"/>
    </xf>
    <xf numFmtId="0" fontId="17" fillId="7" borderId="0" xfId="0" applyFont="1" applyFill="1" applyAlignment="1">
      <alignment horizontal="right"/>
    </xf>
    <xf numFmtId="169" fontId="16" fillId="0" borderId="0" xfId="0" applyNumberFormat="1"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left" vertical="center" wrapText="1"/>
    </xf>
    <xf numFmtId="167" fontId="16" fillId="0" borderId="0" xfId="0" applyNumberFormat="1" applyFont="1" applyAlignment="1">
      <alignment horizontal="left" vertical="center"/>
    </xf>
    <xf numFmtId="0" fontId="16" fillId="0" borderId="0" xfId="0" applyFont="1" applyAlignment="1">
      <alignment horizontal="left" vertical="top" wrapText="1"/>
    </xf>
    <xf numFmtId="0" fontId="16" fillId="0" borderId="0" xfId="0" applyFont="1" applyAlignment="1">
      <alignment horizontal="left" vertical="top"/>
    </xf>
    <xf numFmtId="14" fontId="16" fillId="0" borderId="0" xfId="0" applyNumberFormat="1" applyFont="1" applyAlignment="1">
      <alignment horizontal="left" vertical="top"/>
    </xf>
    <xf numFmtId="169" fontId="16" fillId="0" borderId="0" xfId="0" applyNumberFormat="1" applyFont="1" applyAlignment="1">
      <alignment horizontal="left" vertical="top"/>
    </xf>
    <xf numFmtId="0" fontId="71" fillId="0" borderId="0" xfId="0" applyFont="1" applyAlignment="1">
      <alignment vertical="top"/>
    </xf>
    <xf numFmtId="0" fontId="69" fillId="0" borderId="48" xfId="0" applyFont="1" applyBorder="1" applyAlignment="1">
      <alignment vertical="top" wrapText="1"/>
    </xf>
    <xf numFmtId="0" fontId="69" fillId="0" borderId="48" xfId="0" applyFont="1" applyBorder="1" applyAlignment="1">
      <alignment vertical="top"/>
    </xf>
    <xf numFmtId="0" fontId="69" fillId="0" borderId="48" xfId="0" applyFont="1" applyBorder="1" applyAlignment="1">
      <alignment horizontal="left" vertical="top" wrapText="1"/>
    </xf>
    <xf numFmtId="0" fontId="69" fillId="0" borderId="48" xfId="0" applyFont="1" applyBorder="1" applyAlignment="1">
      <alignment horizontal="left" vertical="top"/>
    </xf>
    <xf numFmtId="0" fontId="69" fillId="17" borderId="58" xfId="0" applyFont="1" applyFill="1" applyBorder="1" applyAlignment="1">
      <alignment vertical="top"/>
    </xf>
    <xf numFmtId="0" fontId="69" fillId="10" borderId="48" xfId="0" applyFont="1" applyFill="1" applyBorder="1" applyAlignment="1">
      <alignment vertical="top" wrapText="1"/>
    </xf>
    <xf numFmtId="0" fontId="69" fillId="17" borderId="58" xfId="0" applyFont="1" applyFill="1" applyBorder="1" applyAlignment="1">
      <alignment vertical="top" wrapText="1"/>
    </xf>
    <xf numFmtId="0" fontId="69" fillId="17" borderId="48" xfId="0" applyFont="1" applyFill="1" applyBorder="1" applyAlignment="1">
      <alignment horizontal="left" vertical="top" wrapText="1"/>
    </xf>
    <xf numFmtId="0" fontId="69" fillId="17" borderId="48" xfId="0" applyFont="1" applyFill="1" applyBorder="1" applyAlignment="1">
      <alignment vertical="top"/>
    </xf>
    <xf numFmtId="0" fontId="69" fillId="19" borderId="58" xfId="0" applyFont="1" applyFill="1" applyBorder="1" applyAlignment="1">
      <alignment vertical="top"/>
    </xf>
    <xf numFmtId="0" fontId="69" fillId="19" borderId="48" xfId="0" applyFont="1" applyFill="1" applyBorder="1" applyAlignment="1">
      <alignment vertical="top"/>
    </xf>
    <xf numFmtId="0" fontId="69" fillId="17" borderId="48" xfId="0" quotePrefix="1" applyFont="1" applyFill="1" applyBorder="1" applyAlignment="1">
      <alignment horizontal="left" vertical="top" wrapText="1"/>
    </xf>
    <xf numFmtId="173" fontId="69" fillId="43" borderId="48" xfId="4" quotePrefix="1" applyNumberFormat="1" applyFont="1" applyFill="1" applyBorder="1" applyAlignment="1">
      <alignment horizontal="left" vertical="top" wrapText="1"/>
    </xf>
    <xf numFmtId="10" fontId="69" fillId="43" borderId="48" xfId="4" quotePrefix="1" applyNumberFormat="1" applyFont="1" applyFill="1" applyBorder="1" applyAlignment="1">
      <alignment horizontal="left" vertical="top" wrapText="1"/>
    </xf>
    <xf numFmtId="171" fontId="69" fillId="0" borderId="48" xfId="1" quotePrefix="1" applyNumberFormat="1" applyFont="1" applyFill="1" applyBorder="1" applyAlignment="1">
      <alignment horizontal="left" vertical="top" wrapText="1"/>
    </xf>
    <xf numFmtId="10" fontId="69" fillId="43" borderId="58" xfId="4" quotePrefix="1" applyNumberFormat="1" applyFont="1" applyFill="1" applyBorder="1" applyAlignment="1">
      <alignment horizontal="left" vertical="top" wrapText="1"/>
    </xf>
    <xf numFmtId="0" fontId="69" fillId="19" borderId="58" xfId="0" applyFont="1" applyFill="1" applyBorder="1" applyAlignment="1">
      <alignment vertical="top" wrapText="1"/>
    </xf>
    <xf numFmtId="0" fontId="69" fillId="0" borderId="59" xfId="0" applyFont="1" applyBorder="1" applyAlignment="1">
      <alignment vertical="top" wrapText="1"/>
    </xf>
    <xf numFmtId="0" fontId="69" fillId="0" borderId="59" xfId="0" applyFont="1" applyBorder="1" applyAlignment="1">
      <alignment vertical="top"/>
    </xf>
    <xf numFmtId="0" fontId="69" fillId="0" borderId="8" xfId="0" applyFont="1" applyBorder="1" applyAlignment="1">
      <alignment vertical="top" wrapText="1"/>
    </xf>
    <xf numFmtId="0" fontId="69" fillId="0" borderId="8" xfId="0" applyFont="1" applyBorder="1" applyAlignment="1">
      <alignment vertical="top"/>
    </xf>
    <xf numFmtId="0" fontId="69" fillId="17" borderId="60" xfId="0" applyFont="1" applyFill="1" applyBorder="1" applyAlignment="1">
      <alignment vertical="top"/>
    </xf>
    <xf numFmtId="0" fontId="70" fillId="0" borderId="59" xfId="0" applyFont="1" applyBorder="1" applyAlignment="1">
      <alignment vertical="top" wrapText="1"/>
    </xf>
    <xf numFmtId="0" fontId="69" fillId="0" borderId="56" xfId="0" applyFont="1" applyBorder="1" applyAlignment="1">
      <alignment vertical="top" wrapText="1"/>
    </xf>
    <xf numFmtId="0" fontId="69" fillId="0" borderId="56" xfId="0" applyFont="1" applyBorder="1" applyAlignment="1">
      <alignment vertical="top"/>
    </xf>
    <xf numFmtId="0" fontId="69" fillId="17" borderId="57" xfId="0" applyFont="1" applyFill="1" applyBorder="1" applyAlignment="1">
      <alignment vertical="top"/>
    </xf>
    <xf numFmtId="0" fontId="69" fillId="0" borderId="56" xfId="0" applyFont="1" applyBorder="1" applyAlignment="1">
      <alignment horizontal="left" vertical="top" wrapText="1"/>
    </xf>
    <xf numFmtId="0" fontId="69" fillId="0" borderId="56" xfId="0" applyFont="1" applyBorder="1" applyAlignment="1">
      <alignment horizontal="left" vertical="top"/>
    </xf>
    <xf numFmtId="0" fontId="69" fillId="17" borderId="59" xfId="0" applyFont="1" applyFill="1" applyBorder="1" applyAlignment="1">
      <alignment vertical="top"/>
    </xf>
    <xf numFmtId="0" fontId="69" fillId="19" borderId="57" xfId="0" applyFont="1" applyFill="1" applyBorder="1" applyAlignment="1">
      <alignment vertical="top"/>
    </xf>
    <xf numFmtId="0" fontId="69" fillId="19" borderId="60" xfId="0" applyFont="1" applyFill="1" applyBorder="1" applyAlignment="1">
      <alignment vertical="top" wrapText="1"/>
    </xf>
    <xf numFmtId="0" fontId="69" fillId="0" borderId="11" xfId="0" applyFont="1" applyBorder="1" applyAlignment="1">
      <alignment vertical="top" wrapText="1"/>
    </xf>
    <xf numFmtId="0" fontId="69" fillId="0" borderId="11" xfId="0" applyFont="1" applyBorder="1" applyAlignment="1">
      <alignment vertical="top"/>
    </xf>
    <xf numFmtId="174" fontId="0" fillId="8" borderId="0" xfId="0" applyNumberFormat="1" applyFill="1" applyAlignment="1">
      <alignment horizontal="right"/>
    </xf>
    <xf numFmtId="174" fontId="0" fillId="0" borderId="0" xfId="0" applyNumberFormat="1" applyAlignment="1">
      <alignment horizontal="right"/>
    </xf>
    <xf numFmtId="174" fontId="0" fillId="45" borderId="0" xfId="0" applyNumberFormat="1" applyFill="1" applyAlignment="1">
      <alignment horizontal="right"/>
    </xf>
    <xf numFmtId="174" fontId="0" fillId="8" borderId="0" xfId="0" applyNumberFormat="1" applyFill="1"/>
    <xf numFmtId="174" fontId="10" fillId="5" borderId="0" xfId="0" applyNumberFormat="1" applyFont="1" applyFill="1"/>
    <xf numFmtId="174" fontId="0" fillId="0" borderId="0" xfId="0" applyNumberFormat="1"/>
    <xf numFmtId="174" fontId="69" fillId="43" borderId="48" xfId="1" applyNumberFormat="1" applyFont="1" applyFill="1" applyBorder="1" applyAlignment="1">
      <alignment vertical="top"/>
    </xf>
    <xf numFmtId="174" fontId="69" fillId="43" borderId="59" xfId="1" applyNumberFormat="1" applyFont="1" applyFill="1" applyBorder="1" applyAlignment="1">
      <alignment vertical="top"/>
    </xf>
    <xf numFmtId="174" fontId="69" fillId="43" borderId="56" xfId="1" applyNumberFormat="1" applyFont="1" applyFill="1" applyBorder="1" applyAlignment="1">
      <alignment vertical="top"/>
    </xf>
    <xf numFmtId="174" fontId="69" fillId="43" borderId="48" xfId="1" applyNumberFormat="1" applyFont="1" applyFill="1" applyBorder="1" applyAlignment="1">
      <alignment vertical="top" wrapText="1"/>
    </xf>
    <xf numFmtId="174" fontId="69" fillId="43" borderId="58" xfId="1" applyNumberFormat="1" applyFont="1" applyFill="1" applyBorder="1" applyAlignment="1">
      <alignment vertical="top" wrapText="1"/>
    </xf>
    <xf numFmtId="174" fontId="69" fillId="43" borderId="59" xfId="1" applyNumberFormat="1" applyFont="1" applyFill="1" applyBorder="1" applyAlignment="1">
      <alignment vertical="top" wrapText="1"/>
    </xf>
    <xf numFmtId="174" fontId="69" fillId="43" borderId="56" xfId="1" applyNumberFormat="1" applyFont="1" applyFill="1" applyBorder="1" applyAlignment="1">
      <alignment vertical="top" wrapText="1"/>
    </xf>
    <xf numFmtId="174" fontId="69" fillId="16" borderId="48" xfId="1" applyNumberFormat="1" applyFont="1" applyFill="1" applyBorder="1" applyAlignment="1">
      <alignment horizontal="left" vertical="top" wrapText="1"/>
    </xf>
    <xf numFmtId="174" fontId="69" fillId="0" borderId="48" xfId="1" applyNumberFormat="1" applyFont="1" applyBorder="1" applyAlignment="1">
      <alignment horizontal="left" vertical="top" wrapText="1"/>
    </xf>
    <xf numFmtId="174" fontId="69" fillId="43" borderId="48" xfId="1" applyNumberFormat="1" applyFont="1" applyFill="1" applyBorder="1" applyAlignment="1">
      <alignment horizontal="left" vertical="top" wrapText="1"/>
    </xf>
    <xf numFmtId="174" fontId="69" fillId="17" borderId="48" xfId="0" applyNumberFormat="1" applyFont="1" applyFill="1" applyBorder="1" applyAlignment="1">
      <alignment horizontal="left" vertical="top" wrapText="1"/>
    </xf>
    <xf numFmtId="174" fontId="69" fillId="43" borderId="58" xfId="1" applyNumberFormat="1" applyFont="1" applyFill="1" applyBorder="1" applyAlignment="1">
      <alignment vertical="top"/>
    </xf>
    <xf numFmtId="174" fontId="69" fillId="43" borderId="60" xfId="1" applyNumberFormat="1" applyFont="1" applyFill="1" applyBorder="1" applyAlignment="1">
      <alignment vertical="top"/>
    </xf>
    <xf numFmtId="174" fontId="69" fillId="43" borderId="48" xfId="1" quotePrefix="1" applyNumberFormat="1" applyFont="1" applyFill="1" applyBorder="1" applyAlignment="1">
      <alignment horizontal="left" vertical="top" wrapText="1"/>
    </xf>
    <xf numFmtId="174" fontId="69" fillId="43" borderId="56" xfId="1" quotePrefix="1" applyNumberFormat="1" applyFont="1" applyFill="1" applyBorder="1" applyAlignment="1">
      <alignment horizontal="left" vertical="top" wrapText="1"/>
    </xf>
    <xf numFmtId="174" fontId="69" fillId="43" borderId="59" xfId="1" quotePrefix="1" applyNumberFormat="1" applyFont="1" applyFill="1" applyBorder="1" applyAlignment="1">
      <alignment horizontal="left" vertical="top" wrapText="1"/>
    </xf>
    <xf numFmtId="174" fontId="69" fillId="43" borderId="60" xfId="1" applyNumberFormat="1" applyFont="1" applyFill="1" applyBorder="1" applyAlignment="1">
      <alignment vertical="top" wrapText="1"/>
    </xf>
    <xf numFmtId="174" fontId="11" fillId="0" borderId="0" xfId="0" applyNumberFormat="1" applyFont="1"/>
    <xf numFmtId="174" fontId="11" fillId="12" borderId="0" xfId="0" applyNumberFormat="1" applyFont="1" applyFill="1"/>
    <xf numFmtId="174" fontId="5" fillId="0" borderId="0" xfId="0" applyNumberFormat="1" applyFont="1"/>
    <xf numFmtId="174" fontId="5" fillId="12" borderId="0" xfId="0" applyNumberFormat="1" applyFont="1" applyFill="1"/>
    <xf numFmtId="174" fontId="32" fillId="0" borderId="0" xfId="0" applyNumberFormat="1" applyFont="1"/>
    <xf numFmtId="174" fontId="5" fillId="0" borderId="0" xfId="1" applyNumberFormat="1" applyFont="1"/>
    <xf numFmtId="174" fontId="5" fillId="12" borderId="0" xfId="1" applyNumberFormat="1" applyFont="1" applyFill="1"/>
    <xf numFmtId="174" fontId="18" fillId="0" borderId="0" xfId="0" applyNumberFormat="1" applyFont="1"/>
    <xf numFmtId="174" fontId="0" fillId="12" borderId="0" xfId="0" applyNumberFormat="1" applyFill="1"/>
    <xf numFmtId="174" fontId="18" fillId="12" borderId="0" xfId="0" applyNumberFormat="1" applyFont="1" applyFill="1"/>
    <xf numFmtId="174" fontId="15" fillId="0" borderId="0" xfId="0" applyNumberFormat="1" applyFont="1"/>
    <xf numFmtId="174" fontId="15" fillId="12" borderId="0" xfId="0" applyNumberFormat="1" applyFont="1" applyFill="1"/>
    <xf numFmtId="174" fontId="5" fillId="13" borderId="0" xfId="0" applyNumberFormat="1" applyFont="1" applyFill="1"/>
    <xf numFmtId="174" fontId="18" fillId="0" borderId="0" xfId="0" applyNumberFormat="1" applyFont="1" applyAlignment="1">
      <alignment horizontal="right" wrapText="1"/>
    </xf>
    <xf numFmtId="174" fontId="16" fillId="0" borderId="0" xfId="0" applyNumberFormat="1" applyFont="1"/>
    <xf numFmtId="174" fontId="10" fillId="0" borderId="0" xfId="0" applyNumberFormat="1" applyFont="1"/>
    <xf numFmtId="174" fontId="17" fillId="0" borderId="0" xfId="0" applyNumberFormat="1" applyFont="1"/>
    <xf numFmtId="174" fontId="6" fillId="0" borderId="0" xfId="0" applyNumberFormat="1" applyFont="1"/>
    <xf numFmtId="174" fontId="21" fillId="0" borderId="0" xfId="0" applyNumberFormat="1" applyFont="1"/>
    <xf numFmtId="174" fontId="22" fillId="0" borderId="0" xfId="0" applyNumberFormat="1" applyFont="1"/>
    <xf numFmtId="174" fontId="34" fillId="0" borderId="0" xfId="0" applyNumberFormat="1" applyFont="1"/>
    <xf numFmtId="174" fontId="23" fillId="0" borderId="0" xfId="0" applyNumberFormat="1" applyFont="1"/>
    <xf numFmtId="167" fontId="49" fillId="0" borderId="0" xfId="0" applyNumberFormat="1" applyFont="1"/>
    <xf numFmtId="14" fontId="9" fillId="0" borderId="0" xfId="0" applyNumberFormat="1" applyFont="1"/>
    <xf numFmtId="0" fontId="10" fillId="0" borderId="0" xfId="0" applyFont="1" applyAlignment="1">
      <alignment wrapText="1"/>
    </xf>
    <xf numFmtId="3" fontId="38" fillId="0" borderId="0" xfId="0" applyNumberFormat="1" applyFont="1" applyAlignment="1">
      <alignment vertical="top" wrapText="1"/>
    </xf>
    <xf numFmtId="168" fontId="37" fillId="0" borderId="8" xfId="5" applyNumberFormat="1" applyFont="1" applyBorder="1" applyAlignment="1">
      <alignment horizontal="right"/>
    </xf>
    <xf numFmtId="168" fontId="37" fillId="0" borderId="9" xfId="5" applyNumberFormat="1" applyFont="1" applyBorder="1" applyAlignment="1">
      <alignment horizontal="right"/>
    </xf>
    <xf numFmtId="168" fontId="37" fillId="0" borderId="2" xfId="5" applyNumberFormat="1" applyFont="1" applyBorder="1" applyAlignment="1">
      <alignment horizontal="right"/>
    </xf>
    <xf numFmtId="0" fontId="6" fillId="0" borderId="0" xfId="0" applyFont="1" applyAlignment="1">
      <alignment horizontal="left" vertical="top" wrapText="1"/>
    </xf>
    <xf numFmtId="0" fontId="5" fillId="0" borderId="0" xfId="0" applyFont="1" applyAlignment="1">
      <alignment horizontal="left" vertical="top" wrapText="1"/>
    </xf>
    <xf numFmtId="0" fontId="0" fillId="0" borderId="0" xfId="0" applyAlignment="1">
      <alignment horizontal="left" vertical="top" wrapText="1"/>
    </xf>
    <xf numFmtId="174" fontId="0" fillId="9" borderId="0" xfId="0" applyNumberFormat="1" applyFill="1" applyAlignment="1">
      <alignment horizontal="left" vertical="top"/>
    </xf>
    <xf numFmtId="0" fontId="0" fillId="20" borderId="0" xfId="0" applyFill="1" applyAlignment="1">
      <alignment vertical="top" wrapText="1"/>
    </xf>
    <xf numFmtId="0" fontId="6" fillId="20" borderId="0" xfId="0" applyFont="1" applyFill="1" applyAlignment="1">
      <alignment vertical="top" wrapText="1"/>
    </xf>
    <xf numFmtId="0" fontId="5" fillId="20" borderId="0" xfId="0" applyFont="1" applyFill="1" applyAlignment="1">
      <alignment vertical="top" wrapText="1"/>
    </xf>
    <xf numFmtId="0" fontId="14" fillId="5" borderId="0" xfId="0" applyFont="1" applyFill="1" applyAlignment="1">
      <alignment vertical="top" wrapText="1"/>
    </xf>
    <xf numFmtId="0" fontId="0" fillId="20" borderId="0" xfId="0" applyFill="1" applyAlignment="1">
      <alignment horizontal="left" vertical="top" wrapText="1"/>
    </xf>
    <xf numFmtId="0" fontId="6" fillId="20" borderId="0" xfId="0" applyFont="1" applyFill="1" applyAlignment="1">
      <alignment horizontal="left" vertical="top" wrapText="1"/>
    </xf>
    <xf numFmtId="0" fontId="5" fillId="20" borderId="0" xfId="0" applyFont="1" applyFill="1" applyAlignment="1">
      <alignment horizontal="left" vertical="top" wrapText="1"/>
    </xf>
    <xf numFmtId="0" fontId="10" fillId="5" borderId="0" xfId="0" applyFont="1" applyFill="1" applyAlignment="1">
      <alignment horizontal="left" vertical="top" wrapText="1"/>
    </xf>
    <xf numFmtId="0" fontId="10" fillId="5" borderId="0" xfId="0" applyFont="1" applyFill="1" applyAlignment="1">
      <alignment vertical="top"/>
    </xf>
    <xf numFmtId="0" fontId="18" fillId="0" borderId="0" xfId="0" applyFont="1" applyAlignment="1">
      <alignment horizontal="left" vertical="top" wrapText="1"/>
    </xf>
    <xf numFmtId="0" fontId="18" fillId="12" borderId="0" xfId="0" applyFont="1" applyFill="1" applyAlignment="1">
      <alignment horizontal="left" vertical="top" wrapText="1"/>
    </xf>
    <xf numFmtId="174" fontId="16" fillId="12" borderId="0" xfId="0" applyNumberFormat="1" applyFont="1" applyFill="1"/>
    <xf numFmtId="0" fontId="11" fillId="0" borderId="0" xfId="0" applyFont="1" applyAlignment="1">
      <alignment horizontal="right" wrapText="1"/>
    </xf>
    <xf numFmtId="167" fontId="10" fillId="5" borderId="0" xfId="0" applyNumberFormat="1" applyFont="1" applyFill="1" applyAlignment="1">
      <alignment horizontal="left" vertical="top" wrapText="1"/>
    </xf>
    <xf numFmtId="0" fontId="0" fillId="0" borderId="0" xfId="0" applyAlignment="1" applyProtection="1">
      <alignment horizontal="left" vertical="top"/>
      <protection locked="0"/>
    </xf>
    <xf numFmtId="174" fontId="0" fillId="8" borderId="0" xfId="0" applyNumberFormat="1" applyFill="1" applyAlignment="1" applyProtection="1">
      <alignment horizontal="left" vertical="top"/>
      <protection locked="0"/>
    </xf>
    <xf numFmtId="174" fontId="0" fillId="0" borderId="0" xfId="0" applyNumberFormat="1" applyAlignment="1">
      <alignment horizontal="left" vertical="top"/>
    </xf>
    <xf numFmtId="174" fontId="0" fillId="0" borderId="0" xfId="0" applyNumberFormat="1" applyAlignment="1" applyProtection="1">
      <alignment horizontal="left" vertical="top"/>
      <protection locked="0"/>
    </xf>
    <xf numFmtId="174" fontId="0" fillId="45" borderId="0" xfId="0" applyNumberFormat="1" applyFill="1" applyAlignment="1" applyProtection="1">
      <alignment horizontal="left" vertical="top"/>
      <protection locked="0"/>
    </xf>
    <xf numFmtId="0" fontId="5" fillId="18" borderId="0" xfId="0" applyFont="1" applyFill="1" applyAlignment="1">
      <alignment horizontal="left" vertical="top" wrapText="1"/>
    </xf>
    <xf numFmtId="0" fontId="5" fillId="14" borderId="0" xfId="0" applyFont="1" applyFill="1" applyAlignment="1">
      <alignment horizontal="left" vertical="top" wrapText="1"/>
    </xf>
    <xf numFmtId="0" fontId="5" fillId="14" borderId="0" xfId="0" quotePrefix="1" applyFont="1" applyFill="1" applyAlignment="1">
      <alignment horizontal="left" vertical="top" wrapText="1"/>
    </xf>
    <xf numFmtId="0" fontId="10" fillId="5" borderId="0" xfId="0" applyFont="1" applyFill="1" applyAlignment="1">
      <alignment horizontal="left" vertical="top"/>
    </xf>
    <xf numFmtId="0" fontId="14" fillId="5" borderId="0" xfId="0" applyFont="1" applyFill="1" applyAlignment="1">
      <alignment horizontal="left" vertical="top" wrapText="1"/>
    </xf>
    <xf numFmtId="167" fontId="10" fillId="5" borderId="0" xfId="0" applyNumberFormat="1" applyFont="1" applyFill="1" applyAlignment="1">
      <alignment horizontal="left" vertical="top"/>
    </xf>
    <xf numFmtId="169" fontId="0" fillId="0" borderId="0" xfId="0" applyNumberFormat="1" applyAlignment="1">
      <alignment horizontal="left" vertical="top"/>
    </xf>
    <xf numFmtId="0" fontId="0" fillId="0" borderId="0" xfId="0" applyAlignment="1">
      <alignment horizontal="center"/>
    </xf>
    <xf numFmtId="0" fontId="11" fillId="0" borderId="0" xfId="0" applyFont="1" applyAlignment="1">
      <alignment horizontal="center"/>
    </xf>
    <xf numFmtId="0" fontId="20" fillId="0" borderId="0" xfId="0" applyFont="1" applyAlignment="1">
      <alignment horizontal="center"/>
    </xf>
    <xf numFmtId="0" fontId="0" fillId="52" borderId="0" xfId="0" applyFill="1"/>
    <xf numFmtId="0" fontId="0" fillId="53" borderId="0" xfId="0" applyFill="1"/>
    <xf numFmtId="0" fontId="0" fillId="20" borderId="0" xfId="0" applyFill="1"/>
    <xf numFmtId="0" fontId="0" fillId="57" borderId="0" xfId="0" applyFill="1"/>
    <xf numFmtId="0" fontId="0" fillId="58" borderId="0" xfId="0" applyFill="1"/>
    <xf numFmtId="0" fontId="0" fillId="58" borderId="0" xfId="0" applyFill="1" applyAlignment="1">
      <alignment wrapText="1"/>
    </xf>
    <xf numFmtId="0" fontId="0" fillId="58" borderId="0" xfId="0" applyFill="1" applyAlignment="1">
      <alignment horizontal="center"/>
    </xf>
    <xf numFmtId="0" fontId="5" fillId="58" borderId="0" xfId="0" applyFont="1" applyFill="1" applyAlignment="1">
      <alignment wrapText="1"/>
    </xf>
    <xf numFmtId="174" fontId="0" fillId="54" borderId="0" xfId="0" applyNumberFormat="1" applyFill="1"/>
    <xf numFmtId="174" fontId="0" fillId="65" borderId="0" xfId="0" applyNumberFormat="1" applyFill="1"/>
    <xf numFmtId="174" fontId="0" fillId="62" borderId="0" xfId="0" applyNumberFormat="1" applyFill="1"/>
    <xf numFmtId="174" fontId="0" fillId="56" borderId="0" xfId="0" applyNumberFormat="1" applyFill="1"/>
    <xf numFmtId="174" fontId="0" fillId="61" borderId="0" xfId="0" applyNumberFormat="1" applyFill="1"/>
    <xf numFmtId="0" fontId="16" fillId="0" borderId="0" xfId="0" applyFont="1" applyAlignment="1">
      <alignment horizontal="center"/>
    </xf>
    <xf numFmtId="174" fontId="16" fillId="14" borderId="0" xfId="0" applyNumberFormat="1" applyFont="1" applyFill="1"/>
    <xf numFmtId="0" fontId="0" fillId="57" borderId="0" xfId="0" applyFill="1" applyAlignment="1">
      <alignment wrapText="1"/>
    </xf>
    <xf numFmtId="0" fontId="0" fillId="57" borderId="0" xfId="0" applyFill="1" applyAlignment="1">
      <alignment horizontal="center"/>
    </xf>
    <xf numFmtId="0" fontId="5" fillId="57" borderId="0" xfId="0" applyFont="1" applyFill="1" applyAlignment="1">
      <alignment wrapText="1"/>
    </xf>
    <xf numFmtId="174" fontId="0" fillId="55" borderId="0" xfId="0" applyNumberFormat="1" applyFill="1"/>
    <xf numFmtId="174" fontId="0" fillId="43" borderId="0" xfId="0" applyNumberFormat="1" applyFill="1"/>
    <xf numFmtId="174" fontId="0" fillId="57" borderId="0" xfId="0" applyNumberFormat="1" applyFill="1"/>
    <xf numFmtId="174" fontId="16" fillId="67" borderId="0" xfId="0" applyNumberFormat="1" applyFont="1" applyFill="1"/>
    <xf numFmtId="0" fontId="0" fillId="64" borderId="0" xfId="0" applyFill="1" applyAlignment="1">
      <alignment wrapText="1"/>
    </xf>
    <xf numFmtId="0" fontId="0" fillId="64" borderId="0" xfId="0" applyFill="1"/>
    <xf numFmtId="0" fontId="0" fillId="64" borderId="0" xfId="0" applyFill="1" applyAlignment="1">
      <alignment horizontal="center"/>
    </xf>
    <xf numFmtId="0" fontId="5" fillId="64" borderId="0" xfId="0" applyFont="1" applyFill="1" applyAlignment="1">
      <alignment wrapText="1"/>
    </xf>
    <xf numFmtId="0" fontId="0" fillId="20" borderId="0" xfId="0" applyFill="1" applyAlignment="1">
      <alignment wrapText="1"/>
    </xf>
    <xf numFmtId="0" fontId="0" fillId="20" borderId="0" xfId="0" applyFill="1" applyAlignment="1">
      <alignment horizontal="center"/>
    </xf>
    <xf numFmtId="0" fontId="5" fillId="20" borderId="0" xfId="0" applyFont="1" applyFill="1" applyAlignment="1">
      <alignment wrapText="1"/>
    </xf>
    <xf numFmtId="174" fontId="16" fillId="60" borderId="0" xfId="0" applyNumberFormat="1" applyFont="1" applyFill="1"/>
    <xf numFmtId="174" fontId="16" fillId="66" borderId="0" xfId="0" applyNumberFormat="1" applyFont="1" applyFill="1"/>
    <xf numFmtId="0" fontId="0" fillId="53" borderId="0" xfId="0" applyFill="1" applyAlignment="1">
      <alignment wrapText="1"/>
    </xf>
    <xf numFmtId="0" fontId="5" fillId="53" borderId="0" xfId="0" applyFont="1" applyFill="1" applyAlignment="1">
      <alignment wrapText="1"/>
    </xf>
    <xf numFmtId="0" fontId="0" fillId="53" borderId="0" xfId="0" applyFill="1" applyAlignment="1">
      <alignment horizontal="center"/>
    </xf>
    <xf numFmtId="174" fontId="0" fillId="69" borderId="0" xfId="0" applyNumberFormat="1" applyFill="1"/>
    <xf numFmtId="174" fontId="0" fillId="70" borderId="0" xfId="0" applyNumberFormat="1" applyFill="1"/>
    <xf numFmtId="174" fontId="16" fillId="63" borderId="0" xfId="0" applyNumberFormat="1" applyFont="1" applyFill="1"/>
    <xf numFmtId="174" fontId="16" fillId="59" borderId="0" xfId="0" applyNumberFormat="1" applyFont="1" applyFill="1"/>
    <xf numFmtId="174" fontId="0" fillId="71" borderId="0" xfId="0" applyNumberFormat="1" applyFill="1"/>
    <xf numFmtId="174" fontId="0" fillId="73" borderId="0" xfId="0" applyNumberFormat="1" applyFill="1"/>
    <xf numFmtId="0" fontId="0" fillId="52" borderId="0" xfId="0" applyFill="1" applyAlignment="1">
      <alignment wrapText="1"/>
    </xf>
    <xf numFmtId="0" fontId="0" fillId="52" borderId="0" xfId="0" applyFill="1" applyAlignment="1">
      <alignment horizontal="center"/>
    </xf>
    <xf numFmtId="0" fontId="5" fillId="52" borderId="0" xfId="0" applyFont="1" applyFill="1" applyAlignment="1">
      <alignment wrapText="1"/>
    </xf>
    <xf numFmtId="174" fontId="0" fillId="51" borderId="0" xfId="0" applyNumberFormat="1" applyFill="1"/>
    <xf numFmtId="0" fontId="0" fillId="72" borderId="0" xfId="0" applyFill="1" applyAlignment="1">
      <alignment wrapText="1"/>
    </xf>
    <xf numFmtId="0" fontId="0" fillId="72" borderId="0" xfId="0" applyFill="1"/>
    <xf numFmtId="0" fontId="0" fillId="72" borderId="0" xfId="0" applyFill="1" applyAlignment="1">
      <alignment horizontal="center"/>
    </xf>
    <xf numFmtId="0" fontId="5" fillId="72" borderId="0" xfId="0" applyFont="1" applyFill="1" applyAlignment="1">
      <alignment wrapText="1"/>
    </xf>
    <xf numFmtId="174" fontId="0" fillId="46" borderId="0" xfId="0" applyNumberFormat="1" applyFill="1"/>
    <xf numFmtId="174" fontId="16" fillId="47" borderId="0" xfId="0" applyNumberFormat="1" applyFont="1" applyFill="1"/>
    <xf numFmtId="174" fontId="16" fillId="68" borderId="0" xfId="0" applyNumberFormat="1" applyFont="1" applyFill="1"/>
    <xf numFmtId="0" fontId="0" fillId="49" borderId="0" xfId="0" applyFill="1" applyAlignment="1">
      <alignment wrapText="1"/>
    </xf>
    <xf numFmtId="0" fontId="0" fillId="49" borderId="0" xfId="0" applyFill="1"/>
    <xf numFmtId="0" fontId="0" fillId="49" borderId="0" xfId="0" applyFill="1" applyAlignment="1">
      <alignment horizontal="center"/>
    </xf>
    <xf numFmtId="0" fontId="5" fillId="49" borderId="0" xfId="0" applyFont="1" applyFill="1" applyAlignment="1">
      <alignment wrapText="1"/>
    </xf>
    <xf numFmtId="174" fontId="0" fillId="74" borderId="0" xfId="0" applyNumberFormat="1" applyFill="1"/>
    <xf numFmtId="174" fontId="0" fillId="50" borderId="0" xfId="0" applyNumberFormat="1" applyFill="1"/>
    <xf numFmtId="0" fontId="0" fillId="75" borderId="0" xfId="0" applyFill="1" applyAlignment="1">
      <alignment wrapText="1"/>
    </xf>
    <xf numFmtId="0" fontId="0" fillId="75" borderId="0" xfId="0" applyFill="1"/>
    <xf numFmtId="0" fontId="0" fillId="75" borderId="0" xfId="0" applyFill="1" applyAlignment="1">
      <alignment horizontal="center"/>
    </xf>
    <xf numFmtId="0" fontId="5" fillId="75" borderId="0" xfId="0" applyFont="1" applyFill="1" applyAlignment="1">
      <alignment wrapText="1"/>
    </xf>
    <xf numFmtId="174" fontId="0" fillId="76" borderId="0" xfId="0" applyNumberFormat="1" applyFill="1"/>
    <xf numFmtId="174" fontId="0" fillId="19" borderId="0" xfId="0" applyNumberFormat="1" applyFill="1"/>
    <xf numFmtId="174" fontId="16" fillId="17" borderId="0" xfId="0" applyNumberFormat="1" applyFont="1" applyFill="1"/>
    <xf numFmtId="0" fontId="0" fillId="77" borderId="0" xfId="0" applyFill="1" applyAlignment="1">
      <alignment wrapText="1"/>
    </xf>
    <xf numFmtId="0" fontId="0" fillId="77" borderId="0" xfId="0" applyFill="1"/>
    <xf numFmtId="0" fontId="0" fillId="77" borderId="0" xfId="0" applyFill="1" applyAlignment="1">
      <alignment horizontal="center"/>
    </xf>
    <xf numFmtId="0" fontId="5" fillId="77" borderId="0" xfId="0" applyFont="1" applyFill="1" applyAlignment="1">
      <alignment wrapText="1"/>
    </xf>
    <xf numFmtId="174" fontId="0" fillId="78" borderId="0" xfId="0" applyNumberFormat="1" applyFill="1"/>
    <xf numFmtId="174" fontId="0" fillId="79" borderId="0" xfId="0" applyNumberFormat="1" applyFill="1"/>
    <xf numFmtId="174" fontId="0" fillId="80" borderId="0" xfId="0" applyNumberFormat="1" applyFill="1"/>
    <xf numFmtId="174" fontId="16" fillId="81" borderId="0" xfId="0" applyNumberFormat="1" applyFont="1" applyFill="1"/>
    <xf numFmtId="0" fontId="0" fillId="82" borderId="0" xfId="0" applyFill="1" applyAlignment="1">
      <alignment wrapText="1"/>
    </xf>
    <xf numFmtId="0" fontId="0" fillId="82" borderId="0" xfId="0" applyFill="1"/>
    <xf numFmtId="0" fontId="0" fillId="82" borderId="0" xfId="0" applyFill="1" applyAlignment="1">
      <alignment horizontal="center"/>
    </xf>
    <xf numFmtId="0" fontId="5" fillId="82" borderId="0" xfId="0" applyFont="1" applyFill="1" applyAlignment="1">
      <alignment wrapText="1"/>
    </xf>
    <xf numFmtId="174" fontId="0" fillId="83" borderId="0" xfId="0" applyNumberFormat="1" applyFill="1"/>
    <xf numFmtId="174" fontId="0" fillId="84" borderId="0" xfId="0" applyNumberFormat="1" applyFill="1"/>
    <xf numFmtId="174" fontId="20" fillId="0" borderId="0" xfId="0" applyNumberFormat="1" applyFont="1"/>
    <xf numFmtId="174" fontId="16" fillId="85" borderId="0" xfId="0" applyNumberFormat="1" applyFont="1" applyFill="1"/>
    <xf numFmtId="0" fontId="0" fillId="86" borderId="0" xfId="0" applyFill="1" applyAlignment="1">
      <alignment wrapText="1"/>
    </xf>
    <xf numFmtId="0" fontId="0" fillId="86" borderId="0" xfId="0" applyFill="1"/>
    <xf numFmtId="0" fontId="0" fillId="86" borderId="0" xfId="0" applyFill="1" applyAlignment="1">
      <alignment horizontal="center"/>
    </xf>
    <xf numFmtId="0" fontId="5" fillId="86" borderId="0" xfId="0" applyFont="1" applyFill="1" applyAlignment="1">
      <alignment wrapText="1"/>
    </xf>
    <xf numFmtId="0" fontId="5" fillId="86" borderId="0" xfId="0" applyFont="1" applyFill="1"/>
    <xf numFmtId="174" fontId="0" fillId="87" borderId="0" xfId="0" applyNumberFormat="1" applyFill="1"/>
    <xf numFmtId="174" fontId="0" fillId="88" borderId="0" xfId="0" applyNumberFormat="1" applyFill="1"/>
    <xf numFmtId="174" fontId="16" fillId="11" borderId="0" xfId="0" applyNumberFormat="1" applyFont="1" applyFill="1"/>
    <xf numFmtId="0" fontId="79" fillId="0" borderId="0" xfId="0" applyFont="1" applyAlignment="1">
      <alignment wrapText="1"/>
    </xf>
    <xf numFmtId="0" fontId="79" fillId="0" borderId="0" xfId="0" applyFont="1"/>
    <xf numFmtId="0" fontId="79" fillId="0" borderId="0" xfId="0" applyFont="1" applyAlignment="1">
      <alignment horizontal="center"/>
    </xf>
    <xf numFmtId="174" fontId="31" fillId="0" borderId="0" xfId="0" applyNumberFormat="1" applyFont="1"/>
    <xf numFmtId="174" fontId="79" fillId="0" borderId="0" xfId="0" applyNumberFormat="1" applyFont="1"/>
    <xf numFmtId="0" fontId="80" fillId="0" borderId="0" xfId="0" applyFont="1" applyAlignment="1">
      <alignment wrapText="1"/>
    </xf>
    <xf numFmtId="0" fontId="0" fillId="89" borderId="0" xfId="0" applyFill="1" applyAlignment="1">
      <alignment wrapText="1"/>
    </xf>
    <xf numFmtId="0" fontId="0" fillId="89" borderId="0" xfId="0" applyFill="1"/>
    <xf numFmtId="0" fontId="0" fillId="89" borderId="0" xfId="0" applyFill="1" applyAlignment="1">
      <alignment horizontal="center"/>
    </xf>
    <xf numFmtId="174" fontId="0" fillId="90" borderId="0" xfId="0" applyNumberFormat="1" applyFill="1"/>
    <xf numFmtId="174" fontId="0" fillId="91" borderId="0" xfId="0" applyNumberFormat="1" applyFill="1"/>
    <xf numFmtId="174" fontId="16" fillId="92" borderId="0" xfId="0" applyNumberFormat="1" applyFont="1" applyFill="1"/>
    <xf numFmtId="0" fontId="0" fillId="93" borderId="0" xfId="0" applyFill="1" applyAlignment="1">
      <alignment wrapText="1"/>
    </xf>
    <xf numFmtId="0" fontId="0" fillId="93" borderId="0" xfId="0" applyFill="1"/>
    <xf numFmtId="0" fontId="0" fillId="93" borderId="0" xfId="0" applyFill="1" applyAlignment="1">
      <alignment horizontal="center"/>
    </xf>
    <xf numFmtId="174" fontId="0" fillId="94" borderId="0" xfId="0" applyNumberFormat="1" applyFill="1"/>
    <xf numFmtId="174" fontId="16" fillId="95" borderId="0" xfId="0" applyNumberFormat="1" applyFont="1" applyFill="1"/>
    <xf numFmtId="0" fontId="0" fillId="96" borderId="0" xfId="0" applyFill="1" applyAlignment="1">
      <alignment wrapText="1"/>
    </xf>
    <xf numFmtId="0" fontId="0" fillId="96" borderId="0" xfId="0" applyFill="1"/>
    <xf numFmtId="0" fontId="16" fillId="96" borderId="0" xfId="0" applyFont="1" applyFill="1"/>
    <xf numFmtId="0" fontId="0" fillId="96" borderId="0" xfId="0" applyFill="1" applyAlignment="1">
      <alignment horizontal="center"/>
    </xf>
    <xf numFmtId="174" fontId="5" fillId="97" borderId="0" xfId="0" applyNumberFormat="1" applyFont="1" applyFill="1"/>
    <xf numFmtId="174" fontId="5" fillId="48" borderId="0" xfId="0" applyNumberFormat="1" applyFont="1" applyFill="1"/>
    <xf numFmtId="174" fontId="5" fillId="98" borderId="0" xfId="0" applyNumberFormat="1" applyFont="1" applyFill="1"/>
    <xf numFmtId="174" fontId="16" fillId="99" borderId="0" xfId="0" applyNumberFormat="1" applyFont="1" applyFill="1"/>
    <xf numFmtId="0" fontId="0" fillId="100" borderId="0" xfId="0" applyFill="1" applyAlignment="1">
      <alignment wrapText="1"/>
    </xf>
    <xf numFmtId="0" fontId="0" fillId="100" borderId="0" xfId="0" applyFill="1"/>
    <xf numFmtId="0" fontId="0" fillId="100" borderId="0" xfId="0" applyFill="1" applyAlignment="1">
      <alignment horizontal="center"/>
    </xf>
    <xf numFmtId="174" fontId="0" fillId="101" borderId="0" xfId="0" applyNumberFormat="1" applyFill="1"/>
    <xf numFmtId="174" fontId="16" fillId="102" borderId="0" xfId="0" applyNumberFormat="1" applyFont="1" applyFill="1"/>
    <xf numFmtId="0" fontId="0" fillId="103" borderId="0" xfId="0" applyFill="1" applyAlignment="1">
      <alignment wrapText="1"/>
    </xf>
    <xf numFmtId="0" fontId="0" fillId="103" borderId="0" xfId="0" applyFill="1"/>
    <xf numFmtId="0" fontId="0" fillId="103" borderId="0" xfId="0" applyFill="1" applyAlignment="1">
      <alignment horizontal="center"/>
    </xf>
    <xf numFmtId="174" fontId="0" fillId="104" borderId="0" xfId="0" applyNumberFormat="1" applyFill="1"/>
    <xf numFmtId="174" fontId="0" fillId="103" borderId="0" xfId="0" applyNumberFormat="1" applyFill="1"/>
    <xf numFmtId="174" fontId="16" fillId="105" borderId="0" xfId="0" applyNumberFormat="1" applyFont="1" applyFill="1"/>
    <xf numFmtId="0" fontId="0" fillId="106" borderId="0" xfId="0" applyFill="1" applyAlignment="1">
      <alignment wrapText="1"/>
    </xf>
    <xf numFmtId="0" fontId="0" fillId="106" borderId="0" xfId="0" applyFill="1"/>
    <xf numFmtId="0" fontId="0" fillId="106" borderId="0" xfId="0" applyFill="1" applyAlignment="1">
      <alignment horizontal="center"/>
    </xf>
    <xf numFmtId="0" fontId="5" fillId="106" borderId="0" xfId="0" applyFont="1" applyFill="1"/>
    <xf numFmtId="0" fontId="5" fillId="106" borderId="0" xfId="0" applyFont="1" applyFill="1" applyAlignment="1">
      <alignment wrapText="1"/>
    </xf>
    <xf numFmtId="174" fontId="5" fillId="10" borderId="0" xfId="0" applyNumberFormat="1" applyFont="1" applyFill="1"/>
    <xf numFmtId="174" fontId="5" fillId="107" borderId="0" xfId="0" applyNumberFormat="1" applyFont="1" applyFill="1"/>
    <xf numFmtId="174" fontId="16" fillId="108" borderId="0" xfId="0" applyNumberFormat="1" applyFont="1" applyFill="1"/>
    <xf numFmtId="0" fontId="0" fillId="109" borderId="0" xfId="0" applyFill="1" applyAlignment="1">
      <alignment wrapText="1"/>
    </xf>
    <xf numFmtId="0" fontId="0" fillId="109" borderId="0" xfId="0" applyFill="1"/>
    <xf numFmtId="0" fontId="0" fillId="109" borderId="0" xfId="0" applyFill="1" applyAlignment="1">
      <alignment horizontal="center"/>
    </xf>
    <xf numFmtId="174" fontId="0" fillId="110" borderId="0" xfId="0" applyNumberFormat="1" applyFill="1"/>
    <xf numFmtId="174" fontId="0" fillId="111" borderId="0" xfId="0" applyNumberFormat="1" applyFill="1"/>
    <xf numFmtId="174" fontId="5" fillId="112" borderId="0" xfId="0" applyNumberFormat="1" applyFont="1" applyFill="1"/>
    <xf numFmtId="174" fontId="16" fillId="113" borderId="0" xfId="0" applyNumberFormat="1" applyFont="1" applyFill="1"/>
    <xf numFmtId="0" fontId="0" fillId="114" borderId="0" xfId="0" applyFill="1" applyAlignment="1">
      <alignment wrapText="1"/>
    </xf>
    <xf numFmtId="0" fontId="0" fillId="114" borderId="0" xfId="0" applyFill="1"/>
    <xf numFmtId="0" fontId="0" fillId="114" borderId="0" xfId="0" applyFill="1" applyAlignment="1">
      <alignment horizontal="center"/>
    </xf>
    <xf numFmtId="174" fontId="0" fillId="115" borderId="0" xfId="0" applyNumberFormat="1" applyFill="1"/>
    <xf numFmtId="174" fontId="0" fillId="116" borderId="0" xfId="0" applyNumberFormat="1" applyFill="1"/>
    <xf numFmtId="174" fontId="16" fillId="115" borderId="0" xfId="0" applyNumberFormat="1" applyFont="1" applyFill="1"/>
    <xf numFmtId="0" fontId="71" fillId="0" borderId="68" xfId="0" applyFont="1" applyBorder="1" applyAlignment="1">
      <alignment vertical="top" wrapText="1"/>
    </xf>
    <xf numFmtId="0" fontId="69" fillId="0" borderId="71" xfId="0" applyFont="1" applyBorder="1" applyAlignment="1">
      <alignment vertical="top"/>
    </xf>
    <xf numFmtId="0" fontId="69" fillId="0" borderId="71" xfId="0" applyFont="1" applyBorder="1" applyAlignment="1">
      <alignment vertical="top" wrapText="1"/>
    </xf>
    <xf numFmtId="0" fontId="69" fillId="0" borderId="72" xfId="0" applyFont="1" applyBorder="1" applyAlignment="1">
      <alignment vertical="top"/>
    </xf>
    <xf numFmtId="0" fontId="15" fillId="0" borderId="68" xfId="0" applyFont="1" applyBorder="1" applyAlignment="1">
      <alignment vertical="top" wrapText="1"/>
    </xf>
    <xf numFmtId="0" fontId="15" fillId="0" borderId="64" xfId="0" applyFont="1" applyBorder="1" applyAlignment="1">
      <alignment vertical="top" wrapText="1"/>
    </xf>
    <xf numFmtId="0" fontId="15" fillId="0" borderId="64" xfId="0" applyFont="1" applyBorder="1" applyAlignment="1">
      <alignment horizontal="center" vertical="top" wrapText="1"/>
    </xf>
    <xf numFmtId="169" fontId="15" fillId="0" borderId="64" xfId="0" applyNumberFormat="1" applyFont="1" applyBorder="1" applyAlignment="1">
      <alignment horizontal="right" vertical="top" wrapText="1"/>
    </xf>
    <xf numFmtId="169" fontId="15" fillId="0" borderId="64" xfId="0" applyNumberFormat="1" applyFont="1" applyBorder="1" applyAlignment="1">
      <alignment horizontal="right" vertical="top"/>
    </xf>
    <xf numFmtId="0" fontId="15" fillId="0" borderId="62" xfId="0" applyFont="1" applyBorder="1" applyAlignment="1">
      <alignment horizontal="right" vertical="top"/>
    </xf>
    <xf numFmtId="0" fontId="15" fillId="0" borderId="0" xfId="0" applyFont="1" applyAlignment="1">
      <alignment vertical="top"/>
    </xf>
    <xf numFmtId="0" fontId="81" fillId="0" borderId="0" xfId="0" applyFont="1"/>
    <xf numFmtId="0" fontId="81" fillId="0" borderId="0" xfId="0" applyFont="1" applyAlignment="1">
      <alignment vertical="top"/>
    </xf>
    <xf numFmtId="0" fontId="82" fillId="0" borderId="0" xfId="0" applyFont="1" applyAlignment="1">
      <alignment vertical="top"/>
    </xf>
    <xf numFmtId="0" fontId="83" fillId="0" borderId="0" xfId="0" applyFont="1" applyAlignment="1">
      <alignment vertical="top"/>
    </xf>
    <xf numFmtId="0" fontId="83" fillId="0" borderId="0" xfId="0" applyFont="1"/>
    <xf numFmtId="0" fontId="81" fillId="0" borderId="0" xfId="0" applyFont="1" applyAlignment="1">
      <alignment horizontal="justify" vertical="top" wrapText="1"/>
    </xf>
    <xf numFmtId="0" fontId="85" fillId="0" borderId="0" xfId="0" applyFont="1" applyAlignment="1">
      <alignment horizontal="justify" vertical="top" wrapText="1"/>
    </xf>
    <xf numFmtId="0" fontId="81" fillId="0" borderId="0" xfId="0" applyFont="1" applyAlignment="1">
      <alignment horizontal="justify" wrapText="1"/>
    </xf>
    <xf numFmtId="0" fontId="85" fillId="0" borderId="0" xfId="0" applyFont="1" applyAlignment="1">
      <alignment horizontal="justify" vertical="top"/>
    </xf>
    <xf numFmtId="0" fontId="81" fillId="0" borderId="0" xfId="0" applyFont="1" applyAlignment="1">
      <alignment horizontal="justify" vertical="top"/>
    </xf>
    <xf numFmtId="0" fontId="81" fillId="0" borderId="0" xfId="0" applyFont="1" applyAlignment="1">
      <alignment horizontal="justify"/>
    </xf>
    <xf numFmtId="174" fontId="35" fillId="0" borderId="0" xfId="0" applyNumberFormat="1" applyFont="1"/>
    <xf numFmtId="0" fontId="69" fillId="0" borderId="84" xfId="0" applyFont="1" applyBorder="1" applyAlignment="1">
      <alignment vertical="top" wrapText="1"/>
    </xf>
    <xf numFmtId="0" fontId="94" fillId="0" borderId="0" xfId="0" applyFont="1"/>
    <xf numFmtId="0" fontId="15" fillId="0" borderId="0" xfId="0" applyFont="1" applyAlignment="1">
      <alignment horizontal="left" vertical="top"/>
    </xf>
    <xf numFmtId="0" fontId="15" fillId="0" borderId="0" xfId="0" applyFont="1" applyAlignment="1">
      <alignment horizontal="left" vertical="top" wrapText="1"/>
    </xf>
    <xf numFmtId="14" fontId="15" fillId="0" borderId="0" xfId="0" applyNumberFormat="1" applyFont="1" applyAlignment="1">
      <alignment horizontal="left" vertical="top"/>
    </xf>
    <xf numFmtId="0" fontId="73" fillId="0" borderId="0" xfId="0" applyFont="1"/>
    <xf numFmtId="0" fontId="6" fillId="0" borderId="0" xfId="0" applyFont="1" applyAlignment="1">
      <alignment vertical="top" wrapText="1"/>
    </xf>
    <xf numFmtId="174" fontId="76" fillId="0" borderId="0" xfId="0" applyNumberFormat="1" applyFont="1"/>
    <xf numFmtId="0" fontId="81" fillId="0" borderId="0" xfId="0" applyFont="1" applyAlignment="1">
      <alignment horizontal="center"/>
    </xf>
    <xf numFmtId="0" fontId="95" fillId="0" borderId="0" xfId="0" applyFont="1"/>
    <xf numFmtId="0" fontId="79" fillId="0" borderId="13" xfId="0" applyFont="1" applyBorder="1" applyAlignment="1">
      <alignment vertical="top" wrapText="1"/>
    </xf>
    <xf numFmtId="0" fontId="79" fillId="6" borderId="14" xfId="0" applyFont="1" applyFill="1" applyBorder="1" applyAlignment="1">
      <alignment vertical="top" wrapText="1"/>
    </xf>
    <xf numFmtId="3" fontId="79" fillId="0" borderId="0" xfId="0" applyNumberFormat="1" applyFont="1" applyAlignment="1">
      <alignment vertical="top" wrapText="1"/>
    </xf>
    <xf numFmtId="0" fontId="79" fillId="0" borderId="13" xfId="0" applyFont="1" applyBorder="1" applyAlignment="1">
      <alignment horizontal="left" vertical="top" wrapText="1"/>
    </xf>
    <xf numFmtId="0" fontId="79" fillId="15" borderId="14" xfId="0" applyFont="1" applyFill="1" applyBorder="1" applyAlignment="1">
      <alignment vertical="top" wrapText="1"/>
    </xf>
    <xf numFmtId="0" fontId="79" fillId="0" borderId="14" xfId="0" applyFont="1" applyBorder="1" applyAlignment="1">
      <alignment vertical="top" wrapText="1"/>
    </xf>
    <xf numFmtId="0" fontId="79" fillId="18" borderId="14" xfId="0" applyFont="1" applyFill="1" applyBorder="1" applyAlignment="1">
      <alignment vertical="top" wrapText="1"/>
    </xf>
    <xf numFmtId="0" fontId="79" fillId="0" borderId="0" xfId="0" applyFont="1" applyAlignment="1">
      <alignment vertical="top" wrapText="1"/>
    </xf>
    <xf numFmtId="174" fontId="79" fillId="45" borderId="14" xfId="0" applyNumberFormat="1" applyFont="1" applyFill="1" applyBorder="1" applyAlignment="1" applyProtection="1">
      <alignment vertical="top" wrapText="1"/>
      <protection locked="0"/>
    </xf>
    <xf numFmtId="174" fontId="79" fillId="44" borderId="14" xfId="0" applyNumberFormat="1" applyFont="1" applyFill="1" applyBorder="1" applyAlignment="1" applyProtection="1">
      <alignment vertical="top" wrapText="1"/>
      <protection locked="0"/>
    </xf>
    <xf numFmtId="174" fontId="79" fillId="0" borderId="0" xfId="0" applyNumberFormat="1" applyFont="1" applyAlignment="1" applyProtection="1">
      <alignment wrapText="1"/>
      <protection locked="0"/>
    </xf>
    <xf numFmtId="0" fontId="100" fillId="0" borderId="0" xfId="0" applyFont="1" applyAlignment="1">
      <alignment wrapText="1"/>
    </xf>
    <xf numFmtId="0" fontId="102" fillId="0" borderId="0" xfId="0" applyFont="1" applyAlignment="1">
      <alignment wrapText="1"/>
    </xf>
    <xf numFmtId="0" fontId="103" fillId="0" borderId="0" xfId="0" applyFont="1" applyAlignment="1">
      <alignment wrapText="1"/>
    </xf>
    <xf numFmtId="0" fontId="15" fillId="0" borderId="18" xfId="0" applyFont="1" applyBorder="1" applyAlignment="1">
      <alignment vertical="top" wrapText="1"/>
    </xf>
    <xf numFmtId="0" fontId="79" fillId="0" borderId="84" xfId="0" applyFont="1" applyBorder="1" applyAlignment="1">
      <alignment vertical="top" wrapText="1"/>
    </xf>
    <xf numFmtId="0" fontId="15" fillId="0" borderId="84" xfId="0" applyFont="1" applyBorder="1" applyAlignment="1">
      <alignment horizontal="center" vertical="top" wrapText="1"/>
    </xf>
    <xf numFmtId="0" fontId="15" fillId="0" borderId="23" xfId="0" applyFont="1" applyBorder="1" applyAlignment="1">
      <alignment vertical="top" wrapText="1"/>
    </xf>
    <xf numFmtId="0" fontId="79" fillId="0" borderId="8" xfId="0" applyFont="1" applyBorder="1" applyAlignment="1">
      <alignment vertical="top" wrapText="1"/>
    </xf>
    <xf numFmtId="0" fontId="5" fillId="0" borderId="8" xfId="0" applyFont="1" applyBorder="1" applyAlignment="1">
      <alignment horizontal="left" vertical="top" wrapText="1"/>
    </xf>
    <xf numFmtId="0" fontId="15" fillId="0" borderId="8" xfId="0" applyFont="1" applyBorder="1" applyAlignment="1">
      <alignment horizontal="center" vertical="top" wrapText="1"/>
    </xf>
    <xf numFmtId="0" fontId="15" fillId="0" borderId="25" xfId="0" applyFont="1" applyBorder="1" applyAlignment="1">
      <alignment vertical="top" wrapText="1"/>
    </xf>
    <xf numFmtId="0" fontId="15" fillId="0" borderId="26" xfId="0" applyFont="1" applyBorder="1" applyAlignment="1">
      <alignment vertical="top" wrapText="1"/>
    </xf>
    <xf numFmtId="0" fontId="15" fillId="0" borderId="26" xfId="0" applyFont="1" applyBorder="1" applyAlignment="1">
      <alignment horizontal="center" vertical="top" wrapText="1"/>
    </xf>
    <xf numFmtId="169" fontId="15" fillId="0" borderId="26" xfId="0" applyNumberFormat="1" applyFont="1" applyBorder="1" applyAlignment="1">
      <alignment horizontal="right" vertical="top" wrapText="1"/>
    </xf>
    <xf numFmtId="169" fontId="15" fillId="0" borderId="26" xfId="0" applyNumberFormat="1" applyFont="1" applyBorder="1" applyAlignment="1">
      <alignment horizontal="right" vertical="top"/>
    </xf>
    <xf numFmtId="0" fontId="15" fillId="0" borderId="27" xfId="0" applyFont="1" applyBorder="1" applyAlignment="1">
      <alignment horizontal="right" vertical="top"/>
    </xf>
    <xf numFmtId="0" fontId="99" fillId="0" borderId="0" xfId="0" applyFont="1"/>
    <xf numFmtId="0" fontId="69" fillId="0" borderId="0" xfId="0" applyFont="1"/>
    <xf numFmtId="0" fontId="70" fillId="0" borderId="0" xfId="0" applyFont="1"/>
    <xf numFmtId="0" fontId="99" fillId="0" borderId="15" xfId="0" applyFont="1" applyBorder="1"/>
    <xf numFmtId="0" fontId="73" fillId="0" borderId="16" xfId="0" applyFont="1" applyBorder="1"/>
    <xf numFmtId="0" fontId="73" fillId="0" borderId="16" xfId="0" applyFont="1" applyBorder="1" applyAlignment="1">
      <alignment wrapText="1"/>
    </xf>
    <xf numFmtId="0" fontId="73" fillId="0" borderId="17" xfId="0" applyFont="1" applyBorder="1"/>
    <xf numFmtId="0" fontId="69" fillId="0" borderId="18" xfId="0" applyFont="1" applyBorder="1"/>
    <xf numFmtId="0" fontId="69" fillId="0" borderId="84" xfId="0" applyFont="1" applyBorder="1"/>
    <xf numFmtId="174" fontId="69" fillId="8" borderId="19" xfId="0" applyNumberFormat="1" applyFont="1" applyFill="1" applyBorder="1" applyAlignment="1">
      <alignment horizontal="right"/>
    </xf>
    <xf numFmtId="0" fontId="69" fillId="0" borderId="20" xfId="0" applyFont="1" applyBorder="1"/>
    <xf numFmtId="0" fontId="69" fillId="0" borderId="72" xfId="0" applyFont="1" applyBorder="1"/>
    <xf numFmtId="174" fontId="69" fillId="8" borderId="22" xfId="0" applyNumberFormat="1" applyFont="1" applyFill="1" applyBorder="1" applyAlignment="1">
      <alignment horizontal="right"/>
    </xf>
    <xf numFmtId="0" fontId="69" fillId="0" borderId="23" xfId="0" applyFont="1" applyBorder="1"/>
    <xf numFmtId="0" fontId="69" fillId="0" borderId="8" xfId="0" applyFont="1" applyBorder="1"/>
    <xf numFmtId="174" fontId="69" fillId="8" borderId="24" xfId="0" applyNumberFormat="1" applyFont="1" applyFill="1" applyBorder="1" applyAlignment="1">
      <alignment horizontal="right"/>
    </xf>
    <xf numFmtId="0" fontId="69" fillId="0" borderId="22" xfId="0" applyFont="1" applyBorder="1"/>
    <xf numFmtId="0" fontId="104" fillId="0" borderId="0" xfId="0" applyFont="1" applyAlignment="1">
      <alignment vertical="center"/>
    </xf>
    <xf numFmtId="0" fontId="104" fillId="0" borderId="0" xfId="0" applyFont="1"/>
    <xf numFmtId="0" fontId="83" fillId="4" borderId="0" xfId="0" applyFont="1" applyFill="1"/>
    <xf numFmtId="0" fontId="83" fillId="4" borderId="0" xfId="0" applyFont="1" applyFill="1" applyAlignment="1">
      <alignment horizontal="right" wrapText="1"/>
    </xf>
    <xf numFmtId="0" fontId="106" fillId="4" borderId="0" xfId="0" applyFont="1" applyFill="1"/>
    <xf numFmtId="0" fontId="106" fillId="0" borderId="0" xfId="0" applyFont="1"/>
    <xf numFmtId="174" fontId="81" fillId="0" borderId="0" xfId="0" applyNumberFormat="1" applyFont="1" applyAlignment="1">
      <alignment horizontal="right"/>
    </xf>
    <xf numFmtId="0" fontId="105" fillId="7" borderId="0" xfId="0" applyFont="1" applyFill="1"/>
    <xf numFmtId="174" fontId="105" fillId="7" borderId="0" xfId="0" applyNumberFormat="1" applyFont="1" applyFill="1" applyAlignment="1">
      <alignment horizontal="right"/>
    </xf>
    <xf numFmtId="0" fontId="105" fillId="0" borderId="0" xfId="0" applyFont="1"/>
    <xf numFmtId="174" fontId="83" fillId="0" borderId="0" xfId="0" applyNumberFormat="1" applyFont="1" applyAlignment="1">
      <alignment horizontal="right"/>
    </xf>
    <xf numFmtId="0" fontId="81" fillId="0" borderId="0" xfId="0" applyFont="1" applyAlignment="1">
      <alignment wrapText="1"/>
    </xf>
    <xf numFmtId="0" fontId="106" fillId="7" borderId="0" xfId="0" applyFont="1" applyFill="1"/>
    <xf numFmtId="0" fontId="106" fillId="7" borderId="0" xfId="0" applyFont="1" applyFill="1" applyAlignment="1">
      <alignment horizontal="right"/>
    </xf>
    <xf numFmtId="0" fontId="105" fillId="7" borderId="0" xfId="0" applyFont="1" applyFill="1" applyAlignment="1">
      <alignment horizontal="right"/>
    </xf>
    <xf numFmtId="0" fontId="81" fillId="4" borderId="0" xfId="0" applyFont="1" applyFill="1"/>
    <xf numFmtId="0" fontId="81" fillId="4" borderId="0" xfId="0" applyFont="1" applyFill="1" applyAlignment="1">
      <alignment horizontal="right"/>
    </xf>
    <xf numFmtId="0" fontId="83" fillId="4" borderId="0" xfId="0" applyFont="1" applyFill="1" applyAlignment="1">
      <alignment horizontal="right"/>
    </xf>
    <xf numFmtId="0" fontId="81" fillId="0" borderId="0" xfId="0" applyFont="1" applyAlignment="1">
      <alignment horizontal="right"/>
    </xf>
    <xf numFmtId="0" fontId="105" fillId="7" borderId="0" xfId="0" applyFont="1" applyFill="1" applyAlignment="1">
      <alignment horizontal="center"/>
    </xf>
    <xf numFmtId="0" fontId="83" fillId="4" borderId="0" xfId="0" applyFont="1" applyFill="1" applyAlignment="1">
      <alignment horizontal="center"/>
    </xf>
    <xf numFmtId="174" fontId="81" fillId="43" borderId="0" xfId="0" applyNumberFormat="1" applyFont="1" applyFill="1" applyAlignment="1">
      <alignment horizontal="right"/>
    </xf>
    <xf numFmtId="0" fontId="83" fillId="0" borderId="0" xfId="0" applyFont="1" applyAlignment="1">
      <alignment wrapText="1"/>
    </xf>
    <xf numFmtId="174" fontId="83" fillId="0" borderId="0" xfId="0" applyNumberFormat="1" applyFont="1" applyAlignment="1">
      <alignment wrapText="1"/>
    </xf>
    <xf numFmtId="174" fontId="81" fillId="43" borderId="0" xfId="0" applyNumberFormat="1" applyFont="1" applyFill="1"/>
    <xf numFmtId="0" fontId="81" fillId="0" borderId="0" xfId="0" applyFont="1" applyAlignment="1">
      <alignment horizontal="left" wrapText="1"/>
    </xf>
    <xf numFmtId="0" fontId="81" fillId="0" borderId="0" xfId="0" applyFont="1" applyAlignment="1">
      <alignment horizontal="left"/>
    </xf>
    <xf numFmtId="169" fontId="81" fillId="0" borderId="0" xfId="0" applyNumberFormat="1" applyFont="1" applyAlignment="1">
      <alignment horizontal="right"/>
    </xf>
    <xf numFmtId="0" fontId="81" fillId="0" borderId="50" xfId="0" applyFont="1" applyBorder="1" applyAlignment="1">
      <alignment horizontal="center"/>
    </xf>
    <xf numFmtId="169" fontId="81" fillId="0" borderId="50" xfId="0" applyNumberFormat="1" applyFont="1" applyBorder="1" applyAlignment="1">
      <alignment horizontal="right"/>
    </xf>
    <xf numFmtId="169" fontId="81" fillId="0" borderId="51" xfId="0" applyNumberFormat="1" applyFont="1" applyBorder="1" applyAlignment="1">
      <alignment horizontal="right"/>
    </xf>
    <xf numFmtId="174" fontId="81" fillId="0" borderId="28" xfId="0" applyNumberFormat="1" applyFont="1" applyBorder="1" applyAlignment="1">
      <alignment horizontal="right"/>
    </xf>
    <xf numFmtId="174" fontId="81" fillId="43" borderId="1" xfId="0" applyNumberFormat="1" applyFont="1" applyFill="1" applyBorder="1" applyAlignment="1">
      <alignment horizontal="right"/>
    </xf>
    <xf numFmtId="174" fontId="81" fillId="0" borderId="50" xfId="0" applyNumberFormat="1" applyFont="1" applyBorder="1" applyAlignment="1">
      <alignment horizontal="right"/>
    </xf>
    <xf numFmtId="174" fontId="81" fillId="0" borderId="51" xfId="0" applyNumberFormat="1" applyFont="1" applyBorder="1" applyAlignment="1">
      <alignment horizontal="right"/>
    </xf>
    <xf numFmtId="174" fontId="81" fillId="43" borderId="4" xfId="1" applyNumberFormat="1" applyFont="1" applyFill="1" applyBorder="1" applyAlignment="1">
      <alignment horizontal="right"/>
    </xf>
    <xf numFmtId="174" fontId="81" fillId="43" borderId="4" xfId="1" applyNumberFormat="1" applyFont="1" applyFill="1" applyBorder="1"/>
    <xf numFmtId="169" fontId="105" fillId="7" borderId="0" xfId="0" applyNumberFormat="1" applyFont="1" applyFill="1" applyAlignment="1">
      <alignment horizontal="right"/>
    </xf>
    <xf numFmtId="169" fontId="83" fillId="4" borderId="0" xfId="0" applyNumberFormat="1" applyFont="1" applyFill="1" applyAlignment="1">
      <alignment horizontal="right" wrapText="1"/>
    </xf>
    <xf numFmtId="0" fontId="81" fillId="0" borderId="4" xfId="0" applyFont="1" applyBorder="1"/>
    <xf numFmtId="0" fontId="81" fillId="0" borderId="4" xfId="0" applyFont="1" applyBorder="1" applyAlignment="1">
      <alignment wrapText="1"/>
    </xf>
    <xf numFmtId="169" fontId="83" fillId="4" borderId="0" xfId="0" applyNumberFormat="1" applyFont="1" applyFill="1" applyAlignment="1">
      <alignment horizontal="right"/>
    </xf>
    <xf numFmtId="174" fontId="81" fillId="43" borderId="4" xfId="0" applyNumberFormat="1" applyFont="1" applyFill="1" applyBorder="1" applyAlignment="1">
      <alignment horizontal="right"/>
    </xf>
    <xf numFmtId="0" fontId="105" fillId="7" borderId="0" xfId="3" applyFont="1" applyFill="1"/>
    <xf numFmtId="174" fontId="105" fillId="7" borderId="0" xfId="0" applyNumberFormat="1" applyFont="1" applyFill="1"/>
    <xf numFmtId="0" fontId="81" fillId="4" borderId="0" xfId="0" applyFont="1" applyFill="1" applyAlignment="1">
      <alignment horizontal="right" wrapText="1"/>
    </xf>
    <xf numFmtId="174" fontId="81" fillId="43" borderId="4" xfId="0" applyNumberFormat="1" applyFont="1" applyFill="1" applyBorder="1"/>
    <xf numFmtId="174" fontId="81" fillId="43" borderId="83" xfId="1" applyNumberFormat="1" applyFont="1" applyFill="1" applyBorder="1"/>
    <xf numFmtId="174" fontId="81" fillId="44" borderId="84" xfId="0" applyNumberFormat="1" applyFont="1" applyFill="1" applyBorder="1" applyAlignment="1" applyProtection="1">
      <alignment vertical="top"/>
      <protection locked="0"/>
    </xf>
    <xf numFmtId="174" fontId="81" fillId="43" borderId="87" xfId="1" applyNumberFormat="1" applyFont="1" applyFill="1" applyBorder="1"/>
    <xf numFmtId="174" fontId="81" fillId="43" borderId="84" xfId="1" applyNumberFormat="1" applyFont="1" applyFill="1" applyBorder="1"/>
    <xf numFmtId="0" fontId="105" fillId="0" borderId="0" xfId="0" applyFont="1" applyAlignment="1">
      <alignment horizontal="right"/>
    </xf>
    <xf numFmtId="174" fontId="81" fillId="0" borderId="4" xfId="1" applyNumberFormat="1" applyFont="1" applyFill="1" applyBorder="1"/>
    <xf numFmtId="174" fontId="81" fillId="0" borderId="0" xfId="1" applyNumberFormat="1" applyFont="1" applyFill="1" applyBorder="1"/>
    <xf numFmtId="174" fontId="81" fillId="0" borderId="5" xfId="1" applyNumberFormat="1" applyFont="1" applyFill="1" applyBorder="1"/>
    <xf numFmtId="0" fontId="83" fillId="0" borderId="0" xfId="0" applyFont="1" applyAlignment="1">
      <alignment vertical="center"/>
    </xf>
    <xf numFmtId="0" fontId="83" fillId="0" borderId="0" xfId="0" applyFont="1" applyAlignment="1">
      <alignment horizontal="right"/>
    </xf>
    <xf numFmtId="174" fontId="81" fillId="0" borderId="4" xfId="0" applyNumberFormat="1" applyFont="1" applyBorder="1"/>
    <xf numFmtId="174" fontId="81" fillId="0" borderId="0" xfId="0" applyNumberFormat="1" applyFont="1"/>
    <xf numFmtId="174" fontId="81" fillId="0" borderId="5" xfId="0" applyNumberFormat="1" applyFont="1" applyBorder="1"/>
    <xf numFmtId="0" fontId="81" fillId="0" borderId="71" xfId="0" applyFont="1" applyBorder="1"/>
    <xf numFmtId="0" fontId="81" fillId="0" borderId="11" xfId="0" applyFont="1" applyBorder="1"/>
    <xf numFmtId="0" fontId="86" fillId="0" borderId="4" xfId="0" applyFont="1" applyBorder="1"/>
    <xf numFmtId="0" fontId="83" fillId="4" borderId="0" xfId="0" applyFont="1" applyFill="1" applyAlignment="1">
      <alignment wrapText="1"/>
    </xf>
    <xf numFmtId="0" fontId="81" fillId="0" borderId="29" xfId="0" applyFont="1" applyBorder="1" applyAlignment="1">
      <alignment wrapText="1"/>
    </xf>
    <xf numFmtId="174" fontId="81" fillId="0" borderId="6" xfId="1" applyNumberFormat="1" applyFont="1" applyFill="1" applyBorder="1"/>
    <xf numFmtId="0" fontId="81" fillId="0" borderId="30" xfId="0" applyFont="1" applyBorder="1" applyAlignment="1">
      <alignment wrapText="1"/>
    </xf>
    <xf numFmtId="0" fontId="86" fillId="0" borderId="30" xfId="0" applyFont="1" applyBorder="1" applyAlignment="1">
      <alignment wrapText="1"/>
    </xf>
    <xf numFmtId="0" fontId="83" fillId="0" borderId="30" xfId="0" applyFont="1" applyBorder="1" applyAlignment="1">
      <alignment wrapText="1"/>
    </xf>
    <xf numFmtId="174" fontId="81" fillId="0" borderId="6" xfId="0" applyNumberFormat="1" applyFont="1" applyBorder="1"/>
    <xf numFmtId="0" fontId="83" fillId="0" borderId="9" xfId="0" applyFont="1" applyBorder="1" applyAlignment="1">
      <alignment wrapText="1"/>
    </xf>
    <xf numFmtId="174" fontId="81" fillId="0" borderId="1" xfId="1" applyNumberFormat="1" applyFont="1" applyFill="1" applyBorder="1"/>
    <xf numFmtId="0" fontId="105" fillId="7" borderId="0" xfId="0" applyFont="1" applyFill="1" applyAlignment="1">
      <alignment wrapText="1"/>
    </xf>
    <xf numFmtId="174" fontId="81" fillId="0" borderId="4" xfId="1" applyNumberFormat="1" applyFont="1" applyBorder="1"/>
    <xf numFmtId="171" fontId="81" fillId="0" borderId="0" xfId="1" applyNumberFormat="1" applyFont="1"/>
    <xf numFmtId="174" fontId="81" fillId="0" borderId="5" xfId="1" applyNumberFormat="1" applyFont="1" applyBorder="1"/>
    <xf numFmtId="174" fontId="81" fillId="0" borderId="0" xfId="1" applyNumberFormat="1" applyFont="1"/>
    <xf numFmtId="169" fontId="81" fillId="0" borderId="0" xfId="0" applyNumberFormat="1" applyFont="1"/>
    <xf numFmtId="0" fontId="109" fillId="0" borderId="0" xfId="0" applyFont="1"/>
    <xf numFmtId="0" fontId="110" fillId="0" borderId="0" xfId="0" applyFont="1"/>
    <xf numFmtId="0" fontId="105" fillId="7" borderId="4" xfId="0" applyFont="1" applyFill="1" applyBorder="1" applyAlignment="1">
      <alignment wrapText="1"/>
    </xf>
    <xf numFmtId="0" fontId="111" fillId="7" borderId="4" xfId="0" applyFont="1" applyFill="1" applyBorder="1" applyAlignment="1">
      <alignment horizontal="right" wrapText="1"/>
    </xf>
    <xf numFmtId="0" fontId="83" fillId="4" borderId="4" xfId="0" applyFont="1" applyFill="1" applyBorder="1" applyAlignment="1">
      <alignment wrapText="1"/>
    </xf>
    <xf numFmtId="169" fontId="109" fillId="4" borderId="4" xfId="1" applyNumberFormat="1" applyFont="1" applyFill="1" applyBorder="1" applyAlignment="1">
      <alignment horizontal="right"/>
    </xf>
    <xf numFmtId="169" fontId="110" fillId="4" borderId="4" xfId="1" applyNumberFormat="1" applyFont="1" applyFill="1" applyBorder="1" applyAlignment="1">
      <alignment horizontal="right"/>
    </xf>
    <xf numFmtId="0" fontId="110" fillId="0" borderId="4" xfId="0" applyFont="1" applyBorder="1" applyAlignment="1">
      <alignment wrapText="1"/>
    </xf>
    <xf numFmtId="174" fontId="109" fillId="0" borderId="4" xfId="1" applyNumberFormat="1" applyFont="1" applyFill="1" applyBorder="1"/>
    <xf numFmtId="174" fontId="110" fillId="0" borderId="4" xfId="1" applyNumberFormat="1" applyFont="1" applyFill="1" applyBorder="1"/>
    <xf numFmtId="0" fontId="109" fillId="0" borderId="4" xfId="0" applyFont="1" applyBorder="1" applyAlignment="1">
      <alignment wrapText="1"/>
    </xf>
    <xf numFmtId="0" fontId="111" fillId="7" borderId="4" xfId="0" applyFont="1" applyFill="1" applyBorder="1" applyAlignment="1">
      <alignment wrapText="1"/>
    </xf>
    <xf numFmtId="174" fontId="111" fillId="7" borderId="4" xfId="1" applyNumberFormat="1" applyFont="1" applyFill="1" applyBorder="1"/>
    <xf numFmtId="0" fontId="105" fillId="7" borderId="4" xfId="0" applyFont="1" applyFill="1" applyBorder="1"/>
    <xf numFmtId="0" fontId="109" fillId="4" borderId="4" xfId="0" applyFont="1" applyFill="1" applyBorder="1"/>
    <xf numFmtId="0" fontId="110" fillId="0" borderId="4" xfId="0" applyFont="1" applyBorder="1"/>
    <xf numFmtId="0" fontId="111" fillId="7" borderId="4" xfId="0" applyFont="1" applyFill="1" applyBorder="1"/>
    <xf numFmtId="0" fontId="109" fillId="0" borderId="4" xfId="0" applyFont="1" applyBorder="1"/>
    <xf numFmtId="0" fontId="110" fillId="0" borderId="50" xfId="0" applyFont="1" applyBorder="1" applyAlignment="1">
      <alignment wrapText="1"/>
    </xf>
    <xf numFmtId="174" fontId="109" fillId="0" borderId="50" xfId="1" applyNumberFormat="1" applyFont="1" applyFill="1" applyBorder="1"/>
    <xf numFmtId="174" fontId="110" fillId="0" borderId="50" xfId="1" applyNumberFormat="1" applyFont="1" applyFill="1" applyBorder="1"/>
    <xf numFmtId="174" fontId="109" fillId="0" borderId="0" xfId="1" applyNumberFormat="1" applyFont="1" applyFill="1" applyBorder="1"/>
    <xf numFmtId="174" fontId="110" fillId="0" borderId="0" xfId="1" applyNumberFormat="1" applyFont="1" applyFill="1" applyBorder="1"/>
    <xf numFmtId="0" fontId="111" fillId="7" borderId="0" xfId="0" applyFont="1" applyFill="1"/>
    <xf numFmtId="174" fontId="111" fillId="7" borderId="0" xfId="1" applyNumberFormat="1" applyFont="1" applyFill="1" applyBorder="1"/>
    <xf numFmtId="0" fontId="110" fillId="0" borderId="0" xfId="0" applyFont="1" applyAlignment="1">
      <alignment wrapText="1"/>
    </xf>
    <xf numFmtId="169" fontId="109" fillId="0" borderId="0" xfId="1" applyNumberFormat="1" applyFont="1" applyFill="1" applyBorder="1"/>
    <xf numFmtId="169" fontId="110" fillId="0" borderId="0" xfId="1" applyNumberFormat="1" applyFont="1" applyFill="1" applyBorder="1"/>
    <xf numFmtId="169" fontId="109" fillId="0" borderId="4" xfId="1" applyNumberFormat="1" applyFont="1" applyFill="1" applyBorder="1"/>
    <xf numFmtId="169" fontId="109" fillId="0" borderId="0" xfId="1" applyNumberFormat="1" applyFont="1" applyFill="1"/>
    <xf numFmtId="169" fontId="110" fillId="0" borderId="0" xfId="1" applyNumberFormat="1" applyFont="1" applyFill="1"/>
    <xf numFmtId="174" fontId="111" fillId="0" borderId="0" xfId="0" applyNumberFormat="1" applyFont="1"/>
    <xf numFmtId="174" fontId="111" fillId="0" borderId="0" xfId="1" applyNumberFormat="1" applyFont="1" applyFill="1" applyBorder="1"/>
    <xf numFmtId="0" fontId="111" fillId="0" borderId="0" xfId="0" applyFont="1"/>
    <xf numFmtId="169" fontId="111" fillId="0" borderId="0" xfId="1" applyNumberFormat="1" applyFont="1" applyFill="1" applyBorder="1"/>
    <xf numFmtId="0" fontId="109" fillId="11" borderId="0" xfId="0" applyFont="1" applyFill="1"/>
    <xf numFmtId="169" fontId="83" fillId="0" borderId="0" xfId="0" applyNumberFormat="1" applyFont="1"/>
    <xf numFmtId="169" fontId="81" fillId="2" borderId="0" xfId="0" applyNumberFormat="1" applyFont="1" applyFill="1"/>
    <xf numFmtId="0" fontId="81" fillId="2" borderId="0" xfId="0" applyFont="1" applyFill="1"/>
    <xf numFmtId="0" fontId="81" fillId="5" borderId="0" xfId="0" applyFont="1" applyFill="1"/>
    <xf numFmtId="0" fontId="104" fillId="0" borderId="0" xfId="0" applyFont="1" applyAlignment="1">
      <alignment vertical="top"/>
    </xf>
    <xf numFmtId="14" fontId="105" fillId="7" borderId="0" xfId="0" applyNumberFormat="1" applyFont="1" applyFill="1" applyAlignment="1">
      <alignment horizontal="right"/>
    </xf>
    <xf numFmtId="174" fontId="105" fillId="7" borderId="0" xfId="1" applyNumberFormat="1" applyFont="1" applyFill="1" applyBorder="1"/>
    <xf numFmtId="171" fontId="81" fillId="0" borderId="4" xfId="1" applyNumberFormat="1" applyFont="1" applyFill="1" applyBorder="1" applyAlignment="1">
      <alignment horizontal="right"/>
    </xf>
    <xf numFmtId="174" fontId="81" fillId="0" borderId="4" xfId="1" applyNumberFormat="1" applyFont="1" applyFill="1" applyBorder="1" applyAlignment="1">
      <alignment horizontal="right"/>
    </xf>
    <xf numFmtId="174" fontId="81" fillId="0" borderId="4" xfId="1" applyNumberFormat="1" applyFont="1" applyBorder="1" applyAlignment="1">
      <alignment vertical="top" wrapText="1"/>
    </xf>
    <xf numFmtId="174" fontId="81" fillId="0" borderId="4" xfId="1" applyNumberFormat="1" applyFont="1" applyFill="1" applyBorder="1" applyAlignment="1">
      <alignment vertical="top" wrapText="1"/>
    </xf>
    <xf numFmtId="174" fontId="83" fillId="0" borderId="4" xfId="1" applyNumberFormat="1" applyFont="1" applyBorder="1" applyAlignment="1">
      <alignment vertical="top" wrapText="1"/>
    </xf>
    <xf numFmtId="174" fontId="81" fillId="0" borderId="4" xfId="0" applyNumberFormat="1" applyFont="1" applyBorder="1" applyAlignment="1">
      <alignment vertical="top" wrapText="1"/>
    </xf>
    <xf numFmtId="174" fontId="83" fillId="0" borderId="4" xfId="0" applyNumberFormat="1" applyFont="1" applyBorder="1" applyAlignment="1">
      <alignment vertical="top" wrapText="1"/>
    </xf>
    <xf numFmtId="171" fontId="81" fillId="0" borderId="4" xfId="1" applyNumberFormat="1" applyFont="1" applyBorder="1" applyAlignment="1">
      <alignment vertical="top" wrapText="1"/>
    </xf>
    <xf numFmtId="174" fontId="113" fillId="43" borderId="8" xfId="8" applyNumberFormat="1" applyFont="1" applyFill="1" applyBorder="1"/>
    <xf numFmtId="0" fontId="104" fillId="0" borderId="0" xfId="0" applyFont="1" applyAlignment="1">
      <alignment vertical="top" wrapText="1"/>
    </xf>
    <xf numFmtId="174" fontId="81" fillId="43" borderId="48" xfId="1" applyNumberFormat="1" applyFont="1" applyFill="1" applyBorder="1"/>
    <xf numFmtId="0" fontId="81" fillId="0" borderId="48" xfId="0" applyFont="1" applyBorder="1" applyAlignment="1">
      <alignment horizontal="center"/>
    </xf>
    <xf numFmtId="174" fontId="81" fillId="0" borderId="48" xfId="1" applyNumberFormat="1" applyFont="1" applyBorder="1"/>
    <xf numFmtId="174" fontId="81" fillId="0" borderId="48" xfId="1" applyNumberFormat="1" applyFont="1" applyFill="1" applyBorder="1"/>
    <xf numFmtId="171" fontId="81" fillId="0" borderId="48" xfId="1" applyNumberFormat="1" applyFont="1" applyBorder="1"/>
    <xf numFmtId="171" fontId="81" fillId="0" borderId="48" xfId="1" applyNumberFormat="1" applyFont="1" applyFill="1" applyBorder="1"/>
    <xf numFmtId="0" fontId="81" fillId="7" borderId="0" xfId="0" applyFont="1" applyFill="1"/>
    <xf numFmtId="171" fontId="105" fillId="7" borderId="0" xfId="1" applyNumberFormat="1" applyFont="1" applyFill="1"/>
    <xf numFmtId="174" fontId="105" fillId="7" borderId="0" xfId="1" applyNumberFormat="1" applyFont="1" applyFill="1"/>
    <xf numFmtId="0" fontId="114" fillId="7" borderId="0" xfId="0" applyFont="1" applyFill="1"/>
    <xf numFmtId="0" fontId="105" fillId="7" borderId="1" xfId="0" applyFont="1" applyFill="1" applyBorder="1" applyAlignment="1">
      <alignment horizontal="right"/>
    </xf>
    <xf numFmtId="14" fontId="105" fillId="0" borderId="0" xfId="0" applyNumberFormat="1" applyFont="1" applyAlignment="1">
      <alignment horizontal="right"/>
    </xf>
    <xf numFmtId="0" fontId="81" fillId="0" borderId="48" xfId="0" applyFont="1" applyBorder="1"/>
    <xf numFmtId="174" fontId="83" fillId="0" borderId="48" xfId="1" applyNumberFormat="1" applyFont="1" applyBorder="1"/>
    <xf numFmtId="174" fontId="115" fillId="7" borderId="0" xfId="1" applyNumberFormat="1" applyFont="1" applyFill="1"/>
    <xf numFmtId="169" fontId="105" fillId="0" borderId="0" xfId="0" applyNumberFormat="1" applyFont="1"/>
    <xf numFmtId="174" fontId="106" fillId="7" borderId="0" xfId="1" applyNumberFormat="1" applyFont="1" applyFill="1" applyBorder="1"/>
    <xf numFmtId="0" fontId="105" fillId="7" borderId="0" xfId="0" applyFont="1" applyFill="1" applyAlignment="1">
      <alignment horizontal="right" wrapText="1"/>
    </xf>
    <xf numFmtId="174" fontId="83" fillId="0" borderId="48" xfId="1" applyNumberFormat="1" applyFont="1" applyFill="1" applyBorder="1"/>
    <xf numFmtId="174" fontId="106" fillId="7" borderId="0" xfId="1" applyNumberFormat="1" applyFont="1" applyFill="1"/>
    <xf numFmtId="174" fontId="81" fillId="43" borderId="48" xfId="0" applyNumberFormat="1" applyFont="1" applyFill="1" applyBorder="1"/>
    <xf numFmtId="169" fontId="81" fillId="0" borderId="4" xfId="0" applyNumberFormat="1" applyFont="1" applyBorder="1"/>
    <xf numFmtId="174" fontId="81" fillId="0" borderId="48" xfId="0" applyNumberFormat="1" applyFont="1" applyBorder="1"/>
    <xf numFmtId="174" fontId="81" fillId="20" borderId="48" xfId="0" applyNumberFormat="1" applyFont="1" applyFill="1" applyBorder="1"/>
    <xf numFmtId="171" fontId="81" fillId="43" borderId="4" xfId="1" applyNumberFormat="1" applyFont="1" applyFill="1" applyBorder="1"/>
    <xf numFmtId="173" fontId="81" fillId="43" borderId="4" xfId="4" applyNumberFormat="1" applyFont="1" applyFill="1" applyBorder="1"/>
    <xf numFmtId="173" fontId="105" fillId="7" borderId="0" xfId="4" applyNumberFormat="1" applyFont="1" applyFill="1"/>
    <xf numFmtId="173" fontId="81" fillId="43" borderId="48" xfId="4" applyNumberFormat="1" applyFont="1" applyFill="1" applyBorder="1"/>
    <xf numFmtId="10" fontId="81" fillId="43" borderId="48" xfId="4" applyNumberFormat="1" applyFont="1" applyFill="1" applyBorder="1"/>
    <xf numFmtId="9" fontId="81" fillId="43" borderId="48" xfId="4" applyFont="1" applyFill="1" applyBorder="1"/>
    <xf numFmtId="0" fontId="83" fillId="43" borderId="48" xfId="0" applyFont="1" applyFill="1" applyBorder="1"/>
    <xf numFmtId="166" fontId="81" fillId="43" borderId="48" xfId="1" applyFont="1" applyFill="1" applyBorder="1"/>
    <xf numFmtId="171" fontId="81" fillId="43" borderId="48" xfId="1" applyNumberFormat="1" applyFont="1" applyFill="1" applyBorder="1"/>
    <xf numFmtId="10" fontId="83" fillId="0" borderId="48" xfId="0" applyNumberFormat="1" applyFont="1" applyBorder="1"/>
    <xf numFmtId="0" fontId="84" fillId="0" borderId="0" xfId="0" applyFont="1"/>
    <xf numFmtId="0" fontId="106" fillId="7" borderId="0" xfId="0" applyFont="1" applyFill="1" applyAlignment="1">
      <alignment horizontal="center"/>
    </xf>
    <xf numFmtId="169" fontId="106" fillId="7" borderId="0" xfId="0" applyNumberFormat="1" applyFont="1" applyFill="1"/>
    <xf numFmtId="0" fontId="105" fillId="0" borderId="0" xfId="0" applyFont="1" applyAlignment="1">
      <alignment wrapText="1"/>
    </xf>
    <xf numFmtId="0" fontId="105" fillId="0" borderId="0" xfId="0" applyFont="1" applyAlignment="1">
      <alignment horizontal="center"/>
    </xf>
    <xf numFmtId="0" fontId="106" fillId="0" borderId="0" xfId="0" applyFont="1" applyAlignment="1">
      <alignment horizontal="center"/>
    </xf>
    <xf numFmtId="169" fontId="106" fillId="0" borderId="0" xfId="0" applyNumberFormat="1" applyFont="1"/>
    <xf numFmtId="0" fontId="81" fillId="0" borderId="0" xfId="0" applyFont="1" applyAlignment="1">
      <alignment vertical="top" wrapText="1"/>
    </xf>
    <xf numFmtId="0" fontId="118" fillId="0" borderId="0" xfId="0" applyFont="1"/>
    <xf numFmtId="169" fontId="118" fillId="0" borderId="0" xfId="0" applyNumberFormat="1" applyFont="1"/>
    <xf numFmtId="0" fontId="118" fillId="0" borderId="0" xfId="0" applyFont="1" applyAlignment="1">
      <alignment horizontal="center"/>
    </xf>
    <xf numFmtId="0" fontId="81" fillId="0" borderId="0" xfId="0" applyFont="1" applyAlignment="1">
      <alignment horizontal="center" vertical="top" wrapText="1"/>
    </xf>
    <xf numFmtId="169" fontId="81" fillId="0" borderId="0" xfId="0" applyNumberFormat="1" applyFont="1" applyAlignment="1">
      <alignment vertical="top" wrapText="1"/>
    </xf>
    <xf numFmtId="0" fontId="104" fillId="0" borderId="0" xfId="0" applyFont="1" applyAlignment="1">
      <alignment horizontal="left" vertical="top"/>
    </xf>
    <xf numFmtId="0" fontId="104" fillId="0" borderId="0" xfId="0" applyFont="1" applyAlignment="1">
      <alignment wrapText="1"/>
    </xf>
    <xf numFmtId="0" fontId="115" fillId="0" borderId="0" xfId="0" applyFont="1"/>
    <xf numFmtId="0" fontId="81" fillId="0" borderId="48" xfId="0" applyFont="1" applyBorder="1" applyAlignment="1">
      <alignment horizontal="right"/>
    </xf>
    <xf numFmtId="171" fontId="105" fillId="7" borderId="0" xfId="1" applyNumberFormat="1" applyFont="1" applyFill="1" applyAlignment="1">
      <alignment wrapText="1"/>
    </xf>
    <xf numFmtId="171" fontId="81" fillId="7" borderId="0" xfId="1" applyNumberFormat="1" applyFont="1" applyFill="1"/>
    <xf numFmtId="171" fontId="105" fillId="7" borderId="0" xfId="1" applyNumberFormat="1" applyFont="1" applyFill="1" applyAlignment="1">
      <alignment horizontal="center"/>
    </xf>
    <xf numFmtId="0" fontId="81" fillId="0" borderId="84" xfId="0" applyFont="1" applyBorder="1"/>
    <xf numFmtId="0" fontId="81" fillId="0" borderId="84" xfId="0" applyFont="1" applyBorder="1" applyAlignment="1">
      <alignment horizontal="right"/>
    </xf>
    <xf numFmtId="174" fontId="81" fillId="0" borderId="83" xfId="1" applyNumberFormat="1" applyFont="1" applyBorder="1"/>
    <xf numFmtId="174" fontId="81" fillId="43" borderId="89" xfId="1" applyNumberFormat="1" applyFont="1" applyFill="1" applyBorder="1"/>
    <xf numFmtId="174" fontId="81" fillId="0" borderId="48" xfId="1" applyNumberFormat="1" applyFont="1" applyBorder="1" applyAlignment="1"/>
    <xf numFmtId="174" fontId="118" fillId="0" borderId="48" xfId="1" applyNumberFormat="1" applyFont="1" applyFill="1" applyBorder="1" applyAlignment="1"/>
    <xf numFmtId="0" fontId="81" fillId="0" borderId="48" xfId="0" applyFont="1" applyBorder="1" applyAlignment="1">
      <alignment horizontal="center" vertical="top" wrapText="1"/>
    </xf>
    <xf numFmtId="174" fontId="81" fillId="0" borderId="48" xfId="1" applyNumberFormat="1" applyFont="1" applyBorder="1" applyAlignment="1">
      <alignment wrapText="1"/>
    </xf>
    <xf numFmtId="174" fontId="106" fillId="7" borderId="0" xfId="1" applyNumberFormat="1" applyFont="1" applyFill="1" applyAlignment="1"/>
    <xf numFmtId="171" fontId="81" fillId="0" borderId="48" xfId="1" applyNumberFormat="1" applyFont="1" applyBorder="1" applyAlignment="1">
      <alignment horizontal="right"/>
    </xf>
    <xf numFmtId="0" fontId="115" fillId="7" borderId="0" xfId="0" applyFont="1" applyFill="1"/>
    <xf numFmtId="0" fontId="120" fillId="0" borderId="0" xfId="0" applyFont="1" applyAlignment="1">
      <alignment horizontal="right"/>
    </xf>
    <xf numFmtId="0" fontId="120" fillId="0" borderId="0" xfId="0" applyFont="1" applyAlignment="1">
      <alignment wrapText="1"/>
    </xf>
    <xf numFmtId="0" fontId="120" fillId="0" borderId="0" xfId="0" applyFont="1"/>
    <xf numFmtId="0" fontId="121" fillId="0" borderId="0" xfId="0" applyFont="1" applyAlignment="1">
      <alignment horizontal="right"/>
    </xf>
    <xf numFmtId="0" fontId="121" fillId="0" borderId="0" xfId="0" applyFont="1" applyAlignment="1">
      <alignment wrapText="1"/>
    </xf>
    <xf numFmtId="0" fontId="121" fillId="0" borderId="0" xfId="0" applyFont="1"/>
    <xf numFmtId="0" fontId="81" fillId="0" borderId="0" xfId="0" applyFont="1" applyAlignment="1">
      <alignment horizontal="center" vertical="center"/>
    </xf>
    <xf numFmtId="0" fontId="39" fillId="16" borderId="0" xfId="5" applyFont="1" applyFill="1"/>
    <xf numFmtId="0" fontId="42" fillId="16" borderId="0" xfId="6" applyFill="1"/>
    <xf numFmtId="0" fontId="0" fillId="0" borderId="114" xfId="0" applyBorder="1" applyAlignment="1">
      <alignment vertical="top" wrapText="1"/>
    </xf>
    <xf numFmtId="0" fontId="0" fillId="0" borderId="112" xfId="0" applyBorder="1" applyAlignment="1">
      <alignment vertical="top"/>
    </xf>
    <xf numFmtId="14" fontId="5" fillId="0" borderId="83" xfId="0" applyNumberFormat="1" applyFont="1" applyBorder="1" applyAlignment="1">
      <alignment vertical="top"/>
    </xf>
    <xf numFmtId="0" fontId="15" fillId="0" borderId="16" xfId="0" applyFont="1" applyBorder="1" applyAlignment="1">
      <alignment vertical="top" wrapText="1"/>
    </xf>
    <xf numFmtId="0" fontId="0" fillId="0" borderId="114" xfId="0" applyBorder="1" applyAlignment="1">
      <alignment vertical="top"/>
    </xf>
    <xf numFmtId="0" fontId="0" fillId="0" borderId="83" xfId="0" applyBorder="1" applyAlignment="1">
      <alignment vertical="top"/>
    </xf>
    <xf numFmtId="0" fontId="0" fillId="0" borderId="113" xfId="0" applyBorder="1" applyAlignment="1">
      <alignment vertical="top" wrapText="1"/>
    </xf>
    <xf numFmtId="0" fontId="15" fillId="0" borderId="16" xfId="0" applyFont="1" applyBorder="1" applyAlignment="1">
      <alignment vertical="top"/>
    </xf>
    <xf numFmtId="0" fontId="0" fillId="0" borderId="110" xfId="0" applyBorder="1" applyAlignment="1">
      <alignment vertical="top"/>
    </xf>
    <xf numFmtId="0" fontId="5" fillId="0" borderId="110" xfId="0" applyFont="1" applyBorder="1" applyAlignment="1">
      <alignment vertical="top" wrapText="1"/>
    </xf>
    <xf numFmtId="0" fontId="0" fillId="0" borderId="111" xfId="0" applyBorder="1" applyAlignment="1">
      <alignment vertical="top" wrapText="1"/>
    </xf>
    <xf numFmtId="0" fontId="0" fillId="0" borderId="83" xfId="0" applyBorder="1" applyAlignment="1">
      <alignment vertical="top" wrapText="1"/>
    </xf>
    <xf numFmtId="0" fontId="0" fillId="0" borderId="118" xfId="0" applyBorder="1" applyAlignment="1">
      <alignment vertical="top"/>
    </xf>
    <xf numFmtId="0" fontId="15" fillId="0" borderId="17" xfId="0" applyFont="1" applyBorder="1" applyAlignment="1">
      <alignment vertical="top"/>
    </xf>
    <xf numFmtId="14" fontId="5" fillId="0" borderId="110" xfId="0" applyNumberFormat="1" applyFont="1" applyBorder="1" applyAlignment="1">
      <alignment vertical="top"/>
    </xf>
    <xf numFmtId="0" fontId="0" fillId="0" borderId="119" xfId="0" applyBorder="1" applyAlignment="1">
      <alignment vertical="top" wrapText="1"/>
    </xf>
    <xf numFmtId="14" fontId="5" fillId="0" borderId="112" xfId="0" applyNumberFormat="1" applyFont="1" applyBorder="1" applyAlignment="1">
      <alignment vertical="top"/>
    </xf>
    <xf numFmtId="0" fontId="5" fillId="0" borderId="112" xfId="0" applyFont="1" applyBorder="1" applyAlignment="1">
      <alignment vertical="top" wrapText="1"/>
    </xf>
    <xf numFmtId="0" fontId="5" fillId="0" borderId="110" xfId="0" applyFont="1" applyBorder="1" applyAlignment="1">
      <alignment vertical="top"/>
    </xf>
    <xf numFmtId="0" fontId="0" fillId="0" borderId="30" xfId="0" applyBorder="1" applyAlignment="1">
      <alignment vertical="top" wrapText="1"/>
    </xf>
    <xf numFmtId="0" fontId="15" fillId="0" borderId="15" xfId="0" applyFont="1" applyBorder="1" applyAlignment="1">
      <alignment vertical="top" wrapText="1"/>
    </xf>
    <xf numFmtId="0" fontId="5" fillId="0" borderId="110" xfId="0" applyFont="1" applyBorder="1" applyAlignment="1">
      <alignment wrapText="1"/>
    </xf>
    <xf numFmtId="0" fontId="0" fillId="0" borderId="117" xfId="0" applyBorder="1" applyAlignment="1">
      <alignment vertical="top" wrapText="1"/>
    </xf>
    <xf numFmtId="0" fontId="0" fillId="0" borderId="110" xfId="0" applyBorder="1" applyAlignment="1">
      <alignment vertical="top" wrapText="1"/>
    </xf>
    <xf numFmtId="0" fontId="15" fillId="0" borderId="0" xfId="0" applyFont="1"/>
    <xf numFmtId="0" fontId="81" fillId="0" borderId="23" xfId="0" applyFont="1" applyBorder="1" applyAlignment="1">
      <alignment vertical="top" wrapText="1"/>
    </xf>
    <xf numFmtId="0" fontId="81" fillId="0" borderId="8" xfId="0" applyFont="1" applyBorder="1" applyAlignment="1">
      <alignment vertical="top" wrapText="1"/>
    </xf>
    <xf numFmtId="0" fontId="81" fillId="0" borderId="24" xfId="0" applyFont="1" applyBorder="1" applyAlignment="1">
      <alignment vertical="top" wrapText="1"/>
    </xf>
    <xf numFmtId="0" fontId="81" fillId="0" borderId="113" xfId="0" applyFont="1" applyBorder="1" applyAlignment="1">
      <alignment vertical="top" wrapText="1"/>
    </xf>
    <xf numFmtId="3" fontId="93" fillId="0" borderId="0" xfId="0" applyNumberFormat="1" applyFont="1" applyAlignment="1">
      <alignment horizontal="center" vertical="top" wrapText="1"/>
    </xf>
    <xf numFmtId="0" fontId="15" fillId="0" borderId="0" xfId="0" applyFont="1" applyAlignment="1">
      <alignment horizontal="center" vertical="top"/>
    </xf>
    <xf numFmtId="0" fontId="109" fillId="0" borderId="23" xfId="0" applyFont="1" applyBorder="1" applyAlignment="1">
      <alignment vertical="center" wrapText="1"/>
    </xf>
    <xf numFmtId="0" fontId="109" fillId="0" borderId="8" xfId="0" applyFont="1" applyBorder="1" applyAlignment="1">
      <alignment vertical="center" wrapText="1"/>
    </xf>
    <xf numFmtId="0" fontId="109" fillId="0" borderId="24" xfId="0" applyFont="1" applyBorder="1" applyAlignment="1">
      <alignment vertical="center" wrapText="1"/>
    </xf>
    <xf numFmtId="0" fontId="109" fillId="0" borderId="149" xfId="0" applyFont="1" applyBorder="1" applyAlignment="1">
      <alignment vertical="center" wrapText="1"/>
    </xf>
    <xf numFmtId="0" fontId="109" fillId="0" borderId="146" xfId="0" applyFont="1" applyBorder="1" applyAlignment="1">
      <alignment vertical="center" wrapText="1"/>
    </xf>
    <xf numFmtId="0" fontId="109" fillId="0" borderId="25" xfId="0" applyFont="1" applyBorder="1" applyAlignment="1">
      <alignment vertical="center" wrapText="1"/>
    </xf>
    <xf numFmtId="0" fontId="109" fillId="0" borderId="26" xfId="0" applyFont="1" applyBorder="1" applyAlignment="1">
      <alignment vertical="center" wrapText="1"/>
    </xf>
    <xf numFmtId="0" fontId="109" fillId="0" borderId="27" xfId="0" applyFont="1" applyBorder="1" applyAlignment="1">
      <alignment vertical="center" wrapText="1"/>
    </xf>
    <xf numFmtId="174" fontId="23" fillId="0" borderId="0" xfId="1" applyNumberFormat="1" applyFont="1" applyFill="1" applyBorder="1"/>
    <xf numFmtId="0" fontId="105" fillId="7" borderId="4" xfId="0" applyFont="1" applyFill="1" applyBorder="1" applyAlignment="1">
      <alignment vertical="top" wrapText="1"/>
    </xf>
    <xf numFmtId="0" fontId="81" fillId="43" borderId="48" xfId="0" applyFont="1" applyFill="1" applyBorder="1"/>
    <xf numFmtId="0" fontId="105" fillId="7" borderId="0" xfId="0" applyFont="1" applyFill="1" applyAlignment="1">
      <alignment horizontal="center" vertical="top"/>
    </xf>
    <xf numFmtId="0" fontId="81" fillId="0" borderId="54" xfId="0" applyFont="1" applyBorder="1" applyAlignment="1">
      <alignment wrapText="1"/>
    </xf>
    <xf numFmtId="0" fontId="81" fillId="0" borderId="55" xfId="0" applyFont="1" applyBorder="1" applyAlignment="1">
      <alignment wrapText="1"/>
    </xf>
    <xf numFmtId="14" fontId="105" fillId="7" borderId="0" xfId="0" applyNumberFormat="1" applyFont="1" applyFill="1" applyAlignment="1">
      <alignment horizontal="center"/>
    </xf>
    <xf numFmtId="0" fontId="81" fillId="0" borderId="48" xfId="0" applyFont="1" applyBorder="1" applyAlignment="1">
      <alignment wrapText="1"/>
    </xf>
    <xf numFmtId="3" fontId="93" fillId="0" borderId="0" xfId="0" applyNumberFormat="1" applyFont="1" applyAlignment="1">
      <alignment vertical="top" wrapText="1"/>
    </xf>
    <xf numFmtId="14" fontId="16" fillId="0" borderId="0" xfId="0" applyNumberFormat="1" applyFont="1" applyAlignment="1">
      <alignment horizontal="left" vertical="top" wrapText="1"/>
    </xf>
    <xf numFmtId="174" fontId="122" fillId="113" borderId="0" xfId="0" applyNumberFormat="1" applyFont="1" applyFill="1"/>
    <xf numFmtId="174" fontId="122" fillId="115" borderId="0" xfId="0" applyNumberFormat="1" applyFont="1" applyFill="1"/>
    <xf numFmtId="49" fontId="83" fillId="4" borderId="0" xfId="0" applyNumberFormat="1" applyFont="1" applyFill="1" applyAlignment="1">
      <alignment horizontal="right"/>
    </xf>
    <xf numFmtId="0" fontId="79" fillId="0" borderId="71" xfId="0" applyFont="1" applyBorder="1" applyAlignment="1">
      <alignment vertical="top"/>
    </xf>
    <xf numFmtId="0" fontId="79" fillId="0" borderId="56" xfId="0" applyFont="1" applyBorder="1" applyAlignment="1">
      <alignment vertical="top" wrapText="1"/>
    </xf>
    <xf numFmtId="0" fontId="79" fillId="0" borderId="56" xfId="0" applyFont="1" applyBorder="1" applyAlignment="1">
      <alignment vertical="top"/>
    </xf>
    <xf numFmtId="174" fontId="79" fillId="43" borderId="56" xfId="1" applyNumberFormat="1" applyFont="1" applyFill="1" applyBorder="1" applyAlignment="1">
      <alignment vertical="top"/>
    </xf>
    <xf numFmtId="0" fontId="79" fillId="17" borderId="57" xfId="0" applyFont="1" applyFill="1" applyBorder="1" applyAlignment="1">
      <alignment vertical="top"/>
    </xf>
    <xf numFmtId="0" fontId="79" fillId="0" borderId="0" xfId="0" applyFont="1" applyAlignment="1">
      <alignment vertical="top"/>
    </xf>
    <xf numFmtId="0" fontId="79" fillId="0" borderId="48" xfId="0" applyFont="1" applyBorder="1" applyAlignment="1">
      <alignment vertical="top" wrapText="1"/>
    </xf>
    <xf numFmtId="0" fontId="79" fillId="0" borderId="48" xfId="0" applyFont="1" applyBorder="1" applyAlignment="1">
      <alignment vertical="top"/>
    </xf>
    <xf numFmtId="174" fontId="79" fillId="43" borderId="48" xfId="1" applyNumberFormat="1" applyFont="1" applyFill="1" applyBorder="1" applyAlignment="1">
      <alignment vertical="top"/>
    </xf>
    <xf numFmtId="0" fontId="79" fillId="17" borderId="58" xfId="0" applyFont="1" applyFill="1" applyBorder="1" applyAlignment="1">
      <alignment vertical="top"/>
    </xf>
    <xf numFmtId="0" fontId="79" fillId="0" borderId="8" xfId="0" applyFont="1" applyBorder="1" applyAlignment="1">
      <alignment vertical="top"/>
    </xf>
    <xf numFmtId="174" fontId="79" fillId="43" borderId="8" xfId="1" applyNumberFormat="1" applyFont="1" applyFill="1" applyBorder="1" applyAlignment="1">
      <alignment vertical="top"/>
    </xf>
    <xf numFmtId="0" fontId="79" fillId="17" borderId="61" xfId="0" applyFont="1" applyFill="1" applyBorder="1" applyAlignment="1">
      <alignment vertical="top"/>
    </xf>
    <xf numFmtId="0" fontId="15" fillId="0" borderId="154" xfId="0" applyFont="1" applyBorder="1" applyAlignment="1">
      <alignment vertical="top" wrapText="1"/>
    </xf>
    <xf numFmtId="0" fontId="79" fillId="0" borderId="155" xfId="0" applyFont="1" applyBorder="1" applyAlignment="1">
      <alignment vertical="top" wrapText="1"/>
    </xf>
    <xf numFmtId="0" fontId="69" fillId="0" borderId="155" xfId="0" applyFont="1" applyBorder="1" applyAlignment="1">
      <alignment vertical="top" wrapText="1"/>
    </xf>
    <xf numFmtId="0" fontId="15" fillId="0" borderId="155" xfId="0" applyFont="1" applyBorder="1" applyAlignment="1">
      <alignment horizontal="center" vertical="top" wrapText="1"/>
    </xf>
    <xf numFmtId="0" fontId="15" fillId="0" borderId="157" xfId="0" applyFont="1" applyBorder="1" applyAlignment="1">
      <alignment vertical="top" wrapText="1"/>
    </xf>
    <xf numFmtId="0" fontId="15" fillId="0" borderId="56" xfId="0" applyFont="1" applyBorder="1" applyAlignment="1">
      <alignment horizontal="center" vertical="top" wrapText="1"/>
    </xf>
    <xf numFmtId="174" fontId="79" fillId="43" borderId="56" xfId="1" applyNumberFormat="1" applyFont="1" applyFill="1" applyBorder="1" applyAlignment="1">
      <alignment vertical="top" wrapText="1"/>
    </xf>
    <xf numFmtId="174" fontId="79" fillId="43" borderId="48" xfId="1" applyNumberFormat="1" applyFont="1" applyFill="1" applyBorder="1" applyAlignment="1">
      <alignment vertical="top" wrapText="1"/>
    </xf>
    <xf numFmtId="0" fontId="79" fillId="11" borderId="0" xfId="0" applyFont="1" applyFill="1" applyAlignment="1">
      <alignment vertical="top"/>
    </xf>
    <xf numFmtId="0" fontId="81" fillId="0" borderId="8" xfId="0" applyFont="1" applyBorder="1"/>
    <xf numFmtId="0" fontId="81" fillId="0" borderId="54" xfId="0" applyFont="1" applyBorder="1"/>
    <xf numFmtId="0" fontId="81" fillId="0" borderId="55" xfId="0" applyFont="1" applyBorder="1"/>
    <xf numFmtId="0" fontId="79" fillId="0" borderId="71" xfId="0" applyFont="1" applyBorder="1" applyAlignment="1">
      <alignment vertical="top" wrapText="1"/>
    </xf>
    <xf numFmtId="174" fontId="79" fillId="43" borderId="56" xfId="1" quotePrefix="1" applyNumberFormat="1" applyFont="1" applyFill="1" applyBorder="1" applyAlignment="1">
      <alignment horizontal="left" vertical="top" wrapText="1"/>
    </xf>
    <xf numFmtId="0" fontId="79" fillId="19" borderId="57" xfId="0" applyFont="1" applyFill="1" applyBorder="1" applyAlignment="1">
      <alignment vertical="top"/>
    </xf>
    <xf numFmtId="174" fontId="79" fillId="43" borderId="48" xfId="1" quotePrefix="1" applyNumberFormat="1" applyFont="1" applyFill="1" applyBorder="1" applyAlignment="1">
      <alignment horizontal="left" vertical="top" wrapText="1"/>
    </xf>
    <xf numFmtId="0" fontId="79" fillId="19" borderId="58" xfId="0" applyFont="1" applyFill="1" applyBorder="1" applyAlignment="1">
      <alignment vertical="top"/>
    </xf>
    <xf numFmtId="0" fontId="79" fillId="19" borderId="58" xfId="0" applyFont="1" applyFill="1" applyBorder="1" applyAlignment="1">
      <alignment vertical="top" wrapText="1"/>
    </xf>
    <xf numFmtId="0" fontId="79" fillId="0" borderId="59" xfId="0" applyFont="1" applyBorder="1" applyAlignment="1">
      <alignment vertical="top" wrapText="1"/>
    </xf>
    <xf numFmtId="0" fontId="79" fillId="0" borderId="59" xfId="0" applyFont="1" applyBorder="1" applyAlignment="1">
      <alignment vertical="top"/>
    </xf>
    <xf numFmtId="174" fontId="79" fillId="43" borderId="59" xfId="1" quotePrefix="1" applyNumberFormat="1" applyFont="1" applyFill="1" applyBorder="1" applyAlignment="1">
      <alignment horizontal="left" vertical="top" wrapText="1"/>
    </xf>
    <xf numFmtId="0" fontId="79" fillId="19" borderId="60" xfId="0" applyFont="1" applyFill="1" applyBorder="1" applyAlignment="1">
      <alignment vertical="top" wrapText="1"/>
    </xf>
    <xf numFmtId="174" fontId="79" fillId="43" borderId="58" xfId="1" applyNumberFormat="1" applyFont="1" applyFill="1" applyBorder="1" applyAlignment="1">
      <alignment vertical="top" wrapText="1"/>
    </xf>
    <xf numFmtId="0" fontId="79" fillId="19" borderId="48" xfId="0" applyFont="1" applyFill="1" applyBorder="1" applyAlignment="1">
      <alignment vertical="top"/>
    </xf>
    <xf numFmtId="173" fontId="79" fillId="43" borderId="48" xfId="4" quotePrefix="1" applyNumberFormat="1" applyFont="1" applyFill="1" applyBorder="1" applyAlignment="1">
      <alignment horizontal="left" vertical="top" wrapText="1"/>
    </xf>
    <xf numFmtId="10" fontId="79" fillId="43" borderId="48" xfId="4" quotePrefix="1" applyNumberFormat="1" applyFont="1" applyFill="1" applyBorder="1" applyAlignment="1">
      <alignment horizontal="left" vertical="top" wrapText="1"/>
    </xf>
    <xf numFmtId="10" fontId="79" fillId="43" borderId="48" xfId="4" applyNumberFormat="1" applyFont="1" applyFill="1" applyBorder="1" applyAlignment="1">
      <alignment vertical="top" wrapText="1"/>
    </xf>
    <xf numFmtId="171" fontId="79" fillId="0" borderId="48" xfId="1" quotePrefix="1" applyNumberFormat="1" applyFont="1" applyFill="1" applyBorder="1" applyAlignment="1">
      <alignment horizontal="left" vertical="top" wrapText="1"/>
    </xf>
    <xf numFmtId="10" fontId="79" fillId="43" borderId="58" xfId="4" quotePrefix="1" applyNumberFormat="1" applyFont="1" applyFill="1" applyBorder="1" applyAlignment="1">
      <alignment horizontal="left" vertical="top" wrapText="1"/>
    </xf>
    <xf numFmtId="0" fontId="98" fillId="0" borderId="0" xfId="0" applyFont="1" applyAlignment="1">
      <alignment wrapText="1"/>
    </xf>
    <xf numFmtId="0" fontId="83" fillId="0" borderId="0" xfId="0" applyFont="1" applyAlignment="1">
      <alignment horizontal="left" vertical="top" wrapText="1"/>
    </xf>
    <xf numFmtId="0" fontId="81" fillId="0" borderId="0" xfId="0" applyFont="1" applyAlignment="1">
      <alignment horizontal="left" vertical="top" wrapText="1"/>
    </xf>
    <xf numFmtId="0" fontId="27" fillId="0" borderId="0" xfId="0" applyFont="1" applyAlignment="1">
      <alignment vertical="top" wrapText="1"/>
    </xf>
    <xf numFmtId="0" fontId="27" fillId="0" borderId="0" xfId="0" applyFont="1" applyAlignment="1">
      <alignment horizontal="left" vertical="top" wrapText="1"/>
    </xf>
    <xf numFmtId="0" fontId="85" fillId="0" borderId="0" xfId="0" applyFont="1" applyAlignment="1">
      <alignment horizontal="center" vertical="top" wrapText="1"/>
    </xf>
    <xf numFmtId="0" fontId="6" fillId="0" borderId="0" xfId="0" applyFont="1" applyAlignment="1">
      <alignment horizontal="justify" vertical="top" wrapText="1"/>
    </xf>
    <xf numFmtId="174" fontId="79" fillId="43" borderId="58" xfId="1" applyNumberFormat="1" applyFont="1" applyFill="1" applyBorder="1" applyAlignment="1">
      <alignment vertical="top"/>
    </xf>
    <xf numFmtId="174" fontId="81" fillId="20" borderId="48" xfId="1" applyNumberFormat="1" applyFont="1" applyFill="1" applyBorder="1"/>
    <xf numFmtId="0" fontId="79" fillId="0" borderId="164" xfId="0" applyFont="1" applyBorder="1" applyAlignment="1">
      <alignment vertical="top"/>
    </xf>
    <xf numFmtId="0" fontId="79" fillId="0" borderId="164" xfId="0" applyFont="1" applyBorder="1" applyAlignment="1">
      <alignment vertical="top" wrapText="1"/>
    </xf>
    <xf numFmtId="0" fontId="79" fillId="0" borderId="165" xfId="0" applyFont="1" applyBorder="1" applyAlignment="1">
      <alignment vertical="top"/>
    </xf>
    <xf numFmtId="0" fontId="78" fillId="0" borderId="0" xfId="0" applyFont="1" applyAlignment="1">
      <alignment wrapText="1"/>
    </xf>
    <xf numFmtId="174" fontId="79" fillId="13" borderId="14" xfId="0" applyNumberFormat="1" applyFont="1" applyFill="1" applyBorder="1" applyAlignment="1" applyProtection="1">
      <alignment vertical="top" wrapText="1"/>
      <protection locked="0"/>
    </xf>
    <xf numFmtId="0" fontId="24" fillId="0" borderId="0" xfId="0" applyFont="1" applyAlignment="1">
      <alignment wrapText="1"/>
    </xf>
    <xf numFmtId="0" fontId="27" fillId="0" borderId="0" xfId="0" applyFont="1" applyAlignment="1">
      <alignment wrapText="1"/>
    </xf>
    <xf numFmtId="0" fontId="81" fillId="0" borderId="0" xfId="0" applyFont="1" applyAlignment="1">
      <alignment horizontal="right" vertical="top" wrapText="1"/>
    </xf>
    <xf numFmtId="0" fontId="81" fillId="4" borderId="0" xfId="0" applyFont="1" applyFill="1" applyAlignment="1">
      <alignment horizontal="center" vertical="center"/>
    </xf>
    <xf numFmtId="169" fontId="81" fillId="4" borderId="0" xfId="0" applyNumberFormat="1" applyFont="1" applyFill="1" applyAlignment="1">
      <alignment horizontal="right" wrapText="1"/>
    </xf>
    <xf numFmtId="169" fontId="81" fillId="4" borderId="0" xfId="0" applyNumberFormat="1" applyFont="1" applyFill="1" applyAlignment="1">
      <alignment horizontal="right"/>
    </xf>
    <xf numFmtId="0" fontId="105" fillId="7" borderId="0" xfId="0" applyFont="1" applyFill="1" applyAlignment="1">
      <alignment horizontal="center" vertical="center"/>
    </xf>
    <xf numFmtId="174" fontId="105" fillId="7" borderId="0" xfId="0" applyNumberFormat="1" applyFont="1" applyFill="1" applyAlignment="1">
      <alignment vertical="center"/>
    </xf>
    <xf numFmtId="0" fontId="83" fillId="0" borderId="0" xfId="0" applyFont="1" applyAlignment="1">
      <alignment vertical="center" wrapText="1"/>
    </xf>
    <xf numFmtId="169" fontId="81" fillId="0" borderId="0" xfId="0" applyNumberFormat="1" applyFont="1" applyAlignment="1">
      <alignment vertical="center"/>
    </xf>
    <xf numFmtId="0" fontId="81" fillId="0" borderId="0" xfId="0" applyFont="1" applyAlignment="1">
      <alignment vertical="center" wrapText="1"/>
    </xf>
    <xf numFmtId="174" fontId="81" fillId="0" borderId="0" xfId="0" applyNumberFormat="1" applyFont="1" applyAlignment="1">
      <alignment vertical="center"/>
    </xf>
    <xf numFmtId="0" fontId="83" fillId="0" borderId="0" xfId="0" applyFont="1" applyAlignment="1">
      <alignment horizontal="center" vertical="center"/>
    </xf>
    <xf numFmtId="174" fontId="83" fillId="0" borderId="3" xfId="0" applyNumberFormat="1" applyFont="1" applyBorder="1" applyAlignment="1">
      <alignment vertical="center"/>
    </xf>
    <xf numFmtId="0" fontId="123" fillId="0" borderId="0" xfId="0" applyFont="1"/>
    <xf numFmtId="174" fontId="83" fillId="0" borderId="0" xfId="0" applyNumberFormat="1" applyFont="1" applyAlignment="1">
      <alignment vertical="center"/>
    </xf>
    <xf numFmtId="0" fontId="105" fillId="7" borderId="0" xfId="0" applyFont="1" applyFill="1" applyAlignment="1">
      <alignment vertical="center"/>
    </xf>
    <xf numFmtId="0" fontId="108" fillId="0" borderId="0" xfId="0" applyFont="1"/>
    <xf numFmtId="0" fontId="114" fillId="0" borderId="0" xfId="0" applyFont="1"/>
    <xf numFmtId="0" fontId="81" fillId="0" borderId="0" xfId="0" applyFont="1" applyAlignment="1">
      <alignment vertical="center"/>
    </xf>
    <xf numFmtId="0" fontId="106" fillId="7" borderId="0" xfId="0" applyFont="1" applyFill="1" applyAlignment="1">
      <alignment vertical="center"/>
    </xf>
    <xf numFmtId="0" fontId="106" fillId="7" borderId="0" xfId="0" applyFont="1" applyFill="1" applyAlignment="1">
      <alignment horizontal="center" vertical="center"/>
    </xf>
    <xf numFmtId="0" fontId="81" fillId="4" borderId="0" xfId="0" applyFont="1" applyFill="1" applyAlignment="1">
      <alignment vertical="center"/>
    </xf>
    <xf numFmtId="169" fontId="83" fillId="4" borderId="0" xfId="0" applyNumberFormat="1" applyFont="1" applyFill="1" applyAlignment="1">
      <alignment horizontal="center" vertical="center" wrapText="1"/>
    </xf>
    <xf numFmtId="0" fontId="83" fillId="4" borderId="0" xfId="0" applyFont="1" applyFill="1" applyAlignment="1">
      <alignment vertical="center"/>
    </xf>
    <xf numFmtId="169" fontId="81" fillId="4" borderId="0" xfId="0" applyNumberFormat="1" applyFont="1" applyFill="1" applyAlignment="1">
      <alignment horizontal="center" vertical="center"/>
    </xf>
    <xf numFmtId="0" fontId="105" fillId="7" borderId="0" xfId="0" applyFont="1" applyFill="1" applyAlignment="1">
      <alignment vertical="center" wrapText="1"/>
    </xf>
    <xf numFmtId="0" fontId="81" fillId="0" borderId="0" xfId="0" applyFont="1" applyAlignment="1">
      <alignment horizontal="center" vertical="center" wrapText="1"/>
    </xf>
    <xf numFmtId="174" fontId="81" fillId="0" borderId="0" xfId="0" applyNumberFormat="1" applyFont="1" applyAlignment="1">
      <alignment vertical="center" wrapText="1"/>
    </xf>
    <xf numFmtId="169" fontId="106" fillId="7" borderId="0" xfId="0" applyNumberFormat="1" applyFont="1" applyFill="1" applyAlignment="1">
      <alignment vertical="center"/>
    </xf>
    <xf numFmtId="174" fontId="106" fillId="7" borderId="0" xfId="0" applyNumberFormat="1" applyFont="1" applyFill="1" applyAlignment="1">
      <alignment vertical="center"/>
    </xf>
    <xf numFmtId="0" fontId="105" fillId="7" borderId="0" xfId="0" applyFont="1" applyFill="1" applyAlignment="1">
      <alignment horizontal="right" vertical="center"/>
    </xf>
    <xf numFmtId="0" fontId="105" fillId="0" borderId="0" xfId="0" applyFont="1" applyAlignment="1">
      <alignment horizontal="right" vertical="center"/>
    </xf>
    <xf numFmtId="0" fontId="81" fillId="4" borderId="0" xfId="0" applyFont="1" applyFill="1" applyAlignment="1">
      <alignment horizontal="right" vertical="center"/>
    </xf>
    <xf numFmtId="0" fontId="81" fillId="0" borderId="0" xfId="0" applyFont="1" applyAlignment="1">
      <alignment horizontal="right" vertical="center"/>
    </xf>
    <xf numFmtId="0" fontId="118" fillId="0" borderId="0" xfId="0" applyFont="1" applyAlignment="1">
      <alignment horizontal="left" vertical="center"/>
    </xf>
    <xf numFmtId="169" fontId="106" fillId="0" borderId="0" xfId="0" applyNumberFormat="1" applyFont="1" applyAlignment="1">
      <alignment vertical="center"/>
    </xf>
    <xf numFmtId="0" fontId="81" fillId="0" borderId="0" xfId="0" quotePrefix="1" applyFont="1"/>
    <xf numFmtId="169" fontId="123" fillId="0" borderId="0" xfId="0" applyNumberFormat="1" applyFont="1" applyAlignment="1">
      <alignment vertical="center"/>
    </xf>
    <xf numFmtId="0" fontId="81" fillId="7" borderId="0" xfId="0" applyFont="1" applyFill="1" applyAlignment="1">
      <alignment vertical="center"/>
    </xf>
    <xf numFmtId="0" fontId="81" fillId="7" borderId="0" xfId="0" applyFont="1" applyFill="1" applyAlignment="1">
      <alignment horizontal="center" vertical="center"/>
    </xf>
    <xf numFmtId="169" fontId="105" fillId="0" borderId="0" xfId="0" applyNumberFormat="1" applyFont="1" applyAlignment="1">
      <alignment vertical="center"/>
    </xf>
    <xf numFmtId="0" fontId="123" fillId="0" borderId="0" xfId="0" applyFont="1" applyAlignment="1">
      <alignment vertical="center"/>
    </xf>
    <xf numFmtId="0" fontId="81" fillId="0" borderId="0" xfId="0" applyFont="1" applyAlignment="1">
      <alignment horizontal="left" vertical="center" wrapText="1"/>
    </xf>
    <xf numFmtId="0" fontId="5" fillId="0" borderId="114" xfId="0" applyFont="1" applyBorder="1" applyAlignment="1">
      <alignment vertical="top"/>
    </xf>
    <xf numFmtId="0" fontId="5" fillId="0" borderId="114" xfId="0" applyFont="1" applyBorder="1" applyAlignment="1">
      <alignment vertical="top" wrapText="1"/>
    </xf>
    <xf numFmtId="0" fontId="5" fillId="0" borderId="115" xfId="0" applyFont="1" applyBorder="1" applyAlignment="1">
      <alignment vertical="top" wrapText="1"/>
    </xf>
    <xf numFmtId="175" fontId="69" fillId="43" borderId="48" xfId="1" quotePrefix="1" applyNumberFormat="1" applyFont="1" applyFill="1" applyBorder="1" applyAlignment="1">
      <alignment horizontal="left" vertical="top" wrapText="1"/>
    </xf>
    <xf numFmtId="175" fontId="69" fillId="43" borderId="48" xfId="1" quotePrefix="1" applyNumberFormat="1" applyFont="1" applyFill="1" applyBorder="1" applyAlignment="1">
      <alignment horizontal="left" vertical="top" wrapText="1" indent="2"/>
    </xf>
    <xf numFmtId="174" fontId="69" fillId="43" borderId="56" xfId="1" quotePrefix="1" applyNumberFormat="1" applyFont="1" applyFill="1" applyBorder="1" applyAlignment="1">
      <alignment vertical="top" wrapText="1"/>
    </xf>
    <xf numFmtId="174" fontId="69" fillId="43" borderId="48" xfId="1" quotePrefix="1" applyNumberFormat="1" applyFont="1" applyFill="1" applyBorder="1" applyAlignment="1">
      <alignment vertical="top" wrapText="1"/>
    </xf>
    <xf numFmtId="174" fontId="69" fillId="43" borderId="59" xfId="1" quotePrefix="1" applyNumberFormat="1" applyFont="1" applyFill="1" applyBorder="1" applyAlignment="1">
      <alignment vertical="top" wrapText="1"/>
    </xf>
    <xf numFmtId="174" fontId="69" fillId="43" borderId="56" xfId="1" quotePrefix="1" applyNumberFormat="1" applyFont="1" applyFill="1" applyBorder="1" applyAlignment="1">
      <alignment horizontal="right" vertical="top" wrapText="1"/>
    </xf>
    <xf numFmtId="174" fontId="69" fillId="43" borderId="48" xfId="1" quotePrefix="1" applyNumberFormat="1" applyFont="1" applyFill="1" applyBorder="1" applyAlignment="1">
      <alignment horizontal="right" vertical="top" wrapText="1"/>
    </xf>
    <xf numFmtId="0" fontId="69" fillId="0" borderId="68" xfId="0" applyFont="1" applyBorder="1" applyAlignment="1">
      <alignment vertical="top" wrapText="1"/>
    </xf>
    <xf numFmtId="0" fontId="69" fillId="0" borderId="48" xfId="0" quotePrefix="1" applyFont="1" applyBorder="1" applyAlignment="1">
      <alignment vertical="top" wrapText="1"/>
    </xf>
    <xf numFmtId="174" fontId="0" fillId="45" borderId="0" xfId="0" applyNumberFormat="1" applyFill="1"/>
    <xf numFmtId="174" fontId="0" fillId="13" borderId="0" xfId="0" applyNumberFormat="1" applyFill="1"/>
    <xf numFmtId="174" fontId="0" fillId="9" borderId="0" xfId="0" applyNumberFormat="1" applyFill="1"/>
    <xf numFmtId="174" fontId="0" fillId="44" borderId="0" xfId="0" applyNumberFormat="1" applyFill="1" applyAlignment="1" applyProtection="1">
      <alignment horizontal="right"/>
      <protection locked="0"/>
    </xf>
    <xf numFmtId="174" fontId="0" fillId="8" borderId="0" xfId="0" applyNumberFormat="1" applyFill="1" applyAlignment="1" applyProtection="1">
      <alignment horizontal="right"/>
      <protection locked="0"/>
    </xf>
    <xf numFmtId="174" fontId="0" fillId="0" borderId="0" xfId="0" applyNumberFormat="1" applyAlignment="1" applyProtection="1">
      <alignment horizontal="right"/>
      <protection locked="0"/>
    </xf>
    <xf numFmtId="174" fontId="0" fillId="45" borderId="0" xfId="0" applyNumberFormat="1" applyFill="1" applyAlignment="1" applyProtection="1">
      <alignment horizontal="right"/>
      <protection locked="0"/>
    </xf>
    <xf numFmtId="174" fontId="5" fillId="8" borderId="0" xfId="0" applyNumberFormat="1" applyFont="1" applyFill="1" applyAlignment="1" applyProtection="1">
      <alignment horizontal="right"/>
      <protection locked="0"/>
    </xf>
    <xf numFmtId="174" fontId="0" fillId="3" borderId="0" xfId="0" applyNumberFormat="1" applyFill="1" applyAlignment="1" applyProtection="1">
      <alignment horizontal="right"/>
      <protection locked="0"/>
    </xf>
    <xf numFmtId="0" fontId="10" fillId="5" borderId="0" xfId="0" applyFont="1" applyFill="1" applyAlignment="1">
      <alignment horizontal="right"/>
    </xf>
    <xf numFmtId="167" fontId="10" fillId="5" borderId="0" xfId="0" applyNumberFormat="1" applyFont="1" applyFill="1" applyAlignment="1">
      <alignment horizontal="right"/>
    </xf>
    <xf numFmtId="0" fontId="69" fillId="0" borderId="166" xfId="0" applyFont="1" applyBorder="1" applyAlignment="1">
      <alignment vertical="top" wrapText="1"/>
    </xf>
    <xf numFmtId="0" fontId="69" fillId="0" borderId="56" xfId="0" applyFont="1" applyBorder="1" applyAlignment="1">
      <alignment horizontal="right" vertical="top" wrapText="1"/>
    </xf>
    <xf numFmtId="0" fontId="69" fillId="0" borderId="48" xfId="0" applyFont="1" applyBorder="1" applyAlignment="1">
      <alignment horizontal="right" vertical="top" wrapText="1"/>
    </xf>
    <xf numFmtId="0" fontId="81" fillId="0" borderId="48" xfId="0" applyFont="1" applyBorder="1" applyAlignment="1">
      <alignment horizontal="center" vertical="center"/>
    </xf>
    <xf numFmtId="0" fontId="37" fillId="0" borderId="1" xfId="6" applyFont="1" applyBorder="1" applyProtection="1">
      <protection locked="0"/>
    </xf>
    <xf numFmtId="0" fontId="41" fillId="0" borderId="0" xfId="5" applyFont="1"/>
    <xf numFmtId="0" fontId="37" fillId="0" borderId="1" xfId="6" applyFont="1" applyBorder="1" applyAlignment="1" applyProtection="1">
      <alignment horizontal="center"/>
      <protection locked="0"/>
    </xf>
    <xf numFmtId="174" fontId="69" fillId="43" borderId="170" xfId="1" applyNumberFormat="1" applyFont="1" applyFill="1" applyBorder="1" applyAlignment="1">
      <alignment vertical="top" wrapText="1"/>
    </xf>
    <xf numFmtId="174" fontId="69" fillId="43" borderId="170" xfId="1" quotePrefix="1" applyNumberFormat="1" applyFont="1" applyFill="1" applyBorder="1" applyAlignment="1">
      <alignment horizontal="left" vertical="top" wrapText="1"/>
    </xf>
    <xf numFmtId="173" fontId="69" fillId="43" borderId="170" xfId="4" quotePrefix="1" applyNumberFormat="1" applyFont="1" applyFill="1" applyBorder="1" applyAlignment="1">
      <alignment horizontal="left" vertical="top" wrapText="1"/>
    </xf>
    <xf numFmtId="0" fontId="5" fillId="0" borderId="0" xfId="0" applyFont="1" applyAlignment="1" applyProtection="1">
      <alignment horizontal="left" vertical="top"/>
      <protection locked="0"/>
    </xf>
    <xf numFmtId="165" fontId="81" fillId="0" borderId="8" xfId="0" applyNumberFormat="1" applyFont="1" applyBorder="1" applyAlignment="1">
      <alignment horizontal="left" vertical="top" wrapText="1"/>
    </xf>
    <xf numFmtId="165" fontId="81" fillId="0" borderId="4" xfId="0" applyNumberFormat="1" applyFont="1" applyBorder="1" applyAlignment="1">
      <alignment horizontal="left" vertical="top" wrapText="1"/>
    </xf>
    <xf numFmtId="177" fontId="69" fillId="43" borderId="48" xfId="1" applyNumberFormat="1" applyFont="1" applyFill="1" applyBorder="1" applyAlignment="1">
      <alignment vertical="top" wrapText="1"/>
    </xf>
    <xf numFmtId="0" fontId="81" fillId="0" borderId="173" xfId="0" applyFont="1" applyBorder="1"/>
    <xf numFmtId="174" fontId="81" fillId="0" borderId="173" xfId="1" applyNumberFormat="1" applyFont="1" applyBorder="1"/>
    <xf numFmtId="0" fontId="81" fillId="0" borderId="173" xfId="0" applyFont="1" applyBorder="1" applyAlignment="1">
      <alignment wrapText="1"/>
    </xf>
    <xf numFmtId="0" fontId="124" fillId="0" borderId="0" xfId="0" applyFont="1" applyAlignment="1">
      <alignment vertical="top" wrapText="1"/>
    </xf>
    <xf numFmtId="0" fontId="83" fillId="0" borderId="0" xfId="0" applyFont="1" applyAlignment="1">
      <alignment horizontal="left" vertical="top"/>
    </xf>
    <xf numFmtId="0" fontId="83" fillId="0" borderId="0" xfId="0" applyFont="1" applyAlignment="1">
      <alignment horizontal="justify" vertical="top" wrapText="1"/>
    </xf>
    <xf numFmtId="0" fontId="81" fillId="0" borderId="0" xfId="0" applyFont="1" applyAlignment="1">
      <alignment horizontal="left" vertical="top"/>
    </xf>
    <xf numFmtId="0" fontId="124" fillId="0" borderId="0" xfId="0" applyFont="1"/>
    <xf numFmtId="0" fontId="81" fillId="0" borderId="53" xfId="0" applyFont="1" applyBorder="1"/>
    <xf numFmtId="0" fontId="108" fillId="0" borderId="0" xfId="0" applyFont="1" applyAlignment="1">
      <alignment horizontal="justify" vertical="top" wrapText="1"/>
    </xf>
    <xf numFmtId="0" fontId="81" fillId="0" borderId="0" xfId="0" applyFont="1" applyAlignment="1">
      <alignment horizontal="center" vertical="top"/>
    </xf>
    <xf numFmtId="174" fontId="81" fillId="0" borderId="84" xfId="1" applyNumberFormat="1" applyFont="1" applyFill="1" applyBorder="1"/>
    <xf numFmtId="171" fontId="23" fillId="0" borderId="0" xfId="0" applyNumberFormat="1" applyFont="1"/>
    <xf numFmtId="168" fontId="37" fillId="0" borderId="183" xfId="5" applyNumberFormat="1" applyFont="1" applyBorder="1" applyAlignment="1">
      <alignment horizontal="right"/>
    </xf>
    <xf numFmtId="0" fontId="81" fillId="0" borderId="30" xfId="0" applyFont="1" applyBorder="1"/>
    <xf numFmtId="0" fontId="81" fillId="0" borderId="4" xfId="0" applyFont="1" applyBorder="1" applyAlignment="1">
      <alignment vertical="top" wrapText="1"/>
    </xf>
    <xf numFmtId="174" fontId="113" fillId="43" borderId="4" xfId="8" applyNumberFormat="1" applyFont="1" applyFill="1" applyBorder="1"/>
    <xf numFmtId="174" fontId="112" fillId="0" borderId="4" xfId="8" applyNumberFormat="1" applyFont="1" applyBorder="1"/>
    <xf numFmtId="172" fontId="81" fillId="0" borderId="46" xfId="10" applyNumberFormat="1" applyFont="1" applyBorder="1" applyAlignment="1">
      <alignment wrapText="1"/>
    </xf>
    <xf numFmtId="172" fontId="81" fillId="0" borderId="6" xfId="10" applyNumberFormat="1" applyFont="1" applyBorder="1" applyAlignment="1">
      <alignment wrapText="1"/>
    </xf>
    <xf numFmtId="174" fontId="81" fillId="0" borderId="0" xfId="0" applyNumberFormat="1" applyFont="1" applyAlignment="1">
      <alignment vertical="top"/>
    </xf>
    <xf numFmtId="174" fontId="81" fillId="7" borderId="0" xfId="0" applyNumberFormat="1" applyFont="1" applyFill="1"/>
    <xf numFmtId="174" fontId="106" fillId="0" borderId="0" xfId="0" applyNumberFormat="1" applyFont="1"/>
    <xf numFmtId="174" fontId="105" fillId="0" borderId="0" xfId="0" applyNumberFormat="1" applyFont="1" applyAlignment="1">
      <alignment horizontal="right"/>
    </xf>
    <xf numFmtId="174" fontId="106" fillId="7" borderId="0" xfId="0" applyNumberFormat="1" applyFont="1" applyFill="1"/>
    <xf numFmtId="174" fontId="105" fillId="7" borderId="0" xfId="0" applyNumberFormat="1" applyFont="1" applyFill="1" applyAlignment="1">
      <alignment horizontal="center"/>
    </xf>
    <xf numFmtId="174" fontId="81" fillId="4" borderId="0" xfId="0" applyNumberFormat="1" applyFont="1" applyFill="1"/>
    <xf numFmtId="174" fontId="81" fillId="4" borderId="0" xfId="0" applyNumberFormat="1" applyFont="1" applyFill="1" applyAlignment="1">
      <alignment horizontal="right"/>
    </xf>
    <xf numFmtId="174" fontId="81" fillId="0" borderId="0" xfId="0" applyNumberFormat="1" applyFont="1" applyAlignment="1">
      <alignment horizontal="justify"/>
    </xf>
    <xf numFmtId="174" fontId="105" fillId="0" borderId="0" xfId="0" applyNumberFormat="1" applyFont="1"/>
    <xf numFmtId="0" fontId="104" fillId="0" borderId="30" xfId="0" applyFont="1" applyBorder="1" applyAlignment="1">
      <alignment vertical="top"/>
    </xf>
    <xf numFmtId="0" fontId="82" fillId="0" borderId="30" xfId="0" applyFont="1" applyBorder="1" applyAlignment="1">
      <alignment vertical="top"/>
    </xf>
    <xf numFmtId="0" fontId="0" fillId="0" borderId="30" xfId="0" applyBorder="1"/>
    <xf numFmtId="14" fontId="105" fillId="0" borderId="0" xfId="0" applyNumberFormat="1" applyFont="1" applyAlignment="1">
      <alignment horizontal="center"/>
    </xf>
    <xf numFmtId="174" fontId="81" fillId="0" borderId="30" xfId="0" applyNumberFormat="1" applyFont="1" applyBorder="1"/>
    <xf numFmtId="174" fontId="81" fillId="43" borderId="185" xfId="1" applyNumberFormat="1" applyFont="1" applyFill="1" applyBorder="1"/>
    <xf numFmtId="174" fontId="81" fillId="0" borderId="30" xfId="1" applyNumberFormat="1" applyFont="1" applyFill="1" applyBorder="1"/>
    <xf numFmtId="174" fontId="106" fillId="0" borderId="0" xfId="1" applyNumberFormat="1" applyFont="1" applyFill="1" applyBorder="1"/>
    <xf numFmtId="10" fontId="81" fillId="0" borderId="30" xfId="0" applyNumberFormat="1" applyFont="1" applyBorder="1"/>
    <xf numFmtId="14" fontId="81" fillId="0" borderId="0" xfId="0" applyNumberFormat="1" applyFont="1"/>
    <xf numFmtId="14" fontId="81" fillId="0" borderId="0" xfId="0" applyNumberFormat="1" applyFont="1" applyAlignment="1">
      <alignment wrapText="1"/>
    </xf>
    <xf numFmtId="10" fontId="81" fillId="0" borderId="30" xfId="4" applyNumberFormat="1" applyFont="1" applyFill="1" applyBorder="1"/>
    <xf numFmtId="10" fontId="83" fillId="0" borderId="30" xfId="0" applyNumberFormat="1" applyFont="1" applyBorder="1"/>
    <xf numFmtId="14" fontId="23" fillId="0" borderId="0" xfId="0" applyNumberFormat="1" applyFont="1"/>
    <xf numFmtId="174" fontId="105" fillId="0" borderId="0" xfId="1" applyNumberFormat="1" applyFont="1" applyFill="1" applyBorder="1"/>
    <xf numFmtId="0" fontId="105" fillId="7" borderId="2" xfId="0" applyFont="1" applyFill="1" applyBorder="1"/>
    <xf numFmtId="0" fontId="105" fillId="7" borderId="46" xfId="0" applyFont="1" applyFill="1" applyBorder="1"/>
    <xf numFmtId="0" fontId="105" fillId="7" borderId="6" xfId="0" applyFont="1" applyFill="1" applyBorder="1"/>
    <xf numFmtId="0" fontId="106" fillId="4" borderId="2" xfId="0" applyFont="1" applyFill="1" applyBorder="1"/>
    <xf numFmtId="0" fontId="106" fillId="4" borderId="46" xfId="0" applyFont="1" applyFill="1" applyBorder="1"/>
    <xf numFmtId="0" fontId="106" fillId="4" borderId="6" xfId="0" applyFont="1" applyFill="1" applyBorder="1"/>
    <xf numFmtId="0" fontId="113" fillId="0" borderId="0" xfId="8" applyFont="1"/>
    <xf numFmtId="0" fontId="81" fillId="0" borderId="185" xfId="0" applyFont="1" applyBorder="1" applyAlignment="1">
      <alignment horizontal="center"/>
    </xf>
    <xf numFmtId="174" fontId="81" fillId="0" borderId="185" xfId="1" applyNumberFormat="1" applyFont="1" applyBorder="1"/>
    <xf numFmtId="14" fontId="105" fillId="7" borderId="184" xfId="0" applyNumberFormat="1" applyFont="1" applyFill="1" applyBorder="1" applyAlignment="1">
      <alignment horizontal="right"/>
    </xf>
    <xf numFmtId="174" fontId="81" fillId="0" borderId="184" xfId="1" applyNumberFormat="1" applyFont="1" applyBorder="1"/>
    <xf numFmtId="174" fontId="81" fillId="0" borderId="184" xfId="1" applyNumberFormat="1" applyFont="1" applyFill="1" applyBorder="1"/>
    <xf numFmtId="171" fontId="81" fillId="0" borderId="184" xfId="1" applyNumberFormat="1" applyFont="1" applyBorder="1"/>
    <xf numFmtId="174" fontId="81" fillId="0" borderId="1" xfId="0" applyNumberFormat="1" applyFont="1" applyBorder="1" applyAlignment="1">
      <alignment horizontal="right"/>
    </xf>
    <xf numFmtId="174" fontId="81" fillId="0" borderId="4" xfId="0" applyNumberFormat="1" applyFont="1" applyBorder="1" applyAlignment="1">
      <alignment horizontal="right"/>
    </xf>
    <xf numFmtId="174" fontId="81" fillId="0" borderId="84" xfId="0" applyNumberFormat="1" applyFont="1" applyBorder="1" applyAlignment="1" applyProtection="1">
      <alignment vertical="top"/>
      <protection locked="0"/>
    </xf>
    <xf numFmtId="174" fontId="81" fillId="0" borderId="87" xfId="1" applyNumberFormat="1" applyFont="1" applyFill="1" applyBorder="1"/>
    <xf numFmtId="171" fontId="81" fillId="0" borderId="4" xfId="1" applyNumberFormat="1" applyFont="1" applyFill="1" applyBorder="1"/>
    <xf numFmtId="173" fontId="81" fillId="0" borderId="4" xfId="4" applyNumberFormat="1" applyFont="1" applyFill="1" applyBorder="1"/>
    <xf numFmtId="176" fontId="81" fillId="0" borderId="48" xfId="0" applyNumberFormat="1" applyFont="1" applyBorder="1"/>
    <xf numFmtId="10" fontId="81" fillId="0" borderId="48" xfId="4" applyNumberFormat="1" applyFont="1" applyFill="1" applyBorder="1"/>
    <xf numFmtId="0" fontId="83" fillId="0" borderId="48" xfId="0" applyFont="1" applyBorder="1"/>
    <xf numFmtId="174" fontId="81" fillId="0" borderId="83" xfId="1" applyNumberFormat="1" applyFont="1" applyFill="1" applyBorder="1"/>
    <xf numFmtId="174" fontId="81" fillId="0" borderId="89" xfId="1" applyNumberFormat="1" applyFont="1" applyFill="1" applyBorder="1"/>
    <xf numFmtId="0" fontId="106" fillId="0" borderId="0" xfId="0" applyFont="1" applyAlignment="1">
      <alignment vertical="center"/>
    </xf>
    <xf numFmtId="174" fontId="81" fillId="0" borderId="4" xfId="1" applyNumberFormat="1" applyFont="1" applyBorder="1" applyAlignment="1">
      <alignment vertical="top"/>
    </xf>
    <xf numFmtId="0" fontId="109" fillId="0" borderId="4" xfId="0" applyFont="1" applyBorder="1" applyAlignment="1">
      <alignment vertical="top" wrapText="1"/>
    </xf>
    <xf numFmtId="174" fontId="81" fillId="0" borderId="30" xfId="1" applyNumberFormat="1" applyFont="1" applyBorder="1"/>
    <xf numFmtId="10" fontId="81" fillId="0" borderId="4" xfId="0" applyNumberFormat="1" applyFont="1" applyBorder="1" applyAlignment="1">
      <alignment horizontal="center" vertical="center"/>
    </xf>
    <xf numFmtId="0" fontId="105" fillId="7" borderId="1" xfId="0" applyFont="1" applyFill="1" applyBorder="1"/>
    <xf numFmtId="14" fontId="105" fillId="7" borderId="0" xfId="0" applyNumberFormat="1" applyFont="1" applyFill="1" applyAlignment="1">
      <alignment horizontal="right" wrapText="1"/>
    </xf>
    <xf numFmtId="0" fontId="125" fillId="0" borderId="0" xfId="0" applyFont="1" applyAlignment="1">
      <alignment wrapText="1"/>
    </xf>
    <xf numFmtId="174" fontId="81" fillId="0" borderId="4" xfId="1" applyNumberFormat="1" applyFont="1" applyBorder="1" applyAlignment="1">
      <alignment horizontal="center" vertical="top" wrapText="1"/>
    </xf>
    <xf numFmtId="174" fontId="109" fillId="0" borderId="4" xfId="1" applyNumberFormat="1" applyFont="1" applyFill="1" applyBorder="1" applyAlignment="1">
      <alignment horizontal="center"/>
    </xf>
    <xf numFmtId="0" fontId="81" fillId="7" borderId="0" xfId="0" applyFont="1" applyFill="1" applyAlignment="1">
      <alignment horizontal="center"/>
    </xf>
    <xf numFmtId="0" fontId="81" fillId="0" borderId="184" xfId="0" applyFont="1" applyBorder="1" applyAlignment="1">
      <alignment horizontal="center"/>
    </xf>
    <xf numFmtId="0" fontId="81" fillId="0" borderId="184" xfId="0" applyFont="1" applyBorder="1"/>
    <xf numFmtId="0" fontId="83" fillId="0" borderId="184" xfId="0" applyFont="1" applyBorder="1"/>
    <xf numFmtId="0" fontId="81" fillId="0" borderId="194" xfId="0" applyFont="1" applyBorder="1"/>
    <xf numFmtId="0" fontId="81" fillId="0" borderId="195" xfId="0" applyFont="1" applyBorder="1"/>
    <xf numFmtId="0" fontId="81" fillId="0" borderId="196" xfId="0" applyFont="1" applyBorder="1"/>
    <xf numFmtId="0" fontId="81" fillId="0" borderId="197" xfId="0" applyFont="1" applyBorder="1"/>
    <xf numFmtId="0" fontId="105" fillId="7" borderId="0" xfId="0" applyFont="1" applyFill="1" applyAlignment="1">
      <alignment horizontal="center" wrapText="1"/>
    </xf>
    <xf numFmtId="0" fontId="111" fillId="7" borderId="0" xfId="0" applyFont="1" applyFill="1" applyAlignment="1">
      <alignment wrapText="1"/>
    </xf>
    <xf numFmtId="0" fontId="83" fillId="7" borderId="0" xfId="0" applyFont="1" applyFill="1"/>
    <xf numFmtId="171" fontId="5" fillId="0" borderId="0" xfId="0" applyNumberFormat="1" applyFont="1" applyAlignment="1">
      <alignment vertical="top"/>
    </xf>
    <xf numFmtId="0" fontId="81" fillId="0" borderId="193" xfId="0" applyFont="1" applyBorder="1" applyAlignment="1">
      <alignment wrapText="1"/>
    </xf>
    <xf numFmtId="174" fontId="5" fillId="0" borderId="0" xfId="0" applyNumberFormat="1" applyFont="1" applyAlignment="1">
      <alignment vertical="top"/>
    </xf>
    <xf numFmtId="174" fontId="5" fillId="12" borderId="0" xfId="0" applyNumberFormat="1" applyFont="1" applyFill="1" applyAlignment="1">
      <alignment vertical="top"/>
    </xf>
    <xf numFmtId="0" fontId="105" fillId="7" borderId="193" xfId="0" applyFont="1" applyFill="1" applyBorder="1" applyAlignment="1">
      <alignment horizontal="right" vertical="top" wrapText="1"/>
    </xf>
    <xf numFmtId="0" fontId="83" fillId="4" borderId="193" xfId="0" applyFont="1" applyFill="1" applyBorder="1" applyAlignment="1">
      <alignment horizontal="right"/>
    </xf>
    <xf numFmtId="174" fontId="81" fillId="0" borderId="193" xfId="0" applyNumberFormat="1" applyFont="1" applyBorder="1" applyAlignment="1">
      <alignment horizontal="right"/>
    </xf>
    <xf numFmtId="0" fontId="81" fillId="0" borderId="193" xfId="0" applyFont="1" applyBorder="1"/>
    <xf numFmtId="0" fontId="83" fillId="7" borderId="193" xfId="0" applyFont="1" applyFill="1" applyBorder="1"/>
    <xf numFmtId="0" fontId="83" fillId="4" borderId="193" xfId="0" applyFont="1" applyFill="1" applyBorder="1" applyAlignment="1">
      <alignment horizontal="right" vertical="top" wrapText="1"/>
    </xf>
    <xf numFmtId="0" fontId="83" fillId="4" borderId="193" xfId="0" applyFont="1" applyFill="1" applyBorder="1" applyAlignment="1">
      <alignment horizontal="right" wrapText="1"/>
    </xf>
    <xf numFmtId="174" fontId="81" fillId="0" borderId="193" xfId="0" applyNumberFormat="1" applyFont="1" applyBorder="1"/>
    <xf numFmtId="174" fontId="23" fillId="0" borderId="193" xfId="0" applyNumberFormat="1" applyFont="1" applyBorder="1"/>
    <xf numFmtId="0" fontId="79" fillId="0" borderId="11" xfId="0" applyFont="1" applyBorder="1" applyAlignment="1">
      <alignment vertical="top" wrapText="1"/>
    </xf>
    <xf numFmtId="0" fontId="69" fillId="0" borderId="200" xfId="0" applyFont="1" applyBorder="1" applyAlignment="1">
      <alignment vertical="top"/>
    </xf>
    <xf numFmtId="0" fontId="69" fillId="0" borderId="201" xfId="0" applyFont="1" applyBorder="1" applyAlignment="1">
      <alignment vertical="top" wrapText="1"/>
    </xf>
    <xf numFmtId="0" fontId="69" fillId="0" borderId="201" xfId="0" applyFont="1" applyBorder="1" applyAlignment="1">
      <alignment vertical="top"/>
    </xf>
    <xf numFmtId="0" fontId="69" fillId="0" borderId="203" xfId="0" applyFont="1" applyBorder="1" applyAlignment="1">
      <alignment vertical="top"/>
    </xf>
    <xf numFmtId="0" fontId="69" fillId="0" borderId="204" xfId="0" applyFont="1" applyBorder="1" applyAlignment="1">
      <alignment vertical="top" wrapText="1"/>
    </xf>
    <xf numFmtId="0" fontId="69" fillId="0" borderId="204" xfId="0" applyFont="1" applyBorder="1" applyAlignment="1">
      <alignment vertical="top"/>
    </xf>
    <xf numFmtId="0" fontId="126" fillId="0" borderId="0" xfId="0" applyFont="1"/>
    <xf numFmtId="0" fontId="127" fillId="0" borderId="0" xfId="0" applyFont="1"/>
    <xf numFmtId="174" fontId="5" fillId="0" borderId="0" xfId="1" applyNumberFormat="1" applyFont="1" applyFill="1"/>
    <xf numFmtId="0" fontId="15" fillId="0" borderId="148" xfId="0" applyFont="1" applyBorder="1" applyAlignment="1">
      <alignment vertical="top" wrapText="1"/>
    </xf>
    <xf numFmtId="0" fontId="15" fillId="0" borderId="11" xfId="0" applyFont="1" applyBorder="1" applyAlignment="1">
      <alignment vertical="top" wrapText="1"/>
    </xf>
    <xf numFmtId="0" fontId="79" fillId="0" borderId="141" xfId="0" applyFont="1" applyBorder="1" applyAlignment="1">
      <alignment vertical="top" wrapText="1"/>
    </xf>
    <xf numFmtId="0" fontId="15" fillId="0" borderId="141" xfId="0" applyFont="1" applyBorder="1" applyAlignment="1">
      <alignment vertical="top" wrapText="1"/>
    </xf>
    <xf numFmtId="0" fontId="15" fillId="0" borderId="141" xfId="0" applyFont="1" applyBorder="1" applyAlignment="1">
      <alignment horizontal="center" vertical="top" wrapText="1"/>
    </xf>
    <xf numFmtId="0" fontId="79" fillId="0" borderId="133" xfId="0" applyFont="1" applyBorder="1" applyAlignment="1">
      <alignment vertical="top" wrapText="1"/>
    </xf>
    <xf numFmtId="0" fontId="15" fillId="0" borderId="133" xfId="0" applyFont="1" applyBorder="1" applyAlignment="1">
      <alignment vertical="top" wrapText="1"/>
    </xf>
    <xf numFmtId="0" fontId="15" fillId="0" borderId="133" xfId="0" applyFont="1" applyBorder="1" applyAlignment="1">
      <alignment horizontal="center" vertical="top" wrapText="1"/>
    </xf>
    <xf numFmtId="0" fontId="79" fillId="0" borderId="199" xfId="0" applyFont="1" applyBorder="1" applyAlignment="1">
      <alignment vertical="top" wrapText="1"/>
    </xf>
    <xf numFmtId="0" fontId="0" fillId="0" borderId="26" xfId="0" applyBorder="1"/>
    <xf numFmtId="0" fontId="79" fillId="0" borderId="26" xfId="0" applyFont="1" applyBorder="1" applyAlignment="1">
      <alignment wrapText="1"/>
    </xf>
    <xf numFmtId="0" fontId="79" fillId="0" borderId="26" xfId="0" applyFont="1" applyBorder="1" applyAlignment="1">
      <alignment vertical="top" wrapText="1"/>
    </xf>
    <xf numFmtId="0" fontId="79" fillId="0" borderId="26" xfId="0" applyFont="1" applyBorder="1"/>
    <xf numFmtId="0" fontId="79" fillId="0" borderId="27" xfId="0" applyFont="1" applyBorder="1"/>
    <xf numFmtId="0" fontId="69" fillId="0" borderId="26" xfId="0" applyFont="1" applyBorder="1"/>
    <xf numFmtId="0" fontId="69" fillId="0" borderId="26" xfId="0" applyFont="1" applyBorder="1" applyAlignment="1">
      <alignment wrapText="1"/>
    </xf>
    <xf numFmtId="0" fontId="69" fillId="0" borderId="26" xfId="0" applyFont="1" applyBorder="1" applyAlignment="1">
      <alignment vertical="top" wrapText="1"/>
    </xf>
    <xf numFmtId="0" fontId="79" fillId="0" borderId="201" xfId="0" applyFont="1" applyBorder="1" applyAlignment="1">
      <alignment vertical="top" wrapText="1"/>
    </xf>
    <xf numFmtId="0" fontId="79" fillId="0" borderId="199" xfId="0" applyFont="1" applyBorder="1" applyAlignment="1">
      <alignment vertical="top"/>
    </xf>
    <xf numFmtId="174" fontId="79" fillId="43" borderId="199" xfId="1" quotePrefix="1" applyNumberFormat="1" applyFont="1" applyFill="1" applyBorder="1" applyAlignment="1">
      <alignment horizontal="left" vertical="top" wrapText="1"/>
    </xf>
    <xf numFmtId="0" fontId="79" fillId="19" borderId="209" xfId="0" applyFont="1" applyFill="1" applyBorder="1" applyAlignment="1">
      <alignment vertical="top" wrapText="1"/>
    </xf>
    <xf numFmtId="0" fontId="79" fillId="0" borderId="201" xfId="0" applyFont="1" applyBorder="1" applyAlignment="1">
      <alignment vertical="top"/>
    </xf>
    <xf numFmtId="174" fontId="79" fillId="43" borderId="201" xfId="1" quotePrefix="1" applyNumberFormat="1" applyFont="1" applyFill="1" applyBorder="1" applyAlignment="1">
      <alignment horizontal="left" vertical="top" wrapText="1"/>
    </xf>
    <xf numFmtId="174" fontId="79" fillId="43" borderId="201" xfId="1" applyNumberFormat="1" applyFont="1" applyFill="1" applyBorder="1" applyAlignment="1">
      <alignment vertical="top"/>
    </xf>
    <xf numFmtId="174" fontId="79" fillId="43" borderId="202" xfId="1" applyNumberFormat="1" applyFont="1" applyFill="1" applyBorder="1" applyAlignment="1">
      <alignment vertical="top"/>
    </xf>
    <xf numFmtId="0" fontId="79" fillId="0" borderId="11" xfId="0" applyFont="1" applyBorder="1" applyAlignment="1">
      <alignment vertical="top"/>
    </xf>
    <xf numFmtId="0" fontId="23" fillId="11" borderId="0" xfId="0" applyFont="1" applyFill="1"/>
    <xf numFmtId="0" fontId="0" fillId="44" borderId="0" xfId="0" applyFill="1" applyAlignment="1">
      <alignment horizontal="left" vertical="top" wrapText="1"/>
    </xf>
    <xf numFmtId="0" fontId="6" fillId="44" borderId="0" xfId="0" applyFont="1" applyFill="1" applyAlignment="1">
      <alignment horizontal="left" vertical="top" wrapText="1"/>
    </xf>
    <xf numFmtId="0" fontId="5" fillId="44" borderId="0" xfId="0" applyFont="1" applyFill="1" applyAlignment="1">
      <alignment horizontal="left" vertical="top" wrapText="1"/>
    </xf>
    <xf numFmtId="0" fontId="0" fillId="44" borderId="0" xfId="0" applyFill="1" applyAlignment="1">
      <alignment vertical="top" wrapText="1"/>
    </xf>
    <xf numFmtId="0" fontId="0" fillId="0" borderId="211" xfId="0" applyBorder="1"/>
    <xf numFmtId="0" fontId="0" fillId="0" borderId="66" xfId="0" applyBorder="1"/>
    <xf numFmtId="0" fontId="0" fillId="0" borderId="66" xfId="0" applyBorder="1" applyAlignment="1">
      <alignment vertical="top" wrapText="1"/>
    </xf>
    <xf numFmtId="0" fontId="0" fillId="0" borderId="66" xfId="0" applyBorder="1" applyAlignment="1">
      <alignment horizontal="left" vertical="top" wrapText="1"/>
    </xf>
    <xf numFmtId="167" fontId="0" fillId="0" borderId="67" xfId="0" applyNumberFormat="1" applyBorder="1"/>
    <xf numFmtId="0" fontId="0" fillId="0" borderId="212" xfId="0" applyBorder="1"/>
    <xf numFmtId="167" fontId="0" fillId="0" borderId="88" xfId="0" applyNumberFormat="1" applyBorder="1"/>
    <xf numFmtId="0" fontId="0" fillId="0" borderId="213" xfId="0" applyBorder="1"/>
    <xf numFmtId="0" fontId="0" fillId="0" borderId="47" xfId="0" applyBorder="1"/>
    <xf numFmtId="0" fontId="0" fillId="0" borderId="47" xfId="0" applyBorder="1" applyAlignment="1">
      <alignment vertical="top" wrapText="1"/>
    </xf>
    <xf numFmtId="0" fontId="0" fillId="0" borderId="47" xfId="0" applyBorder="1" applyAlignment="1">
      <alignment horizontal="left" vertical="top" wrapText="1"/>
    </xf>
    <xf numFmtId="167" fontId="0" fillId="0" borderId="70" xfId="0" applyNumberFormat="1" applyBorder="1"/>
    <xf numFmtId="0" fontId="0" fillId="0" borderId="201" xfId="0" applyBorder="1"/>
    <xf numFmtId="0" fontId="11" fillId="0" borderId="201" xfId="0" applyFont="1" applyBorder="1" applyAlignment="1">
      <alignment wrapText="1"/>
    </xf>
    <xf numFmtId="0" fontId="11" fillId="0" borderId="201" xfId="0" applyFont="1" applyBorder="1" applyAlignment="1">
      <alignment vertical="top" wrapText="1"/>
    </xf>
    <xf numFmtId="0" fontId="11" fillId="0" borderId="201" xfId="0" applyFont="1" applyBorder="1" applyAlignment="1">
      <alignment horizontal="left" vertical="top" wrapText="1"/>
    </xf>
    <xf numFmtId="0" fontId="11" fillId="0" borderId="201" xfId="0" applyFont="1" applyBorder="1"/>
    <xf numFmtId="174" fontId="0" fillId="0" borderId="201" xfId="0" applyNumberFormat="1" applyBorder="1"/>
    <xf numFmtId="174" fontId="0" fillId="0" borderId="201" xfId="0" applyNumberFormat="1" applyBorder="1" applyAlignment="1">
      <alignment vertical="top" wrapText="1"/>
    </xf>
    <xf numFmtId="174" fontId="0" fillId="0" borderId="201" xfId="0" applyNumberFormat="1" applyBorder="1" applyAlignment="1">
      <alignment horizontal="left" vertical="top" wrapText="1"/>
    </xf>
    <xf numFmtId="174" fontId="11" fillId="0" borderId="201" xfId="0" applyNumberFormat="1" applyFont="1" applyBorder="1" applyAlignment="1">
      <alignment horizontal="left" vertical="top" wrapText="1"/>
    </xf>
    <xf numFmtId="0" fontId="69" fillId="17" borderId="202" xfId="0" applyFont="1" applyFill="1" applyBorder="1" applyAlignment="1">
      <alignment vertical="top"/>
    </xf>
    <xf numFmtId="174" fontId="69" fillId="43" borderId="201" xfId="1" applyNumberFormat="1" applyFont="1" applyFill="1" applyBorder="1" applyAlignment="1">
      <alignment vertical="top" wrapText="1"/>
    </xf>
    <xf numFmtId="0" fontId="69" fillId="17" borderId="214" xfId="0" applyFont="1" applyFill="1" applyBorder="1" applyAlignment="1">
      <alignment vertical="top"/>
    </xf>
    <xf numFmtId="174" fontId="81" fillId="0" borderId="0" xfId="1" applyNumberFormat="1" applyFont="1" applyBorder="1"/>
    <xf numFmtId="0" fontId="69" fillId="0" borderId="30" xfId="0" applyFont="1" applyBorder="1" applyAlignment="1">
      <alignment vertical="top"/>
    </xf>
    <xf numFmtId="0" fontId="69" fillId="0" borderId="199" xfId="0" applyFont="1" applyBorder="1" applyAlignment="1">
      <alignment vertical="top" wrapText="1"/>
    </xf>
    <xf numFmtId="0" fontId="69" fillId="0" borderId="199" xfId="0" applyFont="1" applyBorder="1" applyAlignment="1">
      <alignment vertical="top"/>
    </xf>
    <xf numFmtId="0" fontId="0" fillId="0" borderId="204" xfId="0" applyBorder="1"/>
    <xf numFmtId="0" fontId="69" fillId="0" borderId="11" xfId="0" applyFont="1" applyBorder="1"/>
    <xf numFmtId="0" fontId="69" fillId="0" borderId="201" xfId="0" applyFont="1" applyBorder="1"/>
    <xf numFmtId="174" fontId="69" fillId="8" borderId="216" xfId="0" applyNumberFormat="1" applyFont="1" applyFill="1" applyBorder="1" applyAlignment="1">
      <alignment horizontal="right"/>
    </xf>
    <xf numFmtId="0" fontId="69" fillId="0" borderId="199" xfId="0" applyFont="1" applyBorder="1"/>
    <xf numFmtId="0" fontId="69" fillId="0" borderId="16" xfId="0" applyFont="1" applyBorder="1"/>
    <xf numFmtId="0" fontId="35" fillId="0" borderId="0" xfId="0" applyFont="1" applyAlignment="1">
      <alignment wrapText="1"/>
    </xf>
    <xf numFmtId="174" fontId="69" fillId="43" borderId="8" xfId="1" applyNumberFormat="1" applyFont="1" applyFill="1" applyBorder="1" applyAlignment="1">
      <alignment vertical="top"/>
    </xf>
    <xf numFmtId="0" fontId="69" fillId="17" borderId="61" xfId="0" applyFont="1" applyFill="1" applyBorder="1" applyAlignment="1">
      <alignment vertical="top"/>
    </xf>
    <xf numFmtId="0" fontId="15" fillId="0" borderId="8" xfId="0" applyFont="1" applyBorder="1" applyAlignment="1">
      <alignment vertical="top" wrapText="1"/>
    </xf>
    <xf numFmtId="0" fontId="15" fillId="0" borderId="217" xfId="0" applyFont="1" applyBorder="1" applyAlignment="1">
      <alignment vertical="top" wrapText="1"/>
    </xf>
    <xf numFmtId="0" fontId="15" fillId="0" borderId="217" xfId="0" applyFont="1" applyBorder="1" applyAlignment="1">
      <alignment horizontal="center" vertical="top" wrapText="1"/>
    </xf>
    <xf numFmtId="0" fontId="69" fillId="0" borderId="217" xfId="0" applyFont="1" applyBorder="1" applyAlignment="1">
      <alignment vertical="top" wrapText="1"/>
    </xf>
    <xf numFmtId="167" fontId="132" fillId="0" borderId="222" xfId="0" applyNumberFormat="1" applyFont="1" applyBorder="1"/>
    <xf numFmtId="0" fontId="132" fillId="0" borderId="30" xfId="0" applyFont="1" applyBorder="1"/>
    <xf numFmtId="167" fontId="132" fillId="0" borderId="28" xfId="0" quotePrefix="1" applyNumberFormat="1" applyFont="1" applyBorder="1"/>
    <xf numFmtId="167" fontId="132" fillId="0" borderId="30" xfId="0" applyNumberFormat="1" applyFont="1" applyBorder="1"/>
    <xf numFmtId="167" fontId="132" fillId="0" borderId="28" xfId="0" applyNumberFormat="1" applyFont="1" applyBorder="1"/>
    <xf numFmtId="167" fontId="132" fillId="0" borderId="9" xfId="0" applyNumberFormat="1" applyFont="1" applyBorder="1"/>
    <xf numFmtId="167" fontId="132" fillId="0" borderId="10" xfId="0" applyNumberFormat="1" applyFont="1" applyBorder="1"/>
    <xf numFmtId="167" fontId="133" fillId="0" borderId="221" xfId="0" applyNumberFormat="1" applyFont="1" applyBorder="1"/>
    <xf numFmtId="0" fontId="69" fillId="0" borderId="217" xfId="0" applyFont="1" applyBorder="1" applyAlignment="1">
      <alignment vertical="top"/>
    </xf>
    <xf numFmtId="0" fontId="91" fillId="0" borderId="0" xfId="0" applyFont="1"/>
    <xf numFmtId="0" fontId="85" fillId="0" borderId="0" xfId="0" applyFont="1"/>
    <xf numFmtId="167" fontId="132" fillId="0" borderId="0" xfId="0" applyNumberFormat="1" applyFont="1"/>
    <xf numFmtId="167" fontId="124" fillId="0" borderId="0" xfId="0" applyNumberFormat="1" applyFont="1"/>
    <xf numFmtId="167" fontId="124" fillId="0" borderId="0" xfId="0" applyNumberFormat="1" applyFont="1" applyAlignment="1">
      <alignment wrapText="1"/>
    </xf>
    <xf numFmtId="0" fontId="132" fillId="0" borderId="0" xfId="0" applyFont="1"/>
    <xf numFmtId="0" fontId="134" fillId="0" borderId="0" xfId="0" applyFont="1" applyAlignment="1">
      <alignment horizontal="center" vertical="top" wrapText="1"/>
    </xf>
    <xf numFmtId="174" fontId="124" fillId="0" borderId="0" xfId="0" applyNumberFormat="1" applyFont="1"/>
    <xf numFmtId="0" fontId="79" fillId="0" borderId="0" xfId="0" applyFont="1" applyAlignment="1">
      <alignment horizontal="center" vertical="top" wrapText="1"/>
    </xf>
    <xf numFmtId="174" fontId="85" fillId="0" borderId="0" xfId="0" applyNumberFormat="1" applyFont="1"/>
    <xf numFmtId="174" fontId="69" fillId="43" borderId="217" xfId="1" applyNumberFormat="1" applyFont="1" applyFill="1" applyBorder="1" applyAlignment="1">
      <alignment vertical="top" wrapText="1"/>
    </xf>
    <xf numFmtId="174" fontId="83" fillId="0" borderId="193" xfId="0" applyNumberFormat="1" applyFont="1" applyBorder="1" applyAlignment="1">
      <alignment horizontal="right"/>
    </xf>
    <xf numFmtId="0" fontId="0" fillId="0" borderId="66" xfId="0" applyBorder="1" applyAlignment="1">
      <alignment wrapText="1"/>
    </xf>
    <xf numFmtId="0" fontId="128" fillId="0" borderId="0" xfId="0" applyFont="1" applyAlignment="1">
      <alignment wrapText="1"/>
    </xf>
    <xf numFmtId="0" fontId="5" fillId="0" borderId="201" xfId="0" applyFont="1" applyBorder="1" applyAlignment="1">
      <alignment wrapText="1"/>
    </xf>
    <xf numFmtId="0" fontId="0" fillId="0" borderId="201" xfId="0" applyBorder="1" applyAlignment="1">
      <alignment wrapText="1"/>
    </xf>
    <xf numFmtId="0" fontId="0" fillId="44" borderId="201" xfId="0" applyFill="1" applyBorder="1" applyAlignment="1">
      <alignment wrapText="1"/>
    </xf>
    <xf numFmtId="0" fontId="0" fillId="0" borderId="47" xfId="0" applyBorder="1" applyAlignment="1">
      <alignment wrapText="1"/>
    </xf>
    <xf numFmtId="166" fontId="124" fillId="0" borderId="0" xfId="1" applyFont="1"/>
    <xf numFmtId="171" fontId="124" fillId="0" borderId="0" xfId="1" applyNumberFormat="1" applyFont="1"/>
    <xf numFmtId="171" fontId="124" fillId="0" borderId="0" xfId="1" applyNumberFormat="1" applyFont="1" applyFill="1"/>
    <xf numFmtId="0" fontId="105" fillId="7" borderId="217" xfId="0" applyFont="1" applyFill="1" applyBorder="1" applyAlignment="1">
      <alignment horizontal="right" vertical="top" wrapText="1"/>
    </xf>
    <xf numFmtId="0" fontId="83" fillId="4" borderId="217" xfId="0" applyFont="1" applyFill="1" applyBorder="1" applyAlignment="1">
      <alignment horizontal="right"/>
    </xf>
    <xf numFmtId="173" fontId="81" fillId="0" borderId="48" xfId="4" applyNumberFormat="1" applyFont="1" applyFill="1" applyBorder="1"/>
    <xf numFmtId="174" fontId="116" fillId="0" borderId="0" xfId="1" applyNumberFormat="1" applyFont="1" applyFill="1"/>
    <xf numFmtId="0" fontId="34" fillId="0" borderId="0" xfId="0" applyFont="1" applyAlignment="1">
      <alignment vertical="top"/>
    </xf>
    <xf numFmtId="174" fontId="81" fillId="0" borderId="185" xfId="1" applyNumberFormat="1" applyFont="1" applyFill="1" applyBorder="1"/>
    <xf numFmtId="171" fontId="23" fillId="0" borderId="0" xfId="1" applyNumberFormat="1" applyFont="1"/>
    <xf numFmtId="4" fontId="5" fillId="0" borderId="0" xfId="0" applyNumberFormat="1" applyFont="1"/>
    <xf numFmtId="0" fontId="69" fillId="0" borderId="66" xfId="0" applyFont="1" applyBorder="1" applyAlignment="1">
      <alignment vertical="top" wrapText="1"/>
    </xf>
    <xf numFmtId="0" fontId="69" fillId="19" borderId="214" xfId="0" applyFont="1" applyFill="1" applyBorder="1" applyAlignment="1">
      <alignment vertical="top"/>
    </xf>
    <xf numFmtId="0" fontId="79" fillId="0" borderId="217" xfId="0" applyFont="1" applyBorder="1" applyAlignment="1">
      <alignment vertical="top" wrapText="1"/>
    </xf>
    <xf numFmtId="0" fontId="79" fillId="0" borderId="217" xfId="0" applyFont="1" applyBorder="1" applyAlignment="1">
      <alignment wrapText="1"/>
    </xf>
    <xf numFmtId="0" fontId="79" fillId="0" borderId="217" xfId="0" applyFont="1" applyBorder="1"/>
    <xf numFmtId="174" fontId="81" fillId="0" borderId="217" xfId="0" applyNumberFormat="1" applyFont="1" applyBorder="1"/>
    <xf numFmtId="0" fontId="71" fillId="0" borderId="11" xfId="0" applyFont="1" applyBorder="1" applyAlignment="1">
      <alignment vertical="top" wrapText="1"/>
    </xf>
    <xf numFmtId="0" fontId="71" fillId="0" borderId="11" xfId="0" applyFont="1" applyBorder="1" applyAlignment="1">
      <alignment horizontal="center" vertical="top" wrapText="1"/>
    </xf>
    <xf numFmtId="0" fontId="71" fillId="0" borderId="68" xfId="0" applyFont="1" applyBorder="1" applyAlignment="1">
      <alignment horizontal="center" vertical="top" wrapText="1"/>
    </xf>
    <xf numFmtId="0" fontId="71" fillId="0" borderId="56" xfId="0" applyFont="1" applyBorder="1" applyAlignment="1">
      <alignment vertical="top" wrapText="1"/>
    </xf>
    <xf numFmtId="0" fontId="71" fillId="0" borderId="56" xfId="0" applyFont="1" applyBorder="1" applyAlignment="1">
      <alignment horizontal="center" vertical="top" wrapText="1"/>
    </xf>
    <xf numFmtId="0" fontId="71" fillId="0" borderId="217" xfId="0" applyFont="1" applyBorder="1" applyAlignment="1">
      <alignment vertical="top" wrapText="1"/>
    </xf>
    <xf numFmtId="0" fontId="71" fillId="0" borderId="217" xfId="0" applyFont="1" applyBorder="1" applyAlignment="1">
      <alignment horizontal="center" vertical="top" wrapText="1"/>
    </xf>
    <xf numFmtId="0" fontId="71" fillId="0" borderId="8" xfId="0" applyFont="1" applyBorder="1" applyAlignment="1">
      <alignment vertical="top" wrapText="1"/>
    </xf>
    <xf numFmtId="174" fontId="81" fillId="0" borderId="193" xfId="0" applyNumberFormat="1" applyFont="1" applyBorder="1" applyAlignment="1">
      <alignment horizontal="right" vertical="top"/>
    </xf>
    <xf numFmtId="174" fontId="81" fillId="0" borderId="217" xfId="0" applyNumberFormat="1" applyFont="1" applyBorder="1" applyAlignment="1">
      <alignment vertical="top"/>
    </xf>
    <xf numFmtId="0" fontId="83" fillId="4" borderId="0" xfId="0" applyFont="1" applyFill="1" applyAlignment="1">
      <alignment horizontal="center" wrapText="1"/>
    </xf>
    <xf numFmtId="14" fontId="105" fillId="7" borderId="4" xfId="0" applyNumberFormat="1" applyFont="1" applyFill="1" applyBorder="1" applyAlignment="1">
      <alignment horizontal="left"/>
    </xf>
    <xf numFmtId="0" fontId="81" fillId="4" borderId="4" xfId="0" applyFont="1" applyFill="1" applyBorder="1" applyAlignment="1">
      <alignment horizontal="center"/>
    </xf>
    <xf numFmtId="0" fontId="81" fillId="0" borderId="223" xfId="0" applyFont="1" applyBorder="1"/>
    <xf numFmtId="0" fontId="81" fillId="0" borderId="188" xfId="0" applyFont="1" applyBorder="1"/>
    <xf numFmtId="0" fontId="69" fillId="17" borderId="224" xfId="0" applyFont="1" applyFill="1" applyBorder="1" applyAlignment="1">
      <alignment vertical="top"/>
    </xf>
    <xf numFmtId="174" fontId="69" fillId="43" borderId="217" xfId="1" applyNumberFormat="1" applyFont="1" applyFill="1" applyBorder="1" applyAlignment="1">
      <alignment vertical="top"/>
    </xf>
    <xf numFmtId="0" fontId="69" fillId="0" borderId="48" xfId="0" applyFont="1" applyBorder="1" applyAlignment="1">
      <alignment horizontal="center" vertical="top" wrapText="1"/>
    </xf>
    <xf numFmtId="0" fontId="115" fillId="104" borderId="0" xfId="0" applyFont="1" applyFill="1" applyAlignment="1">
      <alignment horizontal="right"/>
    </xf>
    <xf numFmtId="0" fontId="115" fillId="104" borderId="30" xfId="0" applyFont="1" applyFill="1" applyBorder="1" applyAlignment="1">
      <alignment horizontal="right"/>
    </xf>
    <xf numFmtId="0" fontId="115" fillId="104" borderId="28" xfId="0" applyFont="1" applyFill="1" applyBorder="1" applyAlignment="1">
      <alignment horizontal="right"/>
    </xf>
    <xf numFmtId="174" fontId="81" fillId="0" borderId="28" xfId="0" applyNumberFormat="1" applyFont="1" applyBorder="1"/>
    <xf numFmtId="174" fontId="81" fillId="0" borderId="221" xfId="0" applyNumberFormat="1" applyFont="1" applyBorder="1" applyAlignment="1">
      <alignment vertical="top" wrapText="1"/>
    </xf>
    <xf numFmtId="174" fontId="81" fillId="0" borderId="222" xfId="0" applyNumberFormat="1" applyFont="1" applyBorder="1" applyAlignment="1">
      <alignment vertical="top" wrapText="1"/>
    </xf>
    <xf numFmtId="174" fontId="81" fillId="0" borderId="218" xfId="0" applyNumberFormat="1" applyFont="1" applyBorder="1" applyAlignment="1">
      <alignment vertical="top" wrapText="1"/>
    </xf>
    <xf numFmtId="174" fontId="81" fillId="0" borderId="9" xfId="0" applyNumberFormat="1" applyFont="1" applyBorder="1"/>
    <xf numFmtId="174" fontId="81" fillId="0" borderId="10" xfId="0" applyNumberFormat="1" applyFont="1" applyBorder="1"/>
    <xf numFmtId="174" fontId="81" fillId="0" borderId="1" xfId="0" applyNumberFormat="1" applyFont="1" applyBorder="1"/>
    <xf numFmtId="174" fontId="81" fillId="0" borderId="223" xfId="0" applyNumberFormat="1" applyFont="1" applyBorder="1"/>
    <xf numFmtId="174" fontId="81" fillId="0" borderId="188" xfId="0" applyNumberFormat="1" applyFont="1" applyBorder="1"/>
    <xf numFmtId="174" fontId="81" fillId="0" borderId="219" xfId="0" applyNumberFormat="1" applyFont="1" applyBorder="1"/>
    <xf numFmtId="174" fontId="83" fillId="0" borderId="221" xfId="0" applyNumberFormat="1" applyFont="1" applyBorder="1"/>
    <xf numFmtId="174" fontId="83" fillId="0" borderId="222" xfId="0" applyNumberFormat="1" applyFont="1" applyBorder="1"/>
    <xf numFmtId="174" fontId="83" fillId="0" borderId="218" xfId="0" applyNumberFormat="1" applyFont="1" applyBorder="1"/>
    <xf numFmtId="0" fontId="84" fillId="0" borderId="0" xfId="0" applyFont="1" applyAlignment="1">
      <alignment vertical="top"/>
    </xf>
    <xf numFmtId="0" fontId="115" fillId="104" borderId="11" xfId="0" applyFont="1" applyFill="1" applyBorder="1" applyAlignment="1">
      <alignment horizontal="right"/>
    </xf>
    <xf numFmtId="0" fontId="115" fillId="104" borderId="9" xfId="0" applyFont="1" applyFill="1" applyBorder="1" applyAlignment="1">
      <alignment horizontal="right"/>
    </xf>
    <xf numFmtId="0" fontId="115" fillId="104" borderId="1" xfId="0" applyFont="1" applyFill="1" applyBorder="1" applyAlignment="1">
      <alignment horizontal="right"/>
    </xf>
    <xf numFmtId="0" fontId="115" fillId="104" borderId="10" xfId="0" applyFont="1" applyFill="1" applyBorder="1" applyAlignment="1">
      <alignment horizontal="right"/>
    </xf>
    <xf numFmtId="174" fontId="81" fillId="0" borderId="11" xfId="0" applyNumberFormat="1" applyFont="1" applyBorder="1"/>
    <xf numFmtId="174" fontId="81" fillId="0" borderId="8" xfId="0" applyNumberFormat="1" applyFont="1" applyBorder="1"/>
    <xf numFmtId="174" fontId="81" fillId="0" borderId="221" xfId="0" applyNumberFormat="1" applyFont="1" applyBorder="1"/>
    <xf numFmtId="0" fontId="115" fillId="104" borderId="28" xfId="0" applyFont="1" applyFill="1" applyBorder="1" applyAlignment="1">
      <alignment horizontal="right" vertical="top" wrapText="1"/>
    </xf>
    <xf numFmtId="0" fontId="83" fillId="0" borderId="219" xfId="0" applyFont="1" applyBorder="1"/>
    <xf numFmtId="174" fontId="83" fillId="0" borderId="217" xfId="0" applyNumberFormat="1" applyFont="1" applyBorder="1"/>
    <xf numFmtId="0" fontId="115" fillId="104" borderId="30" xfId="0" applyFont="1" applyFill="1" applyBorder="1" applyAlignment="1">
      <alignment horizontal="right" vertical="top" wrapText="1"/>
    </xf>
    <xf numFmtId="0" fontId="115" fillId="104" borderId="11" xfId="0" applyFont="1" applyFill="1" applyBorder="1" applyAlignment="1">
      <alignment horizontal="center" vertical="center" wrapText="1"/>
    </xf>
    <xf numFmtId="0" fontId="83" fillId="0" borderId="188" xfId="0" applyFont="1" applyBorder="1"/>
    <xf numFmtId="0" fontId="69" fillId="0" borderId="73" xfId="0" applyFont="1" applyBorder="1" applyAlignment="1">
      <alignment vertical="top" wrapText="1"/>
    </xf>
    <xf numFmtId="0" fontId="81" fillId="0" borderId="217" xfId="0" applyFont="1" applyBorder="1" applyAlignment="1">
      <alignment vertical="top" wrapText="1"/>
    </xf>
    <xf numFmtId="0" fontId="81" fillId="0" borderId="218" xfId="0" applyFont="1" applyBorder="1" applyAlignment="1">
      <alignment vertical="top" wrapText="1"/>
    </xf>
    <xf numFmtId="0" fontId="105" fillId="7" borderId="199" xfId="0" applyFont="1" applyFill="1" applyBorder="1" applyAlignment="1">
      <alignment vertical="top" wrapText="1"/>
    </xf>
    <xf numFmtId="0" fontId="106" fillId="7" borderId="8" xfId="0" applyFont="1" applyFill="1" applyBorder="1" applyAlignment="1">
      <alignment horizontal="right" vertical="top" wrapText="1"/>
    </xf>
    <xf numFmtId="14" fontId="105" fillId="7" borderId="217" xfId="0" applyNumberFormat="1" applyFont="1" applyFill="1" applyBorder="1" applyAlignment="1">
      <alignment horizontal="center" vertical="top"/>
    </xf>
    <xf numFmtId="174" fontId="113" fillId="43" borderId="217" xfId="1" applyNumberFormat="1" applyFont="1" applyFill="1" applyBorder="1" applyAlignment="1">
      <alignment vertical="top"/>
    </xf>
    <xf numFmtId="174" fontId="113" fillId="43" borderId="217" xfId="1" applyNumberFormat="1" applyFont="1" applyFill="1" applyBorder="1" applyAlignment="1">
      <alignment horizontal="left" vertical="top" wrapText="1"/>
    </xf>
    <xf numFmtId="174" fontId="113" fillId="43" borderId="217" xfId="1" applyNumberFormat="1" applyFont="1" applyFill="1" applyBorder="1" applyAlignment="1">
      <alignment vertical="top" wrapText="1"/>
    </xf>
    <xf numFmtId="0" fontId="105" fillId="7" borderId="217" xfId="0" applyFont="1" applyFill="1" applyBorder="1" applyAlignment="1">
      <alignment vertical="top" wrapText="1"/>
    </xf>
    <xf numFmtId="174" fontId="113" fillId="43" borderId="217" xfId="8" applyNumberFormat="1" applyFont="1" applyFill="1" applyBorder="1"/>
    <xf numFmtId="174" fontId="112" fillId="0" borderId="217" xfId="8" applyNumberFormat="1" applyFont="1" applyBorder="1"/>
    <xf numFmtId="14" fontId="105" fillId="7" borderId="217" xfId="0" applyNumberFormat="1" applyFont="1" applyFill="1" applyBorder="1" applyAlignment="1">
      <alignment horizontal="center"/>
    </xf>
    <xf numFmtId="174" fontId="83" fillId="0" borderId="217" xfId="0" applyNumberFormat="1" applyFont="1" applyBorder="1" applyAlignment="1">
      <alignment vertical="top"/>
    </xf>
    <xf numFmtId="14" fontId="105" fillId="7" borderId="217" xfId="0" applyNumberFormat="1" applyFont="1" applyFill="1" applyBorder="1" applyAlignment="1">
      <alignment vertical="top" wrapText="1"/>
    </xf>
    <xf numFmtId="14" fontId="105" fillId="7" borderId="217" xfId="0" applyNumberFormat="1" applyFont="1" applyFill="1" applyBorder="1" applyAlignment="1">
      <alignment wrapText="1"/>
    </xf>
    <xf numFmtId="174" fontId="113" fillId="43" borderId="217" xfId="1" applyNumberFormat="1" applyFont="1" applyFill="1" applyBorder="1"/>
    <xf numFmtId="174" fontId="83" fillId="0" borderId="217" xfId="1" applyNumberFormat="1" applyFont="1" applyBorder="1" applyAlignment="1">
      <alignment vertical="top"/>
    </xf>
    <xf numFmtId="14" fontId="105" fillId="7" borderId="199" xfId="0" applyNumberFormat="1" applyFont="1" applyFill="1" applyBorder="1" applyAlignment="1">
      <alignment horizontal="center" vertical="top"/>
    </xf>
    <xf numFmtId="14" fontId="105" fillId="7" borderId="11" xfId="0" applyNumberFormat="1" applyFont="1" applyFill="1" applyBorder="1" applyAlignment="1">
      <alignment horizontal="center" vertical="top"/>
    </xf>
    <xf numFmtId="14" fontId="105" fillId="7" borderId="8" xfId="0" applyNumberFormat="1" applyFont="1" applyFill="1" applyBorder="1" applyAlignment="1">
      <alignment horizontal="center" vertical="top"/>
    </xf>
    <xf numFmtId="0" fontId="81" fillId="4" borderId="217" xfId="0" applyFont="1" applyFill="1" applyBorder="1" applyAlignment="1">
      <alignment horizontal="right"/>
    </xf>
    <xf numFmtId="174" fontId="81" fillId="43" borderId="217" xfId="1" applyNumberFormat="1" applyFont="1" applyFill="1" applyBorder="1" applyAlignment="1">
      <alignment vertical="top" wrapText="1"/>
    </xf>
    <xf numFmtId="174" fontId="83" fillId="0" borderId="217" xfId="1" applyNumberFormat="1" applyFont="1" applyBorder="1" applyAlignment="1">
      <alignment vertical="top" wrapText="1"/>
    </xf>
    <xf numFmtId="0" fontId="83" fillId="0" borderId="217" xfId="0" applyFont="1" applyBorder="1" applyAlignment="1">
      <alignment vertical="top" wrapText="1"/>
    </xf>
    <xf numFmtId="171" fontId="81" fillId="0" borderId="217" xfId="1" applyNumberFormat="1" applyFont="1" applyBorder="1" applyAlignment="1">
      <alignment vertical="top" wrapText="1"/>
    </xf>
    <xf numFmtId="171" fontId="83" fillId="0" borderId="217" xfId="1" applyNumberFormat="1" applyFont="1" applyBorder="1" applyAlignment="1">
      <alignment vertical="top" wrapText="1"/>
    </xf>
    <xf numFmtId="0" fontId="81" fillId="0" borderId="218" xfId="0" applyFont="1" applyBorder="1" applyAlignment="1">
      <alignment vertical="top"/>
    </xf>
    <xf numFmtId="0" fontId="83" fillId="0" borderId="218" xfId="10" applyFont="1" applyBorder="1"/>
    <xf numFmtId="0" fontId="83" fillId="0" borderId="1" xfId="10" applyFont="1" applyBorder="1"/>
    <xf numFmtId="0" fontId="105" fillId="7" borderId="0" xfId="0" applyFont="1" applyFill="1" applyAlignment="1">
      <alignment vertical="top"/>
    </xf>
    <xf numFmtId="171" fontId="81" fillId="0" borderId="48" xfId="0" applyNumberFormat="1" applyFont="1" applyBorder="1"/>
    <xf numFmtId="171" fontId="81" fillId="43" borderId="48" xfId="0" applyNumberFormat="1" applyFont="1" applyFill="1" applyBorder="1"/>
    <xf numFmtId="171" fontId="81" fillId="0" borderId="197" xfId="0" applyNumberFormat="1" applyFont="1" applyBorder="1"/>
    <xf numFmtId="171" fontId="105" fillId="7" borderId="0" xfId="0" applyNumberFormat="1" applyFont="1" applyFill="1"/>
    <xf numFmtId="171" fontId="106" fillId="7" borderId="0" xfId="0" applyNumberFormat="1" applyFont="1" applyFill="1"/>
    <xf numFmtId="0" fontId="109" fillId="4" borderId="0" xfId="0" applyFont="1" applyFill="1" applyAlignment="1">
      <alignment vertical="center"/>
    </xf>
    <xf numFmtId="0" fontId="109" fillId="4" borderId="0" xfId="0" applyFont="1" applyFill="1" applyAlignment="1">
      <alignment horizontal="center" vertical="center"/>
    </xf>
    <xf numFmtId="169" fontId="110" fillId="4" borderId="0" xfId="0" applyNumberFormat="1" applyFont="1" applyFill="1" applyAlignment="1">
      <alignment horizontal="center" vertical="center" wrapText="1"/>
    </xf>
    <xf numFmtId="0" fontId="110" fillId="4" borderId="0" xfId="0" applyFont="1" applyFill="1" applyAlignment="1">
      <alignment vertical="center"/>
    </xf>
    <xf numFmtId="169" fontId="109" fillId="4" borderId="0" xfId="0" applyNumberFormat="1" applyFont="1" applyFill="1" applyAlignment="1">
      <alignment horizontal="center" vertical="center"/>
    </xf>
    <xf numFmtId="0" fontId="109" fillId="0" borderId="0" xfId="0" applyFont="1" applyAlignment="1">
      <alignment vertical="center" wrapText="1"/>
    </xf>
    <xf numFmtId="0" fontId="109" fillId="0" borderId="0" xfId="0" applyFont="1" applyAlignment="1">
      <alignment horizontal="center" vertical="center"/>
    </xf>
    <xf numFmtId="174" fontId="109" fillId="0" borderId="0" xfId="0" applyNumberFormat="1" applyFont="1" applyAlignment="1">
      <alignment vertical="center"/>
    </xf>
    <xf numFmtId="0" fontId="109" fillId="0" borderId="0" xfId="0" applyFont="1" applyAlignment="1">
      <alignment vertical="center"/>
    </xf>
    <xf numFmtId="0" fontId="111" fillId="7" borderId="0" xfId="0" applyFont="1" applyFill="1" applyAlignment="1">
      <alignment vertical="center" wrapText="1"/>
    </xf>
    <xf numFmtId="0" fontId="137" fillId="7" borderId="0" xfId="0" applyFont="1" applyFill="1" applyAlignment="1">
      <alignment horizontal="center" vertical="center"/>
    </xf>
    <xf numFmtId="174" fontId="111" fillId="7" borderId="0" xfId="0" applyNumberFormat="1" applyFont="1" applyFill="1" applyAlignment="1">
      <alignment vertical="center"/>
    </xf>
    <xf numFmtId="0" fontId="109" fillId="0" borderId="0" xfId="0" applyFont="1" applyAlignment="1">
      <alignment horizontal="center" vertical="center" wrapText="1"/>
    </xf>
    <xf numFmtId="174" fontId="109" fillId="0" borderId="0" xfId="0" applyNumberFormat="1" applyFont="1" applyAlignment="1">
      <alignment vertical="center" wrapText="1"/>
    </xf>
    <xf numFmtId="0" fontId="111" fillId="7" borderId="0" xfId="0" applyFont="1" applyFill="1" applyAlignment="1">
      <alignment vertical="center"/>
    </xf>
    <xf numFmtId="0" fontId="111" fillId="7" borderId="0" xfId="0" applyFont="1" applyFill="1" applyAlignment="1">
      <alignment horizontal="center" vertical="center"/>
    </xf>
    <xf numFmtId="169" fontId="109" fillId="0" borderId="0" xfId="0" applyNumberFormat="1" applyFont="1" applyAlignment="1">
      <alignment vertical="center"/>
    </xf>
    <xf numFmtId="166" fontId="109" fillId="0" borderId="0" xfId="1" applyFont="1" applyAlignment="1">
      <alignment vertical="center"/>
    </xf>
    <xf numFmtId="169" fontId="137" fillId="7" borderId="0" xfId="0" applyNumberFormat="1" applyFont="1" applyFill="1" applyAlignment="1">
      <alignment vertical="center"/>
    </xf>
    <xf numFmtId="174" fontId="137" fillId="7" borderId="0" xfId="0" applyNumberFormat="1" applyFont="1" applyFill="1" applyAlignment="1">
      <alignment vertical="center"/>
    </xf>
    <xf numFmtId="0" fontId="109" fillId="4" borderId="0" xfId="0" applyFont="1" applyFill="1" applyAlignment="1">
      <alignment horizontal="right" vertical="top"/>
    </xf>
    <xf numFmtId="169" fontId="109" fillId="4" borderId="0" xfId="0" applyNumberFormat="1" applyFont="1" applyFill="1" applyAlignment="1">
      <alignment horizontal="right" vertical="top" wrapText="1"/>
    </xf>
    <xf numFmtId="0" fontId="109" fillId="4" borderId="0" xfId="0" applyFont="1" applyFill="1"/>
    <xf numFmtId="169" fontId="109" fillId="4" borderId="0" xfId="0" applyNumberFormat="1" applyFont="1" applyFill="1" applyAlignment="1">
      <alignment horizontal="right"/>
    </xf>
    <xf numFmtId="0" fontId="110" fillId="0" borderId="0" xfId="0" applyFont="1" applyAlignment="1">
      <alignment vertical="center" wrapText="1"/>
    </xf>
    <xf numFmtId="0" fontId="110" fillId="0" borderId="0" xfId="0" applyFont="1" applyAlignment="1">
      <alignment horizontal="center" vertical="center"/>
    </xf>
    <xf numFmtId="174" fontId="110" fillId="0" borderId="3" xfId="0" applyNumberFormat="1" applyFont="1" applyBorder="1" applyAlignment="1">
      <alignment vertical="center"/>
    </xf>
    <xf numFmtId="174" fontId="110" fillId="0" borderId="0" xfId="0" applyNumberFormat="1" applyFont="1" applyAlignment="1">
      <alignment vertical="center"/>
    </xf>
    <xf numFmtId="0" fontId="111" fillId="7" borderId="0" xfId="0" applyFont="1" applyFill="1" applyAlignment="1">
      <alignment horizontal="right" vertical="center"/>
    </xf>
    <xf numFmtId="0" fontId="111" fillId="7" borderId="0" xfId="0" applyFont="1" applyFill="1" applyAlignment="1">
      <alignment horizontal="center" vertical="center" wrapText="1"/>
    </xf>
    <xf numFmtId="174" fontId="137" fillId="0" borderId="0" xfId="0" applyNumberFormat="1" applyFont="1" applyAlignment="1">
      <alignment vertical="center"/>
    </xf>
    <xf numFmtId="0" fontId="109" fillId="7" borderId="0" xfId="0" applyFont="1" applyFill="1" applyAlignment="1">
      <alignment vertical="center"/>
    </xf>
    <xf numFmtId="0" fontId="109" fillId="7" borderId="0" xfId="0" applyFont="1" applyFill="1" applyAlignment="1">
      <alignment horizontal="center" vertical="center"/>
    </xf>
    <xf numFmtId="174" fontId="111" fillId="104" borderId="0" xfId="0" applyNumberFormat="1" applyFont="1" applyFill="1" applyAlignment="1">
      <alignment vertical="center"/>
    </xf>
    <xf numFmtId="0" fontId="110" fillId="7" borderId="193" xfId="0" applyFont="1" applyFill="1" applyBorder="1"/>
    <xf numFmtId="0" fontId="110" fillId="4" borderId="193" xfId="0" applyFont="1" applyFill="1" applyBorder="1"/>
    <xf numFmtId="0" fontId="110" fillId="4" borderId="193" xfId="0" applyFont="1" applyFill="1" applyBorder="1" applyAlignment="1">
      <alignment horizontal="right" vertical="center" wrapText="1"/>
    </xf>
    <xf numFmtId="0" fontId="137" fillId="4" borderId="193" xfId="0" applyFont="1" applyFill="1" applyBorder="1"/>
    <xf numFmtId="0" fontId="110" fillId="4" borderId="193" xfId="0" applyFont="1" applyFill="1" applyBorder="1" applyAlignment="1">
      <alignment horizontal="right" wrapText="1"/>
    </xf>
    <xf numFmtId="0" fontId="137" fillId="0" borderId="193" xfId="0" applyFont="1" applyBorder="1"/>
    <xf numFmtId="0" fontId="110" fillId="0" borderId="193" xfId="0" applyFont="1" applyBorder="1" applyAlignment="1">
      <alignment horizontal="right" wrapText="1"/>
    </xf>
    <xf numFmtId="0" fontId="109" fillId="0" borderId="193" xfId="0" applyFont="1" applyBorder="1" applyAlignment="1">
      <alignment wrapText="1"/>
    </xf>
    <xf numFmtId="174" fontId="109" fillId="0" borderId="193" xfId="0" applyNumberFormat="1" applyFont="1" applyBorder="1" applyAlignment="1">
      <alignment horizontal="right"/>
    </xf>
    <xf numFmtId="0" fontId="109" fillId="0" borderId="193" xfId="0" applyFont="1" applyBorder="1"/>
    <xf numFmtId="0" fontId="111" fillId="7" borderId="193" xfId="0" applyFont="1" applyFill="1" applyBorder="1"/>
    <xf numFmtId="174" fontId="111" fillId="7" borderId="193" xfId="0" applyNumberFormat="1" applyFont="1" applyFill="1" applyBorder="1" applyAlignment="1">
      <alignment horizontal="right"/>
    </xf>
    <xf numFmtId="0" fontId="110" fillId="0" borderId="193" xfId="0" applyFont="1" applyBorder="1"/>
    <xf numFmtId="174" fontId="110" fillId="0" borderId="193" xfId="0" applyNumberFormat="1" applyFont="1" applyBorder="1" applyAlignment="1">
      <alignment horizontal="right"/>
    </xf>
    <xf numFmtId="0" fontId="110" fillId="0" borderId="193" xfId="0" applyFont="1" applyBorder="1" applyAlignment="1">
      <alignment wrapText="1"/>
    </xf>
    <xf numFmtId="0" fontId="79" fillId="0" borderId="73" xfId="0" applyFont="1" applyBorder="1" applyAlignment="1">
      <alignment vertical="top" wrapText="1"/>
    </xf>
    <xf numFmtId="0" fontId="79" fillId="0" borderId="68" xfId="0" applyFont="1" applyBorder="1" applyAlignment="1">
      <alignment vertical="top" wrapText="1"/>
    </xf>
    <xf numFmtId="0" fontId="81" fillId="0" borderId="217" xfId="0" applyFont="1" applyBorder="1" applyAlignment="1">
      <alignment horizontal="center"/>
    </xf>
    <xf numFmtId="174" fontId="81" fillId="0" borderId="217" xfId="1" applyNumberFormat="1" applyFont="1" applyBorder="1"/>
    <xf numFmtId="174" fontId="69" fillId="19" borderId="224" xfId="0" applyNumberFormat="1" applyFont="1" applyFill="1" applyBorder="1" applyAlignment="1">
      <alignment vertical="top"/>
    </xf>
    <xf numFmtId="174" fontId="69" fillId="19" borderId="217" xfId="0" applyNumberFormat="1" applyFont="1" applyFill="1" applyBorder="1" applyAlignment="1">
      <alignment vertical="top"/>
    </xf>
    <xf numFmtId="14" fontId="105" fillId="7" borderId="0" xfId="0" applyNumberFormat="1" applyFont="1" applyFill="1" applyAlignment="1">
      <alignment horizontal="center" wrapText="1"/>
    </xf>
    <xf numFmtId="174" fontId="83" fillId="0" borderId="0" xfId="0" applyNumberFormat="1" applyFont="1"/>
    <xf numFmtId="174" fontId="81" fillId="0" borderId="225" xfId="0" applyNumberFormat="1" applyFont="1" applyBorder="1"/>
    <xf numFmtId="0" fontId="81" fillId="0" borderId="217" xfId="0" applyFont="1" applyBorder="1"/>
    <xf numFmtId="0" fontId="5" fillId="100" borderId="0" xfId="0" applyFont="1" applyFill="1" applyAlignment="1">
      <alignment wrapText="1"/>
    </xf>
    <xf numFmtId="174" fontId="81" fillId="0" borderId="217" xfId="1" applyNumberFormat="1" applyFont="1" applyFill="1" applyBorder="1"/>
    <xf numFmtId="0" fontId="5" fillId="93" borderId="0" xfId="0" applyFont="1" applyFill="1" applyAlignment="1">
      <alignment wrapText="1"/>
    </xf>
    <xf numFmtId="0" fontId="5" fillId="114" borderId="0" xfId="0" applyFont="1" applyFill="1" applyAlignment="1">
      <alignment wrapText="1"/>
    </xf>
    <xf numFmtId="0" fontId="81" fillId="0" borderId="217" xfId="0" applyFont="1" applyBorder="1" applyAlignment="1">
      <alignment wrapText="1"/>
    </xf>
    <xf numFmtId="0" fontId="79" fillId="0" borderId="217" xfId="0" applyFont="1" applyBorder="1" applyAlignment="1">
      <alignment vertical="top"/>
    </xf>
    <xf numFmtId="0" fontId="79" fillId="10" borderId="48" xfId="0" applyFont="1" applyFill="1" applyBorder="1" applyAlignment="1">
      <alignment vertical="top" wrapText="1"/>
    </xf>
    <xf numFmtId="0" fontId="79" fillId="17" borderId="224" xfId="0" applyFont="1" applyFill="1" applyBorder="1" applyAlignment="1">
      <alignment vertical="top"/>
    </xf>
    <xf numFmtId="0" fontId="11" fillId="0" borderId="0" xfId="0" applyFont="1" applyAlignment="1">
      <alignment horizontal="left" vertical="top"/>
    </xf>
    <xf numFmtId="174" fontId="81" fillId="0" borderId="217" xfId="1" applyNumberFormat="1" applyFont="1" applyBorder="1" applyAlignment="1"/>
    <xf numFmtId="174" fontId="118" fillId="0" borderId="217" xfId="1" applyNumberFormat="1" applyFont="1" applyFill="1" applyBorder="1" applyAlignment="1"/>
    <xf numFmtId="174" fontId="69" fillId="117" borderId="48" xfId="1" applyNumberFormat="1" applyFont="1" applyFill="1" applyBorder="1" applyAlignment="1">
      <alignment vertical="top" wrapText="1"/>
    </xf>
    <xf numFmtId="0" fontId="69" fillId="117" borderId="58" xfId="0" applyFont="1" applyFill="1" applyBorder="1" applyAlignment="1">
      <alignment vertical="top"/>
    </xf>
    <xf numFmtId="174" fontId="69" fillId="117" borderId="58" xfId="1" applyNumberFormat="1" applyFont="1" applyFill="1" applyBorder="1" applyAlignment="1">
      <alignment vertical="top" wrapText="1"/>
    </xf>
    <xf numFmtId="0" fontId="5" fillId="0" borderId="0" xfId="0" applyFont="1" applyAlignment="1">
      <alignment horizontal="left" vertical="center"/>
    </xf>
    <xf numFmtId="174" fontId="79" fillId="117" borderId="48" xfId="1" applyNumberFormat="1" applyFont="1" applyFill="1" applyBorder="1" applyAlignment="1">
      <alignment vertical="top" wrapText="1"/>
    </xf>
    <xf numFmtId="0" fontId="79" fillId="117" borderId="58" xfId="0" applyFont="1" applyFill="1" applyBorder="1" applyAlignment="1">
      <alignment vertical="top"/>
    </xf>
    <xf numFmtId="0" fontId="120" fillId="0" borderId="0" xfId="0" applyFont="1" applyAlignment="1">
      <alignment horizontal="center"/>
    </xf>
    <xf numFmtId="0" fontId="121" fillId="0" borderId="0" xfId="0" applyFont="1" applyAlignment="1">
      <alignment horizontal="center"/>
    </xf>
    <xf numFmtId="0" fontId="81" fillId="0" borderId="30" xfId="0" applyFont="1" applyBorder="1" applyAlignment="1">
      <alignment horizontal="center"/>
    </xf>
    <xf numFmtId="0" fontId="71" fillId="0" borderId="226" xfId="0" applyFont="1" applyBorder="1" applyAlignment="1">
      <alignment vertical="top" wrapText="1"/>
    </xf>
    <xf numFmtId="169" fontId="71" fillId="0" borderId="226" xfId="0" applyNumberFormat="1" applyFont="1" applyBorder="1" applyAlignment="1">
      <alignment horizontal="right" vertical="top" wrapText="1"/>
    </xf>
    <xf numFmtId="169" fontId="71" fillId="0" borderId="226" xfId="0" applyNumberFormat="1" applyFont="1" applyBorder="1" applyAlignment="1">
      <alignment horizontal="right" vertical="top"/>
    </xf>
    <xf numFmtId="0" fontId="71" fillId="0" borderId="227" xfId="0" applyFont="1" applyBorder="1" applyAlignment="1">
      <alignment horizontal="right" vertical="top"/>
    </xf>
    <xf numFmtId="0" fontId="69" fillId="0" borderId="229" xfId="0" applyFont="1" applyBorder="1" applyAlignment="1">
      <alignment vertical="top"/>
    </xf>
    <xf numFmtId="0" fontId="69" fillId="0" borderId="68" xfId="0" applyFont="1" applyBorder="1" applyAlignment="1">
      <alignment vertical="top"/>
    </xf>
    <xf numFmtId="0" fontId="46" fillId="0" borderId="14" xfId="0" quotePrefix="1" applyFont="1" applyBorder="1" applyAlignment="1">
      <alignment horizontal="left"/>
    </xf>
    <xf numFmtId="0" fontId="5" fillId="0" borderId="0" xfId="0" applyFont="1" applyAlignment="1">
      <alignment horizontal="center" wrapText="1"/>
    </xf>
    <xf numFmtId="0" fontId="5" fillId="0" borderId="0" xfId="0" applyFont="1" applyAlignment="1">
      <alignment horizontal="left" vertical="top" wrapText="1"/>
    </xf>
    <xf numFmtId="0" fontId="79" fillId="0" borderId="0" xfId="0" applyFont="1" applyAlignment="1">
      <alignment vertical="top" wrapText="1"/>
    </xf>
    <xf numFmtId="0" fontId="79" fillId="0" borderId="0" xfId="0" applyFont="1" applyAlignment="1">
      <alignment wrapText="1"/>
    </xf>
    <xf numFmtId="0" fontId="68" fillId="0" borderId="0" xfId="0" applyFont="1" applyAlignment="1">
      <alignment wrapText="1"/>
    </xf>
    <xf numFmtId="0" fontId="96" fillId="0" borderId="0" xfId="0" applyFont="1" applyAlignment="1">
      <alignment wrapText="1"/>
    </xf>
    <xf numFmtId="0" fontId="99" fillId="0" borderId="0" xfId="0" applyFont="1" applyAlignment="1">
      <alignment wrapText="1"/>
    </xf>
    <xf numFmtId="0" fontId="97" fillId="0" borderId="0" xfId="0" applyFont="1" applyAlignment="1">
      <alignment wrapText="1"/>
    </xf>
    <xf numFmtId="0" fontId="98" fillId="0" borderId="0" xfId="0" applyFont="1" applyAlignment="1">
      <alignment wrapText="1"/>
    </xf>
    <xf numFmtId="0" fontId="79" fillId="0" borderId="0" xfId="0" applyFont="1" applyAlignment="1">
      <alignment horizontal="left" vertical="top" wrapText="1"/>
    </xf>
    <xf numFmtId="0" fontId="15" fillId="0" borderId="0" xfId="0" applyFont="1" applyAlignment="1">
      <alignment wrapText="1"/>
    </xf>
    <xf numFmtId="0" fontId="100" fillId="0" borderId="0" xfId="0" applyFont="1" applyAlignment="1">
      <alignment wrapText="1"/>
    </xf>
    <xf numFmtId="0" fontId="99" fillId="0" borderId="0" xfId="0" applyFont="1" applyAlignment="1">
      <alignment vertical="top" wrapText="1"/>
    </xf>
    <xf numFmtId="0" fontId="129" fillId="0" borderId="0" xfId="0" applyFont="1" applyAlignment="1">
      <alignment wrapText="1"/>
    </xf>
    <xf numFmtId="0" fontId="101" fillId="0" borderId="0" xfId="0" applyFont="1" applyAlignment="1">
      <alignment wrapText="1"/>
    </xf>
    <xf numFmtId="0" fontId="78" fillId="0" borderId="0" xfId="0" applyFont="1" applyAlignment="1">
      <alignment horizontal="left" vertical="top" wrapText="1"/>
    </xf>
    <xf numFmtId="0" fontId="80" fillId="0" borderId="0" xfId="0" applyFont="1" applyAlignment="1">
      <alignment horizontal="center" vertical="top" wrapText="1"/>
    </xf>
    <xf numFmtId="0" fontId="80" fillId="0" borderId="0" xfId="0" applyFont="1" applyAlignment="1">
      <alignment wrapText="1"/>
    </xf>
    <xf numFmtId="0" fontId="79" fillId="11" borderId="0" xfId="0" applyFont="1" applyFill="1" applyAlignment="1">
      <alignment vertical="top" wrapText="1"/>
    </xf>
    <xf numFmtId="0" fontId="78" fillId="0" borderId="0" xfId="0" applyFont="1" applyAlignment="1">
      <alignment wrapText="1"/>
    </xf>
    <xf numFmtId="0" fontId="70" fillId="11" borderId="0" xfId="0" applyFont="1" applyFill="1" applyAlignment="1">
      <alignment horizontal="left" vertical="center" wrapText="1"/>
    </xf>
    <xf numFmtId="0" fontId="79" fillId="11" borderId="0" xfId="0" applyFont="1" applyFill="1" applyAlignment="1">
      <alignment wrapText="1"/>
    </xf>
    <xf numFmtId="0" fontId="98" fillId="11" borderId="0" xfId="0" applyFont="1" applyFill="1" applyAlignment="1">
      <alignment wrapText="1"/>
    </xf>
    <xf numFmtId="0" fontId="70" fillId="0" borderId="0" xfId="0" applyFont="1" applyAlignment="1">
      <alignment wrapText="1"/>
    </xf>
    <xf numFmtId="0" fontId="79" fillId="0" borderId="0" xfId="0" applyFont="1" applyAlignment="1">
      <alignment vertical="center" wrapText="1"/>
    </xf>
    <xf numFmtId="0" fontId="79" fillId="0" borderId="0" xfId="0" quotePrefix="1" applyFont="1" applyAlignment="1">
      <alignment vertical="center" wrapText="1"/>
    </xf>
    <xf numFmtId="0" fontId="16" fillId="0" borderId="0" xfId="0" applyFont="1" applyAlignment="1">
      <alignment horizontal="center"/>
    </xf>
    <xf numFmtId="0" fontId="11" fillId="0" borderId="0" xfId="0" applyFont="1" applyAlignment="1">
      <alignment horizontal="center"/>
    </xf>
    <xf numFmtId="3" fontId="93" fillId="0" borderId="0" xfId="0" applyNumberFormat="1" applyFont="1" applyAlignment="1">
      <alignment horizontal="center" vertical="top" wrapText="1"/>
    </xf>
    <xf numFmtId="169" fontId="5" fillId="0" borderId="0" xfId="0" applyNumberFormat="1" applyFont="1" applyAlignment="1">
      <alignment horizontal="center"/>
    </xf>
    <xf numFmtId="169" fontId="0" fillId="0" borderId="0" xfId="0" applyNumberFormat="1" applyAlignment="1">
      <alignment horizontal="center"/>
    </xf>
    <xf numFmtId="0" fontId="0" fillId="0" borderId="0" xfId="0" applyAlignment="1">
      <alignment horizontal="center"/>
    </xf>
    <xf numFmtId="0" fontId="15" fillId="0" borderId="0" xfId="0" applyFont="1" applyAlignment="1">
      <alignment horizontal="center" vertical="top"/>
    </xf>
    <xf numFmtId="0" fontId="11" fillId="0" borderId="201" xfId="0" applyFont="1" applyBorder="1" applyAlignment="1">
      <alignment horizontal="center"/>
    </xf>
    <xf numFmtId="0" fontId="11" fillId="0" borderId="201" xfId="0" applyFont="1" applyBorder="1" applyAlignment="1">
      <alignment horizontal="center" vertical="top" wrapText="1"/>
    </xf>
    <xf numFmtId="0" fontId="69" fillId="0" borderId="8" xfId="0" applyFont="1" applyBorder="1" applyAlignment="1">
      <alignment vertical="top" wrapText="1"/>
    </xf>
    <xf numFmtId="0" fontId="69" fillId="0" borderId="217" xfId="0" applyFont="1" applyBorder="1" applyAlignment="1">
      <alignment vertical="top" wrapText="1"/>
    </xf>
    <xf numFmtId="0" fontId="69" fillId="0" borderId="223" xfId="0" applyFont="1" applyBorder="1" applyAlignment="1">
      <alignment horizontal="left" vertical="top" wrapText="1"/>
    </xf>
    <xf numFmtId="0" fontId="69" fillId="0" borderId="219" xfId="0" applyFont="1" applyBorder="1" applyAlignment="1">
      <alignment horizontal="left" vertical="top" wrapText="1"/>
    </xf>
    <xf numFmtId="0" fontId="69" fillId="0" borderId="224" xfId="0" applyFont="1" applyBorder="1" applyAlignment="1">
      <alignment horizontal="left" vertical="top" wrapText="1"/>
    </xf>
    <xf numFmtId="0" fontId="69" fillId="0" borderId="9" xfId="0" applyFont="1" applyBorder="1" applyAlignment="1">
      <alignment horizontal="left" vertical="top" wrapText="1"/>
    </xf>
    <xf numFmtId="0" fontId="69" fillId="0" borderId="1" xfId="0" applyFont="1" applyBorder="1" applyAlignment="1">
      <alignment horizontal="left" vertical="top" wrapText="1"/>
    </xf>
    <xf numFmtId="0" fontId="69" fillId="0" borderId="228" xfId="0" applyFont="1" applyBorder="1" applyAlignment="1">
      <alignment horizontal="left" vertical="top" wrapText="1"/>
    </xf>
    <xf numFmtId="0" fontId="69" fillId="0" borderId="223" xfId="0" quotePrefix="1" applyFont="1" applyBorder="1" applyAlignment="1">
      <alignment horizontal="left" vertical="top" wrapText="1"/>
    </xf>
    <xf numFmtId="0" fontId="69" fillId="0" borderId="219" xfId="0" quotePrefix="1" applyFont="1" applyBorder="1" applyAlignment="1">
      <alignment horizontal="left" vertical="top" wrapText="1"/>
    </xf>
    <xf numFmtId="0" fontId="69" fillId="0" borderId="224" xfId="0" quotePrefix="1" applyFont="1" applyBorder="1" applyAlignment="1">
      <alignment horizontal="left" vertical="top" wrapText="1"/>
    </xf>
    <xf numFmtId="0" fontId="69" fillId="0" borderId="199" xfId="0" applyFont="1" applyBorder="1" applyAlignment="1">
      <alignment horizontal="left" vertical="top" wrapText="1"/>
    </xf>
    <xf numFmtId="0" fontId="69" fillId="0" borderId="8" xfId="0" applyFont="1" applyBorder="1" applyAlignment="1">
      <alignment horizontal="left" vertical="top" wrapText="1"/>
    </xf>
    <xf numFmtId="0" fontId="69" fillId="0" borderId="48" xfId="0" applyFont="1" applyBorder="1" applyAlignment="1">
      <alignment horizontal="left" vertical="top" wrapText="1"/>
    </xf>
    <xf numFmtId="0" fontId="69" fillId="0" borderId="58" xfId="0" applyFont="1" applyBorder="1" applyAlignment="1">
      <alignment horizontal="left" vertical="top" wrapText="1"/>
    </xf>
    <xf numFmtId="0" fontId="69" fillId="0" borderId="48" xfId="0" applyFont="1" applyBorder="1" applyAlignment="1">
      <alignment vertical="top" wrapText="1"/>
    </xf>
    <xf numFmtId="0" fontId="69" fillId="0" borderId="11" xfId="0" applyFont="1" applyBorder="1" applyAlignment="1">
      <alignment horizontal="left" vertical="top" wrapText="1"/>
    </xf>
    <xf numFmtId="0" fontId="69" fillId="0" borderId="59" xfId="0" applyFont="1" applyBorder="1" applyAlignment="1">
      <alignment vertical="top" wrapText="1"/>
    </xf>
    <xf numFmtId="0" fontId="74" fillId="0" borderId="48" xfId="0" applyFont="1" applyBorder="1" applyAlignment="1">
      <alignment horizontal="left" vertical="top" wrapText="1"/>
    </xf>
    <xf numFmtId="0" fontId="74" fillId="0" borderId="58" xfId="0" applyFont="1" applyBorder="1" applyAlignment="1">
      <alignment horizontal="left" vertical="top" wrapText="1"/>
    </xf>
    <xf numFmtId="0" fontId="69" fillId="0" borderId="58" xfId="0" applyFont="1" applyBorder="1" applyAlignment="1">
      <alignment vertical="top" wrapText="1"/>
    </xf>
    <xf numFmtId="0" fontId="69" fillId="0" borderId="48" xfId="0" quotePrefix="1" applyFont="1" applyBorder="1" applyAlignment="1">
      <alignment horizontal="left" vertical="top" wrapText="1"/>
    </xf>
    <xf numFmtId="0" fontId="69" fillId="0" borderId="58" xfId="0" quotePrefix="1" applyFont="1" applyBorder="1" applyAlignment="1">
      <alignment horizontal="left" vertical="top" wrapText="1"/>
    </xf>
    <xf numFmtId="0" fontId="72" fillId="0" borderId="59" xfId="0" applyFont="1" applyBorder="1" applyAlignment="1">
      <alignment horizontal="left" vertical="top" wrapText="1"/>
    </xf>
    <xf numFmtId="0" fontId="72" fillId="0" borderId="60" xfId="0" applyFont="1" applyBorder="1" applyAlignment="1">
      <alignment horizontal="left" vertical="top" wrapText="1"/>
    </xf>
    <xf numFmtId="0" fontId="73" fillId="0" borderId="48" xfId="0" applyFont="1" applyBorder="1" applyAlignment="1">
      <alignment horizontal="left" vertical="top" wrapText="1"/>
    </xf>
    <xf numFmtId="0" fontId="75" fillId="0" borderId="48" xfId="0" applyFont="1" applyBorder="1" applyAlignment="1">
      <alignment horizontal="left" vertical="top" wrapText="1"/>
    </xf>
    <xf numFmtId="0" fontId="75" fillId="0" borderId="58" xfId="0" applyFont="1" applyBorder="1" applyAlignment="1">
      <alignment horizontal="left" vertical="top" wrapText="1"/>
    </xf>
    <xf numFmtId="0" fontId="69" fillId="0" borderId="170" xfId="0" applyFont="1" applyBorder="1" applyAlignment="1">
      <alignment horizontal="left" vertical="top" wrapText="1"/>
    </xf>
    <xf numFmtId="0" fontId="69" fillId="0" borderId="171" xfId="0" applyFont="1" applyBorder="1" applyAlignment="1">
      <alignment horizontal="left" vertical="top" wrapText="1"/>
    </xf>
    <xf numFmtId="0" fontId="69" fillId="0" borderId="48" xfId="0" quotePrefix="1" applyFont="1" applyBorder="1" applyAlignment="1">
      <alignment vertical="top" wrapText="1"/>
    </xf>
    <xf numFmtId="0" fontId="69" fillId="0" borderId="58" xfId="0" quotePrefix="1" applyFont="1" applyBorder="1" applyAlignment="1">
      <alignment vertical="top" wrapText="1"/>
    </xf>
    <xf numFmtId="0" fontId="69" fillId="0" borderId="204" xfId="0" applyFont="1" applyBorder="1" applyAlignment="1">
      <alignment horizontal="left" vertical="top" wrapText="1"/>
    </xf>
    <xf numFmtId="0" fontId="69" fillId="0" borderId="205" xfId="0" applyFont="1" applyBorder="1" applyAlignment="1">
      <alignment horizontal="left" vertical="top" wrapText="1"/>
    </xf>
    <xf numFmtId="0" fontId="69" fillId="0" borderId="56" xfId="0" applyFont="1" applyBorder="1" applyAlignment="1">
      <alignment horizontal="left" vertical="top" wrapText="1"/>
    </xf>
    <xf numFmtId="0" fontId="69" fillId="0" borderId="57" xfId="0" applyFont="1" applyBorder="1" applyAlignment="1">
      <alignment horizontal="left" vertical="top" wrapText="1"/>
    </xf>
    <xf numFmtId="0" fontId="69" fillId="0" borderId="201" xfId="0" applyFont="1" applyBorder="1" applyAlignment="1">
      <alignment horizontal="left" vertical="top" wrapText="1"/>
    </xf>
    <xf numFmtId="0" fontId="69" fillId="0" borderId="202" xfId="0" applyFont="1" applyBorder="1" applyAlignment="1">
      <alignment horizontal="left" vertical="top" wrapText="1"/>
    </xf>
    <xf numFmtId="0" fontId="69" fillId="0" borderId="77" xfId="0" applyFont="1" applyBorder="1" applyAlignment="1">
      <alignment horizontal="left" vertical="top" wrapText="1"/>
    </xf>
    <xf numFmtId="0" fontId="69" fillId="0" borderId="78" xfId="0" applyFont="1" applyBorder="1" applyAlignment="1">
      <alignment horizontal="left" vertical="top" wrapText="1"/>
    </xf>
    <xf numFmtId="0" fontId="69" fillId="0" borderId="79" xfId="0" applyFont="1" applyBorder="1" applyAlignment="1">
      <alignment horizontal="left" vertical="top" wrapText="1"/>
    </xf>
    <xf numFmtId="49" fontId="69" fillId="0" borderId="223" xfId="1" applyNumberFormat="1" applyFont="1" applyFill="1" applyBorder="1" applyAlignment="1">
      <alignment vertical="top" wrapText="1"/>
    </xf>
    <xf numFmtId="49" fontId="69" fillId="0" borderId="219" xfId="1" applyNumberFormat="1" applyFont="1" applyFill="1" applyBorder="1" applyAlignment="1">
      <alignment vertical="top" wrapText="1"/>
    </xf>
    <xf numFmtId="49" fontId="69" fillId="0" borderId="224" xfId="1" applyNumberFormat="1" applyFont="1" applyFill="1" applyBorder="1" applyAlignment="1">
      <alignment vertical="top" wrapText="1"/>
    </xf>
    <xf numFmtId="49" fontId="69" fillId="0" borderId="223" xfId="1" quotePrefix="1" applyNumberFormat="1" applyFont="1" applyFill="1" applyBorder="1" applyAlignment="1">
      <alignment vertical="top" wrapText="1"/>
    </xf>
    <xf numFmtId="174" fontId="69" fillId="0" borderId="223" xfId="1" applyNumberFormat="1" applyFont="1" applyFill="1" applyBorder="1" applyAlignment="1">
      <alignment vertical="top" wrapText="1"/>
    </xf>
    <xf numFmtId="174" fontId="69" fillId="0" borderId="219" xfId="1" applyNumberFormat="1" applyFont="1" applyFill="1" applyBorder="1" applyAlignment="1">
      <alignment vertical="top" wrapText="1"/>
    </xf>
    <xf numFmtId="174" fontId="69" fillId="0" borderId="224" xfId="1" applyNumberFormat="1" applyFont="1" applyFill="1" applyBorder="1" applyAlignment="1">
      <alignment vertical="top" wrapText="1"/>
    </xf>
    <xf numFmtId="0" fontId="69" fillId="0" borderId="80" xfId="0" applyFont="1" applyBorder="1" applyAlignment="1">
      <alignment horizontal="left" vertical="top" wrapText="1"/>
    </xf>
    <xf numFmtId="0" fontId="69" fillId="0" borderId="81" xfId="0" applyFont="1" applyBorder="1" applyAlignment="1">
      <alignment horizontal="left" vertical="top" wrapText="1"/>
    </xf>
    <xf numFmtId="0" fontId="69" fillId="0" borderId="82" xfId="0" applyFont="1" applyBorder="1" applyAlignment="1">
      <alignment horizontal="left" vertical="top" wrapText="1"/>
    </xf>
    <xf numFmtId="0" fontId="69" fillId="0" borderId="74" xfId="0" applyFont="1" applyBorder="1" applyAlignment="1">
      <alignment horizontal="left" vertical="top" wrapText="1"/>
    </xf>
    <xf numFmtId="0" fontId="69" fillId="0" borderId="75" xfId="0" applyFont="1" applyBorder="1" applyAlignment="1">
      <alignment horizontal="left" vertical="top" wrapText="1"/>
    </xf>
    <xf numFmtId="0" fontId="69" fillId="0" borderId="76" xfId="0" applyFont="1" applyBorder="1" applyAlignment="1">
      <alignment horizontal="left" vertical="top" wrapText="1"/>
    </xf>
    <xf numFmtId="0" fontId="69" fillId="0" borderId="198" xfId="0" applyFont="1" applyBorder="1" applyAlignment="1">
      <alignment vertical="top" wrapText="1"/>
    </xf>
    <xf numFmtId="0" fontId="69" fillId="0" borderId="197" xfId="0" applyFont="1" applyBorder="1" applyAlignment="1">
      <alignment vertical="top" wrapText="1"/>
    </xf>
    <xf numFmtId="0" fontId="69" fillId="0" borderId="215" xfId="0" applyFont="1" applyBorder="1" applyAlignment="1">
      <alignment vertical="top" wrapText="1"/>
    </xf>
    <xf numFmtId="0" fontId="69" fillId="0" borderId="77" xfId="0" applyFont="1" applyBorder="1" applyAlignment="1">
      <alignment vertical="top" wrapText="1"/>
    </xf>
    <xf numFmtId="0" fontId="69" fillId="0" borderId="78" xfId="0" applyFont="1" applyBorder="1" applyAlignment="1">
      <alignment vertical="top" wrapText="1"/>
    </xf>
    <xf numFmtId="0" fontId="69" fillId="0" borderId="79" xfId="0" applyFont="1" applyBorder="1" applyAlignment="1">
      <alignment vertical="top" wrapText="1"/>
    </xf>
    <xf numFmtId="0" fontId="72" fillId="0" borderId="78" xfId="0" applyFont="1" applyBorder="1" applyAlignment="1">
      <alignment vertical="top" wrapText="1"/>
    </xf>
    <xf numFmtId="0" fontId="72" fillId="0" borderId="79" xfId="0" applyFont="1" applyBorder="1" applyAlignment="1">
      <alignment vertical="top" wrapText="1"/>
    </xf>
    <xf numFmtId="0" fontId="69" fillId="0" borderId="73" xfId="0" applyFont="1" applyBorder="1" applyAlignment="1">
      <alignment vertical="top" wrapText="1"/>
    </xf>
    <xf numFmtId="0" fontId="69" fillId="0" borderId="11" xfId="0" applyFont="1" applyBorder="1" applyAlignment="1">
      <alignment vertical="top" wrapText="1"/>
    </xf>
    <xf numFmtId="0" fontId="69" fillId="0" borderId="68" xfId="0" applyFont="1" applyBorder="1" applyAlignment="1">
      <alignment vertical="top" wrapText="1"/>
    </xf>
    <xf numFmtId="0" fontId="69" fillId="0" borderId="68" xfId="0" applyFont="1" applyBorder="1" applyAlignment="1">
      <alignment horizontal="left" vertical="top" wrapText="1"/>
    </xf>
    <xf numFmtId="0" fontId="69" fillId="0" borderId="200" xfId="0" applyFont="1" applyBorder="1" applyAlignment="1">
      <alignment horizontal="left" vertical="top" wrapText="1"/>
    </xf>
    <xf numFmtId="0" fontId="69" fillId="0" borderId="203" xfId="0" applyFont="1" applyBorder="1" applyAlignment="1">
      <alignment horizontal="left" vertical="top" wrapText="1"/>
    </xf>
    <xf numFmtId="0" fontId="69" fillId="0" borderId="201" xfId="0" applyFont="1" applyBorder="1" applyAlignment="1">
      <alignment horizontal="left" vertical="top"/>
    </xf>
    <xf numFmtId="0" fontId="69" fillId="0" borderId="204" xfId="0" applyFont="1" applyBorder="1" applyAlignment="1">
      <alignment horizontal="left" vertical="top"/>
    </xf>
    <xf numFmtId="0" fontId="69" fillId="0" borderId="204" xfId="0" applyFont="1" applyBorder="1" applyAlignment="1">
      <alignment vertical="top" wrapText="1"/>
    </xf>
    <xf numFmtId="0" fontId="69" fillId="0" borderId="205" xfId="0" applyFont="1" applyBorder="1" applyAlignment="1">
      <alignment vertical="top" wrapText="1"/>
    </xf>
    <xf numFmtId="0" fontId="69" fillId="0" borderId="63" xfId="0" applyFont="1" applyBorder="1" applyAlignment="1">
      <alignment vertical="top" wrapText="1"/>
    </xf>
    <xf numFmtId="0" fontId="73" fillId="0" borderId="68" xfId="0" applyFont="1" applyBorder="1" applyAlignment="1">
      <alignment horizontal="left" vertical="top" wrapText="1"/>
    </xf>
    <xf numFmtId="0" fontId="73" fillId="0" borderId="11" xfId="0" applyFont="1" applyBorder="1" applyAlignment="1">
      <alignment horizontal="left" vertical="top" wrapText="1"/>
    </xf>
    <xf numFmtId="0" fontId="69" fillId="0" borderId="199" xfId="0" applyFont="1" applyBorder="1" applyAlignment="1">
      <alignment horizontal="center" vertical="top" wrapText="1"/>
    </xf>
    <xf numFmtId="0" fontId="69" fillId="0" borderId="11" xfId="0" applyFont="1" applyBorder="1" applyAlignment="1">
      <alignment horizontal="center" vertical="top" wrapText="1"/>
    </xf>
    <xf numFmtId="0" fontId="69" fillId="0" borderId="8" xfId="0" applyFont="1" applyBorder="1" applyAlignment="1">
      <alignment horizontal="center" vertical="top" wrapText="1"/>
    </xf>
    <xf numFmtId="0" fontId="69" fillId="18" borderId="199" xfId="0" applyFont="1" applyFill="1" applyBorder="1" applyAlignment="1">
      <alignment horizontal="left" vertical="top" wrapText="1"/>
    </xf>
    <xf numFmtId="0" fontId="69" fillId="18" borderId="11" xfId="0" applyFont="1" applyFill="1" applyBorder="1" applyAlignment="1">
      <alignment horizontal="left" vertical="top" wrapText="1"/>
    </xf>
    <xf numFmtId="169" fontId="69" fillId="0" borderId="80" xfId="0" applyNumberFormat="1" applyFont="1" applyBorder="1" applyAlignment="1">
      <alignment horizontal="left" vertical="top" wrapText="1"/>
    </xf>
    <xf numFmtId="169" fontId="69" fillId="0" borderId="81" xfId="0" applyNumberFormat="1" applyFont="1" applyBorder="1" applyAlignment="1">
      <alignment horizontal="left" vertical="top" wrapText="1"/>
    </xf>
    <xf numFmtId="169" fontId="69" fillId="0" borderId="82" xfId="0" applyNumberFormat="1" applyFont="1" applyBorder="1" applyAlignment="1">
      <alignment horizontal="left" vertical="top" wrapText="1"/>
    </xf>
    <xf numFmtId="169" fontId="69" fillId="0" borderId="223" xfId="0" applyNumberFormat="1" applyFont="1" applyBorder="1" applyAlignment="1">
      <alignment horizontal="left" vertical="top" wrapText="1"/>
    </xf>
    <xf numFmtId="169" fontId="69" fillId="0" borderId="219" xfId="0" applyNumberFormat="1" applyFont="1" applyBorder="1" applyAlignment="1">
      <alignment horizontal="left" vertical="top" wrapText="1"/>
    </xf>
    <xf numFmtId="169" fontId="69" fillId="0" borderId="224" xfId="0" applyNumberFormat="1" applyFont="1" applyBorder="1" applyAlignment="1">
      <alignment horizontal="left" vertical="top" wrapText="1"/>
    </xf>
    <xf numFmtId="0" fontId="69" fillId="0" borderId="85" xfId="0" applyFont="1" applyBorder="1" applyAlignment="1">
      <alignment horizontal="left" vertical="top" wrapText="1"/>
    </xf>
    <xf numFmtId="0" fontId="69" fillId="0" borderId="86" xfId="0" applyFont="1" applyBorder="1" applyAlignment="1">
      <alignment horizontal="left" vertical="top" wrapText="1"/>
    </xf>
    <xf numFmtId="0" fontId="69" fillId="18" borderId="73" xfId="0" applyFont="1" applyFill="1" applyBorder="1" applyAlignment="1">
      <alignment vertical="top" wrapText="1"/>
    </xf>
    <xf numFmtId="0" fontId="69" fillId="18" borderId="11" xfId="0" applyFont="1" applyFill="1" applyBorder="1" applyAlignment="1">
      <alignment vertical="top" wrapText="1"/>
    </xf>
    <xf numFmtId="0" fontId="69" fillId="18" borderId="8" xfId="0" applyFont="1" applyFill="1" applyBorder="1" applyAlignment="1">
      <alignment vertical="top" wrapText="1"/>
    </xf>
    <xf numFmtId="0" fontId="69" fillId="0" borderId="59" xfId="0" applyFont="1" applyBorder="1" applyAlignment="1">
      <alignment horizontal="left" vertical="top" wrapText="1"/>
    </xf>
    <xf numFmtId="0" fontId="69" fillId="0" borderId="60" xfId="0" applyFont="1" applyBorder="1" applyAlignment="1">
      <alignment horizontal="left" vertical="top" wrapText="1"/>
    </xf>
    <xf numFmtId="0" fontId="69" fillId="0" borderId="56" xfId="0" quotePrefix="1" applyFont="1" applyBorder="1" applyAlignment="1">
      <alignment horizontal="left" vertical="top" wrapText="1"/>
    </xf>
    <xf numFmtId="0" fontId="69" fillId="0" borderId="57" xfId="0" quotePrefix="1" applyFont="1" applyBorder="1" applyAlignment="1">
      <alignment horizontal="left" vertical="top" wrapText="1"/>
    </xf>
    <xf numFmtId="0" fontId="69" fillId="0" borderId="59" xfId="0" quotePrefix="1" applyFont="1" applyBorder="1" applyAlignment="1">
      <alignment horizontal="left" vertical="top" wrapText="1"/>
    </xf>
    <xf numFmtId="0" fontId="69" fillId="0" borderId="60" xfId="0" quotePrefix="1" applyFont="1" applyBorder="1" applyAlignment="1">
      <alignment horizontal="left" vertical="top" wrapText="1"/>
    </xf>
    <xf numFmtId="0" fontId="69" fillId="0" borderId="166" xfId="0" quotePrefix="1" applyFont="1" applyBorder="1" applyAlignment="1">
      <alignment horizontal="left" vertical="top" wrapText="1"/>
    </xf>
    <xf numFmtId="0" fontId="69" fillId="0" borderId="167" xfId="0" quotePrefix="1" applyFont="1" applyBorder="1" applyAlignment="1">
      <alignment horizontal="left" vertical="top" wrapText="1"/>
    </xf>
    <xf numFmtId="0" fontId="72" fillId="0" borderId="166" xfId="0" quotePrefix="1" applyFont="1" applyBorder="1" applyAlignment="1">
      <alignment horizontal="left" vertical="top" wrapText="1"/>
    </xf>
    <xf numFmtId="0" fontId="72" fillId="0" borderId="167" xfId="0" quotePrefix="1" applyFont="1" applyBorder="1" applyAlignment="1">
      <alignment horizontal="left" vertical="top" wrapText="1"/>
    </xf>
    <xf numFmtId="0" fontId="69" fillId="0" borderId="60" xfId="0" applyFont="1" applyBorder="1" applyAlignment="1">
      <alignment vertical="top" wrapText="1"/>
    </xf>
    <xf numFmtId="0" fontId="69" fillId="0" borderId="166" xfId="0" applyFont="1" applyBorder="1" applyAlignment="1">
      <alignment vertical="top" wrapText="1"/>
    </xf>
    <xf numFmtId="0" fontId="69" fillId="0" borderId="167" xfId="0" applyFont="1" applyBorder="1" applyAlignment="1">
      <alignment vertical="top" wrapText="1"/>
    </xf>
    <xf numFmtId="0" fontId="69" fillId="0" borderId="168" xfId="0" applyFont="1" applyBorder="1" applyAlignment="1">
      <alignment vertical="top" wrapText="1"/>
    </xf>
    <xf numFmtId="0" fontId="69" fillId="0" borderId="169" xfId="0" applyFont="1" applyBorder="1" applyAlignment="1">
      <alignment vertical="top" wrapText="1"/>
    </xf>
    <xf numFmtId="0" fontId="69" fillId="0" borderId="56" xfId="0" applyFont="1" applyBorder="1" applyAlignment="1">
      <alignment vertical="top" wrapText="1"/>
    </xf>
    <xf numFmtId="0" fontId="69" fillId="0" borderId="57" xfId="0" applyFont="1" applyBorder="1" applyAlignment="1">
      <alignment vertical="top" wrapText="1"/>
    </xf>
    <xf numFmtId="0" fontId="69" fillId="0" borderId="56" xfId="0" applyFont="1" applyBorder="1" applyAlignment="1">
      <alignment vertical="top"/>
    </xf>
    <xf numFmtId="0" fontId="69" fillId="0" borderId="48" xfId="0" applyFont="1" applyBorder="1" applyAlignment="1">
      <alignment vertical="top"/>
    </xf>
    <xf numFmtId="0" fontId="69" fillId="0" borderId="59" xfId="0" applyFont="1" applyBorder="1" applyAlignment="1">
      <alignment vertical="top"/>
    </xf>
    <xf numFmtId="0" fontId="69" fillId="0" borderId="199" xfId="0" applyFont="1" applyBorder="1" applyAlignment="1">
      <alignment horizontal="right" vertical="top"/>
    </xf>
    <xf numFmtId="0" fontId="69" fillId="0" borderId="8" xfId="0" applyFont="1" applyBorder="1" applyAlignment="1">
      <alignment horizontal="right" vertical="top"/>
    </xf>
    <xf numFmtId="0" fontId="0" fillId="0" borderId="8" xfId="0" applyBorder="1" applyAlignment="1">
      <alignment horizontal="left" vertical="top" wrapText="1"/>
    </xf>
    <xf numFmtId="0" fontId="69" fillId="0" borderId="68" xfId="0" applyFont="1" applyBorder="1" applyAlignment="1">
      <alignment horizontal="center" vertical="top" wrapText="1"/>
    </xf>
    <xf numFmtId="0" fontId="69" fillId="0" borderId="63" xfId="0" applyFont="1" applyBorder="1" applyAlignment="1">
      <alignment horizontal="center" vertical="top" wrapText="1"/>
    </xf>
    <xf numFmtId="0" fontId="69" fillId="0" borderId="63" xfId="0" applyFont="1" applyBorder="1" applyAlignment="1">
      <alignment horizontal="left" vertical="top" wrapText="1"/>
    </xf>
    <xf numFmtId="0" fontId="69" fillId="0" borderId="65" xfId="0" applyFont="1" applyBorder="1" applyAlignment="1">
      <alignment horizontal="left" vertical="top" wrapText="1"/>
    </xf>
    <xf numFmtId="0" fontId="69" fillId="0" borderId="66" xfId="0" applyFont="1" applyBorder="1" applyAlignment="1">
      <alignment horizontal="left" vertical="top" wrapText="1"/>
    </xf>
    <xf numFmtId="0" fontId="69" fillId="0" borderId="67" xfId="0" applyFont="1" applyBorder="1" applyAlignment="1">
      <alignment horizontal="left" vertical="top" wrapText="1"/>
    </xf>
    <xf numFmtId="0" fontId="69" fillId="0" borderId="30" xfId="0" applyFont="1" applyBorder="1" applyAlignment="1">
      <alignment vertical="top" wrapText="1"/>
    </xf>
    <xf numFmtId="0" fontId="69" fillId="0" borderId="0" xfId="0" applyFont="1" applyAlignment="1">
      <alignment vertical="top" wrapText="1"/>
    </xf>
    <xf numFmtId="0" fontId="69" fillId="0" borderId="88" xfId="0" applyFont="1" applyBorder="1" applyAlignment="1">
      <alignment vertical="top" wrapText="1"/>
    </xf>
    <xf numFmtId="0" fontId="69" fillId="0" borderId="193" xfId="0" applyFont="1" applyBorder="1" applyAlignment="1">
      <alignment vertical="top" wrapText="1"/>
    </xf>
    <xf numFmtId="0" fontId="69" fillId="0" borderId="214" xfId="0" applyFont="1" applyBorder="1" applyAlignment="1">
      <alignment vertical="top" wrapText="1"/>
    </xf>
    <xf numFmtId="0" fontId="69" fillId="0" borderId="65" xfId="0" applyFont="1" applyBorder="1" applyAlignment="1">
      <alignment vertical="top" wrapText="1"/>
    </xf>
    <xf numFmtId="0" fontId="69" fillId="0" borderId="66" xfId="0" applyFont="1" applyBorder="1" applyAlignment="1">
      <alignment vertical="top" wrapText="1"/>
    </xf>
    <xf numFmtId="0" fontId="69" fillId="0" borderId="67" xfId="0" applyFont="1" applyBorder="1" applyAlignment="1">
      <alignment vertical="top" wrapText="1"/>
    </xf>
    <xf numFmtId="0" fontId="69" fillId="0" borderId="61" xfId="0" applyFont="1" applyBorder="1" applyAlignment="1">
      <alignment vertical="top" wrapText="1"/>
    </xf>
    <xf numFmtId="0" fontId="69" fillId="0" borderId="69" xfId="0" applyFont="1" applyBorder="1" applyAlignment="1">
      <alignment vertical="top" wrapText="1"/>
    </xf>
    <xf numFmtId="0" fontId="69" fillId="0" borderId="47" xfId="0" applyFont="1" applyBorder="1" applyAlignment="1">
      <alignment vertical="top" wrapText="1"/>
    </xf>
    <xf numFmtId="0" fontId="69" fillId="0" borderId="70" xfId="0" applyFont="1" applyBorder="1" applyAlignment="1">
      <alignment vertical="top" wrapText="1"/>
    </xf>
    <xf numFmtId="0" fontId="69" fillId="0" borderId="210" xfId="0" applyFont="1" applyBorder="1" applyAlignment="1">
      <alignment wrapText="1"/>
    </xf>
    <xf numFmtId="0" fontId="69" fillId="0" borderId="137" xfId="0" applyFont="1" applyBorder="1" applyAlignment="1">
      <alignment wrapText="1"/>
    </xf>
    <xf numFmtId="0" fontId="69" fillId="0" borderId="138" xfId="0" applyFont="1" applyBorder="1" applyAlignment="1">
      <alignment wrapText="1"/>
    </xf>
    <xf numFmtId="0" fontId="69" fillId="0" borderId="223" xfId="0" applyFont="1" applyBorder="1" applyAlignment="1">
      <alignment vertical="top" wrapText="1"/>
    </xf>
    <xf numFmtId="0" fontId="69" fillId="0" borderId="219" xfId="0" applyFont="1" applyBorder="1" applyAlignment="1">
      <alignment vertical="top" wrapText="1"/>
    </xf>
    <xf numFmtId="0" fontId="69" fillId="0" borderId="224" xfId="0" applyFont="1" applyBorder="1" applyAlignment="1">
      <alignment vertical="top" wrapText="1"/>
    </xf>
    <xf numFmtId="0" fontId="69" fillId="0" borderId="52" xfId="0" applyFont="1" applyBorder="1" applyAlignment="1">
      <alignment horizontal="center" vertical="top" wrapText="1"/>
    </xf>
    <xf numFmtId="0" fontId="79" fillId="0" borderId="48" xfId="0" applyFont="1" applyBorder="1" applyAlignment="1">
      <alignment vertical="top" wrapText="1"/>
    </xf>
    <xf numFmtId="0" fontId="79" fillId="0" borderId="217" xfId="0" applyFont="1" applyBorder="1" applyAlignment="1">
      <alignment vertical="top" wrapText="1"/>
    </xf>
    <xf numFmtId="0" fontId="79" fillId="0" borderId="58" xfId="0" applyFont="1" applyBorder="1" applyAlignment="1">
      <alignment vertical="top" wrapText="1"/>
    </xf>
    <xf numFmtId="0" fontId="79" fillId="0" borderId="68" xfId="0" applyFont="1" applyBorder="1" applyAlignment="1">
      <alignment horizontal="left" vertical="top" wrapText="1"/>
    </xf>
    <xf numFmtId="0" fontId="79" fillId="0" borderId="11" xfId="0" applyFont="1" applyBorder="1" applyAlignment="1">
      <alignment horizontal="left" vertical="top" wrapText="1"/>
    </xf>
    <xf numFmtId="0" fontId="79" fillId="0" borderId="8" xfId="0" applyFont="1" applyBorder="1" applyAlignment="1">
      <alignment horizontal="left" vertical="top" wrapText="1"/>
    </xf>
    <xf numFmtId="0" fontId="79" fillId="0" borderId="48" xfId="0" quotePrefix="1" applyFont="1" applyBorder="1" applyAlignment="1">
      <alignment horizontal="left" vertical="top" wrapText="1"/>
    </xf>
    <xf numFmtId="0" fontId="79" fillId="0" borderId="58" xfId="0" quotePrefix="1" applyFont="1" applyBorder="1" applyAlignment="1">
      <alignment horizontal="left" vertical="top" wrapText="1"/>
    </xf>
    <xf numFmtId="0" fontId="79" fillId="0" borderId="59" xfId="0" applyFont="1" applyBorder="1" applyAlignment="1">
      <alignment vertical="top" wrapText="1"/>
    </xf>
    <xf numFmtId="0" fontId="79" fillId="0" borderId="56" xfId="0" quotePrefix="1" applyFont="1" applyBorder="1" applyAlignment="1">
      <alignment horizontal="left" vertical="top" wrapText="1"/>
    </xf>
    <xf numFmtId="0" fontId="79" fillId="0" borderId="57" xfId="0" quotePrefix="1" applyFont="1" applyBorder="1" applyAlignment="1">
      <alignment horizontal="left" vertical="top" wrapText="1"/>
    </xf>
    <xf numFmtId="169" fontId="79" fillId="0" borderId="8" xfId="0" applyNumberFormat="1" applyFont="1" applyBorder="1" applyAlignment="1">
      <alignment horizontal="left" vertical="top" wrapText="1"/>
    </xf>
    <xf numFmtId="169" fontId="79" fillId="0" borderId="24" xfId="0" applyNumberFormat="1" applyFont="1" applyBorder="1" applyAlignment="1">
      <alignment horizontal="left" vertical="top" wrapText="1"/>
    </xf>
    <xf numFmtId="169" fontId="79" fillId="0" borderId="84" xfId="0" applyNumberFormat="1" applyFont="1" applyBorder="1" applyAlignment="1">
      <alignment horizontal="left" vertical="top" wrapText="1"/>
    </xf>
    <xf numFmtId="169" fontId="79" fillId="0" borderId="19" xfId="0" applyNumberFormat="1" applyFont="1" applyBorder="1" applyAlignment="1">
      <alignment horizontal="left" vertical="top" wrapText="1"/>
    </xf>
    <xf numFmtId="169" fontId="79" fillId="0" borderId="155" xfId="0" applyNumberFormat="1" applyFont="1" applyBorder="1" applyAlignment="1">
      <alignment horizontal="left" vertical="top" wrapText="1"/>
    </xf>
    <xf numFmtId="169" fontId="79" fillId="0" borderId="156" xfId="0" applyNumberFormat="1" applyFont="1" applyBorder="1" applyAlignment="1">
      <alignment horizontal="left" vertical="top" wrapText="1"/>
    </xf>
    <xf numFmtId="0" fontId="79" fillId="0" borderId="68" xfId="0" applyFont="1" applyBorder="1" applyAlignment="1">
      <alignment vertical="top" wrapText="1"/>
    </xf>
    <xf numFmtId="0" fontId="79" fillId="0" borderId="11" xfId="0" applyFont="1" applyBorder="1" applyAlignment="1">
      <alignment vertical="top" wrapText="1"/>
    </xf>
    <xf numFmtId="0" fontId="79" fillId="0" borderId="8" xfId="0" applyFont="1" applyBorder="1" applyAlignment="1">
      <alignment vertical="top" wrapText="1"/>
    </xf>
    <xf numFmtId="0" fontId="79" fillId="0" borderId="77" xfId="0" applyFont="1" applyBorder="1" applyAlignment="1">
      <alignment horizontal="left" vertical="top" wrapText="1"/>
    </xf>
    <xf numFmtId="0" fontId="79" fillId="0" borderId="78" xfId="0" applyFont="1" applyBorder="1" applyAlignment="1">
      <alignment horizontal="left" vertical="top" wrapText="1"/>
    </xf>
    <xf numFmtId="0" fontId="79" fillId="0" borderId="79" xfId="0" applyFont="1" applyBorder="1" applyAlignment="1">
      <alignment horizontal="left" vertical="top" wrapText="1"/>
    </xf>
    <xf numFmtId="0" fontId="79" fillId="0" borderId="73" xfId="0" applyFont="1" applyBorder="1" applyAlignment="1">
      <alignment vertical="top" wrapText="1"/>
    </xf>
    <xf numFmtId="0" fontId="79" fillId="0" borderId="56" xfId="0" applyFont="1" applyBorder="1" applyAlignment="1">
      <alignment vertical="top" wrapText="1"/>
    </xf>
    <xf numFmtId="169" fontId="79" fillId="0" borderId="80" xfId="0" applyNumberFormat="1" applyFont="1" applyBorder="1" applyAlignment="1">
      <alignment horizontal="left" vertical="top" wrapText="1"/>
    </xf>
    <xf numFmtId="169" fontId="79" fillId="0" borderId="81" xfId="0" applyNumberFormat="1" applyFont="1" applyBorder="1" applyAlignment="1">
      <alignment horizontal="left" vertical="top" wrapText="1"/>
    </xf>
    <xf numFmtId="169" fontId="79" fillId="0" borderId="82" xfId="0" applyNumberFormat="1" applyFont="1" applyBorder="1" applyAlignment="1">
      <alignment horizontal="left" vertical="top" wrapText="1"/>
    </xf>
    <xf numFmtId="169" fontId="79" fillId="0" borderId="223" xfId="0" applyNumberFormat="1" applyFont="1" applyBorder="1" applyAlignment="1">
      <alignment horizontal="left" vertical="top" wrapText="1"/>
    </xf>
    <xf numFmtId="169" fontId="79" fillId="0" borderId="219" xfId="0" applyNumberFormat="1" applyFont="1" applyBorder="1" applyAlignment="1">
      <alignment horizontal="left" vertical="top" wrapText="1"/>
    </xf>
    <xf numFmtId="169" fontId="79" fillId="0" borderId="224" xfId="0" applyNumberFormat="1" applyFont="1" applyBorder="1" applyAlignment="1">
      <alignment horizontal="left" vertical="top" wrapText="1"/>
    </xf>
    <xf numFmtId="0" fontId="79" fillId="0" borderId="80" xfId="0" applyFont="1" applyBorder="1" applyAlignment="1">
      <alignment horizontal="left" vertical="top" wrapText="1"/>
    </xf>
    <xf numFmtId="0" fontId="79" fillId="0" borderId="81" xfId="0" applyFont="1" applyBorder="1" applyAlignment="1">
      <alignment horizontal="left" vertical="top" wrapText="1"/>
    </xf>
    <xf numFmtId="0" fontId="79" fillId="0" borderId="82" xfId="0" applyFont="1" applyBorder="1" applyAlignment="1">
      <alignment horizontal="left" vertical="top" wrapText="1"/>
    </xf>
    <xf numFmtId="0" fontId="79" fillId="0" borderId="223" xfId="0" applyFont="1" applyBorder="1" applyAlignment="1">
      <alignment horizontal="left" vertical="top" wrapText="1"/>
    </xf>
    <xf numFmtId="0" fontId="79" fillId="0" borderId="219" xfId="0" applyFont="1" applyBorder="1" applyAlignment="1">
      <alignment horizontal="left" vertical="top" wrapText="1"/>
    </xf>
    <xf numFmtId="0" fontId="79" fillId="0" borderId="224" xfId="0" applyFont="1" applyBorder="1" applyAlignment="1">
      <alignment horizontal="left" vertical="top" wrapText="1"/>
    </xf>
    <xf numFmtId="0" fontId="79" fillId="0" borderId="60" xfId="0" applyFont="1" applyBorder="1" applyAlignment="1">
      <alignment vertical="top" wrapText="1"/>
    </xf>
    <xf numFmtId="0" fontId="79" fillId="0" borderId="57" xfId="0" applyFont="1" applyBorder="1" applyAlignment="1">
      <alignment vertical="top" wrapText="1"/>
    </xf>
    <xf numFmtId="0" fontId="79" fillId="0" borderId="48" xfId="0" quotePrefix="1" applyFont="1" applyBorder="1" applyAlignment="1">
      <alignment vertical="top" wrapText="1"/>
    </xf>
    <xf numFmtId="0" fontId="79" fillId="0" borderId="58" xfId="0" quotePrefix="1" applyFont="1" applyBorder="1" applyAlignment="1">
      <alignment vertical="top" wrapText="1"/>
    </xf>
    <xf numFmtId="0" fontId="79" fillId="0" borderId="199" xfId="0" applyFont="1" applyBorder="1" applyAlignment="1">
      <alignment vertical="top" wrapText="1"/>
    </xf>
    <xf numFmtId="0" fontId="79" fillId="0" borderId="209" xfId="0" applyFont="1" applyBorder="1" applyAlignment="1">
      <alignment vertical="top" wrapText="1"/>
    </xf>
    <xf numFmtId="169" fontId="79" fillId="0" borderId="206" xfId="0" applyNumberFormat="1" applyFont="1" applyBorder="1" applyAlignment="1">
      <alignment horizontal="left" vertical="top" wrapText="1"/>
    </xf>
    <xf numFmtId="169" fontId="79" fillId="0" borderId="31" xfId="0" applyNumberFormat="1" applyFont="1" applyBorder="1" applyAlignment="1">
      <alignment horizontal="left" vertical="top" wrapText="1"/>
    </xf>
    <xf numFmtId="169" fontId="79" fillId="0" borderId="143" xfId="0" applyNumberFormat="1" applyFont="1" applyBorder="1" applyAlignment="1">
      <alignment horizontal="left" vertical="top" wrapText="1"/>
    </xf>
    <xf numFmtId="169" fontId="79" fillId="0" borderId="207" xfId="0" applyNumberFormat="1" applyFont="1" applyBorder="1" applyAlignment="1">
      <alignment horizontal="left" vertical="top" wrapText="1"/>
    </xf>
    <xf numFmtId="169" fontId="79" fillId="0" borderId="150" xfId="0" applyNumberFormat="1" applyFont="1" applyBorder="1" applyAlignment="1">
      <alignment horizontal="left" vertical="top" wrapText="1"/>
    </xf>
    <xf numFmtId="169" fontId="79" fillId="0" borderId="208" xfId="0" applyNumberFormat="1" applyFont="1" applyBorder="1" applyAlignment="1">
      <alignment horizontal="left" vertical="top" wrapText="1"/>
    </xf>
    <xf numFmtId="0" fontId="79" fillId="0" borderId="210" xfId="0" applyFont="1" applyBorder="1" applyAlignment="1">
      <alignment wrapText="1"/>
    </xf>
    <xf numFmtId="0" fontId="79" fillId="0" borderId="137" xfId="0" applyFont="1" applyBorder="1" applyAlignment="1">
      <alignment wrapText="1"/>
    </xf>
    <xf numFmtId="0" fontId="79" fillId="0" borderId="138" xfId="0" applyFont="1" applyBorder="1" applyAlignment="1">
      <alignment wrapText="1"/>
    </xf>
    <xf numFmtId="0" fontId="79" fillId="0" borderId="199" xfId="0" applyFont="1" applyBorder="1" applyAlignment="1">
      <alignment horizontal="left" vertical="top" wrapText="1"/>
    </xf>
    <xf numFmtId="0" fontId="79" fillId="0" borderId="85" xfId="0" applyFont="1" applyBorder="1" applyAlignment="1">
      <alignment horizontal="left" vertical="top" wrapText="1"/>
    </xf>
    <xf numFmtId="0" fontId="79" fillId="0" borderId="86" xfId="0" applyFont="1" applyBorder="1" applyAlignment="1">
      <alignment horizontal="left" vertical="top" wrapText="1"/>
    </xf>
    <xf numFmtId="0" fontId="79" fillId="0" borderId="199" xfId="0" applyFont="1" applyBorder="1" applyAlignment="1">
      <alignment horizontal="center" vertical="top" wrapText="1"/>
    </xf>
    <xf numFmtId="0" fontId="79" fillId="0" borderId="11" xfId="0" applyFont="1" applyBorder="1" applyAlignment="1">
      <alignment horizontal="center" vertical="top" wrapText="1"/>
    </xf>
    <xf numFmtId="0" fontId="79" fillId="0" borderId="8" xfId="0" applyFont="1" applyBorder="1" applyAlignment="1">
      <alignment horizontal="center" vertical="top" wrapText="1"/>
    </xf>
    <xf numFmtId="0" fontId="79" fillId="18" borderId="199" xfId="0" applyFont="1" applyFill="1" applyBorder="1" applyAlignment="1">
      <alignment horizontal="left" vertical="top" wrapText="1"/>
    </xf>
    <xf numFmtId="0" fontId="79" fillId="18" borderId="11" xfId="0" applyFont="1" applyFill="1" applyBorder="1" applyAlignment="1">
      <alignment horizontal="left" vertical="top" wrapText="1"/>
    </xf>
    <xf numFmtId="169" fontId="5" fillId="12" borderId="0" xfId="0" applyNumberFormat="1" applyFont="1" applyFill="1" applyAlignment="1">
      <alignment horizontal="center"/>
    </xf>
    <xf numFmtId="0" fontId="0" fillId="12" borderId="0" xfId="0" applyFill="1" applyAlignment="1">
      <alignment horizontal="center"/>
    </xf>
    <xf numFmtId="0" fontId="11" fillId="0" borderId="0" xfId="0" applyFont="1" applyAlignment="1">
      <alignment horizontal="center" vertical="center"/>
    </xf>
    <xf numFmtId="0" fontId="11" fillId="12" borderId="0" xfId="0" applyFont="1" applyFill="1" applyAlignment="1">
      <alignment horizontal="center"/>
    </xf>
    <xf numFmtId="0" fontId="77" fillId="0" borderId="0" xfId="0" applyFont="1" applyAlignment="1">
      <alignment horizontal="center"/>
    </xf>
    <xf numFmtId="0" fontId="0" fillId="0" borderId="0" xfId="0"/>
    <xf numFmtId="0" fontId="81" fillId="0" borderId="0" xfId="0" applyFont="1"/>
    <xf numFmtId="0" fontId="81" fillId="0" borderId="0" xfId="0" applyFont="1" applyAlignment="1">
      <alignment wrapText="1"/>
    </xf>
    <xf numFmtId="0" fontId="24" fillId="0" borderId="0" xfId="0" applyFont="1" applyAlignment="1">
      <alignment vertical="top" wrapText="1"/>
    </xf>
    <xf numFmtId="0" fontId="130" fillId="0" borderId="0" xfId="0" applyFont="1" applyAlignment="1">
      <alignment horizontal="justify" vertical="top" wrapText="1"/>
    </xf>
    <xf numFmtId="0" fontId="81" fillId="0" borderId="0" xfId="0" applyFont="1" applyAlignment="1">
      <alignment vertical="top" wrapText="1"/>
    </xf>
    <xf numFmtId="0" fontId="130" fillId="0" borderId="0" xfId="0" applyFont="1" applyAlignment="1">
      <alignment vertical="top" wrapText="1"/>
    </xf>
    <xf numFmtId="0" fontId="81" fillId="0" borderId="0" xfId="0" applyFont="1" applyAlignment="1">
      <alignment horizontal="left" vertical="top" wrapText="1"/>
    </xf>
    <xf numFmtId="0" fontId="83" fillId="0" borderId="0" xfId="0" applyFont="1" applyAlignment="1">
      <alignment horizontal="left" vertical="top" wrapText="1"/>
    </xf>
    <xf numFmtId="0" fontId="90" fillId="0" borderId="0" xfId="0" applyFont="1" applyAlignment="1">
      <alignment vertical="top" wrapText="1"/>
    </xf>
    <xf numFmtId="0" fontId="27" fillId="0" borderId="0" xfId="0" applyFont="1" applyAlignment="1">
      <alignment horizontal="justify" vertical="top" wrapText="1"/>
    </xf>
    <xf numFmtId="0" fontId="81" fillId="0" borderId="0" xfId="0" applyFont="1" applyAlignment="1">
      <alignment horizontal="left" vertical="top"/>
    </xf>
    <xf numFmtId="0" fontId="83" fillId="0" borderId="0" xfId="0" applyFont="1" applyAlignment="1">
      <alignment horizontal="left" vertical="top"/>
    </xf>
    <xf numFmtId="0" fontId="81" fillId="0" borderId="0" xfId="0" applyFont="1" applyAlignment="1">
      <alignment horizontal="justify" vertical="top" wrapText="1"/>
    </xf>
    <xf numFmtId="0" fontId="81" fillId="0" borderId="0" xfId="0" applyFont="1" applyAlignment="1">
      <alignment horizontal="justify" wrapText="1"/>
    </xf>
    <xf numFmtId="0" fontId="119" fillId="0" borderId="0" xfId="0" applyFont="1" applyAlignment="1">
      <alignment wrapText="1"/>
    </xf>
    <xf numFmtId="164" fontId="81" fillId="0" borderId="125" xfId="0" applyNumberFormat="1" applyFont="1" applyBorder="1" applyAlignment="1">
      <alignment horizontal="center" vertical="top" wrapText="1"/>
    </xf>
    <xf numFmtId="0" fontId="81" fillId="0" borderId="86" xfId="0" applyFont="1" applyBorder="1" applyAlignment="1">
      <alignment horizontal="center" vertical="top" wrapText="1"/>
    </xf>
    <xf numFmtId="0" fontId="81" fillId="0" borderId="131" xfId="0" applyFont="1" applyBorder="1" applyAlignment="1">
      <alignment horizontal="center" vertical="top" wrapText="1"/>
    </xf>
    <xf numFmtId="0" fontId="81" fillId="0" borderId="126" xfId="0" applyFont="1" applyBorder="1" applyAlignment="1">
      <alignment horizontal="center" vertical="top" wrapText="1"/>
    </xf>
    <xf numFmtId="0" fontId="81" fillId="0" borderId="136" xfId="0" applyFont="1" applyBorder="1" applyAlignment="1">
      <alignment horizontal="center" vertical="top" wrapText="1"/>
    </xf>
    <xf numFmtId="0" fontId="81" fillId="0" borderId="116" xfId="0" applyFont="1" applyBorder="1" applyAlignment="1">
      <alignment horizontal="center" vertical="top" wrapText="1"/>
    </xf>
    <xf numFmtId="0" fontId="83" fillId="0" borderId="13" xfId="0" applyFont="1" applyBorder="1" applyAlignment="1">
      <alignment horizontal="center" vertical="top" wrapText="1"/>
    </xf>
    <xf numFmtId="0" fontId="83" fillId="0" borderId="137" xfId="0" applyFont="1" applyBorder="1" applyAlignment="1">
      <alignment horizontal="center" vertical="top" wrapText="1"/>
    </xf>
    <xf numFmtId="0" fontId="83" fillId="0" borderId="138" xfId="0" applyFont="1" applyBorder="1" applyAlignment="1">
      <alignment horizontal="center" vertical="top" wrapText="1"/>
    </xf>
    <xf numFmtId="0" fontId="81" fillId="11" borderId="0" xfId="0" applyFont="1" applyFill="1" applyAlignment="1">
      <alignment horizontal="left" vertical="top" wrapText="1"/>
    </xf>
    <xf numFmtId="0" fontId="81" fillId="0" borderId="0" xfId="0" applyFont="1" applyAlignment="1">
      <alignment horizontal="justify" vertical="top"/>
    </xf>
    <xf numFmtId="165" fontId="83" fillId="0" borderId="225" xfId="0" applyNumberFormat="1" applyFont="1" applyBorder="1" applyAlignment="1">
      <alignment vertical="top" wrapText="1"/>
    </xf>
    <xf numFmtId="165" fontId="83" fillId="0" borderId="119" xfId="0" applyNumberFormat="1" applyFont="1" applyBorder="1" applyAlignment="1">
      <alignment vertical="top" wrapText="1"/>
    </xf>
    <xf numFmtId="0" fontId="83" fillId="0" borderId="179" xfId="0" applyFont="1" applyBorder="1" applyAlignment="1">
      <alignment horizontal="center" vertical="top" wrapText="1"/>
    </xf>
    <xf numFmtId="0" fontId="83" fillId="0" borderId="180" xfId="0" applyFont="1" applyBorder="1" applyAlignment="1">
      <alignment horizontal="center" vertical="top" wrapText="1"/>
    </xf>
    <xf numFmtId="165" fontId="81" fillId="0" borderId="127" xfId="0" applyNumberFormat="1" applyFont="1" applyBorder="1" applyAlignment="1">
      <alignment vertical="top" wrapText="1"/>
    </xf>
    <xf numFmtId="165" fontId="81" fillId="0" borderId="124" xfId="0" applyNumberFormat="1" applyFont="1" applyBorder="1" applyAlignment="1">
      <alignment vertical="top" wrapText="1"/>
    </xf>
    <xf numFmtId="0" fontId="81" fillId="0" borderId="0" xfId="0" quotePrefix="1" applyFont="1" applyAlignment="1">
      <alignment vertical="top" wrapText="1"/>
    </xf>
    <xf numFmtId="0" fontId="81" fillId="0" borderId="0" xfId="0" applyFont="1" applyAlignment="1">
      <alignment horizontal="center" vertical="top"/>
    </xf>
    <xf numFmtId="0" fontId="81" fillId="0" borderId="0" xfId="0" applyFont="1" applyAlignment="1">
      <alignment horizontal="left" wrapText="1"/>
    </xf>
    <xf numFmtId="0" fontId="83" fillId="0" borderId="0" xfId="0" applyFont="1" applyAlignment="1">
      <alignment wrapText="1"/>
    </xf>
    <xf numFmtId="0" fontId="83" fillId="0" borderId="0" xfId="0" applyFont="1" applyAlignment="1">
      <alignment horizontal="justify" wrapText="1"/>
    </xf>
    <xf numFmtId="0" fontId="81" fillId="0" borderId="0" xfId="0" applyFont="1" applyAlignment="1">
      <alignment vertical="justify" wrapText="1"/>
    </xf>
    <xf numFmtId="0" fontId="83" fillId="0" borderId="0" xfId="0" applyFont="1"/>
    <xf numFmtId="0" fontId="83" fillId="0" borderId="0" xfId="0" applyFont="1" applyAlignment="1">
      <alignment horizontal="left"/>
    </xf>
    <xf numFmtId="0" fontId="81" fillId="0" borderId="0" xfId="0" applyFont="1" applyAlignment="1">
      <alignment horizontal="left"/>
    </xf>
    <xf numFmtId="0" fontId="83" fillId="0" borderId="0" xfId="0" applyFont="1" applyAlignment="1">
      <alignment vertical="top"/>
    </xf>
    <xf numFmtId="0" fontId="81" fillId="0" borderId="0" xfId="0" applyFont="1" applyAlignment="1">
      <alignment vertical="top"/>
    </xf>
    <xf numFmtId="0" fontId="83" fillId="0" borderId="0" xfId="0" applyFont="1" applyAlignment="1">
      <alignment vertical="top" wrapText="1"/>
    </xf>
    <xf numFmtId="0" fontId="83" fillId="0" borderId="0" xfId="0" applyFont="1" applyAlignment="1">
      <alignment horizontal="justify" vertical="top" wrapText="1"/>
    </xf>
    <xf numFmtId="0" fontId="27" fillId="0" borderId="0" xfId="0" applyFont="1" applyAlignment="1">
      <alignment horizontal="left" vertical="top" wrapText="1"/>
    </xf>
    <xf numFmtId="0" fontId="29" fillId="0" borderId="0" xfId="0" applyFont="1" applyAlignment="1">
      <alignment horizontal="left" vertical="top" wrapText="1"/>
    </xf>
    <xf numFmtId="0" fontId="81" fillId="0" borderId="0" xfId="0" applyFont="1" applyAlignment="1">
      <alignment horizontal="center"/>
    </xf>
    <xf numFmtId="0" fontId="83" fillId="0" borderId="13" xfId="0" applyFont="1" applyBorder="1" applyAlignment="1">
      <alignment horizontal="center" wrapText="1"/>
    </xf>
    <xf numFmtId="0" fontId="83" fillId="0" borderId="137" xfId="0" applyFont="1" applyBorder="1" applyAlignment="1">
      <alignment horizontal="center" wrapText="1"/>
    </xf>
    <xf numFmtId="0" fontId="83" fillId="0" borderId="138" xfId="0" applyFont="1" applyBorder="1" applyAlignment="1">
      <alignment horizontal="center" wrapText="1"/>
    </xf>
    <xf numFmtId="0" fontId="83" fillId="0" borderId="120" xfId="0" applyFont="1" applyBorder="1" applyAlignment="1">
      <alignment horizontal="center" wrapText="1"/>
    </xf>
    <xf numFmtId="0" fontId="83" fillId="0" borderId="31" xfId="0" applyFont="1" applyBorder="1" applyAlignment="1">
      <alignment horizontal="center" wrapText="1"/>
    </xf>
    <xf numFmtId="0" fontId="83" fillId="0" borderId="143" xfId="0" applyFont="1" applyBorder="1" applyAlignment="1">
      <alignment horizontal="center" wrapText="1"/>
    </xf>
    <xf numFmtId="0" fontId="83" fillId="0" borderId="120" xfId="0" applyFont="1" applyBorder="1" applyAlignment="1">
      <alignment horizontal="center" vertical="center" wrapText="1"/>
    </xf>
    <xf numFmtId="0" fontId="83" fillId="0" borderId="31" xfId="0" applyFont="1" applyBorder="1" applyAlignment="1">
      <alignment horizontal="center" vertical="center" wrapText="1"/>
    </xf>
    <xf numFmtId="0" fontId="83" fillId="0" borderId="132" xfId="0" applyFont="1" applyBorder="1" applyAlignment="1">
      <alignment horizontal="center" vertical="center" wrapText="1"/>
    </xf>
    <xf numFmtId="0" fontId="83" fillId="0" borderId="0" xfId="0" applyFont="1" applyAlignment="1">
      <alignment horizontal="center" vertical="center" wrapText="1"/>
    </xf>
    <xf numFmtId="0" fontId="83" fillId="0" borderId="139" xfId="0" applyFont="1" applyBorder="1" applyAlignment="1">
      <alignment horizontal="center" vertical="center" wrapText="1"/>
    </xf>
    <xf numFmtId="0" fontId="83" fillId="0" borderId="150" xfId="0" applyFont="1" applyBorder="1" applyAlignment="1">
      <alignment horizontal="center" vertical="center" wrapText="1"/>
    </xf>
    <xf numFmtId="0" fontId="110" fillId="0" borderId="147" xfId="0" applyFont="1" applyBorder="1" applyAlignment="1">
      <alignment horizontal="center" vertical="top" wrapText="1"/>
    </xf>
    <xf numFmtId="0" fontId="110" fillId="0" borderId="148" xfId="0" applyFont="1" applyBorder="1" applyAlignment="1">
      <alignment horizontal="center" vertical="top" wrapText="1"/>
    </xf>
    <xf numFmtId="0" fontId="110" fillId="0" borderId="134" xfId="0" applyFont="1" applyBorder="1" applyAlignment="1">
      <alignment horizontal="center" vertical="top" wrapText="1"/>
    </xf>
    <xf numFmtId="164" fontId="81" fillId="0" borderId="128" xfId="0" applyNumberFormat="1" applyFont="1" applyBorder="1" applyAlignment="1">
      <alignment horizontal="center" vertical="top" wrapText="1"/>
    </xf>
    <xf numFmtId="0" fontId="81" fillId="0" borderId="128" xfId="0" applyFont="1" applyBorder="1" applyAlignment="1">
      <alignment horizontal="center" vertical="top" wrapText="1"/>
    </xf>
    <xf numFmtId="0" fontId="81" fillId="0" borderId="129" xfId="0" applyFont="1" applyBorder="1" applyAlignment="1">
      <alignment horizontal="center" vertical="top" wrapText="1"/>
    </xf>
    <xf numFmtId="164" fontId="81" fillId="0" borderId="86" xfId="0" applyNumberFormat="1" applyFont="1" applyBorder="1" applyAlignment="1">
      <alignment horizontal="center" vertical="top" wrapText="1"/>
    </xf>
    <xf numFmtId="164" fontId="81" fillId="0" borderId="123" xfId="0" applyNumberFormat="1" applyFont="1" applyBorder="1" applyAlignment="1">
      <alignment horizontal="center" vertical="top" wrapText="1"/>
    </xf>
    <xf numFmtId="0" fontId="109" fillId="0" borderId="140" xfId="0" applyFont="1" applyBorder="1" applyAlignment="1">
      <alignment vertical="top" wrapText="1"/>
    </xf>
    <xf numFmtId="0" fontId="109" fillId="0" borderId="151" xfId="0" applyFont="1" applyBorder="1" applyAlignment="1">
      <alignment vertical="top" wrapText="1"/>
    </xf>
    <xf numFmtId="0" fontId="109" fillId="0" borderId="145" xfId="0" applyFont="1" applyBorder="1" applyAlignment="1">
      <alignment vertical="top" wrapText="1"/>
    </xf>
    <xf numFmtId="0" fontId="109" fillId="0" borderId="152" xfId="0" applyFont="1" applyBorder="1" applyAlignment="1">
      <alignment vertical="top" wrapText="1"/>
    </xf>
    <xf numFmtId="0" fontId="110" fillId="0" borderId="13" xfId="0" applyFont="1" applyBorder="1" applyAlignment="1">
      <alignment vertical="top" wrapText="1"/>
    </xf>
    <xf numFmtId="0" fontId="110" fillId="0" borderId="137" xfId="0" applyFont="1" applyBorder="1" applyAlignment="1">
      <alignment vertical="top" wrapText="1"/>
    </xf>
    <xf numFmtId="0" fontId="81" fillId="0" borderId="0" xfId="0" applyFont="1" applyAlignment="1">
      <alignment horizontal="center" vertical="top" wrapText="1"/>
    </xf>
    <xf numFmtId="0" fontId="81" fillId="0" borderId="12" xfId="0" applyFont="1" applyBorder="1" applyAlignment="1">
      <alignment horizontal="left" vertical="top" wrapText="1"/>
    </xf>
    <xf numFmtId="173" fontId="81" fillId="0" borderId="8" xfId="4" applyNumberFormat="1" applyFont="1" applyFill="1" applyBorder="1" applyAlignment="1">
      <alignment horizontal="center" vertical="top" wrapText="1"/>
    </xf>
    <xf numFmtId="173" fontId="81" fillId="0" borderId="24" xfId="4" applyNumberFormat="1" applyFont="1" applyFill="1" applyBorder="1" applyAlignment="1">
      <alignment horizontal="center" vertical="top" wrapText="1"/>
    </xf>
    <xf numFmtId="0" fontId="81" fillId="0" borderId="4" xfId="0" applyFont="1" applyBorder="1" applyAlignment="1">
      <alignment horizontal="center" vertical="top" wrapText="1"/>
    </xf>
    <xf numFmtId="174" fontId="81" fillId="0" borderId="4" xfId="0" applyNumberFormat="1" applyFont="1" applyBorder="1" applyAlignment="1">
      <alignment horizontal="center" vertical="top" wrapText="1"/>
    </xf>
    <xf numFmtId="0" fontId="81" fillId="0" borderId="8" xfId="0" applyFont="1" applyBorder="1" applyAlignment="1">
      <alignment horizontal="center" vertical="top" wrapText="1"/>
    </xf>
    <xf numFmtId="174" fontId="81" fillId="0" borderId="8" xfId="0" applyNumberFormat="1" applyFont="1" applyBorder="1" applyAlignment="1">
      <alignment horizontal="center" vertical="top" wrapText="1"/>
    </xf>
    <xf numFmtId="174" fontId="81" fillId="0" borderId="0" xfId="0" applyNumberFormat="1" applyFont="1" applyAlignment="1">
      <alignment horizontal="left" vertical="top" wrapText="1"/>
    </xf>
    <xf numFmtId="0" fontId="83" fillId="0" borderId="13" xfId="0" applyFont="1" applyBorder="1" applyAlignment="1">
      <alignment vertical="top" wrapText="1"/>
    </xf>
    <xf numFmtId="0" fontId="83" fillId="0" borderId="137" xfId="0" applyFont="1" applyBorder="1" applyAlignment="1">
      <alignment vertical="top" wrapText="1"/>
    </xf>
    <xf numFmtId="0" fontId="81" fillId="0" borderId="123" xfId="0" applyFont="1" applyBorder="1" applyAlignment="1">
      <alignment vertical="top" wrapText="1"/>
    </xf>
    <xf numFmtId="0" fontId="81" fillId="0" borderId="128" xfId="0" applyFont="1" applyBorder="1" applyAlignment="1">
      <alignment vertical="top" wrapText="1"/>
    </xf>
    <xf numFmtId="0" fontId="109" fillId="0" borderId="123" xfId="0" applyFont="1" applyBorder="1" applyAlignment="1">
      <alignment vertical="top" wrapText="1"/>
    </xf>
    <xf numFmtId="0" fontId="109" fillId="0" borderId="128" xfId="0" applyFont="1" applyBorder="1" applyAlignment="1">
      <alignment vertical="top" wrapText="1"/>
    </xf>
    <xf numFmtId="0" fontId="110" fillId="0" borderId="141" xfId="0" applyFont="1" applyBorder="1" applyAlignment="1">
      <alignment horizontal="center" vertical="top" wrapText="1"/>
    </xf>
    <xf numFmtId="0" fontId="110" fillId="0" borderId="11" xfId="0" applyFont="1" applyBorder="1" applyAlignment="1">
      <alignment horizontal="center" vertical="top" wrapText="1"/>
    </xf>
    <xf numFmtId="0" fontId="110" fillId="0" borderId="133" xfId="0" applyFont="1" applyBorder="1" applyAlignment="1">
      <alignment horizontal="center" vertical="top" wrapText="1"/>
    </xf>
    <xf numFmtId="0" fontId="110" fillId="0" borderId="144" xfId="0" applyFont="1" applyBorder="1" applyAlignment="1">
      <alignment horizontal="center" vertical="top" wrapText="1"/>
    </xf>
    <xf numFmtId="0" fontId="110" fillId="0" borderId="142" xfId="0" applyFont="1" applyBorder="1" applyAlignment="1">
      <alignment horizontal="center" vertical="top" wrapText="1"/>
    </xf>
    <xf numFmtId="0" fontId="110" fillId="0" borderId="135" xfId="0" applyFont="1" applyBorder="1" applyAlignment="1">
      <alignment horizontal="center" vertical="top" wrapText="1"/>
    </xf>
    <xf numFmtId="0" fontId="110" fillId="0" borderId="31" xfId="0" applyFont="1" applyBorder="1" applyAlignment="1">
      <alignment horizontal="center" vertical="top" wrapText="1"/>
    </xf>
    <xf numFmtId="0" fontId="110" fillId="0" borderId="0" xfId="0" applyFont="1" applyAlignment="1">
      <alignment horizontal="center" vertical="top" wrapText="1"/>
    </xf>
    <xf numFmtId="0" fontId="110" fillId="0" borderId="150" xfId="0" applyFont="1" applyBorder="1" applyAlignment="1">
      <alignment horizontal="center" vertical="top" wrapText="1"/>
    </xf>
    <xf numFmtId="0" fontId="81" fillId="0" borderId="125" xfId="0" applyFont="1" applyBorder="1" applyAlignment="1">
      <alignment vertical="top" wrapText="1"/>
    </xf>
    <xf numFmtId="0" fontId="81" fillId="0" borderId="86" xfId="0" applyFont="1" applyBorder="1" applyAlignment="1">
      <alignment vertical="top" wrapText="1"/>
    </xf>
    <xf numFmtId="0" fontId="81" fillId="0" borderId="126" xfId="0" applyFont="1" applyBorder="1" applyAlignment="1">
      <alignment vertical="top" wrapText="1"/>
    </xf>
    <xf numFmtId="0" fontId="81" fillId="0" borderId="136" xfId="0" applyFont="1" applyBorder="1" applyAlignment="1">
      <alignment vertical="top" wrapText="1"/>
    </xf>
    <xf numFmtId="0" fontId="81" fillId="0" borderId="21" xfId="0" applyFont="1" applyBorder="1" applyAlignment="1">
      <alignment horizontal="center" vertical="top" wrapText="1"/>
    </xf>
    <xf numFmtId="174" fontId="81" fillId="0" borderId="21" xfId="0" applyNumberFormat="1" applyFont="1" applyBorder="1" applyAlignment="1">
      <alignment horizontal="center" vertical="top" wrapText="1"/>
    </xf>
    <xf numFmtId="173" fontId="81" fillId="0" borderId="4" xfId="4" applyNumberFormat="1" applyFont="1" applyFill="1" applyBorder="1" applyAlignment="1">
      <alignment horizontal="center" vertical="top" wrapText="1"/>
    </xf>
    <xf numFmtId="173" fontId="81" fillId="0" borderId="19" xfId="4" applyNumberFormat="1" applyFont="1" applyFill="1" applyBorder="1" applyAlignment="1">
      <alignment horizontal="center" vertical="top" wrapText="1"/>
    </xf>
    <xf numFmtId="173" fontId="81" fillId="0" borderId="21" xfId="4" applyNumberFormat="1" applyFont="1" applyFill="1" applyBorder="1" applyAlignment="1">
      <alignment horizontal="center" vertical="top" wrapText="1"/>
    </xf>
    <xf numFmtId="173" fontId="81" fillId="0" borderId="22" xfId="4" applyNumberFormat="1" applyFont="1" applyFill="1" applyBorder="1" applyAlignment="1">
      <alignment horizontal="center" vertical="top" wrapText="1"/>
    </xf>
    <xf numFmtId="0" fontId="83" fillId="0" borderId="15" xfId="0" applyFont="1" applyBorder="1" applyAlignment="1">
      <alignment horizontal="center" vertical="top" wrapText="1"/>
    </xf>
    <xf numFmtId="0" fontId="83" fillId="0" borderId="16" xfId="0" applyFont="1" applyBorder="1" applyAlignment="1">
      <alignment horizontal="center" vertical="top" wrapText="1"/>
    </xf>
    <xf numFmtId="0" fontId="83" fillId="0" borderId="20" xfId="0" applyFont="1" applyBorder="1" applyAlignment="1">
      <alignment horizontal="center" vertical="top" wrapText="1"/>
    </xf>
    <xf numFmtId="0" fontId="83" fillId="0" borderId="21" xfId="0" applyFont="1" applyBorder="1" applyAlignment="1">
      <alignment horizontal="center" vertical="top" wrapText="1"/>
    </xf>
    <xf numFmtId="174" fontId="83" fillId="0" borderId="16" xfId="0" applyNumberFormat="1" applyFont="1" applyBorder="1" applyAlignment="1">
      <alignment horizontal="center" vertical="top" wrapText="1"/>
    </xf>
    <xf numFmtId="174" fontId="83" fillId="0" borderId="21" xfId="0" applyNumberFormat="1" applyFont="1" applyBorder="1" applyAlignment="1">
      <alignment horizontal="center" vertical="top" wrapText="1"/>
    </xf>
    <xf numFmtId="0" fontId="83" fillId="0" borderId="17" xfId="0" applyFont="1" applyBorder="1" applyAlignment="1">
      <alignment horizontal="center" vertical="top" wrapText="1"/>
    </xf>
    <xf numFmtId="0" fontId="83" fillId="0" borderId="22" xfId="0" applyFont="1" applyBorder="1" applyAlignment="1">
      <alignment horizontal="center" vertical="top" wrapText="1"/>
    </xf>
    <xf numFmtId="0" fontId="81" fillId="0" borderId="23" xfId="0" applyFont="1" applyBorder="1" applyAlignment="1">
      <alignment horizontal="center" vertical="top" wrapText="1"/>
    </xf>
    <xf numFmtId="0" fontId="81" fillId="0" borderId="18" xfId="0" applyFont="1" applyBorder="1" applyAlignment="1">
      <alignment horizontal="center" vertical="top" wrapText="1"/>
    </xf>
    <xf numFmtId="0" fontId="81" fillId="0" borderId="20" xfId="0" applyFont="1" applyBorder="1" applyAlignment="1">
      <alignment horizontal="center" vertical="top" wrapText="1"/>
    </xf>
    <xf numFmtId="173" fontId="81" fillId="0" borderId="8" xfId="0" applyNumberFormat="1" applyFont="1" applyBorder="1" applyAlignment="1">
      <alignment horizontal="center" vertical="top" wrapText="1"/>
    </xf>
    <xf numFmtId="173" fontId="81" fillId="0" borderId="24" xfId="0" applyNumberFormat="1" applyFont="1" applyBorder="1" applyAlignment="1">
      <alignment horizontal="center" vertical="top" wrapText="1"/>
    </xf>
    <xf numFmtId="173" fontId="81" fillId="0" borderId="4" xfId="0" applyNumberFormat="1" applyFont="1" applyBorder="1" applyAlignment="1">
      <alignment horizontal="center" vertical="top" wrapText="1"/>
    </xf>
    <xf numFmtId="173" fontId="81" fillId="0" borderId="19" xfId="0" applyNumberFormat="1" applyFont="1" applyBorder="1" applyAlignment="1">
      <alignment horizontal="center" vertical="top" wrapText="1"/>
    </xf>
    <xf numFmtId="173" fontId="81" fillId="0" borderId="21" xfId="0" applyNumberFormat="1" applyFont="1" applyBorder="1" applyAlignment="1">
      <alignment horizontal="center" vertical="top" wrapText="1"/>
    </xf>
    <xf numFmtId="173" fontId="81" fillId="0" borderId="22" xfId="0" applyNumberFormat="1" applyFont="1" applyBorder="1" applyAlignment="1">
      <alignment horizontal="center" vertical="top" wrapText="1"/>
    </xf>
    <xf numFmtId="165" fontId="81" fillId="0" borderId="4" xfId="0" applyNumberFormat="1" applyFont="1" applyBorder="1" applyAlignment="1">
      <alignment horizontal="center" vertical="top" wrapText="1"/>
    </xf>
    <xf numFmtId="0" fontId="81" fillId="0" borderId="23" xfId="0" applyFont="1" applyBorder="1" applyAlignment="1">
      <alignment horizontal="left" vertical="top" wrapText="1"/>
    </xf>
    <xf numFmtId="0" fontId="81" fillId="0" borderId="8" xfId="0" applyFont="1" applyBorder="1" applyAlignment="1">
      <alignment horizontal="left" vertical="top" wrapText="1"/>
    </xf>
    <xf numFmtId="0" fontId="81" fillId="0" borderId="18" xfId="0" applyFont="1" applyBorder="1" applyAlignment="1">
      <alignment horizontal="left" vertical="top" wrapText="1"/>
    </xf>
    <xf numFmtId="0" fontId="81" fillId="0" borderId="4" xfId="0" applyFont="1" applyBorder="1" applyAlignment="1">
      <alignment horizontal="left" vertical="top" wrapText="1"/>
    </xf>
    <xf numFmtId="0" fontId="83" fillId="0" borderId="18" xfId="0" applyFont="1" applyBorder="1" applyAlignment="1">
      <alignment horizontal="center" vertical="top" wrapText="1"/>
    </xf>
    <xf numFmtId="0" fontId="83" fillId="0" borderId="4" xfId="0" applyFont="1" applyBorder="1" applyAlignment="1">
      <alignment horizontal="center" vertical="top" wrapText="1"/>
    </xf>
    <xf numFmtId="0" fontId="83" fillId="0" borderId="19" xfId="0" applyFont="1" applyBorder="1" applyAlignment="1">
      <alignment horizontal="center" vertical="top" wrapText="1"/>
    </xf>
    <xf numFmtId="174" fontId="83" fillId="0" borderId="0" xfId="0" applyNumberFormat="1" applyFont="1" applyAlignment="1">
      <alignment horizontal="left" vertical="top" wrapText="1"/>
    </xf>
    <xf numFmtId="165" fontId="81" fillId="0" borderId="8" xfId="0" applyNumberFormat="1" applyFont="1" applyBorder="1" applyAlignment="1">
      <alignment horizontal="center" vertical="top" wrapText="1"/>
    </xf>
    <xf numFmtId="165" fontId="81" fillId="0" borderId="24" xfId="0" applyNumberFormat="1" applyFont="1" applyBorder="1" applyAlignment="1">
      <alignment horizontal="center" vertical="top" wrapText="1"/>
    </xf>
    <xf numFmtId="165" fontId="81" fillId="0" borderId="19" xfId="0" applyNumberFormat="1" applyFont="1" applyBorder="1" applyAlignment="1">
      <alignment horizontal="center" vertical="top" wrapText="1"/>
    </xf>
    <xf numFmtId="0" fontId="81" fillId="0" borderId="31" xfId="0" applyFont="1" applyBorder="1" applyAlignment="1">
      <alignment horizontal="left" vertical="top" wrapText="1"/>
    </xf>
    <xf numFmtId="17" fontId="83" fillId="0" borderId="0" xfId="0" quotePrefix="1" applyNumberFormat="1" applyFont="1" applyAlignment="1">
      <alignment horizontal="left" vertical="top" wrapText="1"/>
    </xf>
    <xf numFmtId="170" fontId="81" fillId="0" borderId="0" xfId="0" applyNumberFormat="1" applyFont="1" applyAlignment="1">
      <alignment horizontal="left" vertical="top" wrapText="1"/>
    </xf>
    <xf numFmtId="174" fontId="81" fillId="0" borderId="31" xfId="0" applyNumberFormat="1" applyFont="1" applyBorder="1" applyAlignment="1">
      <alignment horizontal="left" vertical="top" wrapText="1"/>
    </xf>
    <xf numFmtId="0" fontId="81" fillId="0" borderId="0" xfId="2" applyFont="1" applyAlignment="1">
      <alignment horizontal="justify" vertical="top" wrapText="1"/>
    </xf>
    <xf numFmtId="0" fontId="83" fillId="0" borderId="0" xfId="0" applyFont="1" applyAlignment="1">
      <alignment horizontal="left" wrapText="1"/>
    </xf>
    <xf numFmtId="165" fontId="81" fillId="0" borderId="223" xfId="0" applyNumberFormat="1" applyFont="1" applyBorder="1" applyAlignment="1">
      <alignment vertical="top" wrapText="1"/>
    </xf>
    <xf numFmtId="165" fontId="81" fillId="0" borderId="196" xfId="0" applyNumberFormat="1" applyFont="1" applyBorder="1" applyAlignment="1">
      <alignment vertical="top" wrapText="1"/>
    </xf>
    <xf numFmtId="0" fontId="83" fillId="0" borderId="127" xfId="0" applyFont="1" applyBorder="1" applyAlignment="1">
      <alignment horizontal="center" vertical="top" wrapText="1"/>
    </xf>
    <xf numFmtId="0" fontId="83" fillId="0" borderId="128" xfId="0" applyFont="1" applyBorder="1" applyAlignment="1">
      <alignment horizontal="center" vertical="top" wrapText="1"/>
    </xf>
    <xf numFmtId="0" fontId="83" fillId="0" borderId="124" xfId="0" applyFont="1" applyBorder="1" applyAlignment="1">
      <alignment horizontal="center" vertical="top" wrapText="1"/>
    </xf>
    <xf numFmtId="0" fontId="83" fillId="0" borderId="129" xfId="0" applyFont="1" applyBorder="1" applyAlignment="1">
      <alignment horizontal="center" vertical="top" wrapText="1"/>
    </xf>
    <xf numFmtId="165" fontId="81" fillId="0" borderId="178" xfId="0" applyNumberFormat="1" applyFont="1" applyBorder="1" applyAlignment="1">
      <alignment vertical="top" wrapText="1"/>
    </xf>
    <xf numFmtId="165" fontId="81" fillId="0" borderId="175" xfId="0" applyNumberFormat="1" applyFont="1" applyBorder="1" applyAlignment="1">
      <alignment vertical="top" wrapText="1"/>
    </xf>
    <xf numFmtId="0" fontId="83" fillId="0" borderId="120" xfId="0" applyFont="1" applyBorder="1" applyAlignment="1">
      <alignment horizontal="center" vertical="top" wrapText="1"/>
    </xf>
    <xf numFmtId="0" fontId="83" fillId="0" borderId="121" xfId="0" applyFont="1" applyBorder="1" applyAlignment="1">
      <alignment horizontal="center" vertical="top" wrapText="1"/>
    </xf>
    <xf numFmtId="0" fontId="83" fillId="0" borderId="176" xfId="0" applyFont="1" applyBorder="1" applyAlignment="1">
      <alignment horizontal="center" vertical="top" wrapText="1"/>
    </xf>
    <xf numFmtId="0" fontId="83" fillId="0" borderId="177" xfId="0" applyFont="1" applyBorder="1" applyAlignment="1">
      <alignment horizontal="center" vertical="top" wrapText="1"/>
    </xf>
    <xf numFmtId="0" fontId="81" fillId="0" borderId="124" xfId="0" applyFont="1" applyBorder="1" applyAlignment="1">
      <alignment vertical="top" wrapText="1"/>
    </xf>
    <xf numFmtId="0" fontId="81" fillId="0" borderId="174" xfId="0" applyFont="1" applyBorder="1" applyAlignment="1">
      <alignment vertical="top" wrapText="1"/>
    </xf>
    <xf numFmtId="0" fontId="81" fillId="0" borderId="175" xfId="0" applyFont="1" applyBorder="1" applyAlignment="1">
      <alignment vertical="top" wrapText="1"/>
    </xf>
    <xf numFmtId="0" fontId="81" fillId="0" borderId="140" xfId="0" applyFont="1" applyBorder="1" applyAlignment="1">
      <alignment vertical="top" wrapText="1"/>
    </xf>
    <xf numFmtId="0" fontId="81" fillId="0" borderId="162" xfId="0" applyFont="1" applyBorder="1" applyAlignment="1">
      <alignment vertical="top" wrapText="1"/>
    </xf>
    <xf numFmtId="0" fontId="83" fillId="0" borderId="182" xfId="0" applyFont="1" applyBorder="1" applyAlignment="1">
      <alignment horizontal="center" vertical="top" wrapText="1"/>
    </xf>
    <xf numFmtId="0" fontId="81" fillId="0" borderId="127" xfId="0" applyFont="1" applyBorder="1" applyAlignment="1">
      <alignment vertical="top" wrapText="1"/>
    </xf>
    <xf numFmtId="0" fontId="81" fillId="0" borderId="129" xfId="0" applyFont="1" applyBorder="1" applyAlignment="1">
      <alignment vertical="top" wrapText="1"/>
    </xf>
    <xf numFmtId="0" fontId="81" fillId="0" borderId="178" xfId="0" applyFont="1" applyBorder="1" applyAlignment="1">
      <alignment vertical="top" wrapText="1"/>
    </xf>
    <xf numFmtId="0" fontId="81" fillId="0" borderId="181" xfId="0" applyFont="1" applyBorder="1" applyAlignment="1">
      <alignment vertical="top" wrapText="1"/>
    </xf>
    <xf numFmtId="165" fontId="81" fillId="0" borderId="219" xfId="0" applyNumberFormat="1" applyFont="1" applyBorder="1" applyAlignment="1">
      <alignment vertical="top" wrapText="1"/>
    </xf>
    <xf numFmtId="165" fontId="81" fillId="0" borderId="128" xfId="0" applyNumberFormat="1" applyFont="1" applyBorder="1" applyAlignment="1">
      <alignment vertical="top" wrapText="1"/>
    </xf>
    <xf numFmtId="165" fontId="81" fillId="0" borderId="130" xfId="0" applyNumberFormat="1" applyFont="1" applyBorder="1" applyAlignment="1">
      <alignment vertical="top" wrapText="1"/>
    </xf>
    <xf numFmtId="165" fontId="81" fillId="0" borderId="116" xfId="0" applyNumberFormat="1" applyFont="1" applyBorder="1" applyAlignment="1">
      <alignment vertical="top" wrapText="1"/>
    </xf>
    <xf numFmtId="165" fontId="81" fillId="0" borderId="172" xfId="0" applyNumberFormat="1" applyFont="1" applyBorder="1" applyAlignment="1">
      <alignment vertical="top" wrapText="1"/>
    </xf>
    <xf numFmtId="165" fontId="81" fillId="0" borderId="131" xfId="0" applyNumberFormat="1" applyFont="1" applyBorder="1" applyAlignment="1">
      <alignment vertical="top" wrapText="1"/>
    </xf>
    <xf numFmtId="165" fontId="81" fillId="0" borderId="179" xfId="0" applyNumberFormat="1" applyFont="1" applyBorder="1" applyAlignment="1">
      <alignment vertical="top" wrapText="1"/>
    </xf>
    <xf numFmtId="165" fontId="81" fillId="0" borderId="180" xfId="0" applyNumberFormat="1" applyFont="1" applyBorder="1" applyAlignment="1">
      <alignment vertical="top" wrapText="1"/>
    </xf>
    <xf numFmtId="0" fontId="83" fillId="0" borderId="12" xfId="0" applyFont="1" applyBorder="1" applyAlignment="1">
      <alignment horizontal="left" vertical="top" wrapText="1"/>
    </xf>
    <xf numFmtId="0" fontId="83" fillId="0" borderId="83" xfId="0" applyFont="1" applyBorder="1" applyAlignment="1">
      <alignment horizontal="center" vertical="top" wrapText="1"/>
    </xf>
    <xf numFmtId="0" fontId="83" fillId="0" borderId="133" xfId="0" applyFont="1" applyBorder="1" applyAlignment="1">
      <alignment horizontal="center" vertical="top" wrapText="1"/>
    </xf>
    <xf numFmtId="0" fontId="83" fillId="0" borderId="118" xfId="0" applyFont="1" applyBorder="1" applyAlignment="1">
      <alignment horizontal="center" vertical="top" wrapText="1"/>
    </xf>
    <xf numFmtId="0" fontId="83" fillId="0" borderId="135" xfId="0" applyFont="1" applyBorder="1" applyAlignment="1">
      <alignment horizontal="center" vertical="top" wrapText="1"/>
    </xf>
    <xf numFmtId="0" fontId="83" fillId="0" borderId="123" xfId="0" applyFont="1" applyBorder="1" applyAlignment="1">
      <alignment horizontal="center" vertical="top" wrapText="1"/>
    </xf>
    <xf numFmtId="0" fontId="83" fillId="0" borderId="117" xfId="0" applyFont="1" applyBorder="1" applyAlignment="1">
      <alignment horizontal="center" vertical="top" wrapText="1"/>
    </xf>
    <xf numFmtId="0" fontId="83" fillId="0" borderId="134" xfId="0" applyFont="1" applyBorder="1" applyAlignment="1">
      <alignment horizontal="center" vertical="top" wrapText="1"/>
    </xf>
    <xf numFmtId="0" fontId="83" fillId="0" borderId="31" xfId="0" applyFont="1" applyBorder="1" applyAlignment="1">
      <alignment horizontal="center" vertical="top" wrapText="1"/>
    </xf>
    <xf numFmtId="0" fontId="83" fillId="0" borderId="132" xfId="0" applyFont="1" applyBorder="1" applyAlignment="1">
      <alignment horizontal="center" vertical="top" wrapText="1"/>
    </xf>
    <xf numFmtId="0" fontId="83" fillId="0" borderId="0" xfId="0" applyFont="1" applyAlignment="1">
      <alignment horizontal="center" vertical="top" wrapText="1"/>
    </xf>
    <xf numFmtId="0" fontId="83" fillId="0" borderId="122" xfId="0" applyFont="1" applyBorder="1" applyAlignment="1">
      <alignment horizontal="center" vertical="top" wrapText="1"/>
    </xf>
    <xf numFmtId="0" fontId="83" fillId="0" borderId="12" xfId="0" applyFont="1" applyBorder="1" applyAlignment="1">
      <alignment horizontal="center" vertical="top" wrapText="1"/>
    </xf>
    <xf numFmtId="0" fontId="83" fillId="0" borderId="126" xfId="0" applyFont="1" applyBorder="1" applyAlignment="1">
      <alignment vertical="top" wrapText="1"/>
    </xf>
    <xf numFmtId="0" fontId="83" fillId="0" borderId="119" xfId="0" applyFont="1" applyBorder="1" applyAlignment="1">
      <alignment vertical="top" wrapText="1"/>
    </xf>
    <xf numFmtId="165" fontId="81" fillId="0" borderId="162" xfId="0" applyNumberFormat="1" applyFont="1" applyBorder="1" applyAlignment="1">
      <alignment vertical="top" wrapText="1"/>
    </xf>
    <xf numFmtId="165" fontId="83" fillId="0" borderId="130" xfId="0" applyNumberFormat="1" applyFont="1" applyBorder="1" applyAlignment="1">
      <alignment vertical="top" wrapText="1"/>
    </xf>
    <xf numFmtId="0" fontId="35" fillId="0" borderId="0" xfId="0" applyFont="1" applyAlignment="1">
      <alignment vertical="top" wrapText="1"/>
    </xf>
    <xf numFmtId="0" fontId="35" fillId="0" borderId="0" xfId="0" applyFont="1" applyAlignment="1">
      <alignment wrapText="1"/>
    </xf>
    <xf numFmtId="0" fontId="35" fillId="0" borderId="0" xfId="0" quotePrefix="1" applyFont="1" applyAlignment="1">
      <alignment vertical="top" wrapText="1"/>
    </xf>
    <xf numFmtId="0" fontId="81" fillId="0" borderId="0" xfId="0" applyFont="1" applyAlignment="1">
      <alignment vertical="center"/>
    </xf>
    <xf numFmtId="0" fontId="109" fillId="0" borderId="0" xfId="0" applyFont="1" applyAlignment="1">
      <alignment vertical="center"/>
    </xf>
    <xf numFmtId="0" fontId="109" fillId="0" borderId="0" xfId="0" applyFont="1" applyAlignment="1">
      <alignment vertical="center" wrapText="1"/>
    </xf>
    <xf numFmtId="0" fontId="111" fillId="7" borderId="0" xfId="0" applyFont="1" applyFill="1" applyAlignment="1">
      <alignment vertical="center"/>
    </xf>
    <xf numFmtId="0" fontId="109" fillId="0" borderId="0" xfId="0" applyFont="1" applyAlignment="1">
      <alignment horizontal="center" vertical="center"/>
    </xf>
    <xf numFmtId="0" fontId="83" fillId="0" borderId="0" xfId="0" applyFont="1" applyAlignment="1">
      <alignment vertical="center" wrapText="1"/>
    </xf>
    <xf numFmtId="0" fontId="123" fillId="0" borderId="0" xfId="0" applyFont="1" applyAlignment="1">
      <alignment vertical="center" wrapText="1"/>
    </xf>
    <xf numFmtId="0" fontId="105" fillId="7" borderId="0" xfId="0" applyFont="1" applyFill="1" applyAlignment="1">
      <alignment horizontal="center" vertical="center"/>
    </xf>
    <xf numFmtId="0" fontId="111" fillId="7" borderId="0" xfId="0" applyFont="1" applyFill="1" applyAlignment="1">
      <alignment horizontal="center" vertical="center"/>
    </xf>
    <xf numFmtId="0" fontId="109" fillId="4" borderId="0" xfId="0" applyFont="1" applyFill="1" applyAlignment="1">
      <alignment vertical="center"/>
    </xf>
    <xf numFmtId="0" fontId="137" fillId="0" borderId="0" xfId="0" applyFont="1" applyAlignment="1">
      <alignment vertical="center"/>
    </xf>
    <xf numFmtId="0" fontId="85" fillId="0" borderId="0" xfId="0" applyFont="1" applyAlignment="1">
      <alignment vertical="top" wrapText="1"/>
    </xf>
    <xf numFmtId="0" fontId="86" fillId="0" borderId="0" xfId="0" applyFont="1" applyAlignment="1">
      <alignment vertical="top" wrapText="1"/>
    </xf>
    <xf numFmtId="0" fontId="91" fillId="0" borderId="0" xfId="0" applyFont="1" applyAlignment="1">
      <alignment vertical="top"/>
    </xf>
    <xf numFmtId="0" fontId="87" fillId="0" borderId="0" xfId="0" applyFont="1" applyAlignment="1">
      <alignment vertical="top" wrapText="1"/>
    </xf>
    <xf numFmtId="0" fontId="85" fillId="0" borderId="0" xfId="0" applyFont="1" applyAlignment="1">
      <alignment vertical="top"/>
    </xf>
    <xf numFmtId="0" fontId="87" fillId="0" borderId="0" xfId="0" applyFont="1" applyAlignment="1">
      <alignment vertical="top"/>
    </xf>
    <xf numFmtId="0" fontId="82" fillId="0" borderId="0" xfId="0" applyFont="1" applyAlignment="1">
      <alignment vertical="top"/>
    </xf>
    <xf numFmtId="0" fontId="89" fillId="0" borderId="0" xfId="0" applyFont="1" applyAlignment="1">
      <alignment vertical="top"/>
    </xf>
    <xf numFmtId="0" fontId="90" fillId="0" borderId="0" xfId="0" applyFont="1" applyAlignment="1">
      <alignment vertical="top"/>
    </xf>
    <xf numFmtId="0" fontId="91" fillId="0" borderId="0" xfId="0" applyFont="1"/>
    <xf numFmtId="0" fontId="91" fillId="0" borderId="0" xfId="0" applyFont="1" applyAlignment="1">
      <alignment vertical="top" wrapText="1"/>
    </xf>
    <xf numFmtId="0" fontId="92" fillId="0" borderId="0" xfId="0" applyFont="1" applyAlignment="1">
      <alignment vertical="top"/>
    </xf>
    <xf numFmtId="0" fontId="84" fillId="0" borderId="0" xfId="0" applyFont="1" applyAlignment="1">
      <alignment vertical="top" wrapText="1"/>
    </xf>
    <xf numFmtId="0" fontId="88" fillId="0" borderId="0" xfId="0" applyFont="1" applyAlignment="1">
      <alignment vertical="top" wrapText="1"/>
    </xf>
    <xf numFmtId="0" fontId="81" fillId="0" borderId="0" xfId="0" applyFont="1" applyAlignment="1">
      <alignment horizontal="justify"/>
    </xf>
    <xf numFmtId="174" fontId="81" fillId="0" borderId="0" xfId="0" applyNumberFormat="1" applyFont="1" applyAlignment="1">
      <alignment horizontal="justify"/>
    </xf>
    <xf numFmtId="0" fontId="86" fillId="0" borderId="0" xfId="0" applyFont="1" applyAlignment="1">
      <alignment vertical="top"/>
    </xf>
    <xf numFmtId="0" fontId="85" fillId="0" borderId="0" xfId="0" applyFont="1"/>
    <xf numFmtId="0" fontId="108" fillId="0" borderId="0" xfId="0" applyFont="1" applyAlignment="1">
      <alignment horizontal="center" wrapText="1"/>
    </xf>
    <xf numFmtId="0" fontId="85" fillId="0" borderId="0" xfId="0" applyFont="1" applyAlignment="1">
      <alignment horizontal="justify" vertical="top" wrapText="1"/>
    </xf>
    <xf numFmtId="0" fontId="85" fillId="0" borderId="0" xfId="0" applyFont="1" applyAlignment="1">
      <alignment horizontal="justify" vertical="top"/>
    </xf>
    <xf numFmtId="167" fontId="135" fillId="0" borderId="0" xfId="0" applyNumberFormat="1" applyFont="1" applyAlignment="1">
      <alignment horizontal="center"/>
    </xf>
    <xf numFmtId="0" fontId="104" fillId="0" borderId="0" xfId="0" applyFont="1"/>
    <xf numFmtId="0" fontId="136" fillId="0" borderId="0" xfId="0" applyFont="1" applyAlignment="1">
      <alignment horizontal="left" vertical="top" wrapText="1"/>
    </xf>
    <xf numFmtId="0" fontId="111" fillId="7" borderId="193" xfId="0" applyFont="1" applyFill="1" applyBorder="1" applyAlignment="1">
      <alignment horizontal="center"/>
    </xf>
    <xf numFmtId="0" fontId="81" fillId="0" borderId="218" xfId="0" applyFont="1" applyBorder="1" applyAlignment="1">
      <alignment horizontal="left" vertical="top" wrapText="1"/>
    </xf>
    <xf numFmtId="0" fontId="81" fillId="0" borderId="193" xfId="0" applyFont="1" applyBorder="1"/>
    <xf numFmtId="0" fontId="83" fillId="0" borderId="0" xfId="0" applyFont="1" applyAlignment="1">
      <alignment horizontal="right" wrapText="1"/>
    </xf>
    <xf numFmtId="0" fontId="83" fillId="0" borderId="0" xfId="0" applyFont="1" applyAlignment="1">
      <alignment horizontal="right"/>
    </xf>
    <xf numFmtId="0" fontId="105" fillId="7" borderId="193" xfId="0" applyFont="1" applyFill="1" applyBorder="1" applyAlignment="1">
      <alignment vertical="top" wrapText="1"/>
    </xf>
    <xf numFmtId="0" fontId="81" fillId="4" borderId="194" xfId="0" applyFont="1" applyFill="1" applyBorder="1"/>
    <xf numFmtId="0" fontId="81" fillId="4" borderId="196" xfId="0" applyFont="1" applyFill="1" applyBorder="1"/>
    <xf numFmtId="0" fontId="81" fillId="0" borderId="193" xfId="0" applyFont="1" applyBorder="1" applyAlignment="1">
      <alignment vertical="top" wrapText="1"/>
    </xf>
    <xf numFmtId="0" fontId="81" fillId="0" borderId="193" xfId="0" applyFont="1" applyBorder="1" applyAlignment="1">
      <alignment wrapText="1"/>
    </xf>
    <xf numFmtId="0" fontId="81" fillId="0" borderId="194" xfId="0" applyFont="1" applyBorder="1"/>
    <xf numFmtId="0" fontId="81" fillId="0" borderId="196" xfId="0" applyFont="1" applyBorder="1"/>
    <xf numFmtId="0" fontId="83" fillId="0" borderId="193" xfId="0" applyFont="1" applyBorder="1"/>
    <xf numFmtId="0" fontId="136" fillId="0" borderId="0" xfId="0" applyFont="1" applyAlignment="1">
      <alignment vertical="top" wrapText="1"/>
    </xf>
    <xf numFmtId="0" fontId="105" fillId="7" borderId="193" xfId="0" applyFont="1" applyFill="1" applyBorder="1" applyAlignment="1">
      <alignment horizontal="center"/>
    </xf>
    <xf numFmtId="0" fontId="105" fillId="7" borderId="193" xfId="0" applyFont="1" applyFill="1" applyBorder="1" applyAlignment="1">
      <alignment horizontal="center" vertical="center"/>
    </xf>
    <xf numFmtId="0" fontId="83" fillId="4" borderId="199" xfId="0" applyFont="1" applyFill="1" applyBorder="1" applyAlignment="1">
      <alignment horizontal="center"/>
    </xf>
    <xf numFmtId="0" fontId="83" fillId="4" borderId="8" xfId="0" applyFont="1" applyFill="1" applyBorder="1" applyAlignment="1">
      <alignment horizontal="center"/>
    </xf>
    <xf numFmtId="174" fontId="81" fillId="43" borderId="223" xfId="1" applyNumberFormat="1" applyFont="1" applyFill="1" applyBorder="1" applyAlignment="1">
      <alignment horizontal="right"/>
    </xf>
    <xf numFmtId="174" fontId="81" fillId="43" borderId="196" xfId="1" applyNumberFormat="1" applyFont="1" applyFill="1" applyBorder="1" applyAlignment="1">
      <alignment horizontal="right"/>
    </xf>
    <xf numFmtId="174" fontId="105" fillId="7" borderId="218" xfId="1" applyNumberFormat="1" applyFont="1" applyFill="1" applyBorder="1" applyAlignment="1">
      <alignment horizontal="right"/>
    </xf>
    <xf numFmtId="174" fontId="81" fillId="0" borderId="223" xfId="1" applyNumberFormat="1" applyFont="1" applyFill="1" applyBorder="1" applyAlignment="1">
      <alignment horizontal="right"/>
    </xf>
    <xf numFmtId="174" fontId="81" fillId="0" borderId="196" xfId="1" applyNumberFormat="1" applyFont="1" applyFill="1" applyBorder="1" applyAlignment="1">
      <alignment horizontal="right"/>
    </xf>
    <xf numFmtId="0" fontId="105" fillId="7" borderId="218" xfId="0" applyFont="1" applyFill="1" applyBorder="1" applyAlignment="1">
      <alignment horizontal="left"/>
    </xf>
    <xf numFmtId="0" fontId="105" fillId="7" borderId="222" xfId="0" applyFont="1" applyFill="1" applyBorder="1" applyAlignment="1">
      <alignment horizontal="left"/>
    </xf>
    <xf numFmtId="0" fontId="81" fillId="0" borderId="2" xfId="0" applyFont="1" applyBorder="1"/>
    <xf numFmtId="0" fontId="81" fillId="0" borderId="46" xfId="0" applyFont="1" applyBorder="1"/>
    <xf numFmtId="0" fontId="81" fillId="0" borderId="6" xfId="0" applyFont="1" applyBorder="1"/>
    <xf numFmtId="0" fontId="81" fillId="0" borderId="4" xfId="0" applyFont="1" applyBorder="1"/>
    <xf numFmtId="174" fontId="106" fillId="7" borderId="218" xfId="0" applyNumberFormat="1" applyFont="1" applyFill="1" applyBorder="1"/>
    <xf numFmtId="0" fontId="106" fillId="7" borderId="222" xfId="0" applyFont="1" applyFill="1" applyBorder="1"/>
    <xf numFmtId="169" fontId="105" fillId="7" borderId="0" xfId="0" applyNumberFormat="1" applyFont="1" applyFill="1" applyAlignment="1">
      <alignment horizontal="center"/>
    </xf>
    <xf numFmtId="169" fontId="81" fillId="4" borderId="1" xfId="0" applyNumberFormat="1" applyFont="1" applyFill="1" applyBorder="1" applyAlignment="1">
      <alignment horizontal="right"/>
    </xf>
    <xf numFmtId="0" fontId="83" fillId="4" borderId="0" xfId="0" applyFont="1" applyFill="1" applyAlignment="1">
      <alignment horizontal="right"/>
    </xf>
    <xf numFmtId="0" fontId="106" fillId="7" borderId="0" xfId="0" applyFont="1" applyFill="1" applyAlignment="1">
      <alignment horizontal="right"/>
    </xf>
    <xf numFmtId="0" fontId="105" fillId="7" borderId="0" xfId="0" applyFont="1" applyFill="1" applyAlignment="1">
      <alignment horizontal="center"/>
    </xf>
    <xf numFmtId="0" fontId="105" fillId="7" borderId="0" xfId="0" applyFont="1" applyFill="1" applyAlignment="1">
      <alignment wrapText="1"/>
    </xf>
    <xf numFmtId="0" fontId="81" fillId="0" borderId="30" xfId="0" applyFont="1" applyBorder="1"/>
    <xf numFmtId="0" fontId="83" fillId="0" borderId="30" xfId="0" applyFont="1" applyBorder="1"/>
    <xf numFmtId="0" fontId="105" fillId="7" borderId="0" xfId="0" applyFont="1" applyFill="1" applyAlignment="1">
      <alignment horizontal="left" wrapText="1"/>
    </xf>
    <xf numFmtId="0" fontId="105" fillId="7" borderId="0" xfId="0" applyFont="1" applyFill="1" applyAlignment="1">
      <alignment horizontal="left"/>
    </xf>
    <xf numFmtId="0" fontId="81" fillId="0" borderId="50" xfId="0" applyFont="1" applyBorder="1"/>
    <xf numFmtId="0" fontId="83" fillId="0" borderId="49" xfId="0" applyFont="1" applyBorder="1"/>
    <xf numFmtId="0" fontId="83" fillId="0" borderId="50" xfId="0" applyFont="1" applyBorder="1"/>
    <xf numFmtId="174" fontId="83" fillId="0" borderId="220" xfId="0" applyNumberFormat="1" applyFont="1" applyBorder="1" applyAlignment="1">
      <alignment horizontal="right"/>
    </xf>
    <xf numFmtId="0" fontId="83" fillId="4" borderId="0" xfId="0" applyFont="1" applyFill="1" applyAlignment="1">
      <alignment horizontal="center"/>
    </xf>
    <xf numFmtId="174" fontId="81" fillId="0" borderId="0" xfId="0" applyNumberFormat="1" applyFont="1" applyAlignment="1">
      <alignment horizontal="right"/>
    </xf>
    <xf numFmtId="174" fontId="81" fillId="0" borderId="219" xfId="0" applyNumberFormat="1" applyFont="1" applyBorder="1" applyAlignment="1">
      <alignment horizontal="right"/>
    </xf>
    <xf numFmtId="174" fontId="83" fillId="0" borderId="219" xfId="0" applyNumberFormat="1" applyFont="1" applyBorder="1" applyAlignment="1">
      <alignment horizontal="right"/>
    </xf>
    <xf numFmtId="0" fontId="81" fillId="0" borderId="0" xfId="3" applyFont="1"/>
    <xf numFmtId="0" fontId="81" fillId="0" borderId="0" xfId="3" applyFont="1" applyAlignment="1">
      <alignment vertical="top" wrapText="1"/>
    </xf>
    <xf numFmtId="0" fontId="81" fillId="0" borderId="0" xfId="3" applyFont="1" applyAlignment="1">
      <alignment horizontal="left" vertical="top" wrapText="1"/>
    </xf>
    <xf numFmtId="0" fontId="81" fillId="0" borderId="2" xfId="0" applyFont="1" applyBorder="1" applyAlignment="1">
      <alignment wrapText="1"/>
    </xf>
    <xf numFmtId="0" fontId="81" fillId="0" borderId="46" xfId="0" applyFont="1" applyBorder="1" applyAlignment="1">
      <alignment wrapText="1"/>
    </xf>
    <xf numFmtId="0" fontId="81" fillId="0" borderId="6" xfId="0" applyFont="1" applyBorder="1" applyAlignment="1">
      <alignment wrapText="1"/>
    </xf>
    <xf numFmtId="0" fontId="105" fillId="7" borderId="218" xfId="0" applyFont="1" applyFill="1" applyBorder="1"/>
    <xf numFmtId="0" fontId="105" fillId="7" borderId="222" xfId="0" applyFont="1" applyFill="1" applyBorder="1"/>
    <xf numFmtId="0" fontId="81" fillId="0" borderId="223" xfId="0" applyFont="1" applyBorder="1"/>
    <xf numFmtId="0" fontId="81" fillId="0" borderId="219" xfId="0" applyFont="1" applyBorder="1"/>
    <xf numFmtId="0" fontId="81" fillId="0" borderId="53" xfId="0" applyFont="1" applyBorder="1"/>
    <xf numFmtId="0" fontId="81" fillId="0" borderId="54" xfId="0" applyFont="1" applyBorder="1"/>
    <xf numFmtId="0" fontId="81" fillId="0" borderId="55" xfId="0" applyFont="1" applyBorder="1"/>
    <xf numFmtId="174" fontId="81" fillId="0" borderId="4" xfId="0" applyNumberFormat="1" applyFont="1" applyBorder="1"/>
    <xf numFmtId="174" fontId="81" fillId="0" borderId="0" xfId="0" applyNumberFormat="1" applyFont="1"/>
    <xf numFmtId="0" fontId="81" fillId="0" borderId="45" xfId="0" applyFont="1" applyBorder="1"/>
    <xf numFmtId="0" fontId="105" fillId="7" borderId="0" xfId="0" applyFont="1" applyFill="1"/>
    <xf numFmtId="14" fontId="39" fillId="0" borderId="0" xfId="0" applyNumberFormat="1" applyFont="1" applyAlignment="1">
      <alignment horizontal="center" vertical="top" wrapText="1"/>
    </xf>
    <xf numFmtId="0" fontId="39" fillId="0" borderId="0" xfId="0" applyFont="1" applyAlignment="1">
      <alignment horizontal="center" vertical="top" wrapText="1"/>
    </xf>
    <xf numFmtId="174" fontId="83" fillId="0" borderId="223" xfId="1" applyNumberFormat="1" applyFont="1" applyBorder="1" applyAlignment="1">
      <alignment horizontal="right"/>
    </xf>
    <xf numFmtId="174" fontId="83" fillId="0" borderId="196" xfId="1" applyNumberFormat="1" applyFont="1" applyBorder="1" applyAlignment="1">
      <alignment horizontal="right"/>
    </xf>
    <xf numFmtId="0" fontId="5" fillId="0" borderId="0" xfId="0" applyFont="1" applyAlignment="1">
      <alignment horizontal="justify" wrapText="1"/>
    </xf>
    <xf numFmtId="0" fontId="23" fillId="0" borderId="0" xfId="0" applyFont="1" applyAlignment="1">
      <alignment horizontal="justify"/>
    </xf>
    <xf numFmtId="0" fontId="23" fillId="0" borderId="0" xfId="0" applyFont="1" applyAlignment="1">
      <alignment horizontal="justify" wrapText="1"/>
    </xf>
    <xf numFmtId="0" fontId="104" fillId="0" borderId="0" xfId="0" applyFont="1" applyAlignment="1">
      <alignment horizontal="center"/>
    </xf>
    <xf numFmtId="0" fontId="81" fillId="0" borderId="0" xfId="0" applyFont="1" applyAlignment="1">
      <alignment horizontal="center" wrapText="1"/>
    </xf>
    <xf numFmtId="0" fontId="81" fillId="0" borderId="195" xfId="0" applyFont="1" applyBorder="1"/>
    <xf numFmtId="0" fontId="83" fillId="0" borderId="197" xfId="0" applyFont="1" applyBorder="1"/>
    <xf numFmtId="0" fontId="83" fillId="0" borderId="194" xfId="0" applyFont="1" applyBorder="1"/>
    <xf numFmtId="0" fontId="83" fillId="0" borderId="195" xfId="0" applyFont="1" applyBorder="1"/>
    <xf numFmtId="0" fontId="83" fillId="0" borderId="196" xfId="0" applyFont="1" applyBorder="1"/>
    <xf numFmtId="0" fontId="83" fillId="0" borderId="223" xfId="0" applyFont="1" applyBorder="1"/>
    <xf numFmtId="0" fontId="105" fillId="0" borderId="0" xfId="0" applyFont="1"/>
    <xf numFmtId="0" fontId="106" fillId="0" borderId="0" xfId="0" applyFont="1"/>
    <xf numFmtId="0" fontId="107" fillId="0" borderId="0" xfId="0" applyFont="1"/>
    <xf numFmtId="0" fontId="105" fillId="7" borderId="219" xfId="0" applyFont="1" applyFill="1" applyBorder="1" applyAlignment="1">
      <alignment horizontal="left"/>
    </xf>
    <xf numFmtId="0" fontId="81" fillId="0" borderId="0" xfId="0" applyFont="1" applyAlignment="1">
      <alignment horizontal="right"/>
    </xf>
    <xf numFmtId="174" fontId="81" fillId="0" borderId="1" xfId="0" applyNumberFormat="1" applyFont="1" applyBorder="1" applyAlignment="1">
      <alignment horizontal="right"/>
    </xf>
    <xf numFmtId="0" fontId="109" fillId="0" borderId="0" xfId="0" applyFont="1" applyAlignment="1">
      <alignment horizontal="left" vertical="top" wrapText="1"/>
    </xf>
    <xf numFmtId="0" fontId="105" fillId="7" borderId="1" xfId="0" applyFont="1" applyFill="1" applyBorder="1"/>
    <xf numFmtId="0" fontId="81" fillId="0" borderId="217" xfId="0" applyFont="1" applyBorder="1"/>
    <xf numFmtId="0" fontId="113" fillId="0" borderId="217" xfId="8" applyFont="1" applyBorder="1"/>
    <xf numFmtId="14" fontId="105" fillId="7" borderId="217" xfId="0" applyNumberFormat="1" applyFont="1" applyFill="1" applyBorder="1" applyAlignment="1">
      <alignment horizontal="left" vertical="top" wrapText="1"/>
    </xf>
    <xf numFmtId="0" fontId="105" fillId="7" borderId="217" xfId="0" applyFont="1" applyFill="1" applyBorder="1" applyAlignment="1">
      <alignment horizontal="left" vertical="top"/>
    </xf>
    <xf numFmtId="0" fontId="118" fillId="0" borderId="0" xfId="0" applyFont="1"/>
    <xf numFmtId="174" fontId="113" fillId="43" borderId="217" xfId="1" applyNumberFormat="1" applyFont="1" applyFill="1" applyBorder="1" applyAlignment="1">
      <alignment vertical="top" wrapText="1"/>
    </xf>
    <xf numFmtId="0" fontId="81" fillId="0" borderId="218" xfId="0" applyFont="1" applyBorder="1" applyAlignment="1">
      <alignment vertical="top" wrapText="1"/>
    </xf>
    <xf numFmtId="0" fontId="104" fillId="0" borderId="0" xfId="0" applyFont="1" applyAlignment="1">
      <alignment vertical="top" wrapText="1"/>
    </xf>
    <xf numFmtId="0" fontId="112" fillId="0" borderId="217" xfId="8" applyFont="1" applyBorder="1"/>
    <xf numFmtId="0" fontId="113" fillId="0" borderId="217" xfId="8" applyFont="1" applyBorder="1" applyAlignment="1">
      <alignment vertical="top" wrapText="1"/>
    </xf>
    <xf numFmtId="0" fontId="81" fillId="0" borderId="217" xfId="0" applyFont="1" applyBorder="1" applyAlignment="1">
      <alignment vertical="top"/>
    </xf>
    <xf numFmtId="0" fontId="106" fillId="7" borderId="0" xfId="0" applyFont="1" applyFill="1" applyAlignment="1">
      <alignment vertical="top" wrapText="1"/>
    </xf>
    <xf numFmtId="0" fontId="113" fillId="0" borderId="217" xfId="8" applyFont="1" applyBorder="1" applyAlignment="1">
      <alignment vertical="top"/>
    </xf>
    <xf numFmtId="0" fontId="106" fillId="7" borderId="0" xfId="0" applyFont="1" applyFill="1"/>
    <xf numFmtId="0" fontId="83" fillId="0" borderId="217" xfId="0" applyFont="1" applyBorder="1" applyAlignment="1">
      <alignment vertical="top"/>
    </xf>
    <xf numFmtId="0" fontId="105" fillId="7" borderId="221" xfId="0" applyFont="1" applyFill="1" applyBorder="1" applyAlignment="1">
      <alignment horizontal="left" vertical="top"/>
    </xf>
    <xf numFmtId="0" fontId="105" fillId="7" borderId="218" xfId="0" applyFont="1" applyFill="1" applyBorder="1" applyAlignment="1">
      <alignment horizontal="left" vertical="top"/>
    </xf>
    <xf numFmtId="0" fontId="105" fillId="7" borderId="222" xfId="0" applyFont="1" applyFill="1" applyBorder="1" applyAlignment="1">
      <alignment horizontal="left" vertical="top"/>
    </xf>
    <xf numFmtId="0" fontId="105" fillId="7" borderId="9" xfId="0" applyFont="1" applyFill="1" applyBorder="1" applyAlignment="1">
      <alignment horizontal="left" vertical="top"/>
    </xf>
    <xf numFmtId="0" fontId="105" fillId="7" borderId="1" xfId="0" applyFont="1" applyFill="1" applyBorder="1" applyAlignment="1">
      <alignment horizontal="left" vertical="top"/>
    </xf>
    <xf numFmtId="0" fontId="105" fillId="7" borderId="10" xfId="0" applyFont="1" applyFill="1" applyBorder="1" applyAlignment="1">
      <alignment horizontal="left" vertical="top"/>
    </xf>
    <xf numFmtId="0" fontId="105" fillId="7" borderId="199" xfId="0" applyFont="1" applyFill="1" applyBorder="1" applyAlignment="1">
      <alignment vertical="top" wrapText="1"/>
    </xf>
    <xf numFmtId="0" fontId="113" fillId="0" borderId="223" xfId="8" applyFont="1" applyBorder="1" applyAlignment="1">
      <alignment wrapText="1"/>
    </xf>
    <xf numFmtId="0" fontId="113" fillId="0" borderId="196" xfId="8" applyFont="1" applyBorder="1" applyAlignment="1">
      <alignment wrapText="1"/>
    </xf>
    <xf numFmtId="174" fontId="113" fillId="43" borderId="223" xfId="8" applyNumberFormat="1" applyFont="1" applyFill="1" applyBorder="1"/>
    <xf numFmtId="174" fontId="113" fillId="43" borderId="196" xfId="8" applyNumberFormat="1" applyFont="1" applyFill="1" applyBorder="1"/>
    <xf numFmtId="0" fontId="113" fillId="0" borderId="223" xfId="8" applyFont="1" applyBorder="1"/>
    <xf numFmtId="0" fontId="113" fillId="0" borderId="196" xfId="8" applyFont="1" applyBorder="1"/>
    <xf numFmtId="0" fontId="112" fillId="0" borderId="223" xfId="8" applyFont="1" applyBorder="1"/>
    <xf numFmtId="0" fontId="112" fillId="0" borderId="196" xfId="8" applyFont="1" applyBorder="1"/>
    <xf numFmtId="174" fontId="112" fillId="0" borderId="223" xfId="8" applyNumberFormat="1" applyFont="1" applyBorder="1"/>
    <xf numFmtId="174" fontId="112" fillId="0" borderId="196" xfId="8" applyNumberFormat="1" applyFont="1" applyBorder="1"/>
    <xf numFmtId="0" fontId="113" fillId="0" borderId="9" xfId="8" applyFont="1" applyBorder="1" applyAlignment="1">
      <alignment wrapText="1"/>
    </xf>
    <xf numFmtId="0" fontId="113" fillId="0" borderId="10" xfId="8" applyFont="1" applyBorder="1" applyAlignment="1">
      <alignment wrapText="1"/>
    </xf>
    <xf numFmtId="0" fontId="105" fillId="7" borderId="199" xfId="0" applyFont="1" applyFill="1" applyBorder="1" applyAlignment="1">
      <alignment horizontal="left" vertical="top" wrapText="1"/>
    </xf>
    <xf numFmtId="0" fontId="105" fillId="7" borderId="8" xfId="0" applyFont="1" applyFill="1" applyBorder="1" applyAlignment="1">
      <alignment horizontal="left" vertical="top" wrapText="1"/>
    </xf>
    <xf numFmtId="0" fontId="106" fillId="7" borderId="8" xfId="0" applyFont="1" applyFill="1" applyBorder="1" applyAlignment="1">
      <alignment horizontal="right" vertical="top" wrapText="1"/>
    </xf>
    <xf numFmtId="0" fontId="81" fillId="0" borderId="222" xfId="0" applyFont="1" applyBorder="1" applyAlignment="1">
      <alignment vertical="top" wrapText="1"/>
    </xf>
    <xf numFmtId="0" fontId="83" fillId="0" borderId="28" xfId="0" applyFont="1" applyBorder="1" applyAlignment="1">
      <alignment vertical="top" wrapText="1"/>
    </xf>
    <xf numFmtId="0" fontId="81" fillId="0" borderId="28" xfId="0" applyFont="1" applyBorder="1" applyAlignment="1">
      <alignment vertical="top" wrapText="1"/>
    </xf>
    <xf numFmtId="0" fontId="81" fillId="0" borderId="1" xfId="0" applyFont="1" applyBorder="1" applyAlignment="1">
      <alignment vertical="top" wrapText="1"/>
    </xf>
    <xf numFmtId="0" fontId="81" fillId="0" borderId="10" xfId="0" applyFont="1" applyBorder="1" applyAlignment="1">
      <alignment vertical="top" wrapText="1"/>
    </xf>
    <xf numFmtId="0" fontId="83" fillId="0" borderId="219" xfId="0" applyFont="1" applyBorder="1" applyAlignment="1">
      <alignment vertical="top" wrapText="1"/>
    </xf>
    <xf numFmtId="0" fontId="83" fillId="0" borderId="188" xfId="0" applyFont="1" applyBorder="1" applyAlignment="1">
      <alignment vertical="top" wrapText="1"/>
    </xf>
    <xf numFmtId="0" fontId="115" fillId="104" borderId="0" xfId="0" applyFont="1" applyFill="1" applyAlignment="1">
      <alignment horizontal="left" wrapText="1"/>
    </xf>
    <xf numFmtId="0" fontId="115" fillId="104" borderId="28" xfId="0" applyFont="1" applyFill="1" applyBorder="1" applyAlignment="1">
      <alignment horizontal="left" wrapText="1"/>
    </xf>
    <xf numFmtId="0" fontId="115" fillId="104" borderId="30" xfId="0" applyFont="1" applyFill="1" applyBorder="1" applyAlignment="1">
      <alignment horizontal="right"/>
    </xf>
    <xf numFmtId="0" fontId="115" fillId="104" borderId="0" xfId="0" applyFont="1" applyFill="1" applyAlignment="1">
      <alignment horizontal="right"/>
    </xf>
    <xf numFmtId="0" fontId="115" fillId="104" borderId="28" xfId="0" applyFont="1" applyFill="1" applyBorder="1" applyAlignment="1">
      <alignment horizontal="right"/>
    </xf>
    <xf numFmtId="0" fontId="81" fillId="0" borderId="28" xfId="0" applyFont="1" applyBorder="1" applyAlignment="1">
      <alignment vertical="top"/>
    </xf>
    <xf numFmtId="174" fontId="113" fillId="43" borderId="9" xfId="8" applyNumberFormat="1" applyFont="1" applyFill="1" applyBorder="1"/>
    <xf numFmtId="174" fontId="113" fillId="43" borderId="10" xfId="8" applyNumberFormat="1" applyFont="1" applyFill="1" applyBorder="1"/>
    <xf numFmtId="0" fontId="81" fillId="0" borderId="11" xfId="0" applyFont="1" applyBorder="1" applyAlignment="1">
      <alignment vertical="top" wrapText="1"/>
    </xf>
    <xf numFmtId="0" fontId="81" fillId="0" borderId="11" xfId="0" applyFont="1" applyBorder="1" applyAlignment="1">
      <alignment vertical="top"/>
    </xf>
    <xf numFmtId="174" fontId="81" fillId="0" borderId="11" xfId="0" applyNumberFormat="1" applyFont="1" applyBorder="1"/>
    <xf numFmtId="174" fontId="81" fillId="0" borderId="11" xfId="0" applyNumberFormat="1" applyFont="1" applyBorder="1" applyAlignment="1">
      <alignment vertical="top" wrapText="1"/>
    </xf>
    <xf numFmtId="0" fontId="115" fillId="104" borderId="221" xfId="0" applyFont="1" applyFill="1" applyBorder="1" applyAlignment="1">
      <alignment horizontal="center" vertical="center" wrapText="1"/>
    </xf>
    <xf numFmtId="0" fontId="115" fillId="104" borderId="218" xfId="0" applyFont="1" applyFill="1" applyBorder="1" applyAlignment="1">
      <alignment horizontal="center" vertical="center" wrapText="1"/>
    </xf>
    <xf numFmtId="0" fontId="115" fillId="104" borderId="222" xfId="0" applyFont="1" applyFill="1" applyBorder="1" applyAlignment="1">
      <alignment horizontal="center" vertical="center" wrapText="1"/>
    </xf>
    <xf numFmtId="0" fontId="115" fillId="104" borderId="30" xfId="0" applyFont="1" applyFill="1" applyBorder="1" applyAlignment="1">
      <alignment horizontal="center" vertical="center" wrapText="1"/>
    </xf>
    <xf numFmtId="0" fontId="115" fillId="104" borderId="0" xfId="0" applyFont="1" applyFill="1" applyAlignment="1">
      <alignment horizontal="center" vertical="center" wrapText="1"/>
    </xf>
    <xf numFmtId="0" fontId="115" fillId="104" borderId="28" xfId="0" applyFont="1" applyFill="1" applyBorder="1" applyAlignment="1">
      <alignment horizontal="center" vertical="center" wrapText="1"/>
    </xf>
    <xf numFmtId="0" fontId="83" fillId="0" borderId="219" xfId="0" applyFont="1" applyBorder="1"/>
    <xf numFmtId="0" fontId="115" fillId="104" borderId="0" xfId="0" applyFont="1" applyFill="1" applyAlignment="1">
      <alignment horizontal="center" vertical="center"/>
    </xf>
    <xf numFmtId="0" fontId="115" fillId="104" borderId="28" xfId="0" applyFont="1" applyFill="1" applyBorder="1" applyAlignment="1">
      <alignment horizontal="center" vertical="center"/>
    </xf>
    <xf numFmtId="0" fontId="81" fillId="0" borderId="218" xfId="0" applyFont="1" applyBorder="1"/>
    <xf numFmtId="0" fontId="81" fillId="0" borderId="11" xfId="0" applyFont="1" applyBorder="1" applyAlignment="1">
      <alignment wrapText="1"/>
    </xf>
    <xf numFmtId="0" fontId="83" fillId="0" borderId="217" xfId="0" applyFont="1" applyBorder="1" applyAlignment="1">
      <alignment wrapText="1"/>
    </xf>
    <xf numFmtId="174" fontId="83" fillId="0" borderId="217" xfId="0" applyNumberFormat="1" applyFont="1" applyBorder="1"/>
    <xf numFmtId="0" fontId="81" fillId="0" borderId="30" xfId="0" applyFont="1" applyBorder="1" applyAlignment="1">
      <alignment wrapText="1"/>
    </xf>
    <xf numFmtId="0" fontId="81" fillId="0" borderId="28" xfId="0" applyFont="1" applyBorder="1" applyAlignment="1">
      <alignment wrapText="1"/>
    </xf>
    <xf numFmtId="14" fontId="115" fillId="104" borderId="0" xfId="0" applyNumberFormat="1" applyFont="1" applyFill="1" applyAlignment="1">
      <alignment horizontal="center"/>
    </xf>
    <xf numFmtId="0" fontId="115" fillId="104" borderId="0" xfId="0" applyFont="1" applyFill="1" applyAlignment="1">
      <alignment horizontal="center"/>
    </xf>
    <xf numFmtId="0" fontId="115" fillId="104" borderId="199" xfId="0" applyFont="1" applyFill="1" applyBorder="1" applyAlignment="1">
      <alignment horizontal="left" vertical="top" wrapText="1"/>
    </xf>
    <xf numFmtId="0" fontId="115" fillId="104" borderId="8" xfId="0" applyFont="1" applyFill="1" applyBorder="1" applyAlignment="1">
      <alignment horizontal="left" vertical="top" wrapText="1"/>
    </xf>
    <xf numFmtId="0" fontId="115" fillId="104" borderId="199" xfId="0" applyFont="1" applyFill="1" applyBorder="1" applyAlignment="1">
      <alignment horizontal="center" vertical="top" wrapText="1"/>
    </xf>
    <xf numFmtId="0" fontId="115" fillId="104" borderId="8" xfId="0" applyFont="1" applyFill="1" applyBorder="1" applyAlignment="1">
      <alignment horizontal="center" vertical="top" wrapText="1"/>
    </xf>
    <xf numFmtId="0" fontId="115" fillId="104" borderId="199" xfId="0" applyFont="1" applyFill="1" applyBorder="1" applyAlignment="1">
      <alignment horizontal="center" wrapText="1"/>
    </xf>
    <xf numFmtId="0" fontId="115" fillId="104" borderId="8" xfId="0" applyFont="1" applyFill="1" applyBorder="1" applyAlignment="1">
      <alignment horizontal="center" wrapText="1"/>
    </xf>
    <xf numFmtId="0" fontId="81" fillId="0" borderId="199" xfId="0" applyFont="1" applyBorder="1" applyAlignment="1">
      <alignment vertical="top" wrapText="1"/>
    </xf>
    <xf numFmtId="174" fontId="81" fillId="0" borderId="199" xfId="0" applyNumberFormat="1" applyFont="1" applyBorder="1" applyAlignment="1">
      <alignment vertical="top" wrapText="1"/>
    </xf>
    <xf numFmtId="0" fontId="81" fillId="0" borderId="217" xfId="0" applyFont="1" applyBorder="1" applyAlignment="1">
      <alignment vertical="top" wrapText="1"/>
    </xf>
    <xf numFmtId="0" fontId="115" fillId="104" borderId="218" xfId="0" applyFont="1" applyFill="1" applyBorder="1" applyAlignment="1">
      <alignment horizontal="left" vertical="top" wrapText="1"/>
    </xf>
    <xf numFmtId="0" fontId="115" fillId="104" borderId="222" xfId="0" applyFont="1" applyFill="1" applyBorder="1" applyAlignment="1">
      <alignment horizontal="left" vertical="top" wrapText="1"/>
    </xf>
    <xf numFmtId="0" fontId="115" fillId="104" borderId="1" xfId="0" applyFont="1" applyFill="1" applyBorder="1" applyAlignment="1">
      <alignment horizontal="left" vertical="top" wrapText="1"/>
    </xf>
    <xf numFmtId="0" fontId="115" fillId="104" borderId="10" xfId="0" applyFont="1" applyFill="1" applyBorder="1" applyAlignment="1">
      <alignment horizontal="left" vertical="top" wrapText="1"/>
    </xf>
    <xf numFmtId="0" fontId="115" fillId="104" borderId="221" xfId="0" applyFont="1" applyFill="1" applyBorder="1" applyAlignment="1">
      <alignment horizontal="center" vertical="top" wrapText="1"/>
    </xf>
    <xf numFmtId="0" fontId="115" fillId="104" borderId="222" xfId="0" applyFont="1" applyFill="1" applyBorder="1" applyAlignment="1">
      <alignment horizontal="center" vertical="top" wrapText="1"/>
    </xf>
    <xf numFmtId="0" fontId="115" fillId="104" borderId="9" xfId="0" applyFont="1" applyFill="1" applyBorder="1" applyAlignment="1">
      <alignment horizontal="center" vertical="top" wrapText="1"/>
    </xf>
    <xf numFmtId="0" fontId="115" fillId="104" borderId="10" xfId="0" applyFont="1" applyFill="1" applyBorder="1" applyAlignment="1">
      <alignment horizontal="center" vertical="top" wrapText="1"/>
    </xf>
    <xf numFmtId="0" fontId="115" fillId="104" borderId="221" xfId="0" applyFont="1" applyFill="1" applyBorder="1" applyAlignment="1">
      <alignment horizontal="left" vertical="top" wrapText="1"/>
    </xf>
    <xf numFmtId="0" fontId="115" fillId="104" borderId="9" xfId="0" applyFont="1" applyFill="1" applyBorder="1" applyAlignment="1">
      <alignment horizontal="left" vertical="top" wrapText="1"/>
    </xf>
    <xf numFmtId="0" fontId="115" fillId="104" borderId="221" xfId="0" applyFont="1" applyFill="1" applyBorder="1" applyAlignment="1">
      <alignment horizontal="center" wrapText="1"/>
    </xf>
    <xf numFmtId="0" fontId="115" fillId="104" borderId="9" xfId="0" applyFont="1" applyFill="1" applyBorder="1" applyAlignment="1">
      <alignment horizontal="center"/>
    </xf>
    <xf numFmtId="174" fontId="81" fillId="0" borderId="8" xfId="0" applyNumberFormat="1" applyFont="1" applyBorder="1"/>
    <xf numFmtId="174" fontId="81" fillId="0" borderId="217" xfId="0" applyNumberFormat="1" applyFont="1" applyBorder="1"/>
    <xf numFmtId="0" fontId="83" fillId="0" borderId="217" xfId="0" applyFont="1" applyBorder="1"/>
    <xf numFmtId="0" fontId="81" fillId="0" borderId="223" xfId="0" applyFont="1" applyBorder="1" applyAlignment="1">
      <alignment vertical="top" wrapText="1"/>
    </xf>
    <xf numFmtId="0" fontId="81" fillId="0" borderId="219" xfId="0" applyFont="1" applyBorder="1" applyAlignment="1">
      <alignment vertical="top" wrapText="1"/>
    </xf>
    <xf numFmtId="0" fontId="81" fillId="0" borderId="188" xfId="0" applyFont="1" applyBorder="1" applyAlignment="1">
      <alignment vertical="top" wrapText="1"/>
    </xf>
    <xf numFmtId="0" fontId="81" fillId="0" borderId="8" xfId="0" applyFont="1" applyBorder="1" applyAlignment="1">
      <alignment vertical="top" wrapText="1"/>
    </xf>
    <xf numFmtId="0" fontId="115" fillId="104" borderId="0" xfId="0" applyFont="1" applyFill="1" applyAlignment="1">
      <alignment horizontal="left"/>
    </xf>
    <xf numFmtId="0" fontId="83" fillId="0" borderId="218" xfId="0" applyFont="1" applyBorder="1"/>
    <xf numFmtId="174" fontId="81" fillId="0" borderId="199" xfId="0" applyNumberFormat="1" applyFont="1" applyBorder="1"/>
    <xf numFmtId="174" fontId="83" fillId="0" borderId="199" xfId="0" applyNumberFormat="1" applyFont="1" applyBorder="1"/>
    <xf numFmtId="14" fontId="115" fillId="104" borderId="30" xfId="0" applyNumberFormat="1" applyFont="1" applyFill="1" applyBorder="1" applyAlignment="1">
      <alignment horizontal="right"/>
    </xf>
    <xf numFmtId="14" fontId="115" fillId="104" borderId="0" xfId="0" applyNumberFormat="1" applyFont="1" applyFill="1" applyAlignment="1">
      <alignment horizontal="right"/>
    </xf>
    <xf numFmtId="14" fontId="115" fillId="104" borderId="28" xfId="0" applyNumberFormat="1" applyFont="1" applyFill="1" applyBorder="1" applyAlignment="1">
      <alignment horizontal="right"/>
    </xf>
    <xf numFmtId="14" fontId="115" fillId="104" borderId="30" xfId="0" applyNumberFormat="1" applyFont="1" applyFill="1" applyBorder="1" applyAlignment="1">
      <alignment horizontal="right" vertical="top" wrapText="1"/>
    </xf>
    <xf numFmtId="14" fontId="115" fillId="104" borderId="28" xfId="0" applyNumberFormat="1" applyFont="1" applyFill="1" applyBorder="1" applyAlignment="1">
      <alignment horizontal="right" vertical="top" wrapText="1"/>
    </xf>
    <xf numFmtId="0" fontId="83" fillId="0" borderId="199" xfId="0" applyFont="1" applyBorder="1"/>
    <xf numFmtId="174" fontId="83" fillId="0" borderId="221" xfId="0" applyNumberFormat="1" applyFont="1" applyBorder="1"/>
    <xf numFmtId="0" fontId="83" fillId="0" borderId="222" xfId="0" applyFont="1" applyBorder="1"/>
    <xf numFmtId="174" fontId="81" fillId="0" borderId="30" xfId="0" applyNumberFormat="1" applyFont="1" applyBorder="1"/>
    <xf numFmtId="174" fontId="81" fillId="0" borderId="28" xfId="0" applyNumberFormat="1" applyFont="1" applyBorder="1"/>
    <xf numFmtId="174" fontId="81" fillId="0" borderId="9" xfId="0" applyNumberFormat="1" applyFont="1" applyBorder="1"/>
    <xf numFmtId="174" fontId="81" fillId="0" borderId="10" xfId="0" applyNumberFormat="1" applyFont="1" applyBorder="1"/>
    <xf numFmtId="174" fontId="81" fillId="0" borderId="221" xfId="0" applyNumberFormat="1" applyFont="1" applyBorder="1"/>
    <xf numFmtId="174" fontId="81" fillId="0" borderId="222" xfId="0" applyNumberFormat="1" applyFont="1" applyBorder="1"/>
    <xf numFmtId="174" fontId="83" fillId="0" borderId="30" xfId="0" applyNumberFormat="1" applyFont="1" applyBorder="1"/>
    <xf numFmtId="174" fontId="83" fillId="0" borderId="28" xfId="0" applyNumberFormat="1" applyFont="1" applyBorder="1"/>
    <xf numFmtId="174" fontId="83" fillId="0" borderId="222" xfId="0" applyNumberFormat="1" applyFont="1" applyBorder="1"/>
    <xf numFmtId="0" fontId="83" fillId="0" borderId="218" xfId="0" applyFont="1" applyBorder="1" applyAlignment="1">
      <alignment wrapText="1"/>
    </xf>
    <xf numFmtId="0" fontId="81" fillId="0" borderId="1" xfId="0" applyFont="1" applyBorder="1" applyAlignment="1">
      <alignment wrapText="1"/>
    </xf>
    <xf numFmtId="174" fontId="81" fillId="0" borderId="219" xfId="0" applyNumberFormat="1" applyFont="1" applyBorder="1"/>
    <xf numFmtId="174" fontId="81" fillId="0" borderId="223" xfId="0" applyNumberFormat="1" applyFont="1" applyBorder="1"/>
    <xf numFmtId="0" fontId="81" fillId="0" borderId="188" xfId="0" applyFont="1" applyBorder="1"/>
    <xf numFmtId="0" fontId="81" fillId="0" borderId="30" xfId="0" applyFont="1" applyBorder="1" applyAlignment="1">
      <alignment vertical="top" wrapText="1"/>
    </xf>
    <xf numFmtId="0" fontId="83" fillId="0" borderId="218" xfId="0" applyFont="1" applyBorder="1" applyAlignment="1">
      <alignment vertical="top" wrapText="1"/>
    </xf>
    <xf numFmtId="0" fontId="119" fillId="0" borderId="0" xfId="0" applyFont="1"/>
    <xf numFmtId="0" fontId="81" fillId="0" borderId="28" xfId="0" applyFont="1" applyBorder="1"/>
    <xf numFmtId="0" fontId="81" fillId="0" borderId="1" xfId="0" applyFont="1" applyBorder="1"/>
    <xf numFmtId="0" fontId="105" fillId="7" borderId="217" xfId="0" applyFont="1" applyFill="1" applyBorder="1" applyAlignment="1">
      <alignment vertical="top" wrapText="1"/>
    </xf>
    <xf numFmtId="0" fontId="83" fillId="4" borderId="217" xfId="0" applyFont="1" applyFill="1" applyBorder="1"/>
    <xf numFmtId="0" fontId="83" fillId="4" borderId="217" xfId="0" applyFont="1" applyFill="1" applyBorder="1" applyAlignment="1">
      <alignment horizontal="right"/>
    </xf>
    <xf numFmtId="0" fontId="115" fillId="104" borderId="30" xfId="0" applyFont="1" applyFill="1" applyBorder="1" applyAlignment="1">
      <alignment horizontal="center" wrapText="1"/>
    </xf>
    <xf numFmtId="0" fontId="115" fillId="104" borderId="28" xfId="0" applyFont="1" applyFill="1" applyBorder="1" applyAlignment="1">
      <alignment horizontal="center" wrapText="1"/>
    </xf>
    <xf numFmtId="0" fontId="115" fillId="104" borderId="30" xfId="0" applyFont="1" applyFill="1" applyBorder="1" applyAlignment="1">
      <alignment horizontal="center"/>
    </xf>
    <xf numFmtId="0" fontId="115" fillId="104" borderId="28" xfId="0" applyFont="1" applyFill="1" applyBorder="1" applyAlignment="1">
      <alignment horizontal="center"/>
    </xf>
    <xf numFmtId="0" fontId="115" fillId="104" borderId="30" xfId="0" applyFont="1" applyFill="1" applyBorder="1" applyAlignment="1">
      <alignment horizontal="center" vertical="center"/>
    </xf>
    <xf numFmtId="0" fontId="81" fillId="0" borderId="194" xfId="0" applyFont="1" applyBorder="1" applyAlignment="1">
      <alignment wrapText="1"/>
    </xf>
    <xf numFmtId="0" fontId="81" fillId="0" borderId="195" xfId="0" applyFont="1" applyBorder="1" applyAlignment="1">
      <alignment wrapText="1"/>
    </xf>
    <xf numFmtId="0" fontId="81" fillId="0" borderId="196" xfId="0" applyFont="1" applyBorder="1" applyAlignment="1">
      <alignment wrapText="1"/>
    </xf>
    <xf numFmtId="0" fontId="104" fillId="0" borderId="0" xfId="0" applyFont="1" applyAlignment="1">
      <alignment horizontal="left"/>
    </xf>
    <xf numFmtId="0" fontId="83" fillId="0" borderId="194" xfId="0" applyFont="1" applyBorder="1" applyAlignment="1">
      <alignment wrapText="1"/>
    </xf>
    <xf numFmtId="0" fontId="83" fillId="0" borderId="195" xfId="0" applyFont="1" applyBorder="1" applyAlignment="1">
      <alignment wrapText="1"/>
    </xf>
    <xf numFmtId="0" fontId="83" fillId="0" borderId="196" xfId="0" applyFont="1" applyBorder="1" applyAlignment="1">
      <alignment wrapText="1"/>
    </xf>
    <xf numFmtId="0" fontId="81" fillId="0" borderId="194" xfId="0" applyFont="1" applyBorder="1" applyAlignment="1">
      <alignment horizontal="left"/>
    </xf>
    <xf numFmtId="0" fontId="81" fillId="0" borderId="195" xfId="0" applyFont="1" applyBorder="1" applyAlignment="1">
      <alignment horizontal="left"/>
    </xf>
    <xf numFmtId="0" fontId="81" fillId="0" borderId="196" xfId="0" applyFont="1" applyBorder="1" applyAlignment="1">
      <alignment horizontal="left"/>
    </xf>
    <xf numFmtId="0" fontId="117" fillId="0" borderId="0" xfId="0" applyFont="1"/>
    <xf numFmtId="0" fontId="105" fillId="7" borderId="1" xfId="0" applyFont="1" applyFill="1" applyBorder="1" applyAlignment="1">
      <alignment wrapText="1"/>
    </xf>
    <xf numFmtId="0" fontId="81" fillId="0" borderId="197" xfId="0" applyFont="1" applyBorder="1"/>
    <xf numFmtId="174" fontId="113" fillId="43" borderId="217" xfId="8" applyNumberFormat="1" applyFont="1" applyFill="1" applyBorder="1"/>
    <xf numFmtId="14" fontId="105" fillId="7" borderId="217" xfId="0" applyNumberFormat="1" applyFont="1" applyFill="1" applyBorder="1" applyAlignment="1">
      <alignment wrapText="1"/>
    </xf>
    <xf numFmtId="174" fontId="112" fillId="0" borderId="217" xfId="8" applyNumberFormat="1" applyFont="1" applyBorder="1"/>
    <xf numFmtId="0" fontId="83" fillId="0" borderId="217" xfId="0" applyFont="1" applyBorder="1" applyAlignment="1">
      <alignment vertical="top" wrapText="1"/>
    </xf>
    <xf numFmtId="172" fontId="83" fillId="0" borderId="194" xfId="10" applyNumberFormat="1" applyFont="1" applyBorder="1" applyAlignment="1">
      <alignment wrapText="1"/>
    </xf>
    <xf numFmtId="172" fontId="83" fillId="0" borderId="195" xfId="10" applyNumberFormat="1" applyFont="1" applyBorder="1" applyAlignment="1">
      <alignment wrapText="1"/>
    </xf>
    <xf numFmtId="172" fontId="83" fillId="0" borderId="196" xfId="10" applyNumberFormat="1" applyFont="1" applyBorder="1" applyAlignment="1">
      <alignment wrapText="1"/>
    </xf>
    <xf numFmtId="172" fontId="81" fillId="0" borderId="194" xfId="10" applyNumberFormat="1" applyFont="1" applyBorder="1" applyAlignment="1">
      <alignment wrapText="1"/>
    </xf>
    <xf numFmtId="172" fontId="81" fillId="0" borderId="195" xfId="10" applyNumberFormat="1" applyFont="1" applyBorder="1" applyAlignment="1">
      <alignment wrapText="1"/>
    </xf>
    <xf numFmtId="0" fontId="83" fillId="4" borderId="223" xfId="0" applyFont="1" applyFill="1" applyBorder="1" applyAlignment="1">
      <alignment horizontal="right"/>
    </xf>
    <xf numFmtId="0" fontId="83" fillId="4" borderId="196" xfId="0" applyFont="1" applyFill="1" applyBorder="1" applyAlignment="1">
      <alignment horizontal="right"/>
    </xf>
    <xf numFmtId="172" fontId="81" fillId="0" borderId="196" xfId="10" applyNumberFormat="1" applyFont="1" applyBorder="1" applyAlignment="1">
      <alignment wrapText="1"/>
    </xf>
    <xf numFmtId="0" fontId="83" fillId="0" borderId="194" xfId="10" applyFont="1" applyBorder="1"/>
    <xf numFmtId="0" fontId="83" fillId="0" borderId="195" xfId="10" applyFont="1" applyBorder="1"/>
    <xf numFmtId="0" fontId="83" fillId="0" borderId="196" xfId="10" applyFont="1" applyBorder="1"/>
    <xf numFmtId="0" fontId="83" fillId="0" borderId="194" xfId="10" applyFont="1" applyBorder="1" applyAlignment="1">
      <alignment wrapText="1"/>
    </xf>
    <xf numFmtId="0" fontId="83" fillId="0" borderId="195" xfId="10" applyFont="1" applyBorder="1" applyAlignment="1">
      <alignment wrapText="1"/>
    </xf>
    <xf numFmtId="0" fontId="83" fillId="0" borderId="196" xfId="10" applyFont="1" applyBorder="1" applyAlignment="1">
      <alignment wrapText="1"/>
    </xf>
    <xf numFmtId="172" fontId="81" fillId="0" borderId="194" xfId="10" applyNumberFormat="1" applyFont="1" applyBorder="1" applyAlignment="1">
      <alignment vertical="top" wrapText="1"/>
    </xf>
    <xf numFmtId="172" fontId="81" fillId="0" borderId="195" xfId="10" applyNumberFormat="1" applyFont="1" applyBorder="1" applyAlignment="1">
      <alignment vertical="top" wrapText="1"/>
    </xf>
    <xf numFmtId="172" fontId="81" fillId="0" borderId="196" xfId="10" applyNumberFormat="1" applyFont="1" applyBorder="1" applyAlignment="1">
      <alignment vertical="top" wrapText="1"/>
    </xf>
    <xf numFmtId="0" fontId="81" fillId="0" borderId="199" xfId="0" applyFont="1" applyBorder="1" applyAlignment="1">
      <alignment horizontal="center"/>
    </xf>
    <xf numFmtId="0" fontId="81" fillId="0" borderId="11" xfId="0" applyFont="1" applyBorder="1" applyAlignment="1">
      <alignment horizontal="center"/>
    </xf>
    <xf numFmtId="0" fontId="81" fillId="0" borderId="8" xfId="0" applyFont="1" applyBorder="1" applyAlignment="1">
      <alignment horizontal="center"/>
    </xf>
    <xf numFmtId="0" fontId="81" fillId="0" borderId="194" xfId="0" applyFont="1" applyBorder="1" applyAlignment="1">
      <alignment horizontal="center"/>
    </xf>
    <xf numFmtId="0" fontId="81" fillId="0" borderId="195" xfId="0" applyFont="1" applyBorder="1" applyAlignment="1">
      <alignment horizontal="center"/>
    </xf>
    <xf numFmtId="0" fontId="81" fillId="0" borderId="196" xfId="0" applyFont="1" applyBorder="1" applyAlignment="1">
      <alignment horizontal="center"/>
    </xf>
    <xf numFmtId="0" fontId="105" fillId="7" borderId="194" xfId="0" applyFont="1" applyFill="1" applyBorder="1"/>
    <xf numFmtId="0" fontId="105" fillId="7" borderId="195" xfId="0" applyFont="1" applyFill="1" applyBorder="1"/>
    <xf numFmtId="0" fontId="105" fillId="7" borderId="196" xfId="0" applyFont="1" applyFill="1" applyBorder="1"/>
    <xf numFmtId="0" fontId="81" fillId="0" borderId="194" xfId="0" applyFont="1" applyBorder="1" applyAlignment="1">
      <alignment vertical="top" wrapText="1"/>
    </xf>
    <xf numFmtId="0" fontId="81" fillId="0" borderId="195" xfId="0" applyFont="1" applyBorder="1" applyAlignment="1">
      <alignment vertical="top" wrapText="1"/>
    </xf>
    <xf numFmtId="0" fontId="81" fillId="0" borderId="196" xfId="0" applyFont="1" applyBorder="1" applyAlignment="1">
      <alignment vertical="top" wrapText="1"/>
    </xf>
    <xf numFmtId="0" fontId="86" fillId="0" borderId="194" xfId="0" applyFont="1" applyBorder="1"/>
    <xf numFmtId="0" fontId="86" fillId="0" borderId="195" xfId="0" applyFont="1" applyBorder="1"/>
    <xf numFmtId="0" fontId="86" fillId="0" borderId="196" xfId="0" applyFont="1" applyBorder="1"/>
    <xf numFmtId="0" fontId="105" fillId="0" borderId="0" xfId="0" applyFont="1" applyAlignment="1">
      <alignment wrapText="1"/>
    </xf>
    <xf numFmtId="0" fontId="105" fillId="7" borderId="197" xfId="0" applyFont="1" applyFill="1" applyBorder="1" applyAlignment="1">
      <alignment wrapText="1"/>
    </xf>
    <xf numFmtId="0" fontId="81" fillId="0" borderId="221" xfId="0" applyFont="1" applyBorder="1" applyAlignment="1">
      <alignment vertical="top" wrapText="1"/>
    </xf>
    <xf numFmtId="0" fontId="104" fillId="0" borderId="199" xfId="0" applyFont="1" applyBorder="1" applyAlignment="1">
      <alignment horizontal="center" vertical="top"/>
    </xf>
    <xf numFmtId="0" fontId="104" fillId="0" borderId="11" xfId="0" applyFont="1" applyBorder="1" applyAlignment="1">
      <alignment horizontal="center" vertical="top"/>
    </xf>
    <xf numFmtId="0" fontId="104" fillId="0" borderId="8" xfId="0" applyFont="1" applyBorder="1" applyAlignment="1">
      <alignment horizontal="center" vertical="top"/>
    </xf>
    <xf numFmtId="0" fontId="81" fillId="0" borderId="48" xfId="0" applyFont="1" applyBorder="1"/>
    <xf numFmtId="0" fontId="81" fillId="0" borderId="48" xfId="0" applyFont="1" applyBorder="1" applyAlignment="1">
      <alignment vertical="top" wrapText="1"/>
    </xf>
    <xf numFmtId="0" fontId="104" fillId="0" borderId="0" xfId="0" applyFont="1" applyAlignment="1">
      <alignment vertical="top"/>
    </xf>
    <xf numFmtId="0" fontId="81" fillId="0" borderId="84" xfId="0" applyFont="1" applyBorder="1"/>
    <xf numFmtId="0" fontId="83" fillId="0" borderId="84" xfId="0" applyFont="1" applyBorder="1"/>
    <xf numFmtId="174" fontId="81" fillId="0" borderId="84" xfId="1" applyNumberFormat="1" applyFont="1" applyBorder="1" applyAlignment="1">
      <alignment horizontal="left" indent="5"/>
    </xf>
    <xf numFmtId="174" fontId="83" fillId="0" borderId="84" xfId="1" applyNumberFormat="1" applyFont="1" applyBorder="1" applyAlignment="1">
      <alignment horizontal="left" indent="5"/>
    </xf>
    <xf numFmtId="174" fontId="81" fillId="0" borderId="84" xfId="1" applyNumberFormat="1" applyFont="1" applyBorder="1" applyAlignment="1"/>
    <xf numFmtId="174" fontId="81" fillId="0" borderId="84" xfId="0" applyNumberFormat="1" applyFont="1" applyBorder="1"/>
    <xf numFmtId="174" fontId="83" fillId="0" borderId="84" xfId="0" applyNumberFormat="1" applyFont="1" applyBorder="1"/>
    <xf numFmtId="0" fontId="83" fillId="0" borderId="71" xfId="0" applyFont="1" applyBorder="1"/>
    <xf numFmtId="174" fontId="83" fillId="0" borderId="71" xfId="1" applyNumberFormat="1" applyFont="1" applyFill="1" applyBorder="1"/>
    <xf numFmtId="0" fontId="81" fillId="0" borderId="71" xfId="0" applyFont="1" applyBorder="1"/>
    <xf numFmtId="14" fontId="115" fillId="7" borderId="83" xfId="0" applyNumberFormat="1" applyFont="1" applyFill="1" applyBorder="1" applyAlignment="1">
      <alignment horizontal="center"/>
    </xf>
    <xf numFmtId="0" fontId="115" fillId="7" borderId="83" xfId="0" applyFont="1" applyFill="1" applyBorder="1" applyAlignment="1">
      <alignment horizontal="center"/>
    </xf>
    <xf numFmtId="0" fontId="105" fillId="7" borderId="8" xfId="0" applyFont="1" applyFill="1" applyBorder="1" applyAlignment="1">
      <alignment horizontal="center"/>
    </xf>
    <xf numFmtId="174" fontId="81" fillId="0" borderId="71" xfId="1" applyNumberFormat="1" applyFont="1" applyFill="1" applyBorder="1"/>
    <xf numFmtId="0" fontId="115" fillId="7" borderId="71" xfId="0" applyFont="1" applyFill="1" applyBorder="1" applyAlignment="1">
      <alignment horizontal="center"/>
    </xf>
    <xf numFmtId="0" fontId="81" fillId="0" borderId="85" xfId="0" applyFont="1" applyBorder="1"/>
    <xf numFmtId="0" fontId="81" fillId="0" borderId="86" xfId="0" applyFont="1" applyBorder="1"/>
    <xf numFmtId="0" fontId="81" fillId="0" borderId="87" xfId="0" applyFont="1" applyBorder="1"/>
    <xf numFmtId="0" fontId="81" fillId="0" borderId="48" xfId="0" applyFont="1" applyBorder="1" applyAlignment="1">
      <alignment wrapText="1"/>
    </xf>
    <xf numFmtId="0" fontId="118" fillId="0" borderId="48" xfId="0" applyFont="1" applyBorder="1"/>
    <xf numFmtId="0" fontId="105" fillId="7" borderId="0" xfId="0" applyFont="1" applyFill="1" applyAlignment="1">
      <alignment horizontal="left" vertical="top" wrapText="1"/>
    </xf>
    <xf numFmtId="171" fontId="81" fillId="0" borderId="0" xfId="1" applyNumberFormat="1" applyFont="1" applyAlignment="1">
      <alignment wrapText="1"/>
    </xf>
    <xf numFmtId="0" fontId="81" fillId="0" borderId="217" xfId="0" applyFont="1" applyBorder="1" applyAlignment="1">
      <alignment wrapText="1"/>
    </xf>
    <xf numFmtId="0" fontId="81" fillId="0" borderId="53" xfId="0" applyFont="1" applyBorder="1" applyAlignment="1">
      <alignment wrapText="1"/>
    </xf>
    <xf numFmtId="0" fontId="81" fillId="0" borderId="54" xfId="0" applyFont="1" applyBorder="1" applyAlignment="1">
      <alignment wrapText="1"/>
    </xf>
    <xf numFmtId="0" fontId="81" fillId="0" borderId="55" xfId="0" applyFont="1" applyBorder="1" applyAlignment="1">
      <alignment wrapText="1"/>
    </xf>
    <xf numFmtId="0" fontId="81" fillId="0" borderId="8" xfId="0" applyFont="1" applyBorder="1"/>
    <xf numFmtId="0" fontId="81" fillId="0" borderId="84" xfId="0" applyFont="1" applyBorder="1" applyAlignment="1">
      <alignment wrapText="1"/>
    </xf>
    <xf numFmtId="0" fontId="83" fillId="0" borderId="48" xfId="0" applyFont="1" applyBorder="1" applyAlignment="1">
      <alignment vertical="top" wrapText="1"/>
    </xf>
    <xf numFmtId="0" fontId="81" fillId="0" borderId="48" xfId="0" applyFont="1" applyBorder="1" applyAlignment="1">
      <alignment vertical="top"/>
    </xf>
    <xf numFmtId="0" fontId="23" fillId="0" borderId="0" xfId="0" applyFont="1" applyAlignment="1">
      <alignment wrapText="1"/>
    </xf>
    <xf numFmtId="0" fontId="104" fillId="0" borderId="0" xfId="0" applyFont="1" applyAlignment="1">
      <alignment horizontal="justify" wrapText="1"/>
    </xf>
    <xf numFmtId="0" fontId="81" fillId="0" borderId="48" xfId="0" applyFont="1" applyBorder="1" applyAlignment="1">
      <alignment horizontal="justify"/>
    </xf>
    <xf numFmtId="0" fontId="5" fillId="0" borderId="0" xfId="0" applyFont="1"/>
    <xf numFmtId="14" fontId="105" fillId="7" borderId="0" xfId="0" applyNumberFormat="1" applyFont="1" applyFill="1" applyAlignment="1">
      <alignment horizontal="center"/>
    </xf>
    <xf numFmtId="14" fontId="9" fillId="0" borderId="0" xfId="0" applyNumberFormat="1" applyFont="1" applyAlignment="1">
      <alignment horizontal="center"/>
    </xf>
    <xf numFmtId="14" fontId="13" fillId="0" borderId="0" xfId="0" applyNumberFormat="1" applyFont="1" applyAlignment="1">
      <alignment horizontal="center"/>
    </xf>
    <xf numFmtId="0" fontId="30" fillId="0" borderId="0" xfId="0" applyFont="1" applyAlignment="1">
      <alignment wrapText="1"/>
    </xf>
    <xf numFmtId="0" fontId="81" fillId="0" borderId="53" xfId="0" applyFont="1" applyBorder="1" applyAlignment="1">
      <alignment vertical="top" wrapText="1"/>
    </xf>
    <xf numFmtId="0" fontId="81" fillId="0" borderId="54" xfId="0" applyFont="1" applyBorder="1" applyAlignment="1">
      <alignment vertical="top" wrapText="1"/>
    </xf>
    <xf numFmtId="0" fontId="81" fillId="0" borderId="55" xfId="0" applyFont="1" applyBorder="1" applyAlignment="1">
      <alignment vertical="top" wrapText="1"/>
    </xf>
    <xf numFmtId="0" fontId="81" fillId="0" borderId="186" xfId="0" applyFont="1" applyBorder="1" applyAlignment="1">
      <alignment wrapText="1"/>
    </xf>
    <xf numFmtId="0" fontId="81" fillId="0" borderId="187" xfId="0" applyFont="1" applyBorder="1" applyAlignment="1">
      <alignment wrapText="1"/>
    </xf>
    <xf numFmtId="0" fontId="81" fillId="0" borderId="188" xfId="0" applyFont="1" applyBorder="1" applyAlignment="1">
      <alignment wrapText="1"/>
    </xf>
    <xf numFmtId="0" fontId="81" fillId="0" borderId="186" xfId="0" applyFont="1" applyBorder="1"/>
    <xf numFmtId="0" fontId="81" fillId="0" borderId="187" xfId="0" applyFont="1" applyBorder="1"/>
    <xf numFmtId="0" fontId="81" fillId="0" borderId="186" xfId="0" applyFont="1" applyBorder="1" applyAlignment="1">
      <alignment vertical="top" wrapText="1"/>
    </xf>
    <xf numFmtId="0" fontId="81" fillId="0" borderId="187" xfId="0" applyFont="1" applyBorder="1" applyAlignment="1">
      <alignment vertical="top" wrapText="1"/>
    </xf>
    <xf numFmtId="171" fontId="81" fillId="0" borderId="48" xfId="1" applyNumberFormat="1" applyFont="1" applyBorder="1"/>
    <xf numFmtId="0" fontId="81" fillId="0" borderId="0" xfId="0" applyFont="1" applyAlignment="1">
      <alignment vertical="center" wrapText="1"/>
    </xf>
    <xf numFmtId="0" fontId="81" fillId="0" borderId="223" xfId="0" applyFont="1" applyBorder="1" applyAlignment="1">
      <alignment wrapText="1"/>
    </xf>
    <xf numFmtId="0" fontId="81" fillId="0" borderId="219" xfId="0" applyFont="1" applyBorder="1" applyAlignment="1">
      <alignment wrapText="1"/>
    </xf>
    <xf numFmtId="0" fontId="81" fillId="0" borderId="160" xfId="0" applyFont="1" applyBorder="1" applyAlignment="1">
      <alignment wrapText="1"/>
    </xf>
    <xf numFmtId="0" fontId="81" fillId="0" borderId="161" xfId="0" applyFont="1" applyBorder="1" applyAlignment="1">
      <alignment wrapText="1"/>
    </xf>
    <xf numFmtId="0" fontId="81" fillId="0" borderId="162" xfId="0" applyFont="1" applyBorder="1" applyAlignment="1">
      <alignment wrapText="1"/>
    </xf>
    <xf numFmtId="0" fontId="81" fillId="0" borderId="160" xfId="0" applyFont="1" applyBorder="1"/>
    <xf numFmtId="0" fontId="81" fillId="0" borderId="161" xfId="0" applyFont="1" applyBorder="1"/>
    <xf numFmtId="0" fontId="81" fillId="0" borderId="162" xfId="0" applyFont="1" applyBorder="1"/>
    <xf numFmtId="0" fontId="83" fillId="0" borderId="48" xfId="0" applyFont="1" applyBorder="1"/>
    <xf numFmtId="0" fontId="83" fillId="0" borderId="48" xfId="0" applyFont="1" applyBorder="1" applyAlignment="1">
      <alignment wrapText="1"/>
    </xf>
    <xf numFmtId="0" fontId="86" fillId="0" borderId="48" xfId="0" applyFont="1" applyBorder="1"/>
    <xf numFmtId="0" fontId="83" fillId="0" borderId="4" xfId="0" applyFont="1" applyBorder="1"/>
    <xf numFmtId="49" fontId="83" fillId="0" borderId="0" xfId="0" applyNumberFormat="1" applyFont="1" applyAlignment="1">
      <alignment horizontal="left" vertical="top"/>
    </xf>
    <xf numFmtId="0" fontId="105" fillId="7" borderId="1" xfId="0" applyFont="1" applyFill="1" applyBorder="1" applyAlignment="1">
      <alignment horizontal="left" wrapText="1"/>
    </xf>
    <xf numFmtId="0" fontId="104" fillId="0" borderId="52" xfId="0" applyFont="1" applyBorder="1" applyAlignment="1">
      <alignment horizontal="center" vertical="top"/>
    </xf>
    <xf numFmtId="0" fontId="105" fillId="7" borderId="50" xfId="0" applyFont="1" applyFill="1" applyBorder="1" applyAlignment="1">
      <alignment wrapText="1"/>
    </xf>
    <xf numFmtId="0" fontId="83" fillId="4" borderId="0" xfId="0" applyFont="1" applyFill="1" applyAlignment="1">
      <alignment horizontal="right" wrapText="1"/>
    </xf>
    <xf numFmtId="0" fontId="106" fillId="4" borderId="0" xfId="0" applyFont="1" applyFill="1"/>
    <xf numFmtId="174" fontId="81" fillId="0" borderId="84" xfId="0" applyNumberFormat="1" applyFont="1" applyBorder="1" applyAlignment="1">
      <alignment horizontal="right"/>
    </xf>
    <xf numFmtId="174" fontId="105" fillId="7" borderId="0" xfId="0" applyNumberFormat="1" applyFont="1" applyFill="1" applyAlignment="1">
      <alignment horizontal="right"/>
    </xf>
    <xf numFmtId="0" fontId="83" fillId="7" borderId="0" xfId="0" applyFont="1" applyFill="1"/>
    <xf numFmtId="0" fontId="83" fillId="4" borderId="0" xfId="0" applyFont="1" applyFill="1"/>
    <xf numFmtId="174" fontId="105" fillId="7" borderId="84" xfId="0" applyNumberFormat="1" applyFont="1" applyFill="1" applyBorder="1" applyAlignment="1">
      <alignment horizontal="right"/>
    </xf>
    <xf numFmtId="0" fontId="105" fillId="7" borderId="84" xfId="0" applyFont="1" applyFill="1" applyBorder="1"/>
    <xf numFmtId="174" fontId="83" fillId="0" borderId="84" xfId="0" applyNumberFormat="1" applyFont="1" applyBorder="1" applyAlignment="1">
      <alignment horizontal="right"/>
    </xf>
    <xf numFmtId="0" fontId="105" fillId="7" borderId="0" xfId="0" applyFont="1" applyFill="1" applyAlignment="1">
      <alignment horizontal="left" vertical="top"/>
    </xf>
    <xf numFmtId="0" fontId="81" fillId="0" borderId="158" xfId="0" applyFont="1" applyBorder="1" applyAlignment="1">
      <alignment horizontal="center"/>
    </xf>
    <xf numFmtId="0" fontId="81" fillId="0" borderId="159" xfId="0" applyFont="1" applyBorder="1" applyAlignment="1">
      <alignment horizontal="center"/>
    </xf>
    <xf numFmtId="0" fontId="81" fillId="0" borderId="153" xfId="0" applyFont="1" applyBorder="1" applyAlignment="1">
      <alignment horizontal="center"/>
    </xf>
    <xf numFmtId="0" fontId="84" fillId="0" borderId="0" xfId="0" applyFont="1"/>
    <xf numFmtId="0" fontId="104" fillId="0" borderId="0" xfId="0" applyFont="1" applyAlignment="1">
      <alignment horizontal="left" vertical="top" wrapText="1"/>
    </xf>
    <xf numFmtId="0" fontId="104" fillId="0" borderId="0" xfId="0" applyFont="1" applyAlignment="1">
      <alignment wrapText="1"/>
    </xf>
    <xf numFmtId="0" fontId="81" fillId="0" borderId="160" xfId="0" applyFont="1" applyBorder="1" applyAlignment="1">
      <alignment vertical="top" wrapText="1"/>
    </xf>
    <xf numFmtId="0" fontId="81" fillId="0" borderId="161" xfId="0" applyFont="1" applyBorder="1" applyAlignment="1">
      <alignment vertical="top" wrapText="1"/>
    </xf>
    <xf numFmtId="0" fontId="106" fillId="7" borderId="1" xfId="0" applyFont="1" applyFill="1" applyBorder="1"/>
    <xf numFmtId="0" fontId="105" fillId="7" borderId="1" xfId="0" applyFont="1" applyFill="1" applyBorder="1" applyAlignment="1">
      <alignment horizontal="left" vertical="top" wrapText="1"/>
    </xf>
    <xf numFmtId="171" fontId="105" fillId="7" borderId="163" xfId="1" applyNumberFormat="1" applyFont="1" applyFill="1" applyBorder="1" applyAlignment="1">
      <alignment wrapText="1"/>
    </xf>
    <xf numFmtId="0" fontId="105" fillId="7" borderId="163" xfId="0" applyFont="1" applyFill="1" applyBorder="1"/>
    <xf numFmtId="0" fontId="105" fillId="7" borderId="1" xfId="0" applyFont="1" applyFill="1" applyBorder="1" applyAlignment="1">
      <alignment vertical="top" wrapText="1"/>
    </xf>
    <xf numFmtId="0" fontId="106" fillId="7" borderId="163" xfId="0" applyFont="1" applyFill="1" applyBorder="1"/>
    <xf numFmtId="0" fontId="81" fillId="0" borderId="222" xfId="0" applyFont="1" applyBorder="1" applyAlignment="1">
      <alignment horizontal="center"/>
    </xf>
    <xf numFmtId="0" fontId="81" fillId="0" borderId="28" xfId="0" applyFont="1" applyBorder="1" applyAlignment="1">
      <alignment horizontal="center"/>
    </xf>
    <xf numFmtId="0" fontId="81" fillId="0" borderId="10" xfId="0" applyFont="1" applyBorder="1" applyAlignment="1">
      <alignment horizontal="center"/>
    </xf>
    <xf numFmtId="0" fontId="118" fillId="0" borderId="0" xfId="0" applyFont="1" applyAlignment="1">
      <alignment vertical="top" wrapText="1"/>
    </xf>
    <xf numFmtId="0" fontId="83" fillId="4" borderId="0" xfId="0" applyFont="1" applyFill="1" applyAlignment="1">
      <alignment vertical="top" wrapText="1"/>
    </xf>
    <xf numFmtId="0" fontId="37" fillId="0" borderId="1" xfId="6" applyFont="1" applyBorder="1" applyAlignment="1" applyProtection="1">
      <alignment horizontal="left"/>
      <protection locked="0"/>
    </xf>
    <xf numFmtId="0" fontId="37" fillId="0" borderId="0" xfId="6" applyFont="1" applyAlignment="1">
      <alignment vertical="top" wrapText="1"/>
    </xf>
  </cellXfs>
  <cellStyles count="184">
    <cellStyle name="20% - Accent1 2" xfId="14" xr:uid="{00000000-0005-0000-0000-000000000000}"/>
    <cellStyle name="20% - Accent2 2" xfId="15" xr:uid="{00000000-0005-0000-0000-000001000000}"/>
    <cellStyle name="20% - Accent3 2" xfId="16" xr:uid="{00000000-0005-0000-0000-000002000000}"/>
    <cellStyle name="20% - Accent4 2" xfId="17" xr:uid="{00000000-0005-0000-0000-000003000000}"/>
    <cellStyle name="20% - Accent5 2" xfId="18" xr:uid="{00000000-0005-0000-0000-000004000000}"/>
    <cellStyle name="20% - Accent6 2" xfId="19" xr:uid="{00000000-0005-0000-0000-000005000000}"/>
    <cellStyle name="40% - Accent1 2" xfId="20" xr:uid="{00000000-0005-0000-0000-000006000000}"/>
    <cellStyle name="40% - Accent2 2" xfId="21" xr:uid="{00000000-0005-0000-0000-000007000000}"/>
    <cellStyle name="40% - Accent3 2" xfId="22" xr:uid="{00000000-0005-0000-0000-000008000000}"/>
    <cellStyle name="40% - Accent4 2" xfId="23" xr:uid="{00000000-0005-0000-0000-000009000000}"/>
    <cellStyle name="40% - Accent5 2" xfId="24" xr:uid="{00000000-0005-0000-0000-00000A000000}"/>
    <cellStyle name="40% - Accent6 2" xfId="25" xr:uid="{00000000-0005-0000-0000-00000B000000}"/>
    <cellStyle name="60% - Accent1 2" xfId="26" xr:uid="{00000000-0005-0000-0000-00000C000000}"/>
    <cellStyle name="60% - Accent2 2" xfId="27" xr:uid="{00000000-0005-0000-0000-00000D000000}"/>
    <cellStyle name="60% - Accent3 2" xfId="28" xr:uid="{00000000-0005-0000-0000-00000E000000}"/>
    <cellStyle name="60% - Accent4 2" xfId="29" xr:uid="{00000000-0005-0000-0000-00000F000000}"/>
    <cellStyle name="60% - Accent5 2" xfId="30" xr:uid="{00000000-0005-0000-0000-000010000000}"/>
    <cellStyle name="60% - Accent6 2" xfId="31" xr:uid="{00000000-0005-0000-0000-000011000000}"/>
    <cellStyle name="Accent1 2" xfId="32" xr:uid="{00000000-0005-0000-0000-000012000000}"/>
    <cellStyle name="Accent2 2" xfId="33" xr:uid="{00000000-0005-0000-0000-000013000000}"/>
    <cellStyle name="Accent3 2" xfId="34" xr:uid="{00000000-0005-0000-0000-000014000000}"/>
    <cellStyle name="Accent4 2" xfId="35" xr:uid="{00000000-0005-0000-0000-000015000000}"/>
    <cellStyle name="Accent5 2" xfId="36" xr:uid="{00000000-0005-0000-0000-000016000000}"/>
    <cellStyle name="Accent6 2" xfId="37" xr:uid="{00000000-0005-0000-0000-000017000000}"/>
    <cellStyle name="Bad 2" xfId="38" xr:uid="{00000000-0005-0000-0000-000018000000}"/>
    <cellStyle name="Calculation 2" xfId="39" xr:uid="{00000000-0005-0000-0000-000019000000}"/>
    <cellStyle name="Calculation 2 2" xfId="72" xr:uid="{00000000-0005-0000-0000-00001A000000}"/>
    <cellStyle name="Calculation 2 2 2" xfId="136" xr:uid="{00000000-0005-0000-0000-00001B000000}"/>
    <cellStyle name="Calculation 2 3" xfId="69" xr:uid="{00000000-0005-0000-0000-00001C000000}"/>
    <cellStyle name="Calculation 2 3 2" xfId="133" xr:uid="{00000000-0005-0000-0000-00001D000000}"/>
    <cellStyle name="Calculation 2 4" xfId="70" xr:uid="{00000000-0005-0000-0000-00001E000000}"/>
    <cellStyle name="Calculation 2 4 2" xfId="134" xr:uid="{00000000-0005-0000-0000-00001F000000}"/>
    <cellStyle name="Calculation 2 5" xfId="68" xr:uid="{00000000-0005-0000-0000-000020000000}"/>
    <cellStyle name="Calculation 2 5 2" xfId="132" xr:uid="{00000000-0005-0000-0000-000021000000}"/>
    <cellStyle name="Calculation 2 6" xfId="71" xr:uid="{00000000-0005-0000-0000-000022000000}"/>
    <cellStyle name="Calculation 2 6 2" xfId="135" xr:uid="{00000000-0005-0000-0000-000023000000}"/>
    <cellStyle name="Calculation 3" xfId="58" xr:uid="{00000000-0005-0000-0000-000024000000}"/>
    <cellStyle name="Calculation 3 2" xfId="84" xr:uid="{00000000-0005-0000-0000-000025000000}"/>
    <cellStyle name="Calculation 3 2 2" xfId="147" xr:uid="{00000000-0005-0000-0000-000026000000}"/>
    <cellStyle name="Calculation 3 3" xfId="95" xr:uid="{00000000-0005-0000-0000-000027000000}"/>
    <cellStyle name="Calculation 3 3 2" xfId="158" xr:uid="{00000000-0005-0000-0000-000028000000}"/>
    <cellStyle name="Calculation 3 4" xfId="102" xr:uid="{00000000-0005-0000-0000-000029000000}"/>
    <cellStyle name="Calculation 3 4 2" xfId="165" xr:uid="{00000000-0005-0000-0000-00002A000000}"/>
    <cellStyle name="Calculation 3 5" xfId="109" xr:uid="{00000000-0005-0000-0000-00002B000000}"/>
    <cellStyle name="Calculation 3 5 2" xfId="172" xr:uid="{00000000-0005-0000-0000-00002C000000}"/>
    <cellStyle name="Calculation 3 6" xfId="116" xr:uid="{00000000-0005-0000-0000-00002D000000}"/>
    <cellStyle name="Calculation 3 6 2" xfId="179" xr:uid="{00000000-0005-0000-0000-00002E000000}"/>
    <cellStyle name="Check Cell 2" xfId="40" xr:uid="{00000000-0005-0000-0000-00002F000000}"/>
    <cellStyle name="Comma" xfId="1" builtinId="3"/>
    <cellStyle name="Comma 2" xfId="9" xr:uid="{00000000-0005-0000-0000-000031000000}"/>
    <cellStyle name="Comma 2 2" xfId="42" xr:uid="{00000000-0005-0000-0000-000032000000}"/>
    <cellStyle name="Comma 2 2 2" xfId="74" xr:uid="{00000000-0005-0000-0000-000033000000}"/>
    <cellStyle name="Comma 2 2 2 2" xfId="138" xr:uid="{00000000-0005-0000-0000-000034000000}"/>
    <cellStyle name="Comma 2 2 3" xfId="126" xr:uid="{00000000-0005-0000-0000-000035000000}"/>
    <cellStyle name="Comma 2 3" xfId="65" xr:uid="{00000000-0005-0000-0000-000036000000}"/>
    <cellStyle name="Comma 2 3 2" xfId="130" xr:uid="{00000000-0005-0000-0000-000037000000}"/>
    <cellStyle name="Comma 2 4" xfId="123" xr:uid="{00000000-0005-0000-0000-000038000000}"/>
    <cellStyle name="Comma 3" xfId="41" xr:uid="{00000000-0005-0000-0000-000039000000}"/>
    <cellStyle name="Comma 3 2" xfId="73" xr:uid="{00000000-0005-0000-0000-00003A000000}"/>
    <cellStyle name="Comma 3 2 2" xfId="137" xr:uid="{00000000-0005-0000-0000-00003B000000}"/>
    <cellStyle name="Comma 3 3" xfId="125" xr:uid="{00000000-0005-0000-0000-00003C000000}"/>
    <cellStyle name="Comma 4" xfId="63" xr:uid="{00000000-0005-0000-0000-00003D000000}"/>
    <cellStyle name="Comma 4 2" xfId="128" xr:uid="{00000000-0005-0000-0000-00003E000000}"/>
    <cellStyle name="Comma 5" xfId="121" xr:uid="{00000000-0005-0000-0000-00003F000000}"/>
    <cellStyle name="Explanatory Text 2" xfId="43" xr:uid="{00000000-0005-0000-0000-000040000000}"/>
    <cellStyle name="Good 2" xfId="44" xr:uid="{00000000-0005-0000-0000-000041000000}"/>
    <cellStyle name="Heading 1 2" xfId="45" xr:uid="{00000000-0005-0000-0000-000042000000}"/>
    <cellStyle name="Heading 2 2" xfId="46" xr:uid="{00000000-0005-0000-0000-000043000000}"/>
    <cellStyle name="Heading 3 2" xfId="47" xr:uid="{00000000-0005-0000-0000-000044000000}"/>
    <cellStyle name="Heading 4 2" xfId="48" xr:uid="{00000000-0005-0000-0000-000045000000}"/>
    <cellStyle name="Input 2" xfId="49" xr:uid="{00000000-0005-0000-0000-000046000000}"/>
    <cellStyle name="Input 2 2" xfId="78" xr:uid="{00000000-0005-0000-0000-000047000000}"/>
    <cellStyle name="Input 2 2 2" xfId="142" xr:uid="{00000000-0005-0000-0000-000048000000}"/>
    <cellStyle name="Input 2 3" xfId="90" xr:uid="{00000000-0005-0000-0000-000049000000}"/>
    <cellStyle name="Input 2 3 2" xfId="153" xr:uid="{00000000-0005-0000-0000-00004A000000}"/>
    <cellStyle name="Input 2 4" xfId="76" xr:uid="{00000000-0005-0000-0000-00004B000000}"/>
    <cellStyle name="Input 2 4 2" xfId="140" xr:uid="{00000000-0005-0000-0000-00004C000000}"/>
    <cellStyle name="Input 2 5" xfId="89" xr:uid="{00000000-0005-0000-0000-00004D000000}"/>
    <cellStyle name="Input 2 5 2" xfId="152" xr:uid="{00000000-0005-0000-0000-00004E000000}"/>
    <cellStyle name="Input 2 6" xfId="75" xr:uid="{00000000-0005-0000-0000-00004F000000}"/>
    <cellStyle name="Input 2 6 2" xfId="139" xr:uid="{00000000-0005-0000-0000-000050000000}"/>
    <cellStyle name="Input 3" xfId="59" xr:uid="{00000000-0005-0000-0000-000051000000}"/>
    <cellStyle name="Input 3 2" xfId="85" xr:uid="{00000000-0005-0000-0000-000052000000}"/>
    <cellStyle name="Input 3 2 2" xfId="148" xr:uid="{00000000-0005-0000-0000-000053000000}"/>
    <cellStyle name="Input 3 3" xfId="96" xr:uid="{00000000-0005-0000-0000-000054000000}"/>
    <cellStyle name="Input 3 3 2" xfId="159" xr:uid="{00000000-0005-0000-0000-000055000000}"/>
    <cellStyle name="Input 3 4" xfId="103" xr:uid="{00000000-0005-0000-0000-000056000000}"/>
    <cellStyle name="Input 3 4 2" xfId="166" xr:uid="{00000000-0005-0000-0000-000057000000}"/>
    <cellStyle name="Input 3 5" xfId="110" xr:uid="{00000000-0005-0000-0000-000058000000}"/>
    <cellStyle name="Input 3 5 2" xfId="173" xr:uid="{00000000-0005-0000-0000-000059000000}"/>
    <cellStyle name="Input 3 6" xfId="117" xr:uid="{00000000-0005-0000-0000-00005A000000}"/>
    <cellStyle name="Input 3 6 2" xfId="180" xr:uid="{00000000-0005-0000-0000-00005B000000}"/>
    <cellStyle name="Linked Cell 2" xfId="50" xr:uid="{00000000-0005-0000-0000-00005C000000}"/>
    <cellStyle name="Neutral 2" xfId="51" xr:uid="{00000000-0005-0000-0000-00005D000000}"/>
    <cellStyle name="Normal" xfId="0" builtinId="0"/>
    <cellStyle name="Normal 2" xfId="6" xr:uid="{00000000-0005-0000-0000-00005F000000}"/>
    <cellStyle name="Normal 2 2" xfId="10" xr:uid="{00000000-0005-0000-0000-000060000000}"/>
    <cellStyle name="Normal 3" xfId="8" xr:uid="{00000000-0005-0000-0000-000061000000}"/>
    <cellStyle name="Normal 3 2" xfId="12" xr:uid="{00000000-0005-0000-0000-000062000000}"/>
    <cellStyle name="Normal 3 2 2" xfId="66" xr:uid="{00000000-0005-0000-0000-000063000000}"/>
    <cellStyle name="Normal 3 2 2 2" xfId="131" xr:uid="{00000000-0005-0000-0000-000064000000}"/>
    <cellStyle name="Normal 3 2 3" xfId="124" xr:uid="{00000000-0005-0000-0000-000065000000}"/>
    <cellStyle name="Normal 3 3" xfId="64" xr:uid="{00000000-0005-0000-0000-000066000000}"/>
    <cellStyle name="Normal 3 3 2" xfId="129" xr:uid="{00000000-0005-0000-0000-000067000000}"/>
    <cellStyle name="Normal 3 4" xfId="122" xr:uid="{00000000-0005-0000-0000-000068000000}"/>
    <cellStyle name="Normal 4" xfId="13" xr:uid="{00000000-0005-0000-0000-000069000000}"/>
    <cellStyle name="Normal 4 2" xfId="67" xr:uid="{00000000-0005-0000-0000-00006A000000}"/>
    <cellStyle name="Normal_081217 PM Inc Exp Working Group" xfId="2" xr:uid="{00000000-0005-0000-0000-00006B000000}"/>
    <cellStyle name="Normal_Book1" xfId="5" xr:uid="{00000000-0005-0000-0000-00006C000000}"/>
    <cellStyle name="Normal_Standing Data" xfId="3" xr:uid="{00000000-0005-0000-0000-00006D000000}"/>
    <cellStyle name="Note 2" xfId="52" xr:uid="{00000000-0005-0000-0000-00006E000000}"/>
    <cellStyle name="Note 2 2" xfId="79" xr:uid="{00000000-0005-0000-0000-00006F000000}"/>
    <cellStyle name="Note 2 2 2" xfId="143" xr:uid="{00000000-0005-0000-0000-000070000000}"/>
    <cellStyle name="Note 2 3" xfId="91" xr:uid="{00000000-0005-0000-0000-000071000000}"/>
    <cellStyle name="Note 2 3 2" xfId="154" xr:uid="{00000000-0005-0000-0000-000072000000}"/>
    <cellStyle name="Note 2 4" xfId="77" xr:uid="{00000000-0005-0000-0000-000073000000}"/>
    <cellStyle name="Note 2 4 2" xfId="141" xr:uid="{00000000-0005-0000-0000-000074000000}"/>
    <cellStyle name="Note 2 5" xfId="83" xr:uid="{00000000-0005-0000-0000-000075000000}"/>
    <cellStyle name="Note 2 5 2" xfId="146" xr:uid="{00000000-0005-0000-0000-000076000000}"/>
    <cellStyle name="Note 2 6" xfId="94" xr:uid="{00000000-0005-0000-0000-000077000000}"/>
    <cellStyle name="Note 2 6 2" xfId="157" xr:uid="{00000000-0005-0000-0000-000078000000}"/>
    <cellStyle name="Note 2 7" xfId="127" xr:uid="{00000000-0005-0000-0000-000079000000}"/>
    <cellStyle name="Note 3" xfId="60" xr:uid="{00000000-0005-0000-0000-00007A000000}"/>
    <cellStyle name="Note 3 2" xfId="86" xr:uid="{00000000-0005-0000-0000-00007B000000}"/>
    <cellStyle name="Note 3 2 2" xfId="149" xr:uid="{00000000-0005-0000-0000-00007C000000}"/>
    <cellStyle name="Note 3 3" xfId="97" xr:uid="{00000000-0005-0000-0000-00007D000000}"/>
    <cellStyle name="Note 3 3 2" xfId="160" xr:uid="{00000000-0005-0000-0000-00007E000000}"/>
    <cellStyle name="Note 3 4" xfId="104" xr:uid="{00000000-0005-0000-0000-00007F000000}"/>
    <cellStyle name="Note 3 4 2" xfId="167" xr:uid="{00000000-0005-0000-0000-000080000000}"/>
    <cellStyle name="Note 3 5" xfId="111" xr:uid="{00000000-0005-0000-0000-000081000000}"/>
    <cellStyle name="Note 3 5 2" xfId="174" xr:uid="{00000000-0005-0000-0000-000082000000}"/>
    <cellStyle name="Note 3 6" xfId="118" xr:uid="{00000000-0005-0000-0000-000083000000}"/>
    <cellStyle name="Note 3 6 2" xfId="181" xr:uid="{00000000-0005-0000-0000-000084000000}"/>
    <cellStyle name="Output 2" xfId="53" xr:uid="{00000000-0005-0000-0000-000085000000}"/>
    <cellStyle name="Output 2 2" xfId="80" xr:uid="{00000000-0005-0000-0000-000086000000}"/>
    <cellStyle name="Output 2 2 2" xfId="144" xr:uid="{00000000-0005-0000-0000-000087000000}"/>
    <cellStyle name="Output 2 3" xfId="92" xr:uid="{00000000-0005-0000-0000-000088000000}"/>
    <cellStyle name="Output 2 3 2" xfId="155" xr:uid="{00000000-0005-0000-0000-000089000000}"/>
    <cellStyle name="Output 2 4" xfId="100" xr:uid="{00000000-0005-0000-0000-00008A000000}"/>
    <cellStyle name="Output 2 4 2" xfId="163" xr:uid="{00000000-0005-0000-0000-00008B000000}"/>
    <cellStyle name="Output 2 5" xfId="107" xr:uid="{00000000-0005-0000-0000-00008C000000}"/>
    <cellStyle name="Output 2 5 2" xfId="170" xr:uid="{00000000-0005-0000-0000-00008D000000}"/>
    <cellStyle name="Output 2 6" xfId="114" xr:uid="{00000000-0005-0000-0000-00008E000000}"/>
    <cellStyle name="Output 2 6 2" xfId="177" xr:uid="{00000000-0005-0000-0000-00008F000000}"/>
    <cellStyle name="Output 3" xfId="61" xr:uid="{00000000-0005-0000-0000-000090000000}"/>
    <cellStyle name="Output 3 2" xfId="87" xr:uid="{00000000-0005-0000-0000-000091000000}"/>
    <cellStyle name="Output 3 2 2" xfId="150" xr:uid="{00000000-0005-0000-0000-000092000000}"/>
    <cellStyle name="Output 3 3" xfId="98" xr:uid="{00000000-0005-0000-0000-000093000000}"/>
    <cellStyle name="Output 3 3 2" xfId="161" xr:uid="{00000000-0005-0000-0000-000094000000}"/>
    <cellStyle name="Output 3 4" xfId="105" xr:uid="{00000000-0005-0000-0000-000095000000}"/>
    <cellStyle name="Output 3 4 2" xfId="168" xr:uid="{00000000-0005-0000-0000-000096000000}"/>
    <cellStyle name="Output 3 5" xfId="112" xr:uid="{00000000-0005-0000-0000-000097000000}"/>
    <cellStyle name="Output 3 5 2" xfId="175" xr:uid="{00000000-0005-0000-0000-000098000000}"/>
    <cellStyle name="Output 3 6" xfId="119" xr:uid="{00000000-0005-0000-0000-000099000000}"/>
    <cellStyle name="Output 3 6 2" xfId="182" xr:uid="{00000000-0005-0000-0000-00009A000000}"/>
    <cellStyle name="Percent" xfId="4" builtinId="5"/>
    <cellStyle name="Percent 2" xfId="7" xr:uid="{00000000-0005-0000-0000-00009C000000}"/>
    <cellStyle name="Percent 2 2" xfId="11" xr:uid="{00000000-0005-0000-0000-00009D000000}"/>
    <cellStyle name="Percent 3" xfId="54" xr:uid="{00000000-0005-0000-0000-00009E000000}"/>
    <cellStyle name="Percent 3 2" xfId="81" xr:uid="{00000000-0005-0000-0000-00009F000000}"/>
    <cellStyle name="Title 2" xfId="55" xr:uid="{00000000-0005-0000-0000-0000A0000000}"/>
    <cellStyle name="Total 2" xfId="56" xr:uid="{00000000-0005-0000-0000-0000A1000000}"/>
    <cellStyle name="Total 2 2" xfId="82" xr:uid="{00000000-0005-0000-0000-0000A2000000}"/>
    <cellStyle name="Total 2 2 2" xfId="145" xr:uid="{00000000-0005-0000-0000-0000A3000000}"/>
    <cellStyle name="Total 2 3" xfId="93" xr:uid="{00000000-0005-0000-0000-0000A4000000}"/>
    <cellStyle name="Total 2 3 2" xfId="156" xr:uid="{00000000-0005-0000-0000-0000A5000000}"/>
    <cellStyle name="Total 2 4" xfId="101" xr:uid="{00000000-0005-0000-0000-0000A6000000}"/>
    <cellStyle name="Total 2 4 2" xfId="164" xr:uid="{00000000-0005-0000-0000-0000A7000000}"/>
    <cellStyle name="Total 2 5" xfId="108" xr:uid="{00000000-0005-0000-0000-0000A8000000}"/>
    <cellStyle name="Total 2 5 2" xfId="171" xr:uid="{00000000-0005-0000-0000-0000A9000000}"/>
    <cellStyle name="Total 2 6" xfId="115" xr:uid="{00000000-0005-0000-0000-0000AA000000}"/>
    <cellStyle name="Total 2 6 2" xfId="178" xr:uid="{00000000-0005-0000-0000-0000AB000000}"/>
    <cellStyle name="Total 3" xfId="62" xr:uid="{00000000-0005-0000-0000-0000AC000000}"/>
    <cellStyle name="Total 3 2" xfId="88" xr:uid="{00000000-0005-0000-0000-0000AD000000}"/>
    <cellStyle name="Total 3 2 2" xfId="151" xr:uid="{00000000-0005-0000-0000-0000AE000000}"/>
    <cellStyle name="Total 3 3" xfId="99" xr:uid="{00000000-0005-0000-0000-0000AF000000}"/>
    <cellStyle name="Total 3 3 2" xfId="162" xr:uid="{00000000-0005-0000-0000-0000B0000000}"/>
    <cellStyle name="Total 3 4" xfId="106" xr:uid="{00000000-0005-0000-0000-0000B1000000}"/>
    <cellStyle name="Total 3 4 2" xfId="169" xr:uid="{00000000-0005-0000-0000-0000B2000000}"/>
    <cellStyle name="Total 3 5" xfId="113" xr:uid="{00000000-0005-0000-0000-0000B3000000}"/>
    <cellStyle name="Total 3 5 2" xfId="176" xr:uid="{00000000-0005-0000-0000-0000B4000000}"/>
    <cellStyle name="Total 3 6" xfId="120" xr:uid="{00000000-0005-0000-0000-0000B5000000}"/>
    <cellStyle name="Total 3 6 2" xfId="183" xr:uid="{00000000-0005-0000-0000-0000B6000000}"/>
    <cellStyle name="Warning Text 2" xfId="57" xr:uid="{00000000-0005-0000-0000-0000B7000000}"/>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66FF"/>
      <color rgb="FF99FF99"/>
      <color rgb="FFFF0066"/>
      <color rgb="FF33CC33"/>
      <color rgb="FF008000"/>
      <color rgb="FF660066"/>
      <color rgb="FFFF99FF"/>
      <color rgb="FFFF66FF"/>
      <color rgb="FFCC00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571500</xdr:colOff>
      <xdr:row>33</xdr:row>
      <xdr:rowOff>123825</xdr:rowOff>
    </xdr:to>
    <xdr:grpSp>
      <xdr:nvGrpSpPr>
        <xdr:cNvPr id="2" name="Group 125" descr="EOY Accounts&#10;" title="EOY Accounts">
          <a:extLst>
            <a:ext uri="{FF2B5EF4-FFF2-40B4-BE49-F238E27FC236}">
              <a16:creationId xmlns:a16="http://schemas.microsoft.com/office/drawing/2014/main" id="{00000000-0008-0000-1100-000002000000}"/>
            </a:ext>
          </a:extLst>
        </xdr:cNvPr>
        <xdr:cNvGrpSpPr>
          <a:grpSpLocks/>
        </xdr:cNvGrpSpPr>
      </xdr:nvGrpSpPr>
      <xdr:grpSpPr bwMode="auto">
        <a:xfrm>
          <a:off x="0" y="0"/>
          <a:ext cx="7277100" cy="5907405"/>
          <a:chOff x="0" y="0"/>
          <a:chExt cx="55613" cy="54044"/>
        </a:xfrm>
      </xdr:grpSpPr>
      <xdr:sp macro="" textlink="">
        <xdr:nvSpPr>
          <xdr:cNvPr id="3" name="Freeform 10" descr="End of Year accounts" title="End of Year Accounts">
            <a:extLst>
              <a:ext uri="{FF2B5EF4-FFF2-40B4-BE49-F238E27FC236}">
                <a16:creationId xmlns:a16="http://schemas.microsoft.com/office/drawing/2014/main" id="{00000000-0008-0000-1100-000003000000}"/>
              </a:ext>
            </a:extLst>
          </xdr:cNvPr>
          <xdr:cNvSpPr>
            <a:spLocks noChangeArrowheads="1"/>
          </xdr:cNvSpPr>
        </xdr:nvSpPr>
        <xdr:spPr bwMode="auto">
          <a:xfrm>
            <a:off x="0" y="0"/>
            <a:ext cx="55540" cy="54044"/>
          </a:xfrm>
          <a:custGeom>
            <a:avLst/>
            <a:gdLst>
              <a:gd name="T0" fmla="*/ 0 w 720"/>
              <a:gd name="T1" fmla="*/ 0 h 700"/>
              <a:gd name="T2" fmla="*/ 0 w 720"/>
              <a:gd name="T3" fmla="*/ 383876539 h 700"/>
              <a:gd name="T4" fmla="*/ 67281025 w 720"/>
              <a:gd name="T5" fmla="*/ 396394288 h 700"/>
              <a:gd name="T6" fmla="*/ 428693199 w 720"/>
              <a:gd name="T7" fmla="*/ 383876539 h 700"/>
              <a:gd name="T8" fmla="*/ 428693199 w 720"/>
              <a:gd name="T9" fmla="*/ 367782313 h 700"/>
              <a:gd name="T10" fmla="*/ 428693199 w 720"/>
              <a:gd name="T11" fmla="*/ 0 h 700"/>
              <a:gd name="T12" fmla="*/ 0 w 720"/>
              <a:gd name="T13" fmla="*/ 0 h 700"/>
              <a:gd name="T14" fmla="*/ 0 60000 65536"/>
              <a:gd name="T15" fmla="*/ 0 60000 65536"/>
              <a:gd name="T16" fmla="*/ 0 60000 65536"/>
              <a:gd name="T17" fmla="*/ 0 60000 65536"/>
              <a:gd name="T18" fmla="*/ 0 60000 65536"/>
              <a:gd name="T19" fmla="*/ 0 60000 65536"/>
              <a:gd name="T20" fmla="*/ 0 60000 65536"/>
              <a:gd name="T21" fmla="*/ 0 w 720"/>
              <a:gd name="T22" fmla="*/ 0 h 700"/>
              <a:gd name="T23" fmla="*/ 720 w 720"/>
              <a:gd name="T24" fmla="*/ 700 h 70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720" h="700">
                <a:moveTo>
                  <a:pt x="0" y="0"/>
                </a:moveTo>
                <a:cubicBezTo>
                  <a:pt x="0" y="644"/>
                  <a:pt x="0" y="644"/>
                  <a:pt x="0" y="644"/>
                </a:cubicBezTo>
                <a:cubicBezTo>
                  <a:pt x="23" y="650"/>
                  <a:pt x="62" y="658"/>
                  <a:pt x="113" y="665"/>
                </a:cubicBezTo>
                <a:cubicBezTo>
                  <a:pt x="250" y="685"/>
                  <a:pt x="476" y="700"/>
                  <a:pt x="720" y="644"/>
                </a:cubicBezTo>
                <a:cubicBezTo>
                  <a:pt x="720" y="617"/>
                  <a:pt x="720" y="617"/>
                  <a:pt x="720" y="617"/>
                </a:cubicBezTo>
                <a:cubicBezTo>
                  <a:pt x="720" y="0"/>
                  <a:pt x="720" y="0"/>
                  <a:pt x="720" y="0"/>
                </a:cubicBezTo>
              </a:path>
            </a:pathLst>
          </a:custGeom>
          <a:gradFill rotWithShape="1">
            <a:gsLst>
              <a:gs pos="0">
                <a:srgbClr val="5D6D85"/>
              </a:gs>
              <a:gs pos="50000">
                <a:srgbClr val="485972"/>
              </a:gs>
              <a:gs pos="100000">
                <a:srgbClr val="334258"/>
              </a:gs>
            </a:gsLst>
            <a:lin ang="5400000"/>
          </a:gradFill>
          <a:ln>
            <a:noFill/>
          </a:ln>
        </xdr:spPr>
        <xdr:txBody>
          <a:bodyPr vertOverflow="clip" wrap="square" lIns="914400" tIns="1097280" rIns="1097280" bIns="1097280" anchor="t" upright="1"/>
          <a:lstStyle/>
          <a:p>
            <a:pPr algn="ctr" rtl="0">
              <a:defRPr sz="1000"/>
            </a:pPr>
            <a:r>
              <a:rPr lang="en-GB" sz="3600" b="0" i="0" u="none" strike="noStrike" baseline="0">
                <a:solidFill>
                  <a:srgbClr val="FFFFFF"/>
                </a:solidFill>
                <a:latin typeface="Calibri"/>
              </a:rPr>
              <a:t> STATEMENT OF ACCOUNTS</a:t>
            </a:r>
          </a:p>
          <a:p>
            <a:pPr algn="ctr" rtl="0">
              <a:defRPr sz="1000"/>
            </a:pPr>
            <a:endParaRPr lang="en-GB" sz="3600" b="0" i="0" u="none" strike="noStrike" baseline="0">
              <a:solidFill>
                <a:srgbClr val="FFFFFF"/>
              </a:solidFill>
              <a:latin typeface="Calibri"/>
            </a:endParaRPr>
          </a:p>
          <a:p>
            <a:pPr algn="ctr" rtl="0">
              <a:defRPr sz="1000"/>
            </a:pPr>
            <a:endParaRPr lang="en-GB" sz="3600" b="0" i="0" u="none" strike="noStrike" baseline="0">
              <a:solidFill>
                <a:srgbClr val="FFFFFF"/>
              </a:solidFill>
              <a:latin typeface="Calibri"/>
            </a:endParaRPr>
          </a:p>
        </xdr:txBody>
      </xdr:sp>
      <xdr:sp macro="" textlink="">
        <xdr:nvSpPr>
          <xdr:cNvPr id="4" name="Freeform 11">
            <a:extLst>
              <a:ext uri="{FF2B5EF4-FFF2-40B4-BE49-F238E27FC236}">
                <a16:creationId xmlns:a16="http://schemas.microsoft.com/office/drawing/2014/main" id="{00000000-0008-0000-1100-000004000000}"/>
              </a:ext>
            </a:extLst>
          </xdr:cNvPr>
          <xdr:cNvSpPr>
            <a:spLocks/>
          </xdr:cNvSpPr>
        </xdr:nvSpPr>
        <xdr:spPr bwMode="auto">
          <a:xfrm>
            <a:off x="8763" y="47697"/>
            <a:ext cx="46850" cy="5099"/>
          </a:xfrm>
          <a:custGeom>
            <a:avLst/>
            <a:gdLst>
              <a:gd name="T0" fmla="*/ 2147483647 w 607"/>
              <a:gd name="T1" fmla="*/ 0 h 66"/>
              <a:gd name="T2" fmla="*/ 2147483647 w 607"/>
              <a:gd name="T3" fmla="*/ 2147483647 h 66"/>
              <a:gd name="T4" fmla="*/ 0 w 607"/>
              <a:gd name="T5" fmla="*/ 2147483647 h 66"/>
              <a:gd name="T6" fmla="*/ 2147483647 w 607"/>
              <a:gd name="T7" fmla="*/ 2147483647 h 66"/>
              <a:gd name="T8" fmla="*/ 2147483647 w 607"/>
              <a:gd name="T9" fmla="*/ 2147483647 h 66"/>
              <a:gd name="T10" fmla="*/ 2147483647 w 607"/>
              <a:gd name="T11" fmla="*/ 0 h 66"/>
              <a:gd name="T12" fmla="*/ 0 60000 65536"/>
              <a:gd name="T13" fmla="*/ 0 60000 65536"/>
              <a:gd name="T14" fmla="*/ 0 60000 65536"/>
              <a:gd name="T15" fmla="*/ 0 60000 65536"/>
              <a:gd name="T16" fmla="*/ 0 60000 65536"/>
              <a:gd name="T17" fmla="*/ 0 60000 65536"/>
              <a:gd name="T18" fmla="*/ 0 w 607"/>
              <a:gd name="T19" fmla="*/ 0 h 66"/>
              <a:gd name="T20" fmla="*/ 607 w 607"/>
              <a:gd name="T21" fmla="*/ 66 h 66"/>
            </a:gdLst>
            <a:ahLst/>
            <a:cxnLst>
              <a:cxn ang="T12">
                <a:pos x="T0" y="T1"/>
              </a:cxn>
              <a:cxn ang="T13">
                <a:pos x="T2" y="T3"/>
              </a:cxn>
              <a:cxn ang="T14">
                <a:pos x="T4" y="T5"/>
              </a:cxn>
              <a:cxn ang="T15">
                <a:pos x="T6" y="T7"/>
              </a:cxn>
              <a:cxn ang="T16">
                <a:pos x="T8" y="T9"/>
              </a:cxn>
              <a:cxn ang="T17">
                <a:pos x="T10" y="T11"/>
              </a:cxn>
            </a:cxnLst>
            <a:rect l="T18" t="T19" r="T20" b="T21"/>
            <a:pathLst>
              <a:path w="607" h="66">
                <a:moveTo>
                  <a:pt x="607" y="0"/>
                </a:moveTo>
                <a:cubicBezTo>
                  <a:pt x="450" y="44"/>
                  <a:pt x="300" y="57"/>
                  <a:pt x="176" y="57"/>
                </a:cubicBezTo>
                <a:cubicBezTo>
                  <a:pt x="109" y="57"/>
                  <a:pt x="49" y="53"/>
                  <a:pt x="0" y="48"/>
                </a:cubicBezTo>
                <a:cubicBezTo>
                  <a:pt x="66" y="58"/>
                  <a:pt x="152" y="66"/>
                  <a:pt x="251" y="66"/>
                </a:cubicBezTo>
                <a:cubicBezTo>
                  <a:pt x="358" y="66"/>
                  <a:pt x="480" y="56"/>
                  <a:pt x="607" y="27"/>
                </a:cubicBezTo>
                <a:cubicBezTo>
                  <a:pt x="607" y="0"/>
                  <a:pt x="607" y="0"/>
                  <a:pt x="607" y="0"/>
                </a:cubicBezTo>
              </a:path>
            </a:pathLst>
          </a:custGeom>
          <a:solidFill>
            <a:srgbClr val="FFFFFF">
              <a:alpha val="29803"/>
            </a:srgbClr>
          </a:solidFill>
          <a:ln>
            <a:noFill/>
          </a:ln>
          <a:extLst>
            <a:ext uri="{91240B29-F687-4F45-9708-019B960494DF}">
              <a14:hiddenLine xmlns:a14="http://schemas.microsoft.com/office/drawing/2010/main" w="9525" cmpd="sng">
                <a:solidFill>
                  <a:srgbClr val="000000"/>
                </a:solidFill>
                <a:round/>
                <a:headEnd/>
                <a:tailEnd/>
              </a14:hiddenLine>
            </a:ext>
          </a:extLst>
        </xdr:spPr>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McCulloughS/AppData/Local/Microsoft/Windows/Temporary%20Internet%20Files/Content.Outlook/Z2HVT0PF/Council%20Proforma%20(version%201).xls" TargetMode="External"/><Relationship Id="rId1" Type="http://schemas.openxmlformats.org/officeDocument/2006/relationships/externalLinkPath" Target="/Users/McCulloughS/AppData/Local/Microsoft/Windows/Temporary%20Internet%20Files/Content.Outlook/Z2HVT0PF/Council%20Proforma%20(version%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Keys"/>
      <sheetName val="Standing Data"/>
      <sheetName val="Memo"/>
      <sheetName val="Input"/>
      <sheetName val="Sheet2"/>
      <sheetName val="Checklist"/>
      <sheetName val="MIRS"/>
      <sheetName val="Sheet7"/>
      <sheetName val="Notes 2 to 9"/>
      <sheetName val="Note10"/>
      <sheetName val="Detailed CIES"/>
      <sheetName val="Detailed BS"/>
    </sheetNames>
    <sheetDataSet>
      <sheetData sheetId="0"/>
      <sheetData sheetId="1"/>
      <sheetData sheetId="2">
        <row r="60">
          <cell r="B60" t="str">
            <v>Compulsory Redundancies</v>
          </cell>
          <cell r="D60" t="str">
            <v>£</v>
          </cell>
          <cell r="E60" t="str">
            <v>£</v>
          </cell>
        </row>
        <row r="61">
          <cell r="B61" t="str">
            <v>£0 to £20,000</v>
          </cell>
          <cell r="D61">
            <v>10000</v>
          </cell>
          <cell r="E61">
            <v>40000</v>
          </cell>
        </row>
        <row r="62">
          <cell r="B62" t="str">
            <v>£20,001 to £40,000</v>
          </cell>
          <cell r="D62">
            <v>25000</v>
          </cell>
          <cell r="E62">
            <v>50000</v>
          </cell>
        </row>
        <row r="63">
          <cell r="B63" t="str">
            <v>£40,001 to £60,000</v>
          </cell>
          <cell r="D63">
            <v>45000</v>
          </cell>
          <cell r="E63">
            <v>90000</v>
          </cell>
        </row>
        <row r="64">
          <cell r="B64" t="str">
            <v>£60,001 to £80,000</v>
          </cell>
          <cell r="D64">
            <v>70000</v>
          </cell>
          <cell r="E64">
            <v>140000</v>
          </cell>
        </row>
        <row r="65">
          <cell r="B65" t="str">
            <v>£80,001 to £100,000</v>
          </cell>
          <cell r="D65">
            <v>85000</v>
          </cell>
          <cell r="E65">
            <v>170000</v>
          </cell>
        </row>
        <row r="66">
          <cell r="B66" t="str">
            <v>£100,001 to £150,000</v>
          </cell>
          <cell r="D66">
            <v>120000</v>
          </cell>
          <cell r="E66">
            <v>240000</v>
          </cell>
        </row>
        <row r="74">
          <cell r="B74" t="str">
            <v>Agreed Packages</v>
          </cell>
          <cell r="D74" t="str">
            <v>£</v>
          </cell>
          <cell r="E74" t="str">
            <v>£</v>
          </cell>
        </row>
        <row r="75">
          <cell r="B75" t="str">
            <v>£0 to £20,000</v>
          </cell>
          <cell r="D75">
            <v>10000</v>
          </cell>
          <cell r="E75">
            <v>10000</v>
          </cell>
        </row>
        <row r="76">
          <cell r="B76" t="str">
            <v>£20,001 to £40,000</v>
          </cell>
          <cell r="D76">
            <v>50000</v>
          </cell>
          <cell r="E76">
            <v>25000</v>
          </cell>
        </row>
        <row r="77">
          <cell r="B77" t="str">
            <v>£40,001 to £60,000</v>
          </cell>
          <cell r="D77">
            <v>90000</v>
          </cell>
          <cell r="E77">
            <v>45000</v>
          </cell>
        </row>
        <row r="78">
          <cell r="B78" t="str">
            <v>£60,001 to £80,000</v>
          </cell>
          <cell r="D78">
            <v>140000</v>
          </cell>
          <cell r="E78">
            <v>70000</v>
          </cell>
        </row>
        <row r="79">
          <cell r="B79" t="str">
            <v>£80,001 to £100,000</v>
          </cell>
          <cell r="D79">
            <v>170000</v>
          </cell>
          <cell r="E79">
            <v>85000</v>
          </cell>
        </row>
        <row r="80">
          <cell r="B80" t="str">
            <v>£100,001 to £150,000</v>
          </cell>
          <cell r="D80">
            <v>240000</v>
          </cell>
          <cell r="E80">
            <v>120000</v>
          </cell>
        </row>
      </sheetData>
      <sheetData sheetId="3">
        <row r="343">
          <cell r="F343" t="str">
            <v>Surplus/(Deficit) on revaluation of non-current assets</v>
          </cell>
          <cell r="H343">
            <v>19895005.379999999</v>
          </cell>
          <cell r="J343">
            <v>-3820376.6299999994</v>
          </cell>
        </row>
        <row r="361">
          <cell r="F361" t="str">
            <v>Surplus/(Deficit) arising on revaluation of available-for-sale financial assets</v>
          </cell>
          <cell r="H361">
            <v>2775000</v>
          </cell>
          <cell r="J361">
            <v>-1004000</v>
          </cell>
        </row>
      </sheetData>
      <sheetData sheetId="4"/>
      <sheetData sheetId="5"/>
      <sheetData sheetId="6"/>
      <sheetData sheetId="7"/>
      <sheetData sheetId="8"/>
      <sheetData sheetId="9"/>
      <sheetData sheetId="10"/>
      <sheetData sheetId="11">
        <row r="6">
          <cell r="M6" t="str">
            <v>Variable</v>
          </cell>
          <cell r="N6" t="str">
            <v>Dr</v>
          </cell>
          <cell r="O6" t="str">
            <v>Cr</v>
          </cell>
          <cell r="P6" t="str">
            <v>Net</v>
          </cell>
          <cell r="Q6" t="str">
            <v>Roundings</v>
          </cell>
          <cell r="S6" t="str">
            <v>Dr</v>
          </cell>
          <cell r="T6" t="str">
            <v>Cr</v>
          </cell>
          <cell r="U6" t="str">
            <v>Net</v>
          </cell>
          <cell r="V6" t="str">
            <v>Roundings</v>
          </cell>
        </row>
        <row r="7">
          <cell r="M7" t="str">
            <v>LCO</v>
          </cell>
          <cell r="N7">
            <v>11750146</v>
          </cell>
          <cell r="O7">
            <v>0</v>
          </cell>
          <cell r="S7">
            <v>13054697</v>
          </cell>
          <cell r="T7">
            <v>0</v>
          </cell>
        </row>
        <row r="8">
          <cell r="M8" t="str">
            <v>LCA</v>
          </cell>
          <cell r="N8">
            <v>0</v>
          </cell>
          <cell r="O8">
            <v>0</v>
          </cell>
          <cell r="S8">
            <v>919</v>
          </cell>
          <cell r="T8">
            <v>0</v>
          </cell>
        </row>
        <row r="9">
          <cell r="M9" t="str">
            <v>LCR</v>
          </cell>
          <cell r="N9">
            <v>4251901</v>
          </cell>
          <cell r="O9">
            <v>0</v>
          </cell>
          <cell r="S9">
            <v>0</v>
          </cell>
          <cell r="T9">
            <v>711011</v>
          </cell>
        </row>
        <row r="10">
          <cell r="M10" t="str">
            <v>LCI</v>
          </cell>
          <cell r="N10">
            <v>-207802</v>
          </cell>
          <cell r="O10">
            <v>207801</v>
          </cell>
          <cell r="S10">
            <v>0</v>
          </cell>
          <cell r="T10">
            <v>594459</v>
          </cell>
        </row>
        <row r="11">
          <cell r="M11" t="str">
            <v>LCD</v>
          </cell>
          <cell r="N11">
            <v>0</v>
          </cell>
          <cell r="O11">
            <v>0</v>
          </cell>
          <cell r="S11">
            <v>0</v>
          </cell>
          <cell r="T11">
            <v>0</v>
          </cell>
        </row>
        <row r="12">
          <cell r="M12" t="str">
            <v>LCOD</v>
          </cell>
          <cell r="N12">
            <v>0</v>
          </cell>
          <cell r="O12">
            <v>0</v>
          </cell>
          <cell r="S12">
            <v>0</v>
          </cell>
          <cell r="T12">
            <v>0</v>
          </cell>
        </row>
        <row r="13">
          <cell r="M13" t="str">
            <v>LCT</v>
          </cell>
          <cell r="N13">
            <v>6254</v>
          </cell>
          <cell r="O13">
            <v>0</v>
          </cell>
          <cell r="S13">
            <v>0</v>
          </cell>
          <cell r="T13">
            <v>0</v>
          </cell>
        </row>
        <row r="14">
          <cell r="M14" t="str">
            <v>LCTR</v>
          </cell>
          <cell r="N14">
            <v>0</v>
          </cell>
          <cell r="O14">
            <v>0</v>
          </cell>
          <cell r="S14">
            <v>0</v>
          </cell>
          <cell r="T14">
            <v>0</v>
          </cell>
        </row>
        <row r="15">
          <cell r="M15" t="str">
            <v>LDO</v>
          </cell>
          <cell r="N15">
            <v>0</v>
          </cell>
          <cell r="O15">
            <v>0</v>
          </cell>
          <cell r="S15">
            <v>0</v>
          </cell>
          <cell r="T15">
            <v>0</v>
          </cell>
        </row>
        <row r="16">
          <cell r="M16" t="str">
            <v>LDC</v>
          </cell>
          <cell r="N16">
            <v>0</v>
          </cell>
          <cell r="O16">
            <v>0</v>
          </cell>
          <cell r="S16">
            <v>0</v>
          </cell>
          <cell r="T16">
            <v>0</v>
          </cell>
        </row>
        <row r="17">
          <cell r="M17" t="str">
            <v>LDR</v>
          </cell>
          <cell r="N17">
            <v>0</v>
          </cell>
          <cell r="O17">
            <v>0</v>
          </cell>
          <cell r="S17">
            <v>0</v>
          </cell>
          <cell r="T17">
            <v>0</v>
          </cell>
        </row>
        <row r="18">
          <cell r="M18" t="str">
            <v>LDI</v>
          </cell>
          <cell r="N18">
            <v>0</v>
          </cell>
          <cell r="O18">
            <v>0</v>
          </cell>
          <cell r="S18">
            <v>0</v>
          </cell>
          <cell r="T18">
            <v>0</v>
          </cell>
        </row>
        <row r="19">
          <cell r="M19" t="str">
            <v>LDD</v>
          </cell>
          <cell r="N19">
            <v>0</v>
          </cell>
          <cell r="O19">
            <v>0</v>
          </cell>
          <cell r="S19">
            <v>0</v>
          </cell>
          <cell r="T19">
            <v>0</v>
          </cell>
        </row>
        <row r="20">
          <cell r="M20" t="str">
            <v>LDOD</v>
          </cell>
          <cell r="N20">
            <v>0</v>
          </cell>
          <cell r="O20">
            <v>0</v>
          </cell>
          <cell r="S20">
            <v>0</v>
          </cell>
          <cell r="T20">
            <v>0</v>
          </cell>
        </row>
        <row r="21">
          <cell r="M21" t="str">
            <v>LDT</v>
          </cell>
          <cell r="N21">
            <v>0</v>
          </cell>
          <cell r="O21">
            <v>0</v>
          </cell>
          <cell r="S21">
            <v>0</v>
          </cell>
          <cell r="T21">
            <v>0</v>
          </cell>
        </row>
        <row r="22">
          <cell r="M22" t="str">
            <v>LDTR</v>
          </cell>
          <cell r="N22">
            <v>0</v>
          </cell>
          <cell r="O22">
            <v>0</v>
          </cell>
          <cell r="P22">
            <v>15592698</v>
          </cell>
          <cell r="Q22">
            <v>15592698</v>
          </cell>
          <cell r="R22">
            <v>0</v>
          </cell>
          <cell r="S22">
            <v>0</v>
          </cell>
          <cell r="T22">
            <v>0</v>
          </cell>
          <cell r="U22">
            <v>11750146</v>
          </cell>
          <cell r="V22">
            <v>11750146</v>
          </cell>
          <cell r="W22">
            <v>0</v>
          </cell>
        </row>
        <row r="23">
          <cell r="M23" t="str">
            <v>BCO</v>
          </cell>
          <cell r="N23">
            <v>55245377</v>
          </cell>
          <cell r="O23">
            <v>0</v>
          </cell>
          <cell r="S23">
            <v>60882251</v>
          </cell>
          <cell r="T23">
            <v>0</v>
          </cell>
        </row>
        <row r="24">
          <cell r="M24" t="str">
            <v>BCA</v>
          </cell>
          <cell r="N24">
            <v>23233</v>
          </cell>
          <cell r="O24">
            <v>0</v>
          </cell>
          <cell r="S24">
            <v>57024</v>
          </cell>
          <cell r="T24">
            <v>0</v>
          </cell>
        </row>
        <row r="25">
          <cell r="M25" t="str">
            <v>BCR</v>
          </cell>
          <cell r="N25">
            <v>2232856</v>
          </cell>
          <cell r="O25">
            <v>0</v>
          </cell>
          <cell r="S25">
            <v>0</v>
          </cell>
          <cell r="T25">
            <v>3958334</v>
          </cell>
        </row>
        <row r="26">
          <cell r="M26" t="str">
            <v>BCI</v>
          </cell>
          <cell r="N26">
            <v>-2943905</v>
          </cell>
          <cell r="O26">
            <v>2943905</v>
          </cell>
          <cell r="S26">
            <v>0</v>
          </cell>
          <cell r="T26">
            <v>1756531</v>
          </cell>
        </row>
        <row r="27">
          <cell r="M27" t="str">
            <v>BCD</v>
          </cell>
          <cell r="N27">
            <v>0</v>
          </cell>
          <cell r="O27">
            <v>0</v>
          </cell>
          <cell r="S27">
            <v>0</v>
          </cell>
          <cell r="T27">
            <v>0</v>
          </cell>
        </row>
        <row r="28">
          <cell r="M28" t="str">
            <v>BCOD</v>
          </cell>
          <cell r="N28">
            <v>0</v>
          </cell>
          <cell r="O28">
            <v>0</v>
          </cell>
          <cell r="S28">
            <v>0</v>
          </cell>
          <cell r="T28">
            <v>0</v>
          </cell>
        </row>
        <row r="29">
          <cell r="M29" t="str">
            <v>BCT</v>
          </cell>
          <cell r="N29">
            <v>3094696</v>
          </cell>
          <cell r="O29">
            <v>0</v>
          </cell>
          <cell r="S29">
            <v>20966</v>
          </cell>
          <cell r="T29">
            <v>0</v>
          </cell>
        </row>
        <row r="30">
          <cell r="M30" t="str">
            <v>BCTR</v>
          </cell>
          <cell r="N30">
            <v>0</v>
          </cell>
          <cell r="O30">
            <v>0</v>
          </cell>
          <cell r="S30">
            <v>0</v>
          </cell>
          <cell r="T30">
            <v>0</v>
          </cell>
        </row>
        <row r="31">
          <cell r="M31" t="str">
            <v>BDO</v>
          </cell>
          <cell r="N31">
            <v>-12021416</v>
          </cell>
          <cell r="O31">
            <v>12021416</v>
          </cell>
          <cell r="S31">
            <v>0</v>
          </cell>
          <cell r="T31">
            <v>10649895</v>
          </cell>
        </row>
        <row r="32">
          <cell r="M32" t="str">
            <v>BDC</v>
          </cell>
          <cell r="N32">
            <v>-2370284</v>
          </cell>
          <cell r="O32">
            <v>2370284</v>
          </cell>
          <cell r="S32">
            <v>0</v>
          </cell>
          <cell r="T32">
            <v>2609231</v>
          </cell>
        </row>
        <row r="33">
          <cell r="M33" t="str">
            <v>BDR</v>
          </cell>
          <cell r="N33">
            <v>13420508</v>
          </cell>
          <cell r="O33">
            <v>0</v>
          </cell>
          <cell r="S33">
            <v>848968</v>
          </cell>
          <cell r="T33">
            <v>0</v>
          </cell>
        </row>
        <row r="34">
          <cell r="M34" t="str">
            <v>BDI</v>
          </cell>
          <cell r="N34">
            <v>971192</v>
          </cell>
          <cell r="O34">
            <v>0</v>
          </cell>
          <cell r="S34">
            <v>388741</v>
          </cell>
          <cell r="T34">
            <v>0</v>
          </cell>
        </row>
        <row r="35">
          <cell r="M35" t="str">
            <v>BDD</v>
          </cell>
          <cell r="N35">
            <v>0</v>
          </cell>
          <cell r="O35">
            <v>0</v>
          </cell>
          <cell r="S35">
            <v>0</v>
          </cell>
          <cell r="T35">
            <v>0</v>
          </cell>
        </row>
        <row r="36">
          <cell r="M36" t="str">
            <v>BDOD</v>
          </cell>
          <cell r="N36">
            <v>0</v>
          </cell>
          <cell r="O36">
            <v>0</v>
          </cell>
          <cell r="S36">
            <v>0</v>
          </cell>
          <cell r="T36">
            <v>0</v>
          </cell>
        </row>
        <row r="37">
          <cell r="M37" t="str">
            <v>BDT</v>
          </cell>
          <cell r="N37">
            <v>0</v>
          </cell>
          <cell r="O37">
            <v>0</v>
          </cell>
          <cell r="S37">
            <v>0</v>
          </cell>
          <cell r="T37">
            <v>0</v>
          </cell>
        </row>
        <row r="38">
          <cell r="M38" t="str">
            <v>BDTR</v>
          </cell>
          <cell r="N38">
            <v>0</v>
          </cell>
          <cell r="O38">
            <v>0</v>
          </cell>
          <cell r="P38">
            <v>40316652</v>
          </cell>
          <cell r="Q38">
            <v>40316653</v>
          </cell>
          <cell r="R38">
            <v>-1</v>
          </cell>
          <cell r="S38">
            <v>0</v>
          </cell>
          <cell r="T38">
            <v>0</v>
          </cell>
          <cell r="U38">
            <v>43223959</v>
          </cell>
          <cell r="V38">
            <v>43223961</v>
          </cell>
          <cell r="W38">
            <v>-2</v>
          </cell>
        </row>
        <row r="39">
          <cell r="M39" t="str">
            <v>ICO</v>
          </cell>
          <cell r="N39">
            <v>1675221</v>
          </cell>
          <cell r="O39">
            <v>0</v>
          </cell>
          <cell r="S39">
            <v>1675221</v>
          </cell>
          <cell r="T39">
            <v>0</v>
          </cell>
        </row>
        <row r="40">
          <cell r="M40" t="str">
            <v>ICA</v>
          </cell>
          <cell r="N40">
            <v>0</v>
          </cell>
          <cell r="O40">
            <v>0</v>
          </cell>
          <cell r="S40">
            <v>0</v>
          </cell>
          <cell r="T40">
            <v>0</v>
          </cell>
        </row>
        <row r="41">
          <cell r="M41" t="str">
            <v>ICR</v>
          </cell>
          <cell r="N41">
            <v>0</v>
          </cell>
          <cell r="O41">
            <v>0</v>
          </cell>
          <cell r="S41">
            <v>0</v>
          </cell>
          <cell r="T41">
            <v>0</v>
          </cell>
        </row>
        <row r="42">
          <cell r="M42" t="str">
            <v>ICI</v>
          </cell>
          <cell r="N42">
            <v>0</v>
          </cell>
          <cell r="O42">
            <v>0</v>
          </cell>
          <cell r="S42">
            <v>0</v>
          </cell>
          <cell r="T42">
            <v>0</v>
          </cell>
        </row>
        <row r="43">
          <cell r="M43" t="str">
            <v>ICD</v>
          </cell>
          <cell r="N43">
            <v>0</v>
          </cell>
          <cell r="O43">
            <v>0</v>
          </cell>
          <cell r="S43">
            <v>0</v>
          </cell>
          <cell r="T43">
            <v>0</v>
          </cell>
        </row>
        <row r="44">
          <cell r="M44" t="str">
            <v>ICOD</v>
          </cell>
          <cell r="N44">
            <v>0</v>
          </cell>
          <cell r="O44">
            <v>0</v>
          </cell>
          <cell r="S44">
            <v>0</v>
          </cell>
          <cell r="T44">
            <v>0</v>
          </cell>
        </row>
        <row r="45">
          <cell r="M45" t="str">
            <v>ICT</v>
          </cell>
          <cell r="N45">
            <v>117106</v>
          </cell>
          <cell r="O45">
            <v>0</v>
          </cell>
          <cell r="S45">
            <v>0</v>
          </cell>
          <cell r="T45">
            <v>0</v>
          </cell>
        </row>
        <row r="46">
          <cell r="M46" t="str">
            <v>IDO</v>
          </cell>
          <cell r="N46">
            <v>-197913</v>
          </cell>
          <cell r="O46">
            <v>197913</v>
          </cell>
          <cell r="S46">
            <v>0</v>
          </cell>
          <cell r="T46">
            <v>130144</v>
          </cell>
        </row>
        <row r="47">
          <cell r="M47" t="str">
            <v>IDC</v>
          </cell>
          <cell r="N47">
            <v>-67769</v>
          </cell>
          <cell r="O47">
            <v>67769</v>
          </cell>
          <cell r="S47">
            <v>0</v>
          </cell>
          <cell r="T47">
            <v>67769</v>
          </cell>
        </row>
        <row r="48">
          <cell r="M48" t="str">
            <v>IDR</v>
          </cell>
          <cell r="N48">
            <v>0</v>
          </cell>
          <cell r="O48">
            <v>0</v>
          </cell>
          <cell r="S48">
            <v>0</v>
          </cell>
          <cell r="T48">
            <v>0</v>
          </cell>
        </row>
        <row r="49">
          <cell r="M49" t="str">
            <v>IDI</v>
          </cell>
          <cell r="N49">
            <v>0</v>
          </cell>
          <cell r="O49">
            <v>0</v>
          </cell>
          <cell r="S49">
            <v>0</v>
          </cell>
          <cell r="T49">
            <v>0</v>
          </cell>
        </row>
        <row r="50">
          <cell r="M50" t="str">
            <v>IDD</v>
          </cell>
          <cell r="N50">
            <v>0</v>
          </cell>
          <cell r="O50">
            <v>0</v>
          </cell>
          <cell r="S50">
            <v>0</v>
          </cell>
          <cell r="T50">
            <v>0</v>
          </cell>
        </row>
        <row r="51">
          <cell r="M51" t="str">
            <v>IDOD</v>
          </cell>
          <cell r="N51">
            <v>0</v>
          </cell>
          <cell r="O51">
            <v>0</v>
          </cell>
          <cell r="S51">
            <v>0</v>
          </cell>
          <cell r="T51">
            <v>0</v>
          </cell>
        </row>
        <row r="52">
          <cell r="M52" t="str">
            <v>IDT</v>
          </cell>
          <cell r="N52">
            <v>0</v>
          </cell>
          <cell r="O52">
            <v>0</v>
          </cell>
          <cell r="P52">
            <v>1260963</v>
          </cell>
          <cell r="Q52">
            <v>1260962</v>
          </cell>
          <cell r="R52">
            <v>1</v>
          </cell>
          <cell r="S52">
            <v>0</v>
          </cell>
          <cell r="T52">
            <v>0</v>
          </cell>
          <cell r="U52">
            <v>1477308</v>
          </cell>
          <cell r="V52">
            <v>1477308</v>
          </cell>
          <cell r="W52">
            <v>0</v>
          </cell>
        </row>
        <row r="53">
          <cell r="M53" t="str">
            <v>VCO</v>
          </cell>
          <cell r="N53">
            <v>9602204</v>
          </cell>
          <cell r="O53">
            <v>0</v>
          </cell>
          <cell r="S53">
            <v>8933879</v>
          </cell>
          <cell r="T53">
            <v>0</v>
          </cell>
        </row>
        <row r="54">
          <cell r="M54" t="str">
            <v>VCA</v>
          </cell>
          <cell r="N54">
            <v>537025</v>
          </cell>
          <cell r="O54">
            <v>0</v>
          </cell>
          <cell r="S54">
            <v>800771</v>
          </cell>
          <cell r="T54">
            <v>0</v>
          </cell>
        </row>
        <row r="55">
          <cell r="M55" t="str">
            <v>VCD</v>
          </cell>
          <cell r="N55">
            <v>-249197</v>
          </cell>
          <cell r="O55">
            <v>249197</v>
          </cell>
          <cell r="S55">
            <v>0</v>
          </cell>
          <cell r="T55">
            <v>132446</v>
          </cell>
        </row>
        <row r="56">
          <cell r="M56" t="str">
            <v>VCOD</v>
          </cell>
          <cell r="N56">
            <v>0</v>
          </cell>
          <cell r="O56">
            <v>0</v>
          </cell>
          <cell r="S56">
            <v>0</v>
          </cell>
          <cell r="T56">
            <v>0</v>
          </cell>
        </row>
        <row r="57">
          <cell r="M57" t="str">
            <v>VCT</v>
          </cell>
          <cell r="N57">
            <v>321066</v>
          </cell>
          <cell r="O57">
            <v>0</v>
          </cell>
          <cell r="S57">
            <v>0</v>
          </cell>
          <cell r="T57">
            <v>0</v>
          </cell>
        </row>
        <row r="58">
          <cell r="M58" t="str">
            <v>VDO</v>
          </cell>
          <cell r="N58">
            <v>-6854402</v>
          </cell>
          <cell r="O58">
            <v>6854402</v>
          </cell>
          <cell r="S58">
            <v>0</v>
          </cell>
          <cell r="T58">
            <v>6305272</v>
          </cell>
        </row>
        <row r="59">
          <cell r="M59" t="str">
            <v>VDC</v>
          </cell>
          <cell r="N59">
            <v>-783729</v>
          </cell>
          <cell r="O59">
            <v>783730</v>
          </cell>
          <cell r="S59">
            <v>0</v>
          </cell>
          <cell r="T59">
            <v>665117</v>
          </cell>
        </row>
        <row r="60">
          <cell r="M60" t="str">
            <v>VDD</v>
          </cell>
          <cell r="N60">
            <v>248197</v>
          </cell>
          <cell r="O60">
            <v>0</v>
          </cell>
          <cell r="S60">
            <v>115987</v>
          </cell>
          <cell r="T60">
            <v>0</v>
          </cell>
        </row>
        <row r="61">
          <cell r="M61" t="str">
            <v>VDOD</v>
          </cell>
          <cell r="N61">
            <v>0</v>
          </cell>
          <cell r="O61">
            <v>0</v>
          </cell>
          <cell r="S61">
            <v>0</v>
          </cell>
          <cell r="T61">
            <v>0</v>
          </cell>
        </row>
        <row r="62">
          <cell r="M62" t="str">
            <v>VDT</v>
          </cell>
          <cell r="N62">
            <v>0</v>
          </cell>
          <cell r="O62">
            <v>0</v>
          </cell>
          <cell r="P62">
            <v>-5066165</v>
          </cell>
          <cell r="Q62">
            <v>-5066166</v>
          </cell>
          <cell r="R62">
            <v>1</v>
          </cell>
          <cell r="S62">
            <v>0</v>
          </cell>
          <cell r="T62">
            <v>0</v>
          </cell>
          <cell r="U62">
            <v>2747802</v>
          </cell>
          <cell r="V62">
            <v>2747801</v>
          </cell>
          <cell r="W62">
            <v>1</v>
          </cell>
        </row>
        <row r="63">
          <cell r="M63" t="str">
            <v>CCO</v>
          </cell>
          <cell r="N63">
            <v>2012791</v>
          </cell>
          <cell r="O63">
            <v>0</v>
          </cell>
          <cell r="S63">
            <v>2012791</v>
          </cell>
          <cell r="T63">
            <v>0</v>
          </cell>
        </row>
        <row r="64">
          <cell r="M64" t="str">
            <v>CCA</v>
          </cell>
          <cell r="N64">
            <v>0</v>
          </cell>
          <cell r="O64">
            <v>0</v>
          </cell>
          <cell r="S64">
            <v>0</v>
          </cell>
          <cell r="T64">
            <v>0</v>
          </cell>
        </row>
        <row r="65">
          <cell r="M65" t="str">
            <v>CCR</v>
          </cell>
          <cell r="N65">
            <v>0</v>
          </cell>
          <cell r="O65">
            <v>0</v>
          </cell>
          <cell r="S65">
            <v>0</v>
          </cell>
          <cell r="T65">
            <v>0</v>
          </cell>
        </row>
        <row r="66">
          <cell r="M66" t="str">
            <v>CCI</v>
          </cell>
          <cell r="N66">
            <v>0</v>
          </cell>
          <cell r="O66">
            <v>0</v>
          </cell>
          <cell r="S66">
            <v>0</v>
          </cell>
          <cell r="T66">
            <v>0</v>
          </cell>
        </row>
        <row r="67">
          <cell r="M67" t="str">
            <v>CCD</v>
          </cell>
          <cell r="N67">
            <v>0</v>
          </cell>
          <cell r="O67">
            <v>0</v>
          </cell>
          <cell r="S67">
            <v>0</v>
          </cell>
          <cell r="T67">
            <v>0</v>
          </cell>
        </row>
        <row r="68">
          <cell r="M68" t="str">
            <v>CCOD</v>
          </cell>
          <cell r="N68">
            <v>0</v>
          </cell>
          <cell r="O68">
            <v>0</v>
          </cell>
          <cell r="S68">
            <v>0</v>
          </cell>
          <cell r="T68">
            <v>0</v>
          </cell>
        </row>
        <row r="69">
          <cell r="M69" t="str">
            <v>CCT</v>
          </cell>
          <cell r="N69">
            <v>0</v>
          </cell>
          <cell r="O69">
            <v>0</v>
          </cell>
          <cell r="P69">
            <v>2012791</v>
          </cell>
          <cell r="Q69">
            <v>2012791</v>
          </cell>
          <cell r="R69">
            <v>0</v>
          </cell>
          <cell r="S69">
            <v>0</v>
          </cell>
          <cell r="T69">
            <v>0</v>
          </cell>
          <cell r="U69">
            <v>2012791</v>
          </cell>
          <cell r="V69">
            <v>2012791</v>
          </cell>
          <cell r="W69">
            <v>0</v>
          </cell>
        </row>
        <row r="70">
          <cell r="M70" t="str">
            <v>WCO</v>
          </cell>
          <cell r="N70">
            <v>3291079</v>
          </cell>
          <cell r="O70">
            <v>0</v>
          </cell>
          <cell r="S70">
            <v>1937228</v>
          </cell>
          <cell r="T70">
            <v>0</v>
          </cell>
        </row>
        <row r="71">
          <cell r="M71" t="str">
            <v>WCA</v>
          </cell>
          <cell r="N71">
            <v>2449186</v>
          </cell>
          <cell r="O71">
            <v>0</v>
          </cell>
          <cell r="S71">
            <v>1840714</v>
          </cell>
          <cell r="T71">
            <v>0</v>
          </cell>
        </row>
        <row r="72">
          <cell r="M72" t="str">
            <v>WCR</v>
          </cell>
          <cell r="N72">
            <v>0</v>
          </cell>
          <cell r="O72">
            <v>0</v>
          </cell>
          <cell r="S72">
            <v>0</v>
          </cell>
          <cell r="T72">
            <v>0</v>
          </cell>
        </row>
        <row r="73">
          <cell r="M73" t="str">
            <v>WCI</v>
          </cell>
          <cell r="N73">
            <v>0</v>
          </cell>
          <cell r="O73">
            <v>0</v>
          </cell>
          <cell r="S73">
            <v>0</v>
          </cell>
          <cell r="T73">
            <v>0</v>
          </cell>
        </row>
        <row r="74">
          <cell r="M74" t="str">
            <v>WCD</v>
          </cell>
          <cell r="N74">
            <v>0</v>
          </cell>
          <cell r="O74">
            <v>0</v>
          </cell>
          <cell r="S74">
            <v>0</v>
          </cell>
          <cell r="T74">
            <v>0</v>
          </cell>
        </row>
        <row r="75">
          <cell r="M75" t="str">
            <v>WCOD</v>
          </cell>
          <cell r="N75">
            <v>-11205</v>
          </cell>
          <cell r="O75">
            <v>11205</v>
          </cell>
          <cell r="S75">
            <v>0</v>
          </cell>
          <cell r="T75">
            <v>225940</v>
          </cell>
        </row>
        <row r="76">
          <cell r="M76" t="str">
            <v>WCT</v>
          </cell>
          <cell r="N76">
            <v>-3535642</v>
          </cell>
          <cell r="O76">
            <v>3535642</v>
          </cell>
          <cell r="P76">
            <v>-1353429</v>
          </cell>
          <cell r="Q76">
            <v>-1353429</v>
          </cell>
          <cell r="R76">
            <v>0</v>
          </cell>
          <cell r="S76">
            <v>0</v>
          </cell>
          <cell r="T76">
            <v>260922</v>
          </cell>
          <cell r="U76">
            <v>3291080</v>
          </cell>
          <cell r="V76">
            <v>3291079</v>
          </cell>
          <cell r="W76">
            <v>1</v>
          </cell>
        </row>
        <row r="77">
          <cell r="M77" t="str">
            <v>ECO</v>
          </cell>
          <cell r="N77">
            <v>1436866</v>
          </cell>
          <cell r="O77">
            <v>0</v>
          </cell>
          <cell r="S77">
            <v>1196910</v>
          </cell>
          <cell r="T77">
            <v>0</v>
          </cell>
        </row>
        <row r="78">
          <cell r="M78" t="str">
            <v>ECA</v>
          </cell>
          <cell r="N78">
            <v>0</v>
          </cell>
          <cell r="O78">
            <v>0</v>
          </cell>
          <cell r="S78">
            <v>0</v>
          </cell>
          <cell r="T78">
            <v>0</v>
          </cell>
        </row>
        <row r="79">
          <cell r="M79" t="str">
            <v>ECR</v>
          </cell>
          <cell r="N79">
            <v>-10260</v>
          </cell>
          <cell r="O79">
            <v>10260</v>
          </cell>
          <cell r="S79">
            <v>0</v>
          </cell>
          <cell r="T79">
            <v>0</v>
          </cell>
        </row>
        <row r="80">
          <cell r="M80" t="str">
            <v>ECI</v>
          </cell>
          <cell r="N80">
            <v>-708425</v>
          </cell>
          <cell r="O80">
            <v>708425</v>
          </cell>
          <cell r="S80">
            <v>0</v>
          </cell>
          <cell r="T80">
            <v>0</v>
          </cell>
        </row>
        <row r="81">
          <cell r="M81" t="str">
            <v>ECD</v>
          </cell>
          <cell r="N81">
            <v>-14700</v>
          </cell>
          <cell r="O81">
            <v>14700</v>
          </cell>
          <cell r="S81">
            <v>0</v>
          </cell>
          <cell r="T81">
            <v>0</v>
          </cell>
        </row>
        <row r="82">
          <cell r="M82" t="str">
            <v>ECOD</v>
          </cell>
          <cell r="N82">
            <v>0</v>
          </cell>
          <cell r="O82">
            <v>0</v>
          </cell>
          <cell r="S82">
            <v>0</v>
          </cell>
          <cell r="T82">
            <v>0</v>
          </cell>
        </row>
        <row r="83">
          <cell r="M83" t="str">
            <v>ECT</v>
          </cell>
          <cell r="N83">
            <v>-3481</v>
          </cell>
          <cell r="O83">
            <v>3481</v>
          </cell>
          <cell r="P83">
            <v>-36866</v>
          </cell>
          <cell r="Q83">
            <v>-36866</v>
          </cell>
          <cell r="R83">
            <v>0</v>
          </cell>
          <cell r="S83">
            <v>239956</v>
          </cell>
          <cell r="T83">
            <v>0</v>
          </cell>
          <cell r="U83">
            <v>1436866</v>
          </cell>
          <cell r="V83">
            <v>1436866</v>
          </cell>
          <cell r="W83">
            <v>0</v>
          </cell>
        </row>
        <row r="84">
          <cell r="M84" t="str">
            <v>HCO</v>
          </cell>
          <cell r="N84">
            <v>529493</v>
          </cell>
          <cell r="O84">
            <v>0</v>
          </cell>
          <cell r="S84">
            <v>529493</v>
          </cell>
          <cell r="T84">
            <v>0</v>
          </cell>
        </row>
        <row r="85">
          <cell r="M85" t="str">
            <v>HCA</v>
          </cell>
          <cell r="N85">
            <v>0</v>
          </cell>
          <cell r="O85">
            <v>0</v>
          </cell>
          <cell r="S85">
            <v>0</v>
          </cell>
          <cell r="T85">
            <v>0</v>
          </cell>
        </row>
        <row r="86">
          <cell r="M86" t="str">
            <v>HCR</v>
          </cell>
          <cell r="N86">
            <v>0</v>
          </cell>
          <cell r="O86">
            <v>0</v>
          </cell>
          <cell r="S86">
            <v>0</v>
          </cell>
          <cell r="T86">
            <v>0</v>
          </cell>
        </row>
        <row r="87">
          <cell r="M87" t="str">
            <v>HCI</v>
          </cell>
          <cell r="N87">
            <v>0</v>
          </cell>
          <cell r="O87">
            <v>0</v>
          </cell>
          <cell r="S87">
            <v>0</v>
          </cell>
          <cell r="T87">
            <v>0</v>
          </cell>
        </row>
        <row r="88">
          <cell r="M88" t="str">
            <v>HCD</v>
          </cell>
          <cell r="N88">
            <v>0</v>
          </cell>
          <cell r="O88">
            <v>0</v>
          </cell>
          <cell r="S88">
            <v>0</v>
          </cell>
          <cell r="T88">
            <v>0</v>
          </cell>
        </row>
        <row r="89">
          <cell r="M89" t="str">
            <v>HCOD</v>
          </cell>
          <cell r="N89">
            <v>0</v>
          </cell>
          <cell r="O89">
            <v>0</v>
          </cell>
          <cell r="S89">
            <v>0</v>
          </cell>
          <cell r="T89">
            <v>0</v>
          </cell>
        </row>
        <row r="90">
          <cell r="M90" t="str">
            <v>HCT</v>
          </cell>
          <cell r="N90">
            <v>0</v>
          </cell>
          <cell r="O90">
            <v>0</v>
          </cell>
          <cell r="P90">
            <v>529493</v>
          </cell>
          <cell r="Q90">
            <v>529493</v>
          </cell>
          <cell r="R90">
            <v>0</v>
          </cell>
          <cell r="S90">
            <v>0</v>
          </cell>
          <cell r="T90">
            <v>0</v>
          </cell>
          <cell r="U90">
            <v>529493</v>
          </cell>
          <cell r="V90">
            <v>529493</v>
          </cell>
          <cell r="W90">
            <v>0</v>
          </cell>
        </row>
        <row r="91">
          <cell r="M91" t="str">
            <v>IPCO</v>
          </cell>
          <cell r="N91">
            <v>0</v>
          </cell>
          <cell r="O91">
            <v>0</v>
          </cell>
          <cell r="S91">
            <v>0</v>
          </cell>
          <cell r="T91">
            <v>0</v>
          </cell>
        </row>
        <row r="92">
          <cell r="M92" t="str">
            <v>IPCA</v>
          </cell>
          <cell r="N92">
            <v>0</v>
          </cell>
          <cell r="O92">
            <v>0</v>
          </cell>
          <cell r="S92">
            <v>0</v>
          </cell>
          <cell r="T92">
            <v>0</v>
          </cell>
        </row>
        <row r="93">
          <cell r="M93" t="str">
            <v>IPCR</v>
          </cell>
          <cell r="N93">
            <v>0</v>
          </cell>
          <cell r="O93">
            <v>0</v>
          </cell>
          <cell r="S93">
            <v>0</v>
          </cell>
          <cell r="T93">
            <v>0</v>
          </cell>
        </row>
        <row r="94">
          <cell r="M94" t="str">
            <v>IPCI</v>
          </cell>
          <cell r="N94">
            <v>0</v>
          </cell>
          <cell r="O94">
            <v>0</v>
          </cell>
          <cell r="S94">
            <v>0</v>
          </cell>
          <cell r="T94">
            <v>0</v>
          </cell>
        </row>
        <row r="95">
          <cell r="M95" t="str">
            <v>IPCD</v>
          </cell>
          <cell r="N95">
            <v>0</v>
          </cell>
          <cell r="O95">
            <v>0</v>
          </cell>
          <cell r="S95">
            <v>0</v>
          </cell>
          <cell r="T95">
            <v>0</v>
          </cell>
        </row>
        <row r="96">
          <cell r="M96" t="str">
            <v>IPCOD</v>
          </cell>
          <cell r="N96">
            <v>0</v>
          </cell>
          <cell r="O96">
            <v>0</v>
          </cell>
          <cell r="S96">
            <v>0</v>
          </cell>
          <cell r="T96">
            <v>0</v>
          </cell>
        </row>
        <row r="97">
          <cell r="M97" t="str">
            <v>IPCT</v>
          </cell>
          <cell r="N97">
            <v>0</v>
          </cell>
          <cell r="O97">
            <v>0</v>
          </cell>
          <cell r="P97">
            <v>0</v>
          </cell>
          <cell r="Q97">
            <v>0</v>
          </cell>
          <cell r="R97">
            <v>0</v>
          </cell>
          <cell r="S97">
            <v>0</v>
          </cell>
          <cell r="T97">
            <v>0</v>
          </cell>
          <cell r="U97">
            <v>0</v>
          </cell>
          <cell r="V97">
            <v>0</v>
          </cell>
          <cell r="W97">
            <v>0</v>
          </cell>
        </row>
        <row r="98">
          <cell r="M98" t="str">
            <v>ITCO</v>
          </cell>
          <cell r="N98">
            <v>0</v>
          </cell>
          <cell r="O98">
            <v>0</v>
          </cell>
          <cell r="S98">
            <v>0</v>
          </cell>
          <cell r="T98">
            <v>0</v>
          </cell>
        </row>
        <row r="99">
          <cell r="M99" t="str">
            <v>ITCA</v>
          </cell>
          <cell r="N99">
            <v>0</v>
          </cell>
          <cell r="O99">
            <v>0</v>
          </cell>
          <cell r="S99">
            <v>0</v>
          </cell>
          <cell r="T99">
            <v>0</v>
          </cell>
        </row>
        <row r="100">
          <cell r="M100" t="str">
            <v>ITCR</v>
          </cell>
          <cell r="N100">
            <v>0</v>
          </cell>
          <cell r="O100">
            <v>0</v>
          </cell>
          <cell r="S100">
            <v>0</v>
          </cell>
          <cell r="T100">
            <v>0</v>
          </cell>
        </row>
        <row r="101">
          <cell r="M101" t="str">
            <v>ITCI</v>
          </cell>
          <cell r="N101">
            <v>0</v>
          </cell>
          <cell r="O101">
            <v>0</v>
          </cell>
          <cell r="S101">
            <v>0</v>
          </cell>
          <cell r="T101">
            <v>0</v>
          </cell>
        </row>
        <row r="102">
          <cell r="M102" t="str">
            <v>ITCD</v>
          </cell>
          <cell r="N102">
            <v>0</v>
          </cell>
          <cell r="O102">
            <v>0</v>
          </cell>
          <cell r="S102">
            <v>0</v>
          </cell>
          <cell r="T102">
            <v>0</v>
          </cell>
        </row>
        <row r="103">
          <cell r="M103" t="str">
            <v>ITCOD</v>
          </cell>
          <cell r="N103">
            <v>0</v>
          </cell>
          <cell r="O103">
            <v>0</v>
          </cell>
          <cell r="S103">
            <v>0</v>
          </cell>
          <cell r="T103">
            <v>0</v>
          </cell>
        </row>
        <row r="104">
          <cell r="M104" t="str">
            <v>ITCT</v>
          </cell>
          <cell r="N104">
            <v>0</v>
          </cell>
          <cell r="O104">
            <v>0</v>
          </cell>
          <cell r="P104">
            <v>0</v>
          </cell>
          <cell r="Q104">
            <v>0</v>
          </cell>
          <cell r="R104">
            <v>0</v>
          </cell>
          <cell r="S104">
            <v>0</v>
          </cell>
          <cell r="T104">
            <v>0</v>
          </cell>
          <cell r="U104">
            <v>0</v>
          </cell>
          <cell r="V104">
            <v>0</v>
          </cell>
          <cell r="W104">
            <v>0</v>
          </cell>
        </row>
        <row r="105">
          <cell r="M105" t="str">
            <v>SCO</v>
          </cell>
          <cell r="N105">
            <v>0</v>
          </cell>
          <cell r="O105">
            <v>0</v>
          </cell>
          <cell r="S105">
            <v>0</v>
          </cell>
          <cell r="T105">
            <v>0</v>
          </cell>
        </row>
        <row r="106">
          <cell r="M106" t="str">
            <v>SCA</v>
          </cell>
          <cell r="N106">
            <v>0</v>
          </cell>
          <cell r="O106">
            <v>0</v>
          </cell>
          <cell r="S106">
            <v>0</v>
          </cell>
          <cell r="T106">
            <v>0</v>
          </cell>
        </row>
        <row r="107">
          <cell r="M107" t="str">
            <v>SCR</v>
          </cell>
          <cell r="N107">
            <v>0</v>
          </cell>
          <cell r="O107">
            <v>0</v>
          </cell>
          <cell r="S107">
            <v>0</v>
          </cell>
          <cell r="T107">
            <v>0</v>
          </cell>
        </row>
        <row r="108">
          <cell r="M108" t="str">
            <v>SCI</v>
          </cell>
          <cell r="N108">
            <v>0</v>
          </cell>
          <cell r="O108">
            <v>0</v>
          </cell>
          <cell r="S108">
            <v>0</v>
          </cell>
          <cell r="T108">
            <v>0</v>
          </cell>
        </row>
        <row r="109">
          <cell r="M109" t="str">
            <v>SCD</v>
          </cell>
          <cell r="N109">
            <v>0</v>
          </cell>
          <cell r="O109">
            <v>0</v>
          </cell>
          <cell r="S109">
            <v>0</v>
          </cell>
          <cell r="T109">
            <v>0</v>
          </cell>
        </row>
        <row r="110">
          <cell r="M110" t="str">
            <v>SCOD</v>
          </cell>
          <cell r="N110">
            <v>0</v>
          </cell>
          <cell r="O110">
            <v>0</v>
          </cell>
          <cell r="S110">
            <v>0</v>
          </cell>
          <cell r="T110">
            <v>0</v>
          </cell>
        </row>
        <row r="111">
          <cell r="M111" t="str">
            <v>SCT</v>
          </cell>
          <cell r="N111">
            <v>0</v>
          </cell>
          <cell r="O111">
            <v>0</v>
          </cell>
          <cell r="S111">
            <v>0</v>
          </cell>
          <cell r="T111">
            <v>0</v>
          </cell>
        </row>
        <row r="112">
          <cell r="M112" t="str">
            <v>SCTR</v>
          </cell>
          <cell r="N112">
            <v>0</v>
          </cell>
          <cell r="O112">
            <v>0</v>
          </cell>
          <cell r="P112">
            <v>0</v>
          </cell>
          <cell r="Q112">
            <v>0</v>
          </cell>
          <cell r="R112">
            <v>0</v>
          </cell>
          <cell r="S112">
            <v>0</v>
          </cell>
          <cell r="T112">
            <v>0</v>
          </cell>
          <cell r="U112">
            <v>0</v>
          </cell>
          <cell r="V112">
            <v>0</v>
          </cell>
          <cell r="W112">
            <v>0</v>
          </cell>
        </row>
        <row r="113">
          <cell r="R113" t="str">
            <v>Diff</v>
          </cell>
          <cell r="W113" t="str">
            <v>Diff</v>
          </cell>
        </row>
        <row r="114">
          <cell r="N114">
            <v>83236267</v>
          </cell>
          <cell r="O114">
            <v>29980130</v>
          </cell>
          <cell r="P114">
            <v>53256137</v>
          </cell>
          <cell r="Q114">
            <v>53256136</v>
          </cell>
          <cell r="R114">
            <v>1</v>
          </cell>
          <cell r="S114">
            <v>94536516</v>
          </cell>
          <cell r="T114">
            <v>28067071</v>
          </cell>
          <cell r="U114">
            <v>66469445</v>
          </cell>
          <cell r="V114">
            <v>66469445</v>
          </cell>
          <cell r="W114">
            <v>0</v>
          </cell>
        </row>
        <row r="116">
          <cell r="N116">
            <v>0</v>
          </cell>
          <cell r="O116">
            <v>0</v>
          </cell>
          <cell r="S116">
            <v>0</v>
          </cell>
          <cell r="T116">
            <v>0</v>
          </cell>
        </row>
        <row r="117">
          <cell r="N117">
            <v>0</v>
          </cell>
          <cell r="O117">
            <v>0</v>
          </cell>
          <cell r="S117">
            <v>0</v>
          </cell>
          <cell r="T117">
            <v>0</v>
          </cell>
        </row>
        <row r="118">
          <cell r="N118">
            <v>0</v>
          </cell>
          <cell r="O118">
            <v>0</v>
          </cell>
          <cell r="S118">
            <v>0</v>
          </cell>
          <cell r="T118">
            <v>0</v>
          </cell>
        </row>
        <row r="119">
          <cell r="N119">
            <v>0</v>
          </cell>
          <cell r="O119">
            <v>0</v>
          </cell>
          <cell r="S119">
            <v>0</v>
          </cell>
          <cell r="T119">
            <v>0</v>
          </cell>
        </row>
        <row r="120">
          <cell r="N120">
            <v>16982</v>
          </cell>
          <cell r="O120">
            <v>0</v>
          </cell>
          <cell r="S120">
            <v>12564</v>
          </cell>
          <cell r="T120">
            <v>0</v>
          </cell>
        </row>
        <row r="121">
          <cell r="N121">
            <v>0</v>
          </cell>
          <cell r="O121">
            <v>0</v>
          </cell>
          <cell r="S121">
            <v>0</v>
          </cell>
          <cell r="T121">
            <v>0</v>
          </cell>
        </row>
        <row r="122">
          <cell r="N122">
            <v>0</v>
          </cell>
          <cell r="O122">
            <v>0</v>
          </cell>
          <cell r="S122">
            <v>0</v>
          </cell>
          <cell r="T122">
            <v>0</v>
          </cell>
        </row>
        <row r="123">
          <cell r="N123">
            <v>0</v>
          </cell>
          <cell r="O123">
            <v>0</v>
          </cell>
          <cell r="S123">
            <v>0</v>
          </cell>
          <cell r="T123">
            <v>0</v>
          </cell>
        </row>
        <row r="124">
          <cell r="N124">
            <v>0</v>
          </cell>
          <cell r="O124">
            <v>0</v>
          </cell>
          <cell r="S124">
            <v>0</v>
          </cell>
          <cell r="T124">
            <v>0</v>
          </cell>
        </row>
        <row r="125">
          <cell r="N125">
            <v>1256388</v>
          </cell>
          <cell r="O125">
            <v>0</v>
          </cell>
          <cell r="S125">
            <v>1303534</v>
          </cell>
          <cell r="T125">
            <v>0</v>
          </cell>
        </row>
        <row r="126">
          <cell r="N126">
            <v>0</v>
          </cell>
          <cell r="O126">
            <v>0</v>
          </cell>
          <cell r="S126">
            <v>0</v>
          </cell>
          <cell r="T126">
            <v>0</v>
          </cell>
        </row>
        <row r="127">
          <cell r="N127">
            <v>0</v>
          </cell>
          <cell r="O127">
            <v>0</v>
          </cell>
          <cell r="S127">
            <v>0</v>
          </cell>
          <cell r="T127">
            <v>0</v>
          </cell>
        </row>
        <row r="129">
          <cell r="N129">
            <v>1273370</v>
          </cell>
          <cell r="O129">
            <v>0</v>
          </cell>
          <cell r="P129">
            <v>1273370</v>
          </cell>
          <cell r="Q129">
            <v>1273370</v>
          </cell>
          <cell r="R129">
            <v>0</v>
          </cell>
          <cell r="S129">
            <v>1316098</v>
          </cell>
          <cell r="T129">
            <v>0</v>
          </cell>
          <cell r="U129">
            <v>1316098</v>
          </cell>
          <cell r="V129">
            <v>1316098</v>
          </cell>
          <cell r="W129">
            <v>0</v>
          </cell>
        </row>
        <row r="131">
          <cell r="N131">
            <v>50438</v>
          </cell>
          <cell r="O131">
            <v>0</v>
          </cell>
          <cell r="P131">
            <v>50438</v>
          </cell>
          <cell r="Q131">
            <v>50438</v>
          </cell>
          <cell r="R131">
            <v>0</v>
          </cell>
          <cell r="S131">
            <v>49312</v>
          </cell>
          <cell r="T131">
            <v>0</v>
          </cell>
          <cell r="U131">
            <v>49312</v>
          </cell>
          <cell r="V131">
            <v>49312</v>
          </cell>
          <cell r="W131">
            <v>0</v>
          </cell>
        </row>
        <row r="133">
          <cell r="N133">
            <v>140687</v>
          </cell>
          <cell r="O133">
            <v>0</v>
          </cell>
          <cell r="S133">
            <v>163183</v>
          </cell>
          <cell r="T133">
            <v>0</v>
          </cell>
        </row>
        <row r="134">
          <cell r="N134">
            <v>19150</v>
          </cell>
          <cell r="O134">
            <v>0</v>
          </cell>
          <cell r="S134">
            <v>46422</v>
          </cell>
          <cell r="T134">
            <v>0</v>
          </cell>
        </row>
        <row r="135">
          <cell r="N135">
            <v>0</v>
          </cell>
          <cell r="O135">
            <v>0</v>
          </cell>
          <cell r="S135">
            <v>0</v>
          </cell>
          <cell r="T135">
            <v>0</v>
          </cell>
        </row>
        <row r="136">
          <cell r="N136">
            <v>41575</v>
          </cell>
          <cell r="O136">
            <v>0</v>
          </cell>
          <cell r="S136">
            <v>41575</v>
          </cell>
          <cell r="T136">
            <v>0</v>
          </cell>
        </row>
        <row r="137">
          <cell r="N137">
            <v>12300</v>
          </cell>
          <cell r="O137">
            <v>0</v>
          </cell>
          <cell r="S137">
            <v>44269</v>
          </cell>
          <cell r="T137">
            <v>0</v>
          </cell>
        </row>
        <row r="138">
          <cell r="N138">
            <v>47147</v>
          </cell>
          <cell r="O138">
            <v>0</v>
          </cell>
          <cell r="S138">
            <v>10712</v>
          </cell>
          <cell r="T138">
            <v>0</v>
          </cell>
        </row>
        <row r="139">
          <cell r="N139">
            <v>3073453</v>
          </cell>
          <cell r="O139">
            <v>0</v>
          </cell>
          <cell r="S139">
            <v>1915941</v>
          </cell>
          <cell r="T139">
            <v>0</v>
          </cell>
        </row>
        <row r="140">
          <cell r="N140">
            <v>325924</v>
          </cell>
          <cell r="O140">
            <v>0</v>
          </cell>
          <cell r="S140">
            <v>194792</v>
          </cell>
          <cell r="T140">
            <v>0</v>
          </cell>
        </row>
        <row r="141">
          <cell r="N141">
            <v>4282</v>
          </cell>
          <cell r="O141">
            <v>0</v>
          </cell>
          <cell r="S141">
            <v>0</v>
          </cell>
          <cell r="T141">
            <v>0</v>
          </cell>
        </row>
        <row r="142">
          <cell r="N142">
            <v>0</v>
          </cell>
          <cell r="O142">
            <v>0</v>
          </cell>
          <cell r="S142">
            <v>0</v>
          </cell>
          <cell r="T142">
            <v>0</v>
          </cell>
        </row>
        <row r="143">
          <cell r="N143">
            <v>159655</v>
          </cell>
          <cell r="O143">
            <v>0</v>
          </cell>
          <cell r="S143">
            <v>23356</v>
          </cell>
          <cell r="T143">
            <v>0</v>
          </cell>
        </row>
        <row r="144">
          <cell r="N144">
            <v>339299</v>
          </cell>
          <cell r="O144">
            <v>0</v>
          </cell>
          <cell r="S144">
            <v>627394</v>
          </cell>
          <cell r="T144">
            <v>0</v>
          </cell>
        </row>
        <row r="145">
          <cell r="N145">
            <v>0</v>
          </cell>
          <cell r="O145">
            <v>0</v>
          </cell>
          <cell r="S145">
            <v>0</v>
          </cell>
          <cell r="T145">
            <v>0</v>
          </cell>
        </row>
        <row r="147">
          <cell r="N147">
            <v>4163472</v>
          </cell>
          <cell r="O147">
            <v>0</v>
          </cell>
          <cell r="P147">
            <v>4163472</v>
          </cell>
          <cell r="Q147">
            <v>4163472</v>
          </cell>
          <cell r="R147">
            <v>0</v>
          </cell>
          <cell r="S147">
            <v>3067644</v>
          </cell>
          <cell r="T147">
            <v>0</v>
          </cell>
          <cell r="U147">
            <v>3067644</v>
          </cell>
          <cell r="V147">
            <v>3067645</v>
          </cell>
          <cell r="W147">
            <v>-1</v>
          </cell>
        </row>
        <row r="149">
          <cell r="N149">
            <v>527622</v>
          </cell>
          <cell r="O149">
            <v>0</v>
          </cell>
          <cell r="S149">
            <v>0</v>
          </cell>
          <cell r="T149">
            <v>0</v>
          </cell>
        </row>
        <row r="150">
          <cell r="N150">
            <v>2324440</v>
          </cell>
          <cell r="O150">
            <v>0</v>
          </cell>
          <cell r="S150">
            <v>2020035</v>
          </cell>
          <cell r="T150">
            <v>0</v>
          </cell>
        </row>
        <row r="152">
          <cell r="N152">
            <v>2852062</v>
          </cell>
          <cell r="O152">
            <v>0</v>
          </cell>
          <cell r="P152">
            <v>2852062</v>
          </cell>
          <cell r="Q152">
            <v>2852062</v>
          </cell>
          <cell r="R152">
            <v>0</v>
          </cell>
          <cell r="S152">
            <v>2020035</v>
          </cell>
          <cell r="T152">
            <v>0</v>
          </cell>
          <cell r="U152">
            <v>2020035</v>
          </cell>
          <cell r="V152">
            <v>2020035</v>
          </cell>
          <cell r="W152">
            <v>0</v>
          </cell>
        </row>
        <row r="154">
          <cell r="N154">
            <v>0</v>
          </cell>
          <cell r="O154">
            <v>0</v>
          </cell>
          <cell r="S154">
            <v>0</v>
          </cell>
          <cell r="T154">
            <v>244466</v>
          </cell>
        </row>
        <row r="155">
          <cell r="N155">
            <v>0</v>
          </cell>
          <cell r="O155">
            <v>1771655</v>
          </cell>
          <cell r="S155">
            <v>0</v>
          </cell>
          <cell r="T155">
            <v>1881063</v>
          </cell>
        </row>
        <row r="157">
          <cell r="N157">
            <v>0</v>
          </cell>
          <cell r="O157">
            <v>1771655</v>
          </cell>
          <cell r="P157">
            <v>-1771655</v>
          </cell>
          <cell r="Q157">
            <v>-1771655</v>
          </cell>
          <cell r="R157">
            <v>0</v>
          </cell>
          <cell r="S157">
            <v>0</v>
          </cell>
          <cell r="T157">
            <v>2125529</v>
          </cell>
          <cell r="U157">
            <v>-2125529</v>
          </cell>
          <cell r="V157">
            <v>-2125529</v>
          </cell>
          <cell r="W157">
            <v>0</v>
          </cell>
        </row>
        <row r="159">
          <cell r="N159">
            <v>0</v>
          </cell>
          <cell r="O159">
            <v>1767005</v>
          </cell>
          <cell r="S159">
            <v>0</v>
          </cell>
          <cell r="T159">
            <v>3455411</v>
          </cell>
        </row>
        <row r="160">
          <cell r="N160">
            <v>0</v>
          </cell>
          <cell r="O160">
            <v>5138258</v>
          </cell>
          <cell r="S160">
            <v>0</v>
          </cell>
          <cell r="T160">
            <v>4880707</v>
          </cell>
        </row>
        <row r="161">
          <cell r="N161">
            <v>0</v>
          </cell>
          <cell r="O161">
            <v>8091548</v>
          </cell>
          <cell r="S161">
            <v>0</v>
          </cell>
          <cell r="T161">
            <v>7037676</v>
          </cell>
        </row>
        <row r="162">
          <cell r="N162">
            <v>0</v>
          </cell>
          <cell r="O162">
            <v>15101547</v>
          </cell>
          <cell r="S162">
            <v>0</v>
          </cell>
          <cell r="T162">
            <v>16506991</v>
          </cell>
        </row>
        <row r="164">
          <cell r="N164">
            <v>0</v>
          </cell>
          <cell r="O164">
            <v>30098358</v>
          </cell>
          <cell r="P164">
            <v>-30098358</v>
          </cell>
          <cell r="Q164">
            <v>-30098358</v>
          </cell>
          <cell r="R164">
            <v>0</v>
          </cell>
          <cell r="S164">
            <v>0</v>
          </cell>
          <cell r="T164">
            <v>31880785</v>
          </cell>
          <cell r="U164">
            <v>-31880785</v>
          </cell>
          <cell r="V164">
            <v>-31880784</v>
          </cell>
          <cell r="W164">
            <v>-1</v>
          </cell>
        </row>
        <row r="166">
          <cell r="N166">
            <v>0</v>
          </cell>
          <cell r="O166">
            <v>52408</v>
          </cell>
          <cell r="S166">
            <v>0</v>
          </cell>
          <cell r="T166">
            <v>508190</v>
          </cell>
        </row>
        <row r="167">
          <cell r="N167">
            <v>0</v>
          </cell>
          <cell r="O167">
            <v>24664</v>
          </cell>
          <cell r="S167">
            <v>0</v>
          </cell>
          <cell r="T167">
            <v>19641</v>
          </cell>
        </row>
        <row r="168">
          <cell r="N168">
            <v>0</v>
          </cell>
          <cell r="O168">
            <v>0</v>
          </cell>
          <cell r="S168">
            <v>0</v>
          </cell>
          <cell r="T168">
            <v>0</v>
          </cell>
        </row>
        <row r="169">
          <cell r="N169">
            <v>0</v>
          </cell>
          <cell r="O169">
            <v>1740</v>
          </cell>
          <cell r="S169">
            <v>0</v>
          </cell>
          <cell r="T169">
            <v>13160</v>
          </cell>
        </row>
        <row r="170">
          <cell r="N170">
            <v>0</v>
          </cell>
          <cell r="O170">
            <v>0</v>
          </cell>
          <cell r="S170">
            <v>0</v>
          </cell>
          <cell r="T170">
            <v>0</v>
          </cell>
        </row>
        <row r="171">
          <cell r="N171">
            <v>0</v>
          </cell>
          <cell r="O171">
            <v>0</v>
          </cell>
          <cell r="S171">
            <v>0</v>
          </cell>
          <cell r="T171">
            <v>0</v>
          </cell>
        </row>
        <row r="172">
          <cell r="N172">
            <v>0</v>
          </cell>
          <cell r="O172">
            <v>9138</v>
          </cell>
          <cell r="S172">
            <v>0</v>
          </cell>
          <cell r="T172">
            <v>14804</v>
          </cell>
        </row>
        <row r="173">
          <cell r="N173">
            <v>0</v>
          </cell>
          <cell r="O173">
            <v>130552</v>
          </cell>
          <cell r="S173">
            <v>0</v>
          </cell>
          <cell r="T173">
            <v>123454</v>
          </cell>
        </row>
        <row r="174">
          <cell r="N174">
            <v>0</v>
          </cell>
          <cell r="O174">
            <v>1601018</v>
          </cell>
          <cell r="S174">
            <v>0</v>
          </cell>
          <cell r="T174">
            <v>1532322</v>
          </cell>
        </row>
        <row r="175">
          <cell r="N175">
            <v>0</v>
          </cell>
          <cell r="O175">
            <v>2948678</v>
          </cell>
          <cell r="S175">
            <v>0</v>
          </cell>
          <cell r="T175">
            <v>298864</v>
          </cell>
        </row>
        <row r="176">
          <cell r="N176">
            <v>0</v>
          </cell>
          <cell r="O176">
            <v>341153</v>
          </cell>
          <cell r="S176">
            <v>0</v>
          </cell>
          <cell r="T176">
            <v>1541209</v>
          </cell>
        </row>
        <row r="178">
          <cell r="N178">
            <v>0</v>
          </cell>
          <cell r="O178">
            <v>5109351</v>
          </cell>
          <cell r="P178">
            <v>-5109351</v>
          </cell>
          <cell r="Q178">
            <v>-5109351</v>
          </cell>
          <cell r="R178">
            <v>0</v>
          </cell>
          <cell r="S178">
            <v>0</v>
          </cell>
          <cell r="T178">
            <v>4051644</v>
          </cell>
          <cell r="U178">
            <v>-4051644</v>
          </cell>
          <cell r="V178">
            <v>-4051645</v>
          </cell>
          <cell r="W178">
            <v>1</v>
          </cell>
        </row>
        <row r="180">
          <cell r="N180">
            <v>0</v>
          </cell>
          <cell r="O180">
            <v>0</v>
          </cell>
          <cell r="S180">
            <v>0</v>
          </cell>
          <cell r="T180">
            <v>0</v>
          </cell>
        </row>
        <row r="181">
          <cell r="N181">
            <v>0</v>
          </cell>
          <cell r="O181">
            <v>0</v>
          </cell>
          <cell r="S181">
            <v>0</v>
          </cell>
          <cell r="T181">
            <v>0</v>
          </cell>
        </row>
        <row r="182">
          <cell r="N182">
            <v>0</v>
          </cell>
          <cell r="O182">
            <v>0</v>
          </cell>
          <cell r="S182">
            <v>0</v>
          </cell>
          <cell r="T182">
            <v>0</v>
          </cell>
        </row>
        <row r="184">
          <cell r="N184">
            <v>0</v>
          </cell>
          <cell r="O184">
            <v>0</v>
          </cell>
          <cell r="P184">
            <v>0</v>
          </cell>
          <cell r="Q184">
            <v>0</v>
          </cell>
          <cell r="R184">
            <v>0</v>
          </cell>
          <cell r="S184">
            <v>0</v>
          </cell>
          <cell r="T184">
            <v>0</v>
          </cell>
          <cell r="U184">
            <v>0</v>
          </cell>
          <cell r="V184">
            <v>0</v>
          </cell>
          <cell r="W184">
            <v>0</v>
          </cell>
        </row>
        <row r="186">
          <cell r="N186">
            <v>0</v>
          </cell>
          <cell r="O186">
            <v>0</v>
          </cell>
          <cell r="S186">
            <v>0</v>
          </cell>
          <cell r="T186">
            <v>0</v>
          </cell>
        </row>
        <row r="187">
          <cell r="N187">
            <v>0</v>
          </cell>
          <cell r="O187">
            <v>0</v>
          </cell>
          <cell r="S187">
            <v>0</v>
          </cell>
          <cell r="T187">
            <v>0</v>
          </cell>
        </row>
        <row r="188">
          <cell r="N188">
            <v>0</v>
          </cell>
          <cell r="O188">
            <v>0</v>
          </cell>
          <cell r="S188">
            <v>0</v>
          </cell>
          <cell r="T188">
            <v>0</v>
          </cell>
        </row>
        <row r="189">
          <cell r="N189">
            <v>0</v>
          </cell>
          <cell r="O189">
            <v>0</v>
          </cell>
          <cell r="S189">
            <v>0</v>
          </cell>
          <cell r="T189">
            <v>0</v>
          </cell>
        </row>
        <row r="190">
          <cell r="N190">
            <v>0</v>
          </cell>
          <cell r="O190">
            <v>0</v>
          </cell>
          <cell r="S190">
            <v>0</v>
          </cell>
          <cell r="T190">
            <v>0</v>
          </cell>
        </row>
        <row r="191">
          <cell r="N191">
            <v>0</v>
          </cell>
          <cell r="O191">
            <v>0</v>
          </cell>
          <cell r="S191">
            <v>0</v>
          </cell>
          <cell r="T191">
            <v>0</v>
          </cell>
        </row>
        <row r="192">
          <cell r="N192">
            <v>0</v>
          </cell>
          <cell r="O192">
            <v>0</v>
          </cell>
          <cell r="S192">
            <v>0</v>
          </cell>
          <cell r="T192">
            <v>0</v>
          </cell>
        </row>
        <row r="193">
          <cell r="N193">
            <v>0</v>
          </cell>
          <cell r="O193">
            <v>0</v>
          </cell>
          <cell r="S193">
            <v>0</v>
          </cell>
          <cell r="T193">
            <v>0</v>
          </cell>
        </row>
        <row r="194">
          <cell r="N194">
            <v>0</v>
          </cell>
          <cell r="O194">
            <v>0</v>
          </cell>
          <cell r="S194">
            <v>0</v>
          </cell>
          <cell r="T194">
            <v>0</v>
          </cell>
        </row>
        <row r="195">
          <cell r="N195">
            <v>0</v>
          </cell>
          <cell r="O195">
            <v>0</v>
          </cell>
          <cell r="S195">
            <v>0</v>
          </cell>
          <cell r="T195">
            <v>0</v>
          </cell>
        </row>
        <row r="197">
          <cell r="N197">
            <v>0</v>
          </cell>
          <cell r="O197">
            <v>0</v>
          </cell>
          <cell r="P197">
            <v>0</v>
          </cell>
          <cell r="Q197">
            <v>0</v>
          </cell>
          <cell r="R197">
            <v>0</v>
          </cell>
          <cell r="S197">
            <v>0</v>
          </cell>
          <cell r="T197">
            <v>0</v>
          </cell>
          <cell r="U197">
            <v>0</v>
          </cell>
          <cell r="V197">
            <v>0</v>
          </cell>
          <cell r="W197">
            <v>0</v>
          </cell>
        </row>
        <row r="199">
          <cell r="N199">
            <v>0</v>
          </cell>
          <cell r="O199">
            <v>2331108</v>
          </cell>
          <cell r="S199">
            <v>0</v>
          </cell>
          <cell r="T199">
            <v>3116400</v>
          </cell>
        </row>
        <row r="200">
          <cell r="N200">
            <v>0</v>
          </cell>
          <cell r="O200">
            <v>629627</v>
          </cell>
          <cell r="S200">
            <v>0</v>
          </cell>
          <cell r="T200">
            <v>0</v>
          </cell>
        </row>
        <row r="201">
          <cell r="N201">
            <v>116274</v>
          </cell>
          <cell r="O201">
            <v>0</v>
          </cell>
          <cell r="S201">
            <v>785292</v>
          </cell>
          <cell r="T201">
            <v>0</v>
          </cell>
        </row>
        <row r="202">
          <cell r="N202">
            <v>0</v>
          </cell>
          <cell r="O202">
            <v>0</v>
          </cell>
          <cell r="S202">
            <v>0</v>
          </cell>
          <cell r="T202">
            <v>0</v>
          </cell>
        </row>
        <row r="203">
          <cell r="N203">
            <v>0</v>
          </cell>
          <cell r="O203">
            <v>0</v>
          </cell>
          <cell r="S203">
            <v>0</v>
          </cell>
          <cell r="T203">
            <v>0</v>
          </cell>
        </row>
        <row r="204">
          <cell r="N204">
            <v>0</v>
          </cell>
          <cell r="O204">
            <v>0</v>
          </cell>
          <cell r="S204">
            <v>0</v>
          </cell>
          <cell r="T204">
            <v>0</v>
          </cell>
        </row>
        <row r="206">
          <cell r="N206">
            <v>116274</v>
          </cell>
          <cell r="O206">
            <v>2960735</v>
          </cell>
          <cell r="P206">
            <v>-2844461</v>
          </cell>
          <cell r="Q206">
            <v>-2844461</v>
          </cell>
          <cell r="R206">
            <v>0</v>
          </cell>
          <cell r="S206">
            <v>785292</v>
          </cell>
          <cell r="T206">
            <v>3116400</v>
          </cell>
          <cell r="U206">
            <v>-2331108</v>
          </cell>
          <cell r="V206">
            <v>-2331108</v>
          </cell>
          <cell r="W206">
            <v>0</v>
          </cell>
        </row>
        <row r="208">
          <cell r="N208">
            <v>0</v>
          </cell>
          <cell r="O208">
            <v>51861836</v>
          </cell>
          <cell r="S208">
            <v>0</v>
          </cell>
          <cell r="T208">
            <v>44444235</v>
          </cell>
        </row>
        <row r="209">
          <cell r="N209">
            <v>0</v>
          </cell>
          <cell r="O209">
            <v>1718000</v>
          </cell>
          <cell r="S209">
            <v>0</v>
          </cell>
          <cell r="T209">
            <v>1425000</v>
          </cell>
        </row>
        <row r="210">
          <cell r="N210">
            <v>0</v>
          </cell>
          <cell r="O210">
            <v>2311000</v>
          </cell>
          <cell r="S210">
            <v>0</v>
          </cell>
          <cell r="T210">
            <v>2095000</v>
          </cell>
        </row>
        <row r="211">
          <cell r="N211">
            <v>0</v>
          </cell>
          <cell r="O211">
            <v>418881</v>
          </cell>
          <cell r="S211">
            <v>0</v>
          </cell>
          <cell r="T211">
            <v>419075</v>
          </cell>
        </row>
        <row r="212">
          <cell r="N212">
            <v>1386000</v>
          </cell>
          <cell r="O212">
            <v>0</v>
          </cell>
          <cell r="S212">
            <v>0</v>
          </cell>
          <cell r="T212">
            <v>5160000</v>
          </cell>
        </row>
        <row r="213">
          <cell r="N213">
            <v>1964000</v>
          </cell>
          <cell r="O213">
            <v>0</v>
          </cell>
          <cell r="S213">
            <v>0</v>
          </cell>
          <cell r="T213">
            <v>0</v>
          </cell>
        </row>
        <row r="214">
          <cell r="N214">
            <v>0</v>
          </cell>
          <cell r="O214">
            <v>2947000</v>
          </cell>
          <cell r="S214">
            <v>44000</v>
          </cell>
          <cell r="T214">
            <v>0</v>
          </cell>
        </row>
        <row r="215">
          <cell r="N215">
            <v>0</v>
          </cell>
          <cell r="O215">
            <v>0</v>
          </cell>
          <cell r="S215">
            <v>0</v>
          </cell>
          <cell r="T215">
            <v>4000</v>
          </cell>
        </row>
        <row r="216">
          <cell r="N216">
            <v>16584</v>
          </cell>
          <cell r="O216">
            <v>0</v>
          </cell>
          <cell r="S216">
            <v>16474</v>
          </cell>
          <cell r="T216">
            <v>0</v>
          </cell>
        </row>
        <row r="217">
          <cell r="N217">
            <v>1459000</v>
          </cell>
          <cell r="O217">
            <v>0</v>
          </cell>
          <cell r="S217">
            <v>1625000</v>
          </cell>
          <cell r="T217">
            <v>0</v>
          </cell>
        </row>
        <row r="219">
          <cell r="N219">
            <v>4825584</v>
          </cell>
          <cell r="O219">
            <v>59256717</v>
          </cell>
          <cell r="P219">
            <v>-54431133</v>
          </cell>
          <cell r="Q219">
            <v>-54431133</v>
          </cell>
          <cell r="R219">
            <v>0</v>
          </cell>
          <cell r="S219">
            <v>1685474</v>
          </cell>
          <cell r="T219">
            <v>53547310</v>
          </cell>
          <cell r="U219">
            <v>-51861836</v>
          </cell>
          <cell r="V219">
            <v>-51861836</v>
          </cell>
          <cell r="W219">
            <v>0</v>
          </cell>
        </row>
        <row r="221">
          <cell r="N221">
            <v>38508637</v>
          </cell>
          <cell r="O221">
            <v>0</v>
          </cell>
          <cell r="S221">
            <v>32801173</v>
          </cell>
          <cell r="T221">
            <v>0</v>
          </cell>
        </row>
        <row r="222">
          <cell r="N222">
            <v>1738000</v>
          </cell>
          <cell r="O222">
            <v>0</v>
          </cell>
          <cell r="S222">
            <v>1573000</v>
          </cell>
          <cell r="T222">
            <v>0</v>
          </cell>
        </row>
        <row r="223">
          <cell r="N223">
            <v>418881</v>
          </cell>
          <cell r="O223">
            <v>0</v>
          </cell>
          <cell r="S223">
            <v>419075</v>
          </cell>
          <cell r="T223">
            <v>0</v>
          </cell>
        </row>
        <row r="224">
          <cell r="N224">
            <v>1293151</v>
          </cell>
          <cell r="O224">
            <v>0</v>
          </cell>
          <cell r="S224">
            <v>1228390</v>
          </cell>
          <cell r="T224">
            <v>0</v>
          </cell>
        </row>
        <row r="225">
          <cell r="N225">
            <v>16584</v>
          </cell>
          <cell r="O225">
            <v>0</v>
          </cell>
          <cell r="S225">
            <v>16474</v>
          </cell>
          <cell r="T225">
            <v>0</v>
          </cell>
        </row>
        <row r="226">
          <cell r="N226">
            <v>2372000</v>
          </cell>
          <cell r="O226">
            <v>0</v>
          </cell>
          <cell r="S226">
            <v>4112000</v>
          </cell>
          <cell r="T226">
            <v>0</v>
          </cell>
        </row>
        <row r="227">
          <cell r="N227">
            <v>-16584</v>
          </cell>
          <cell r="O227">
            <v>0</v>
          </cell>
          <cell r="S227">
            <v>-16474</v>
          </cell>
          <cell r="T227">
            <v>0</v>
          </cell>
        </row>
        <row r="228">
          <cell r="N228">
            <v>0</v>
          </cell>
          <cell r="O228">
            <v>1459000</v>
          </cell>
          <cell r="S228">
            <v>0</v>
          </cell>
          <cell r="T228">
            <v>1625000</v>
          </cell>
        </row>
        <row r="230">
          <cell r="N230">
            <v>44330669</v>
          </cell>
          <cell r="O230">
            <v>1459000</v>
          </cell>
          <cell r="P230">
            <v>42871669</v>
          </cell>
          <cell r="Q230">
            <v>42871670</v>
          </cell>
          <cell r="R230">
            <v>-1</v>
          </cell>
          <cell r="S230">
            <v>40133638</v>
          </cell>
          <cell r="T230">
            <v>1625000</v>
          </cell>
          <cell r="U230">
            <v>38508638</v>
          </cell>
          <cell r="V230">
            <v>38508638</v>
          </cell>
          <cell r="W230">
            <v>0</v>
          </cell>
        </row>
        <row r="232">
          <cell r="N232">
            <v>0</v>
          </cell>
          <cell r="O232">
            <v>25000</v>
          </cell>
          <cell r="S232">
            <v>0</v>
          </cell>
          <cell r="T232">
            <v>25000</v>
          </cell>
        </row>
        <row r="233">
          <cell r="N233">
            <v>0</v>
          </cell>
          <cell r="O233">
            <v>0</v>
          </cell>
          <cell r="S233">
            <v>0</v>
          </cell>
          <cell r="T233">
            <v>0</v>
          </cell>
        </row>
        <row r="234">
          <cell r="N234">
            <v>0</v>
          </cell>
          <cell r="O234">
            <v>0</v>
          </cell>
          <cell r="S234">
            <v>0</v>
          </cell>
          <cell r="T234">
            <v>0</v>
          </cell>
        </row>
        <row r="236">
          <cell r="N236">
            <v>0</v>
          </cell>
          <cell r="O236">
            <v>25000</v>
          </cell>
          <cell r="P236">
            <v>-25000</v>
          </cell>
          <cell r="Q236">
            <v>-25000</v>
          </cell>
          <cell r="R236">
            <v>0</v>
          </cell>
          <cell r="S236">
            <v>0</v>
          </cell>
          <cell r="T236">
            <v>25000</v>
          </cell>
          <cell r="U236">
            <v>-25000</v>
          </cell>
          <cell r="V236">
            <v>-25000</v>
          </cell>
          <cell r="W236">
            <v>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63"/>
  <sheetViews>
    <sheetView zoomScale="110" zoomScaleNormal="110" workbookViewId="0">
      <pane ySplit="1" topLeftCell="A50" activePane="bottomLeft" state="frozen"/>
      <selection pane="bottomLeft" activeCell="F63" sqref="F63"/>
    </sheetView>
  </sheetViews>
  <sheetFormatPr defaultRowHeight="13.8" x14ac:dyDescent="0.3"/>
  <cols>
    <col min="1" max="1" width="9.109375" style="47"/>
    <col min="2" max="2" width="10.44140625" style="31" bestFit="1" customWidth="1"/>
    <col min="3" max="3" width="42.88671875" style="47" customWidth="1"/>
    <col min="4" max="4" width="17.88671875" style="31" customWidth="1"/>
    <col min="5" max="5" width="24.109375" style="31" customWidth="1"/>
    <col min="6" max="6" width="32.6640625" style="31" customWidth="1"/>
  </cols>
  <sheetData>
    <row r="1" spans="1:7" s="696" customFormat="1" ht="15.6" x14ac:dyDescent="0.3">
      <c r="A1" s="692" t="s">
        <v>1473</v>
      </c>
      <c r="B1" s="679" t="s">
        <v>931</v>
      </c>
      <c r="C1" s="675" t="s">
        <v>1727</v>
      </c>
      <c r="D1" s="679" t="s">
        <v>1728</v>
      </c>
      <c r="E1" s="679" t="s">
        <v>1599</v>
      </c>
      <c r="F1" s="685" t="s">
        <v>1864</v>
      </c>
    </row>
    <row r="2" spans="1:7" hidden="1" x14ac:dyDescent="0.3">
      <c r="A2" s="678">
        <v>1</v>
      </c>
      <c r="B2" s="680" t="s">
        <v>1729</v>
      </c>
      <c r="C2" s="695"/>
      <c r="D2" s="680"/>
      <c r="E2" s="680"/>
      <c r="F2" s="676"/>
    </row>
    <row r="3" spans="1:7" hidden="1" x14ac:dyDescent="0.3">
      <c r="A3" s="678">
        <v>2</v>
      </c>
      <c r="B3" s="690" t="s">
        <v>1729</v>
      </c>
      <c r="C3" s="695"/>
      <c r="D3" s="680"/>
      <c r="E3" s="680"/>
      <c r="F3" s="676"/>
    </row>
    <row r="4" spans="1:7" ht="41.4" x14ac:dyDescent="0.3">
      <c r="A4" s="678">
        <v>3</v>
      </c>
      <c r="B4" s="680" t="s">
        <v>1730</v>
      </c>
      <c r="C4" s="695" t="s">
        <v>1731</v>
      </c>
      <c r="D4" s="680" t="s">
        <v>1732</v>
      </c>
      <c r="E4" s="695" t="s">
        <v>1733</v>
      </c>
      <c r="F4" s="672" t="s">
        <v>1734</v>
      </c>
      <c r="G4" s="691"/>
    </row>
    <row r="5" spans="1:7" ht="87.75" customHeight="1" x14ac:dyDescent="0.3">
      <c r="A5" s="678">
        <v>4</v>
      </c>
      <c r="B5" s="680" t="s">
        <v>1737</v>
      </c>
      <c r="C5" s="695" t="s">
        <v>1735</v>
      </c>
      <c r="D5" s="680" t="s">
        <v>1732</v>
      </c>
      <c r="E5" s="695" t="s">
        <v>1733</v>
      </c>
      <c r="F5" s="676" t="s">
        <v>1844</v>
      </c>
    </row>
    <row r="6" spans="1:7" ht="82.8" x14ac:dyDescent="0.3">
      <c r="A6" s="678">
        <v>5</v>
      </c>
      <c r="B6" s="680" t="s">
        <v>1737</v>
      </c>
      <c r="C6" s="695" t="s">
        <v>1736</v>
      </c>
      <c r="D6" s="680" t="s">
        <v>1732</v>
      </c>
      <c r="E6" s="695" t="s">
        <v>1733</v>
      </c>
      <c r="F6" s="672" t="s">
        <v>1845</v>
      </c>
    </row>
    <row r="7" spans="1:7" ht="165.6" x14ac:dyDescent="0.3">
      <c r="A7" s="678">
        <v>6</v>
      </c>
      <c r="B7" s="680" t="s">
        <v>1737</v>
      </c>
      <c r="C7" s="695" t="s">
        <v>1738</v>
      </c>
      <c r="D7" s="680" t="s">
        <v>1732</v>
      </c>
      <c r="E7" s="695" t="s">
        <v>1733</v>
      </c>
      <c r="F7" s="672" t="s">
        <v>1846</v>
      </c>
    </row>
    <row r="8" spans="1:7" ht="41.4" x14ac:dyDescent="0.3">
      <c r="A8" s="678">
        <v>7</v>
      </c>
      <c r="B8" s="680" t="s">
        <v>1737</v>
      </c>
      <c r="C8" s="695" t="s">
        <v>1739</v>
      </c>
      <c r="D8" s="680" t="s">
        <v>1732</v>
      </c>
      <c r="E8" s="695" t="s">
        <v>1733</v>
      </c>
      <c r="F8" s="672" t="s">
        <v>1846</v>
      </c>
    </row>
    <row r="9" spans="1:7" ht="96.6" x14ac:dyDescent="0.3">
      <c r="A9" s="678">
        <v>8</v>
      </c>
      <c r="B9" s="680" t="s">
        <v>1737</v>
      </c>
      <c r="C9" s="695" t="s">
        <v>1740</v>
      </c>
      <c r="D9" s="680" t="s">
        <v>1732</v>
      </c>
      <c r="E9" s="695" t="s">
        <v>1733</v>
      </c>
      <c r="F9" s="672" t="s">
        <v>1847</v>
      </c>
    </row>
    <row r="10" spans="1:7" ht="96.6" x14ac:dyDescent="0.3">
      <c r="A10" s="678">
        <v>9</v>
      </c>
      <c r="B10" s="680" t="s">
        <v>1737</v>
      </c>
      <c r="C10" s="695" t="s">
        <v>1741</v>
      </c>
      <c r="D10" s="680" t="s">
        <v>1732</v>
      </c>
      <c r="E10" s="695" t="s">
        <v>1733</v>
      </c>
      <c r="F10" s="672" t="s">
        <v>1846</v>
      </c>
    </row>
    <row r="11" spans="1:7" ht="124.2" x14ac:dyDescent="0.3">
      <c r="A11" s="678">
        <v>10</v>
      </c>
      <c r="B11" s="680" t="s">
        <v>1755</v>
      </c>
      <c r="C11" s="695" t="s">
        <v>1742</v>
      </c>
      <c r="D11" s="680" t="s">
        <v>1732</v>
      </c>
      <c r="E11" s="695" t="s">
        <v>1733</v>
      </c>
      <c r="F11" s="676"/>
    </row>
    <row r="12" spans="1:7" ht="41.4" x14ac:dyDescent="0.3">
      <c r="A12" s="678">
        <v>11</v>
      </c>
      <c r="B12" s="680" t="s">
        <v>1755</v>
      </c>
      <c r="C12" s="695" t="s">
        <v>1743</v>
      </c>
      <c r="D12" s="680" t="s">
        <v>1732</v>
      </c>
      <c r="E12" s="695" t="s">
        <v>1733</v>
      </c>
      <c r="F12" s="672" t="s">
        <v>1848</v>
      </c>
    </row>
    <row r="13" spans="1:7" ht="41.4" x14ac:dyDescent="0.3">
      <c r="A13" s="678">
        <v>12</v>
      </c>
      <c r="B13" s="680" t="s">
        <v>1755</v>
      </c>
      <c r="C13" s="695" t="s">
        <v>1744</v>
      </c>
      <c r="D13" s="680" t="s">
        <v>1732</v>
      </c>
      <c r="E13" s="695" t="s">
        <v>1733</v>
      </c>
      <c r="F13" s="672" t="s">
        <v>1849</v>
      </c>
    </row>
    <row r="14" spans="1:7" ht="41.4" x14ac:dyDescent="0.3">
      <c r="A14" s="678">
        <v>13</v>
      </c>
      <c r="B14" s="680" t="s">
        <v>1755</v>
      </c>
      <c r="C14" s="695" t="s">
        <v>1745</v>
      </c>
      <c r="D14" s="680" t="s">
        <v>1732</v>
      </c>
      <c r="E14" s="695" t="s">
        <v>1733</v>
      </c>
      <c r="F14" s="672" t="s">
        <v>1851</v>
      </c>
    </row>
    <row r="15" spans="1:7" ht="27.6" x14ac:dyDescent="0.3">
      <c r="A15" s="678">
        <v>14</v>
      </c>
      <c r="B15" s="680" t="s">
        <v>1755</v>
      </c>
      <c r="C15" s="695" t="s">
        <v>1746</v>
      </c>
      <c r="D15" s="680" t="s">
        <v>1732</v>
      </c>
      <c r="E15" s="695" t="s">
        <v>1733</v>
      </c>
      <c r="F15" s="672" t="s">
        <v>1850</v>
      </c>
    </row>
    <row r="16" spans="1:7" ht="82.8" x14ac:dyDescent="0.3">
      <c r="A16" s="678">
        <v>15</v>
      </c>
      <c r="B16" s="680" t="s">
        <v>1754</v>
      </c>
      <c r="C16" s="695" t="s">
        <v>1747</v>
      </c>
      <c r="D16" s="680" t="s">
        <v>1732</v>
      </c>
      <c r="E16" s="695" t="s">
        <v>1733</v>
      </c>
      <c r="F16" s="824" t="s">
        <v>1905</v>
      </c>
    </row>
    <row r="17" spans="1:6" ht="27.6" x14ac:dyDescent="0.3">
      <c r="A17" s="678">
        <v>16</v>
      </c>
      <c r="B17" s="680" t="s">
        <v>1753</v>
      </c>
      <c r="C17" s="695" t="s">
        <v>1748</v>
      </c>
      <c r="D17" s="680" t="s">
        <v>1732</v>
      </c>
      <c r="E17" s="695" t="s">
        <v>1733</v>
      </c>
      <c r="F17" s="672" t="s">
        <v>1852</v>
      </c>
    </row>
    <row r="18" spans="1:6" ht="27.6" x14ac:dyDescent="0.3">
      <c r="A18" s="678">
        <v>17</v>
      </c>
      <c r="B18" s="680" t="s">
        <v>1752</v>
      </c>
      <c r="C18" s="695" t="s">
        <v>1749</v>
      </c>
      <c r="D18" s="680" t="s">
        <v>1732</v>
      </c>
      <c r="E18" s="695" t="s">
        <v>1733</v>
      </c>
      <c r="F18" s="676" t="s">
        <v>1853</v>
      </c>
    </row>
    <row r="19" spans="1:6" ht="27.6" x14ac:dyDescent="0.3">
      <c r="A19" s="678">
        <v>18</v>
      </c>
      <c r="B19" s="680" t="s">
        <v>1752</v>
      </c>
      <c r="C19" s="695" t="s">
        <v>1750</v>
      </c>
      <c r="D19" s="680" t="s">
        <v>1732</v>
      </c>
      <c r="E19" s="695" t="s">
        <v>1733</v>
      </c>
      <c r="F19" s="676" t="s">
        <v>1854</v>
      </c>
    </row>
    <row r="20" spans="1:6" ht="27.6" x14ac:dyDescent="0.3">
      <c r="A20" s="678">
        <v>19</v>
      </c>
      <c r="B20" s="680" t="s">
        <v>1752</v>
      </c>
      <c r="C20" s="695" t="s">
        <v>1751</v>
      </c>
      <c r="D20" s="680" t="s">
        <v>1732</v>
      </c>
      <c r="E20" s="695" t="s">
        <v>1733</v>
      </c>
      <c r="F20" s="676" t="s">
        <v>1855</v>
      </c>
    </row>
    <row r="21" spans="1:6" ht="41.4" x14ac:dyDescent="0.3">
      <c r="A21" s="678">
        <v>20</v>
      </c>
      <c r="B21" s="680" t="s">
        <v>1756</v>
      </c>
      <c r="C21" s="695" t="s">
        <v>1759</v>
      </c>
      <c r="D21" s="680" t="s">
        <v>1757</v>
      </c>
      <c r="E21" s="695" t="s">
        <v>1758</v>
      </c>
      <c r="F21" s="676" t="s">
        <v>1856</v>
      </c>
    </row>
    <row r="22" spans="1:6" ht="27.6" x14ac:dyDescent="0.3">
      <c r="A22" s="678">
        <v>21</v>
      </c>
      <c r="B22" s="680" t="s">
        <v>1756</v>
      </c>
      <c r="C22" s="695" t="s">
        <v>1760</v>
      </c>
      <c r="D22" s="680" t="s">
        <v>1757</v>
      </c>
      <c r="E22" s="695" t="s">
        <v>1758</v>
      </c>
      <c r="F22" s="676"/>
    </row>
    <row r="23" spans="1:6" ht="27.6" x14ac:dyDescent="0.3">
      <c r="A23" s="678">
        <v>22</v>
      </c>
      <c r="B23" s="680" t="s">
        <v>1756</v>
      </c>
      <c r="C23" s="693" t="s">
        <v>1761</v>
      </c>
      <c r="D23" s="680" t="s">
        <v>1757</v>
      </c>
      <c r="E23" s="695" t="s">
        <v>1758</v>
      </c>
      <c r="F23" s="676"/>
    </row>
    <row r="24" spans="1:6" ht="27.6" x14ac:dyDescent="0.3">
      <c r="A24" s="678">
        <v>23</v>
      </c>
      <c r="B24" s="680" t="s">
        <v>1756</v>
      </c>
      <c r="C24" s="693" t="s">
        <v>1762</v>
      </c>
      <c r="D24" s="680" t="s">
        <v>1757</v>
      </c>
      <c r="E24" s="695" t="s">
        <v>1758</v>
      </c>
      <c r="F24" s="676"/>
    </row>
    <row r="25" spans="1:6" ht="27.6" x14ac:dyDescent="0.3">
      <c r="A25" s="678">
        <v>24</v>
      </c>
      <c r="B25" s="680" t="s">
        <v>1756</v>
      </c>
      <c r="C25" s="693" t="s">
        <v>1763</v>
      </c>
      <c r="D25" s="680" t="s">
        <v>1757</v>
      </c>
      <c r="E25" s="695" t="s">
        <v>1758</v>
      </c>
      <c r="F25" s="676"/>
    </row>
    <row r="26" spans="1:6" ht="27.6" x14ac:dyDescent="0.3">
      <c r="A26" s="678">
        <v>25</v>
      </c>
      <c r="B26" s="680" t="s">
        <v>1756</v>
      </c>
      <c r="C26" s="693" t="s">
        <v>1764</v>
      </c>
      <c r="D26" s="680" t="s">
        <v>1757</v>
      </c>
      <c r="E26" s="695" t="s">
        <v>1758</v>
      </c>
      <c r="F26" s="676"/>
    </row>
    <row r="27" spans="1:6" ht="27.6" x14ac:dyDescent="0.3">
      <c r="A27" s="678">
        <v>26</v>
      </c>
      <c r="B27" s="680" t="s">
        <v>1756</v>
      </c>
      <c r="C27" s="693" t="s">
        <v>1765</v>
      </c>
      <c r="D27" s="680" t="s">
        <v>1757</v>
      </c>
      <c r="E27" s="695" t="s">
        <v>1758</v>
      </c>
      <c r="F27" s="676"/>
    </row>
    <row r="28" spans="1:6" ht="27.6" x14ac:dyDescent="0.3">
      <c r="A28" s="678">
        <v>27</v>
      </c>
      <c r="B28" s="680" t="s">
        <v>1756</v>
      </c>
      <c r="C28" s="693" t="s">
        <v>1766</v>
      </c>
      <c r="D28" s="680" t="s">
        <v>1757</v>
      </c>
      <c r="E28" s="695" t="s">
        <v>1758</v>
      </c>
      <c r="F28" s="676"/>
    </row>
    <row r="29" spans="1:6" ht="27.6" x14ac:dyDescent="0.3">
      <c r="A29" s="678">
        <v>28</v>
      </c>
      <c r="B29" s="680" t="s">
        <v>1756</v>
      </c>
      <c r="C29" s="693" t="s">
        <v>1767</v>
      </c>
      <c r="D29" s="680" t="s">
        <v>1757</v>
      </c>
      <c r="E29" s="695" t="s">
        <v>1758</v>
      </c>
      <c r="F29" s="676"/>
    </row>
    <row r="30" spans="1:6" ht="27.6" x14ac:dyDescent="0.3">
      <c r="A30" s="678">
        <v>29</v>
      </c>
      <c r="B30" s="680" t="s">
        <v>1756</v>
      </c>
      <c r="C30" s="693" t="s">
        <v>1768</v>
      </c>
      <c r="D30" s="680" t="s">
        <v>1757</v>
      </c>
      <c r="E30" s="695" t="s">
        <v>1758</v>
      </c>
      <c r="F30" s="676"/>
    </row>
    <row r="31" spans="1:6" ht="27.6" x14ac:dyDescent="0.3">
      <c r="A31" s="678">
        <v>30</v>
      </c>
      <c r="B31" s="680" t="s">
        <v>1756</v>
      </c>
      <c r="C31" s="693" t="s">
        <v>1769</v>
      </c>
      <c r="D31" s="680" t="s">
        <v>1757</v>
      </c>
      <c r="E31" s="695" t="s">
        <v>1758</v>
      </c>
      <c r="F31" s="676"/>
    </row>
    <row r="32" spans="1:6" ht="27.6" x14ac:dyDescent="0.3">
      <c r="A32" s="678">
        <v>31</v>
      </c>
      <c r="B32" s="680" t="s">
        <v>1756</v>
      </c>
      <c r="C32" s="693" t="s">
        <v>1770</v>
      </c>
      <c r="D32" s="680" t="s">
        <v>1757</v>
      </c>
      <c r="E32" s="695" t="s">
        <v>1758</v>
      </c>
      <c r="F32" s="676"/>
    </row>
    <row r="33" spans="1:6" ht="27.6" x14ac:dyDescent="0.3">
      <c r="A33" s="678">
        <v>32</v>
      </c>
      <c r="B33" s="680" t="s">
        <v>1756</v>
      </c>
      <c r="C33" s="693" t="s">
        <v>1771</v>
      </c>
      <c r="D33" s="680" t="s">
        <v>1757</v>
      </c>
      <c r="E33" s="695" t="s">
        <v>1758</v>
      </c>
      <c r="F33" s="676"/>
    </row>
    <row r="34" spans="1:6" ht="27.6" x14ac:dyDescent="0.3">
      <c r="A34" s="678">
        <v>33</v>
      </c>
      <c r="B34" s="680" t="s">
        <v>1756</v>
      </c>
      <c r="C34" s="693" t="s">
        <v>1772</v>
      </c>
      <c r="D34" s="680" t="s">
        <v>1757</v>
      </c>
      <c r="E34" s="695" t="s">
        <v>1758</v>
      </c>
      <c r="F34" s="676"/>
    </row>
    <row r="35" spans="1:6" ht="27.6" x14ac:dyDescent="0.3">
      <c r="A35" s="678">
        <v>34</v>
      </c>
      <c r="B35" s="680" t="s">
        <v>1756</v>
      </c>
      <c r="C35" s="693" t="s">
        <v>1773</v>
      </c>
      <c r="D35" s="680" t="s">
        <v>1757</v>
      </c>
      <c r="E35" s="695" t="s">
        <v>1758</v>
      </c>
      <c r="F35" s="676"/>
    </row>
    <row r="36" spans="1:6" ht="27.6" x14ac:dyDescent="0.3">
      <c r="A36" s="678">
        <v>35</v>
      </c>
      <c r="B36" s="680" t="s">
        <v>1756</v>
      </c>
      <c r="C36" s="693" t="s">
        <v>1774</v>
      </c>
      <c r="D36" s="680" t="s">
        <v>1757</v>
      </c>
      <c r="E36" s="695" t="s">
        <v>1758</v>
      </c>
      <c r="F36" s="676"/>
    </row>
    <row r="37" spans="1:6" ht="27.6" x14ac:dyDescent="0.3">
      <c r="A37" s="678">
        <v>36</v>
      </c>
      <c r="B37" s="680" t="s">
        <v>1775</v>
      </c>
      <c r="C37" s="695" t="s">
        <v>1776</v>
      </c>
      <c r="D37" s="680" t="s">
        <v>1777</v>
      </c>
      <c r="E37" s="695" t="s">
        <v>1778</v>
      </c>
      <c r="F37" s="676" t="s">
        <v>1857</v>
      </c>
    </row>
    <row r="38" spans="1:6" ht="27.6" x14ac:dyDescent="0.3">
      <c r="A38" s="678">
        <v>37</v>
      </c>
      <c r="B38" s="680" t="s">
        <v>1775</v>
      </c>
      <c r="C38" s="695" t="s">
        <v>1779</v>
      </c>
      <c r="D38" s="680" t="s">
        <v>1777</v>
      </c>
      <c r="E38" s="695" t="s">
        <v>1778</v>
      </c>
      <c r="F38" s="676" t="s">
        <v>1858</v>
      </c>
    </row>
    <row r="39" spans="1:6" ht="41.4" x14ac:dyDescent="0.3">
      <c r="A39" s="678">
        <v>38</v>
      </c>
      <c r="B39" s="680" t="s">
        <v>1775</v>
      </c>
      <c r="C39" s="695" t="s">
        <v>1780</v>
      </c>
      <c r="D39" s="680" t="s">
        <v>1777</v>
      </c>
      <c r="E39" s="695" t="s">
        <v>1778</v>
      </c>
      <c r="F39" s="676" t="s">
        <v>1858</v>
      </c>
    </row>
    <row r="40" spans="1:6" ht="69" x14ac:dyDescent="0.3">
      <c r="A40" s="678">
        <v>39</v>
      </c>
      <c r="B40" s="680" t="s">
        <v>1775</v>
      </c>
      <c r="C40" s="695" t="s">
        <v>1781</v>
      </c>
      <c r="D40" s="680" t="s">
        <v>1777</v>
      </c>
      <c r="E40" s="695" t="s">
        <v>1778</v>
      </c>
      <c r="F40" s="676"/>
    </row>
    <row r="41" spans="1:6" ht="41.4" x14ac:dyDescent="0.3">
      <c r="A41" s="678">
        <v>40</v>
      </c>
      <c r="B41" s="680" t="s">
        <v>1782</v>
      </c>
      <c r="C41" s="695" t="s">
        <v>1783</v>
      </c>
      <c r="D41" s="680" t="s">
        <v>1796</v>
      </c>
      <c r="E41" s="680" t="s">
        <v>1797</v>
      </c>
      <c r="F41" s="676" t="s">
        <v>1858</v>
      </c>
    </row>
    <row r="42" spans="1:6" ht="27.6" x14ac:dyDescent="0.3">
      <c r="A42" s="678">
        <v>41</v>
      </c>
      <c r="B42" s="680" t="s">
        <v>1782</v>
      </c>
      <c r="C42" s="695" t="s">
        <v>1784</v>
      </c>
      <c r="D42" s="680" t="s">
        <v>1796</v>
      </c>
      <c r="E42" s="680" t="s">
        <v>1797</v>
      </c>
      <c r="F42" s="676" t="s">
        <v>1858</v>
      </c>
    </row>
    <row r="43" spans="1:6" ht="27.6" x14ac:dyDescent="0.3">
      <c r="A43" s="678">
        <v>42</v>
      </c>
      <c r="B43" s="680" t="s">
        <v>1782</v>
      </c>
      <c r="C43" s="695" t="s">
        <v>1785</v>
      </c>
      <c r="D43" s="680" t="s">
        <v>1796</v>
      </c>
      <c r="E43" s="680" t="s">
        <v>1797</v>
      </c>
      <c r="F43" s="676" t="s">
        <v>1858</v>
      </c>
    </row>
    <row r="44" spans="1:6" ht="27.6" x14ac:dyDescent="0.3">
      <c r="A44" s="678">
        <v>43</v>
      </c>
      <c r="B44" s="680" t="s">
        <v>1782</v>
      </c>
      <c r="C44" s="695" t="s">
        <v>1786</v>
      </c>
      <c r="D44" s="680" t="s">
        <v>1796</v>
      </c>
      <c r="E44" s="680" t="s">
        <v>1797</v>
      </c>
      <c r="F44" s="676" t="s">
        <v>1859</v>
      </c>
    </row>
    <row r="45" spans="1:6" ht="27.6" x14ac:dyDescent="0.3">
      <c r="A45" s="678">
        <v>44</v>
      </c>
      <c r="B45" s="680" t="s">
        <v>1782</v>
      </c>
      <c r="C45" s="695" t="s">
        <v>1787</v>
      </c>
      <c r="D45" s="680" t="s">
        <v>1796</v>
      </c>
      <c r="E45" s="680" t="s">
        <v>1797</v>
      </c>
      <c r="F45" s="676" t="s">
        <v>1860</v>
      </c>
    </row>
    <row r="46" spans="1:6" ht="27.6" x14ac:dyDescent="0.3">
      <c r="A46" s="678">
        <v>45</v>
      </c>
      <c r="B46" s="680" t="s">
        <v>1782</v>
      </c>
      <c r="C46" s="695" t="s">
        <v>1788</v>
      </c>
      <c r="D46" s="680" t="s">
        <v>1796</v>
      </c>
      <c r="E46" s="680" t="s">
        <v>1797</v>
      </c>
      <c r="F46" s="676" t="s">
        <v>1858</v>
      </c>
    </row>
    <row r="47" spans="1:6" ht="27.6" x14ac:dyDescent="0.3">
      <c r="A47" s="678">
        <v>46</v>
      </c>
      <c r="B47" s="680" t="s">
        <v>1782</v>
      </c>
      <c r="C47" s="695" t="s">
        <v>1789</v>
      </c>
      <c r="D47" s="680" t="s">
        <v>1796</v>
      </c>
      <c r="E47" s="680" t="s">
        <v>1797</v>
      </c>
      <c r="F47" s="676" t="s">
        <v>1858</v>
      </c>
    </row>
    <row r="48" spans="1:6" x14ac:dyDescent="0.3">
      <c r="A48" s="678">
        <v>47</v>
      </c>
      <c r="B48" s="680" t="s">
        <v>1782</v>
      </c>
      <c r="C48" s="695" t="s">
        <v>1790</v>
      </c>
      <c r="D48" s="680" t="s">
        <v>1796</v>
      </c>
      <c r="E48" s="680" t="s">
        <v>1797</v>
      </c>
      <c r="F48" s="676" t="s">
        <v>1861</v>
      </c>
    </row>
    <row r="49" spans="1:7" ht="27.6" x14ac:dyDescent="0.3">
      <c r="A49" s="678">
        <v>48</v>
      </c>
      <c r="B49" s="680" t="s">
        <v>1782</v>
      </c>
      <c r="C49" s="695" t="s">
        <v>1791</v>
      </c>
      <c r="D49" s="680" t="s">
        <v>1796</v>
      </c>
      <c r="E49" s="680" t="s">
        <v>1797</v>
      </c>
      <c r="F49" s="676" t="s">
        <v>1859</v>
      </c>
    </row>
    <row r="50" spans="1:7" x14ac:dyDescent="0.3">
      <c r="A50" s="678">
        <v>49</v>
      </c>
      <c r="B50" s="680" t="s">
        <v>1782</v>
      </c>
      <c r="C50" s="695" t="s">
        <v>1792</v>
      </c>
      <c r="D50" s="680" t="s">
        <v>1796</v>
      </c>
      <c r="E50" s="680" t="s">
        <v>1797</v>
      </c>
      <c r="F50" s="676" t="s">
        <v>1859</v>
      </c>
    </row>
    <row r="51" spans="1:7" x14ac:dyDescent="0.3">
      <c r="A51" s="678">
        <v>50</v>
      </c>
      <c r="B51" s="680" t="s">
        <v>1782</v>
      </c>
      <c r="C51" s="695" t="s">
        <v>1793</v>
      </c>
      <c r="D51" s="680" t="s">
        <v>1796</v>
      </c>
      <c r="E51" s="680" t="s">
        <v>1797</v>
      </c>
      <c r="F51" s="676" t="s">
        <v>1859</v>
      </c>
    </row>
    <row r="52" spans="1:7" x14ac:dyDescent="0.3">
      <c r="A52" s="678">
        <v>51</v>
      </c>
      <c r="B52" s="680" t="s">
        <v>1782</v>
      </c>
      <c r="C52" s="695" t="s">
        <v>1794</v>
      </c>
      <c r="D52" s="680" t="s">
        <v>1796</v>
      </c>
      <c r="E52" s="680" t="s">
        <v>1797</v>
      </c>
      <c r="F52" s="676" t="s">
        <v>1859</v>
      </c>
    </row>
    <row r="53" spans="1:7" x14ac:dyDescent="0.3">
      <c r="A53" s="678">
        <v>52</v>
      </c>
      <c r="B53" s="680" t="s">
        <v>1782</v>
      </c>
      <c r="C53" s="695" t="s">
        <v>1795</v>
      </c>
      <c r="D53" s="680" t="s">
        <v>1796</v>
      </c>
      <c r="E53" s="680" t="s">
        <v>1797</v>
      </c>
      <c r="F53" s="676" t="s">
        <v>1859</v>
      </c>
    </row>
    <row r="54" spans="1:7" x14ac:dyDescent="0.3">
      <c r="A54" s="678">
        <v>53</v>
      </c>
      <c r="B54" s="680" t="s">
        <v>1782</v>
      </c>
      <c r="C54" s="695" t="s">
        <v>1798</v>
      </c>
      <c r="D54" s="680" t="s">
        <v>1796</v>
      </c>
      <c r="E54" s="680" t="s">
        <v>1797</v>
      </c>
      <c r="F54" s="676"/>
    </row>
    <row r="55" spans="1:7" x14ac:dyDescent="0.3">
      <c r="A55" s="678">
        <v>54</v>
      </c>
      <c r="B55" s="680"/>
      <c r="C55" s="695" t="s">
        <v>1799</v>
      </c>
      <c r="D55" s="680"/>
      <c r="E55" s="680"/>
      <c r="F55" s="824" t="s">
        <v>1906</v>
      </c>
    </row>
    <row r="56" spans="1:7" x14ac:dyDescent="0.3">
      <c r="A56" s="678">
        <v>55</v>
      </c>
      <c r="B56" s="680"/>
      <c r="C56" s="695" t="s">
        <v>1800</v>
      </c>
      <c r="D56" s="680"/>
      <c r="E56" s="680"/>
      <c r="F56" s="824" t="s">
        <v>1906</v>
      </c>
    </row>
    <row r="57" spans="1:7" ht="27.6" x14ac:dyDescent="0.3">
      <c r="A57" s="678">
        <v>56</v>
      </c>
      <c r="B57" s="686"/>
      <c r="C57" s="695" t="s">
        <v>1801</v>
      </c>
      <c r="D57" s="680" t="s">
        <v>1803</v>
      </c>
      <c r="E57" s="680" t="s">
        <v>1802</v>
      </c>
      <c r="F57" s="676" t="s">
        <v>1862</v>
      </c>
    </row>
    <row r="58" spans="1:7" ht="41.4" x14ac:dyDescent="0.3">
      <c r="A58" s="678">
        <v>57</v>
      </c>
      <c r="B58" s="680"/>
      <c r="C58" s="695" t="s">
        <v>1804</v>
      </c>
      <c r="D58" s="680" t="s">
        <v>1805</v>
      </c>
      <c r="E58" s="680" t="s">
        <v>1806</v>
      </c>
      <c r="F58" s="676" t="s">
        <v>1863</v>
      </c>
    </row>
    <row r="59" spans="1:7" ht="41.4" x14ac:dyDescent="0.3">
      <c r="A59" s="678">
        <v>58</v>
      </c>
      <c r="B59" s="686" t="s">
        <v>1816</v>
      </c>
      <c r="C59" s="695" t="s">
        <v>1811</v>
      </c>
      <c r="D59" s="680" t="s">
        <v>1803</v>
      </c>
      <c r="E59" s="680" t="s">
        <v>1802</v>
      </c>
      <c r="F59" s="672" t="s">
        <v>1810</v>
      </c>
      <c r="G59" s="31"/>
    </row>
    <row r="60" spans="1:7" ht="69" x14ac:dyDescent="0.3">
      <c r="A60" s="694">
        <v>59</v>
      </c>
      <c r="B60" s="674" t="s">
        <v>1816</v>
      </c>
      <c r="C60" s="683" t="s">
        <v>1812</v>
      </c>
      <c r="D60" s="677" t="s">
        <v>1803</v>
      </c>
      <c r="E60" s="677" t="s">
        <v>1802</v>
      </c>
      <c r="F60" s="684" t="s">
        <v>1858</v>
      </c>
    </row>
    <row r="61" spans="1:7" ht="69" x14ac:dyDescent="0.3">
      <c r="A61" s="682">
        <v>60</v>
      </c>
      <c r="B61" s="686" t="s">
        <v>1816</v>
      </c>
      <c r="C61" s="695" t="s">
        <v>1813</v>
      </c>
      <c r="D61" s="680" t="s">
        <v>1803</v>
      </c>
      <c r="E61" s="680" t="s">
        <v>1802</v>
      </c>
      <c r="F61" s="684" t="s">
        <v>1858</v>
      </c>
    </row>
    <row r="62" spans="1:7" ht="41.4" x14ac:dyDescent="0.3">
      <c r="A62" s="682">
        <v>61</v>
      </c>
      <c r="B62" s="686" t="s">
        <v>1816</v>
      </c>
      <c r="C62" s="681" t="s">
        <v>1814</v>
      </c>
      <c r="D62" s="680" t="s">
        <v>1803</v>
      </c>
      <c r="E62" s="680" t="s">
        <v>1802</v>
      </c>
      <c r="F62" s="825" t="s">
        <v>1907</v>
      </c>
    </row>
    <row r="63" spans="1:7" ht="28.2" thickBot="1" x14ac:dyDescent="0.35">
      <c r="A63" s="687">
        <v>62</v>
      </c>
      <c r="B63" s="688" t="s">
        <v>1816</v>
      </c>
      <c r="C63" s="689" t="s">
        <v>1815</v>
      </c>
      <c r="D63" s="673" t="s">
        <v>1803</v>
      </c>
      <c r="E63" s="673" t="s">
        <v>1802</v>
      </c>
      <c r="F63" s="826" t="s">
        <v>1908</v>
      </c>
    </row>
  </sheetData>
  <pageMargins left="0.25" right="0.25"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BM162"/>
  <sheetViews>
    <sheetView topLeftCell="E159" zoomScale="80" zoomScaleNormal="80" workbookViewId="0">
      <selection activeCell="H155" sqref="H155:J155"/>
    </sheetView>
  </sheetViews>
  <sheetFormatPr defaultRowHeight="13.8" x14ac:dyDescent="0.3"/>
  <cols>
    <col min="2" max="2" width="34.109375" customWidth="1"/>
    <col min="3" max="3" width="33.33203125" customWidth="1"/>
    <col min="4" max="4" width="33.44140625" customWidth="1"/>
    <col min="5" max="5" width="39" customWidth="1"/>
    <col min="6" max="6" width="14.109375" customWidth="1"/>
    <col min="8" max="8" width="21.44140625" customWidth="1"/>
    <col min="9" max="9" width="21.33203125" customWidth="1"/>
    <col min="10" max="10" width="44" customWidth="1"/>
  </cols>
  <sheetData>
    <row r="1" spans="1:10" s="400" customFormat="1" ht="48" thickTop="1" thickBot="1" x14ac:dyDescent="0.35">
      <c r="A1" s="394"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0" s="400" customFormat="1" ht="36.6" thickTop="1" x14ac:dyDescent="0.3">
      <c r="A2" s="1043">
        <v>3</v>
      </c>
      <c r="B2" s="1045" t="s">
        <v>2177</v>
      </c>
      <c r="C2" s="1045" t="s">
        <v>2177</v>
      </c>
      <c r="D2" s="1045" t="s">
        <v>1530</v>
      </c>
      <c r="E2" s="1045" t="s">
        <v>2178</v>
      </c>
      <c r="F2" s="1043">
        <v>1</v>
      </c>
      <c r="G2" s="1044"/>
      <c r="H2" s="1040">
        <v>0</v>
      </c>
      <c r="I2" s="1040"/>
      <c r="J2" s="1041"/>
    </row>
    <row r="3" spans="1:10" s="400" customFormat="1" ht="36" x14ac:dyDescent="0.3">
      <c r="A3" s="1043">
        <v>3</v>
      </c>
      <c r="B3" s="1045" t="s">
        <v>2177</v>
      </c>
      <c r="C3" s="1045" t="s">
        <v>2177</v>
      </c>
      <c r="D3" s="1045" t="s">
        <v>1530</v>
      </c>
      <c r="E3" s="1045" t="s">
        <v>2179</v>
      </c>
      <c r="F3" s="1043">
        <v>1</v>
      </c>
      <c r="G3" s="1044"/>
      <c r="H3" s="1040">
        <v>0</v>
      </c>
      <c r="I3" s="1040"/>
      <c r="J3" s="1041"/>
    </row>
    <row r="4" spans="1:10" s="400" customFormat="1" ht="36" x14ac:dyDescent="0.3">
      <c r="A4" s="1043">
        <v>3</v>
      </c>
      <c r="B4" s="1045" t="s">
        <v>2177</v>
      </c>
      <c r="C4" s="1045" t="s">
        <v>2177</v>
      </c>
      <c r="D4" s="1045" t="s">
        <v>1530</v>
      </c>
      <c r="E4" s="1045" t="s">
        <v>2180</v>
      </c>
      <c r="F4" s="1043">
        <v>1</v>
      </c>
      <c r="G4" s="1044"/>
      <c r="H4" s="1040">
        <v>0</v>
      </c>
      <c r="I4" s="1040">
        <v>0</v>
      </c>
      <c r="J4" s="1041"/>
    </row>
    <row r="5" spans="1:10" s="400" customFormat="1" ht="36" x14ac:dyDescent="0.3">
      <c r="A5" s="1043">
        <v>3</v>
      </c>
      <c r="B5" s="1045" t="s">
        <v>2177</v>
      </c>
      <c r="C5" s="1045" t="s">
        <v>2177</v>
      </c>
      <c r="D5" s="1045" t="s">
        <v>1529</v>
      </c>
      <c r="E5" s="1045" t="s">
        <v>2181</v>
      </c>
      <c r="F5" s="1043">
        <v>1</v>
      </c>
      <c r="G5" s="1044"/>
      <c r="H5" s="1040">
        <v>0</v>
      </c>
      <c r="I5" s="1040"/>
      <c r="J5" s="1041"/>
    </row>
    <row r="6" spans="1:10" s="400" customFormat="1" ht="36" x14ac:dyDescent="0.3">
      <c r="A6" s="1043">
        <v>3</v>
      </c>
      <c r="B6" s="1045" t="s">
        <v>2177</v>
      </c>
      <c r="C6" s="1045" t="s">
        <v>2177</v>
      </c>
      <c r="D6" s="1045" t="s">
        <v>1529</v>
      </c>
      <c r="E6" s="1045" t="s">
        <v>2182</v>
      </c>
      <c r="F6" s="1043">
        <v>1</v>
      </c>
      <c r="G6" s="1044"/>
      <c r="H6" s="1040">
        <v>0</v>
      </c>
      <c r="I6" s="1040"/>
      <c r="J6" s="1041"/>
    </row>
    <row r="7" spans="1:10" s="400" customFormat="1" ht="48.75" customHeight="1" x14ac:dyDescent="0.3">
      <c r="A7" s="1042">
        <v>3</v>
      </c>
      <c r="B7" s="146" t="s">
        <v>2177</v>
      </c>
      <c r="C7" s="146" t="s">
        <v>2177</v>
      </c>
      <c r="D7" s="146" t="s">
        <v>1529</v>
      </c>
      <c r="E7" s="146" t="s">
        <v>2183</v>
      </c>
      <c r="F7" s="146">
        <v>1</v>
      </c>
      <c r="G7" s="443"/>
      <c r="H7" s="1040">
        <v>0</v>
      </c>
      <c r="I7" s="1040">
        <v>0</v>
      </c>
      <c r="J7" s="1041"/>
    </row>
    <row r="8" spans="1:10" s="400" customFormat="1" ht="45" customHeight="1" x14ac:dyDescent="0.3">
      <c r="A8" s="1042">
        <v>3</v>
      </c>
      <c r="B8" s="146" t="s">
        <v>2359</v>
      </c>
      <c r="C8" s="146" t="s">
        <v>2359</v>
      </c>
      <c r="D8" s="146" t="s">
        <v>2359</v>
      </c>
      <c r="E8" s="146" t="s">
        <v>2359</v>
      </c>
      <c r="F8" s="146">
        <v>1</v>
      </c>
      <c r="G8" s="443"/>
      <c r="H8" s="1340" t="s">
        <v>2358</v>
      </c>
      <c r="I8" s="1341"/>
      <c r="J8" s="1342"/>
    </row>
    <row r="9" spans="1:10" s="400" customFormat="1" ht="43.5" customHeight="1" x14ac:dyDescent="0.3">
      <c r="A9" s="1042">
        <v>3</v>
      </c>
      <c r="B9" s="146" t="s">
        <v>2359</v>
      </c>
      <c r="C9" s="146" t="s">
        <v>2359</v>
      </c>
      <c r="D9" s="146" t="s">
        <v>2359</v>
      </c>
      <c r="E9" s="146" t="s">
        <v>2359</v>
      </c>
      <c r="F9" s="146">
        <v>1</v>
      </c>
      <c r="G9" s="443"/>
      <c r="H9" s="1040"/>
      <c r="I9" s="1040"/>
      <c r="J9" s="1041"/>
    </row>
    <row r="10" spans="1:10" s="400" customFormat="1" ht="51" customHeight="1" x14ac:dyDescent="0.3">
      <c r="A10" s="1042">
        <v>3</v>
      </c>
      <c r="B10" s="146" t="s">
        <v>2359</v>
      </c>
      <c r="C10" s="146" t="s">
        <v>2359</v>
      </c>
      <c r="D10" s="146" t="s">
        <v>2359</v>
      </c>
      <c r="E10" s="146" t="s">
        <v>2360</v>
      </c>
      <c r="F10" s="146">
        <v>1</v>
      </c>
      <c r="G10" s="443"/>
      <c r="H10" s="1040"/>
      <c r="I10" s="1040"/>
      <c r="J10" s="1041"/>
    </row>
    <row r="11" spans="1:10" s="400" customFormat="1" ht="157.05000000000001" customHeight="1" x14ac:dyDescent="0.3">
      <c r="A11" s="1042">
        <v>3</v>
      </c>
      <c r="B11" s="146" t="s">
        <v>2359</v>
      </c>
      <c r="C11" s="146" t="s">
        <v>2359</v>
      </c>
      <c r="D11" s="146" t="s">
        <v>2359</v>
      </c>
      <c r="E11" s="146" t="s">
        <v>2359</v>
      </c>
      <c r="F11" s="146">
        <v>1</v>
      </c>
      <c r="G11" s="443"/>
      <c r="H11" s="1336" t="s">
        <v>2915</v>
      </c>
      <c r="I11" s="1337"/>
      <c r="J11" s="1338"/>
    </row>
    <row r="12" spans="1:10" s="400" customFormat="1" ht="54" customHeight="1" x14ac:dyDescent="0.3">
      <c r="A12" s="1042">
        <v>3</v>
      </c>
      <c r="B12" s="146" t="s">
        <v>2359</v>
      </c>
      <c r="C12" s="146" t="s">
        <v>2359</v>
      </c>
      <c r="D12" s="146" t="s">
        <v>2359</v>
      </c>
      <c r="E12" s="146" t="s">
        <v>2359</v>
      </c>
      <c r="F12" s="146">
        <v>1</v>
      </c>
      <c r="G12" s="443"/>
      <c r="H12" s="1340" t="s">
        <v>2501</v>
      </c>
      <c r="I12" s="1341"/>
      <c r="J12" s="1342"/>
    </row>
    <row r="13" spans="1:10" s="400" customFormat="1" ht="20.25" customHeight="1" x14ac:dyDescent="0.3">
      <c r="A13" s="1042">
        <v>3</v>
      </c>
      <c r="B13" s="146" t="s">
        <v>2359</v>
      </c>
      <c r="C13" s="146" t="s">
        <v>2359</v>
      </c>
      <c r="D13" s="146" t="s">
        <v>2359</v>
      </c>
      <c r="E13" s="146" t="s">
        <v>2362</v>
      </c>
      <c r="F13" s="146">
        <v>1</v>
      </c>
      <c r="G13" s="443"/>
      <c r="H13" s="1040"/>
      <c r="I13" s="1040"/>
      <c r="J13" s="1041"/>
    </row>
    <row r="14" spans="1:10" s="400" customFormat="1" ht="20.25" customHeight="1" x14ac:dyDescent="0.3">
      <c r="A14" s="1042">
        <v>3</v>
      </c>
      <c r="B14" s="146" t="s">
        <v>2359</v>
      </c>
      <c r="C14" s="146" t="s">
        <v>2359</v>
      </c>
      <c r="D14" s="146" t="s">
        <v>2359</v>
      </c>
      <c r="E14" s="146" t="s">
        <v>2363</v>
      </c>
      <c r="F14" s="146">
        <v>1</v>
      </c>
      <c r="G14" s="443"/>
      <c r="H14" s="1040"/>
      <c r="I14" s="1040"/>
      <c r="J14" s="1041"/>
    </row>
    <row r="15" spans="1:10" s="400" customFormat="1" ht="20.25" customHeight="1" x14ac:dyDescent="0.3">
      <c r="A15" s="1042">
        <v>3</v>
      </c>
      <c r="B15" s="146" t="s">
        <v>2359</v>
      </c>
      <c r="C15" s="146" t="s">
        <v>2359</v>
      </c>
      <c r="D15" s="146" t="s">
        <v>2359</v>
      </c>
      <c r="E15" s="146" t="s">
        <v>2364</v>
      </c>
      <c r="F15" s="146">
        <v>1</v>
      </c>
      <c r="G15" s="443"/>
      <c r="H15" s="1040"/>
      <c r="I15" s="1040"/>
      <c r="J15" s="1041"/>
    </row>
    <row r="16" spans="1:10" s="400" customFormat="1" ht="42" customHeight="1" x14ac:dyDescent="0.3">
      <c r="A16" s="1042">
        <v>3</v>
      </c>
      <c r="B16" s="146" t="s">
        <v>2359</v>
      </c>
      <c r="C16" s="146" t="s">
        <v>2359</v>
      </c>
      <c r="D16" s="146" t="s">
        <v>2359</v>
      </c>
      <c r="E16" s="146" t="s">
        <v>2359</v>
      </c>
      <c r="F16" s="146">
        <v>1</v>
      </c>
      <c r="G16" s="443"/>
      <c r="H16" s="1340" t="s">
        <v>2366</v>
      </c>
      <c r="I16" s="1341"/>
      <c r="J16" s="1342"/>
    </row>
    <row r="17" spans="1:10" s="400" customFormat="1" ht="45.75" customHeight="1" x14ac:dyDescent="0.3">
      <c r="A17" s="1042">
        <v>3</v>
      </c>
      <c r="B17" s="146" t="s">
        <v>2359</v>
      </c>
      <c r="C17" s="146" t="s">
        <v>2359</v>
      </c>
      <c r="D17" s="146" t="s">
        <v>2363</v>
      </c>
      <c r="E17" s="146" t="s">
        <v>2502</v>
      </c>
      <c r="F17" s="146">
        <v>1</v>
      </c>
      <c r="G17" s="443"/>
      <c r="H17" s="1040"/>
      <c r="I17" s="1040"/>
      <c r="J17" s="1041"/>
    </row>
    <row r="18" spans="1:10" s="400" customFormat="1" ht="46.5" customHeight="1" x14ac:dyDescent="0.3">
      <c r="A18" s="1042">
        <v>3</v>
      </c>
      <c r="B18" s="146" t="s">
        <v>2359</v>
      </c>
      <c r="C18" s="146" t="s">
        <v>2359</v>
      </c>
      <c r="D18" s="146" t="s">
        <v>2363</v>
      </c>
      <c r="E18" s="146" t="s">
        <v>2368</v>
      </c>
      <c r="F18" s="146">
        <v>1</v>
      </c>
      <c r="G18" s="443"/>
      <c r="H18" s="1040"/>
      <c r="I18" s="1040"/>
      <c r="J18" s="1041"/>
    </row>
    <row r="19" spans="1:10" s="400" customFormat="1" ht="66" customHeight="1" x14ac:dyDescent="0.3">
      <c r="A19" s="1042">
        <v>3</v>
      </c>
      <c r="B19" s="146" t="s">
        <v>2359</v>
      </c>
      <c r="C19" s="146" t="s">
        <v>2359</v>
      </c>
      <c r="D19" s="146" t="s">
        <v>2363</v>
      </c>
      <c r="E19" s="146" t="s">
        <v>2503</v>
      </c>
      <c r="F19" s="146">
        <v>1</v>
      </c>
      <c r="G19" s="443"/>
      <c r="H19" s="1040"/>
      <c r="I19" s="1040"/>
      <c r="J19" s="1041"/>
    </row>
    <row r="20" spans="1:10" s="400" customFormat="1" ht="36" x14ac:dyDescent="0.3">
      <c r="A20" s="1042">
        <v>3</v>
      </c>
      <c r="B20" s="146" t="s">
        <v>2359</v>
      </c>
      <c r="C20" s="146" t="s">
        <v>2359</v>
      </c>
      <c r="D20" s="146" t="s">
        <v>2364</v>
      </c>
      <c r="E20" s="146" t="s">
        <v>2502</v>
      </c>
      <c r="F20" s="146">
        <v>1</v>
      </c>
      <c r="G20" s="443"/>
      <c r="H20" s="1040"/>
      <c r="I20" s="1040"/>
      <c r="J20" s="1041"/>
    </row>
    <row r="21" spans="1:10" s="400" customFormat="1" ht="36" x14ac:dyDescent="0.3">
      <c r="A21" s="1042">
        <v>3</v>
      </c>
      <c r="B21" s="146" t="s">
        <v>2359</v>
      </c>
      <c r="C21" s="146" t="s">
        <v>2359</v>
      </c>
      <c r="D21" s="146" t="s">
        <v>2364</v>
      </c>
      <c r="E21" s="146" t="s">
        <v>2368</v>
      </c>
      <c r="F21" s="146">
        <v>1</v>
      </c>
      <c r="G21" s="443"/>
      <c r="H21" s="1040"/>
      <c r="I21" s="1040"/>
      <c r="J21" s="1041"/>
    </row>
    <row r="22" spans="1:10" s="400" customFormat="1" ht="36" x14ac:dyDescent="0.3">
      <c r="A22" s="1042">
        <v>3</v>
      </c>
      <c r="B22" s="146" t="s">
        <v>2359</v>
      </c>
      <c r="C22" s="146" t="s">
        <v>2359</v>
      </c>
      <c r="D22" s="146" t="s">
        <v>2364</v>
      </c>
      <c r="E22" s="146" t="s">
        <v>2503</v>
      </c>
      <c r="F22" s="146">
        <v>1</v>
      </c>
      <c r="G22" s="443"/>
      <c r="H22" s="1040"/>
      <c r="I22" s="1040"/>
      <c r="J22" s="1041"/>
    </row>
    <row r="23" spans="1:10" s="400" customFormat="1" ht="60.6" customHeight="1" x14ac:dyDescent="0.3">
      <c r="A23" s="1042">
        <v>3</v>
      </c>
      <c r="B23" s="146" t="s">
        <v>2359</v>
      </c>
      <c r="C23" s="146" t="s">
        <v>2359</v>
      </c>
      <c r="D23" s="146" t="s">
        <v>2359</v>
      </c>
      <c r="E23" s="146" t="s">
        <v>2359</v>
      </c>
      <c r="F23" s="146">
        <v>1</v>
      </c>
      <c r="G23" s="443"/>
      <c r="H23" s="1340" t="s">
        <v>2372</v>
      </c>
      <c r="I23" s="1341"/>
      <c r="J23" s="1342"/>
    </row>
    <row r="24" spans="1:10" s="400" customFormat="1" ht="20.25" customHeight="1" x14ac:dyDescent="0.3">
      <c r="A24" s="1042">
        <v>3</v>
      </c>
      <c r="B24" s="146" t="s">
        <v>2359</v>
      </c>
      <c r="C24" s="146" t="s">
        <v>2359</v>
      </c>
      <c r="D24" s="1306" t="s">
        <v>2504</v>
      </c>
      <c r="E24" s="146" t="s">
        <v>2373</v>
      </c>
      <c r="F24" s="146">
        <v>1</v>
      </c>
      <c r="G24" s="443"/>
      <c r="H24" s="1040"/>
      <c r="I24" s="1040"/>
      <c r="J24" s="1041"/>
    </row>
    <row r="25" spans="1:10" s="400" customFormat="1" ht="111" customHeight="1" x14ac:dyDescent="0.3">
      <c r="A25" s="1042">
        <v>3</v>
      </c>
      <c r="B25" s="146" t="s">
        <v>2359</v>
      </c>
      <c r="C25" s="146" t="s">
        <v>2359</v>
      </c>
      <c r="D25" s="1307"/>
      <c r="E25" s="146" t="s">
        <v>2374</v>
      </c>
      <c r="F25" s="146">
        <v>1</v>
      </c>
      <c r="G25" s="443"/>
      <c r="H25" s="1040"/>
      <c r="I25" s="1040"/>
      <c r="J25" s="1041"/>
    </row>
    <row r="26" spans="1:10" s="400" customFormat="1" ht="157.05000000000001" customHeight="1" x14ac:dyDescent="0.3">
      <c r="A26" s="1042">
        <v>3</v>
      </c>
      <c r="B26" s="146" t="s">
        <v>2359</v>
      </c>
      <c r="C26" s="146" t="s">
        <v>2359</v>
      </c>
      <c r="D26" s="146" t="s">
        <v>2359</v>
      </c>
      <c r="E26" s="146" t="s">
        <v>2359</v>
      </c>
      <c r="F26" s="146">
        <v>1</v>
      </c>
      <c r="G26" s="443"/>
      <c r="H26" s="1336" t="s">
        <v>2916</v>
      </c>
      <c r="I26" s="1337"/>
      <c r="J26" s="1338"/>
    </row>
    <row r="27" spans="1:10" s="400" customFormat="1" ht="100.5" customHeight="1" x14ac:dyDescent="0.3">
      <c r="A27" s="1042">
        <v>3</v>
      </c>
      <c r="B27" s="146" t="s">
        <v>2359</v>
      </c>
      <c r="C27" s="146" t="s">
        <v>2359</v>
      </c>
      <c r="D27" s="146" t="s">
        <v>2359</v>
      </c>
      <c r="E27" s="146" t="s">
        <v>2359</v>
      </c>
      <c r="F27" s="146">
        <v>1</v>
      </c>
      <c r="G27" s="443"/>
      <c r="H27" s="1336" t="s">
        <v>2505</v>
      </c>
      <c r="I27" s="1337"/>
      <c r="J27" s="1338"/>
    </row>
    <row r="28" spans="1:10" s="400" customFormat="1" ht="409.5" customHeight="1" x14ac:dyDescent="0.3">
      <c r="A28" s="1042">
        <v>3</v>
      </c>
      <c r="B28" s="146" t="s">
        <v>2359</v>
      </c>
      <c r="C28" s="146" t="s">
        <v>2359</v>
      </c>
      <c r="D28" s="146" t="s">
        <v>2359</v>
      </c>
      <c r="E28" s="146" t="s">
        <v>2359</v>
      </c>
      <c r="F28" s="146">
        <v>1</v>
      </c>
      <c r="G28" s="443"/>
      <c r="H28" s="1339" t="s">
        <v>2917</v>
      </c>
      <c r="I28" s="1337"/>
      <c r="J28" s="1338"/>
    </row>
    <row r="29" spans="1:10" s="31" customFormat="1" ht="180.75" customHeight="1" x14ac:dyDescent="0.3">
      <c r="A29" s="147">
        <v>4</v>
      </c>
      <c r="B29" s="146" t="s">
        <v>820</v>
      </c>
      <c r="C29" s="146" t="s">
        <v>1153</v>
      </c>
      <c r="D29" s="146" t="s">
        <v>568</v>
      </c>
      <c r="E29" s="146" t="s">
        <v>568</v>
      </c>
      <c r="F29" s="146">
        <v>1</v>
      </c>
      <c r="G29" s="147"/>
      <c r="H29" s="1040">
        <v>0</v>
      </c>
      <c r="I29" s="1040"/>
      <c r="J29" s="1041"/>
    </row>
    <row r="30" spans="1:10" s="31" customFormat="1" ht="90" x14ac:dyDescent="0.3">
      <c r="A30" s="391">
        <v>4</v>
      </c>
      <c r="B30" s="127" t="s">
        <v>820</v>
      </c>
      <c r="C30" s="127" t="s">
        <v>1153</v>
      </c>
      <c r="D30" s="127" t="s">
        <v>573</v>
      </c>
      <c r="E30" s="127" t="s">
        <v>573</v>
      </c>
      <c r="F30" s="127">
        <v>1</v>
      </c>
      <c r="G30" s="128"/>
      <c r="H30" s="166">
        <v>0</v>
      </c>
      <c r="I30" s="166">
        <v>0</v>
      </c>
      <c r="J30" s="131"/>
    </row>
    <row r="31" spans="1:10" s="31" customFormat="1" ht="90" x14ac:dyDescent="0.3">
      <c r="A31" s="391">
        <v>4</v>
      </c>
      <c r="B31" s="127" t="s">
        <v>820</v>
      </c>
      <c r="C31" s="127" t="s">
        <v>1153</v>
      </c>
      <c r="D31" s="127" t="s">
        <v>574</v>
      </c>
      <c r="E31" s="127" t="s">
        <v>574</v>
      </c>
      <c r="F31" s="127">
        <v>1</v>
      </c>
      <c r="G31" s="128"/>
      <c r="H31" s="166">
        <v>0</v>
      </c>
      <c r="I31" s="166">
        <v>0</v>
      </c>
      <c r="J31" s="131"/>
    </row>
    <row r="32" spans="1:10" s="31" customFormat="1" ht="90" x14ac:dyDescent="0.3">
      <c r="A32" s="391">
        <v>4</v>
      </c>
      <c r="B32" s="127" t="s">
        <v>820</v>
      </c>
      <c r="C32" s="127" t="s">
        <v>1153</v>
      </c>
      <c r="D32" s="127" t="s">
        <v>575</v>
      </c>
      <c r="E32" s="127" t="s">
        <v>575</v>
      </c>
      <c r="F32" s="127">
        <v>1</v>
      </c>
      <c r="G32" s="128"/>
      <c r="H32" s="166">
        <v>0</v>
      </c>
      <c r="I32" s="166">
        <v>0</v>
      </c>
      <c r="J32" s="131"/>
    </row>
    <row r="33" spans="1:10" s="31" customFormat="1" ht="90" x14ac:dyDescent="0.3">
      <c r="A33" s="391">
        <v>4</v>
      </c>
      <c r="B33" s="127" t="s">
        <v>820</v>
      </c>
      <c r="C33" s="127" t="s">
        <v>1153</v>
      </c>
      <c r="D33" s="127" t="s">
        <v>576</v>
      </c>
      <c r="E33" s="127" t="s">
        <v>576</v>
      </c>
      <c r="F33" s="127">
        <v>1</v>
      </c>
      <c r="G33" s="128"/>
      <c r="H33" s="166">
        <v>0</v>
      </c>
      <c r="I33" s="166">
        <v>0</v>
      </c>
      <c r="J33" s="131"/>
    </row>
    <row r="34" spans="1:10" s="31" customFormat="1" ht="51" customHeight="1" x14ac:dyDescent="0.3">
      <c r="A34" s="391">
        <v>4</v>
      </c>
      <c r="B34" s="1357" t="s">
        <v>820</v>
      </c>
      <c r="C34" s="1357" t="s">
        <v>1270</v>
      </c>
      <c r="D34" s="1357" t="s">
        <v>1270</v>
      </c>
      <c r="E34" s="127" t="s">
        <v>1570</v>
      </c>
      <c r="F34" s="127">
        <v>1</v>
      </c>
      <c r="G34" s="128"/>
      <c r="H34" s="166">
        <v>0</v>
      </c>
      <c r="I34" s="166">
        <v>0</v>
      </c>
      <c r="J34" s="131"/>
    </row>
    <row r="35" spans="1:10" s="31" customFormat="1" ht="51" customHeight="1" x14ac:dyDescent="0.3">
      <c r="A35" s="391">
        <v>4</v>
      </c>
      <c r="B35" s="1358"/>
      <c r="C35" s="1358"/>
      <c r="D35" s="1358"/>
      <c r="E35" s="127" t="s">
        <v>1271</v>
      </c>
      <c r="F35" s="127">
        <v>1</v>
      </c>
      <c r="G35" s="128"/>
      <c r="H35" s="166">
        <v>0</v>
      </c>
      <c r="I35" s="166">
        <v>0</v>
      </c>
      <c r="J35" s="131"/>
    </row>
    <row r="36" spans="1:10" s="31" customFormat="1" ht="51" customHeight="1" x14ac:dyDescent="0.3">
      <c r="A36" s="391">
        <v>4</v>
      </c>
      <c r="B36" s="1358"/>
      <c r="C36" s="1358"/>
      <c r="D36" s="1358"/>
      <c r="E36" s="127" t="s">
        <v>1272</v>
      </c>
      <c r="F36" s="127">
        <v>1</v>
      </c>
      <c r="G36" s="128"/>
      <c r="H36" s="166">
        <v>0</v>
      </c>
      <c r="I36" s="166">
        <v>0</v>
      </c>
      <c r="J36" s="131"/>
    </row>
    <row r="37" spans="1:10" s="31" customFormat="1" ht="51" customHeight="1" x14ac:dyDescent="0.3">
      <c r="A37" s="391">
        <v>4</v>
      </c>
      <c r="B37" s="1358"/>
      <c r="C37" s="1358"/>
      <c r="D37" s="1358"/>
      <c r="E37" s="127" t="s">
        <v>1571</v>
      </c>
      <c r="F37" s="127">
        <v>1</v>
      </c>
      <c r="G37" s="128"/>
      <c r="H37" s="166">
        <v>0</v>
      </c>
      <c r="I37" s="166">
        <v>0</v>
      </c>
      <c r="J37" s="131"/>
    </row>
    <row r="38" spans="1:10" s="31" customFormat="1" ht="51" customHeight="1" x14ac:dyDescent="0.3">
      <c r="A38" s="391">
        <v>4</v>
      </c>
      <c r="B38" s="1358"/>
      <c r="C38" s="1358"/>
      <c r="D38" s="1358"/>
      <c r="E38" s="127" t="s">
        <v>1572</v>
      </c>
      <c r="F38" s="127">
        <v>1</v>
      </c>
      <c r="G38" s="128"/>
      <c r="H38" s="166">
        <v>0</v>
      </c>
      <c r="I38" s="166">
        <v>0</v>
      </c>
      <c r="J38" s="131"/>
    </row>
    <row r="39" spans="1:10" s="31" customFormat="1" ht="51" customHeight="1" x14ac:dyDescent="0.3">
      <c r="A39" s="391">
        <v>4</v>
      </c>
      <c r="B39" s="1358"/>
      <c r="C39" s="1358"/>
      <c r="D39" s="1358"/>
      <c r="E39" s="127" t="s">
        <v>1574</v>
      </c>
      <c r="F39" s="127">
        <v>1</v>
      </c>
      <c r="G39" s="128"/>
      <c r="H39" s="166">
        <v>0</v>
      </c>
      <c r="I39" s="166">
        <v>0</v>
      </c>
      <c r="J39" s="131"/>
    </row>
    <row r="40" spans="1:10" s="31" customFormat="1" ht="51" customHeight="1" thickBot="1" x14ac:dyDescent="0.35">
      <c r="A40" s="391">
        <v>4</v>
      </c>
      <c r="B40" s="1367"/>
      <c r="C40" s="1367"/>
      <c r="D40" s="1367"/>
      <c r="E40" s="144" t="s">
        <v>1273</v>
      </c>
      <c r="F40" s="144">
        <v>1</v>
      </c>
      <c r="G40" s="145"/>
      <c r="H40" s="167">
        <v>0</v>
      </c>
      <c r="I40" s="167">
        <v>0</v>
      </c>
      <c r="J40" s="148"/>
    </row>
    <row r="41" spans="1:10" s="31" customFormat="1" ht="87" customHeight="1" thickTop="1" thickBot="1" x14ac:dyDescent="0.35">
      <c r="A41" s="391">
        <v>5</v>
      </c>
      <c r="B41" s="1359" t="s">
        <v>344</v>
      </c>
      <c r="C41" s="1359" t="s">
        <v>1807</v>
      </c>
      <c r="D41" s="1359" t="s">
        <v>1807</v>
      </c>
      <c r="E41" s="834" t="s">
        <v>1807</v>
      </c>
      <c r="F41" s="150">
        <v>1</v>
      </c>
      <c r="G41" s="151"/>
      <c r="H41" s="1343" t="s">
        <v>1808</v>
      </c>
      <c r="I41" s="1344"/>
      <c r="J41" s="1345"/>
    </row>
    <row r="42" spans="1:10" s="31" customFormat="1" ht="104.1" customHeight="1" thickTop="1" x14ac:dyDescent="0.3">
      <c r="A42" s="391">
        <v>5</v>
      </c>
      <c r="B42" s="1358"/>
      <c r="C42" s="1358"/>
      <c r="D42" s="1358"/>
      <c r="E42" s="847" t="s">
        <v>1807</v>
      </c>
      <c r="F42" s="127">
        <v>1</v>
      </c>
      <c r="G42" s="128"/>
      <c r="H42" s="1343" t="s">
        <v>1809</v>
      </c>
      <c r="I42" s="1344"/>
      <c r="J42" s="1345"/>
    </row>
    <row r="43" spans="1:10" s="31" customFormat="1" ht="41.55" customHeight="1" x14ac:dyDescent="0.3">
      <c r="A43" s="391">
        <v>5</v>
      </c>
      <c r="B43" s="1295"/>
      <c r="C43" s="1295"/>
      <c r="D43" s="1295"/>
      <c r="E43" s="146" t="s">
        <v>1807</v>
      </c>
      <c r="F43" s="127">
        <v>1</v>
      </c>
      <c r="G43" s="128"/>
      <c r="H43" s="1333" t="s">
        <v>3109</v>
      </c>
      <c r="I43" s="1334"/>
      <c r="J43" s="1335"/>
    </row>
    <row r="44" spans="1:10" s="31" customFormat="1" ht="63" customHeight="1" x14ac:dyDescent="0.3">
      <c r="A44" s="391">
        <v>5</v>
      </c>
      <c r="B44" s="1357" t="s">
        <v>344</v>
      </c>
      <c r="C44" s="1357" t="s">
        <v>255</v>
      </c>
      <c r="D44" s="1357" t="s">
        <v>255</v>
      </c>
      <c r="E44" s="127" t="s">
        <v>1154</v>
      </c>
      <c r="F44" s="127">
        <v>1</v>
      </c>
      <c r="G44" s="128"/>
      <c r="H44" s="1333" t="s">
        <v>1156</v>
      </c>
      <c r="I44" s="1334"/>
      <c r="J44" s="1335"/>
    </row>
    <row r="45" spans="1:10" s="31" customFormat="1" ht="38.25" customHeight="1" x14ac:dyDescent="0.3">
      <c r="A45" s="391">
        <v>5</v>
      </c>
      <c r="B45" s="1358"/>
      <c r="C45" s="1358"/>
      <c r="D45" s="1358"/>
      <c r="E45" s="127" t="s">
        <v>1155</v>
      </c>
      <c r="F45" s="127">
        <v>1</v>
      </c>
      <c r="G45" s="128"/>
      <c r="H45" s="169">
        <v>0</v>
      </c>
      <c r="I45" s="169">
        <v>0</v>
      </c>
      <c r="J45" s="131"/>
    </row>
    <row r="46" spans="1:10" s="31" customFormat="1" ht="38.25" customHeight="1" x14ac:dyDescent="0.3">
      <c r="A46" s="391">
        <v>5</v>
      </c>
      <c r="B46" s="1358"/>
      <c r="C46" s="1358"/>
      <c r="D46" s="1358"/>
      <c r="E46" s="127" t="s">
        <v>212</v>
      </c>
      <c r="F46" s="127">
        <v>1</v>
      </c>
      <c r="G46" s="128"/>
      <c r="H46" s="169">
        <v>0</v>
      </c>
      <c r="I46" s="166">
        <v>0</v>
      </c>
      <c r="J46" s="131"/>
    </row>
    <row r="47" spans="1:10" s="31" customFormat="1" ht="38.25" customHeight="1" x14ac:dyDescent="0.3">
      <c r="A47" s="391">
        <v>5</v>
      </c>
      <c r="B47" s="1358"/>
      <c r="C47" s="1358"/>
      <c r="D47" s="1358"/>
      <c r="E47" s="127" t="s">
        <v>213</v>
      </c>
      <c r="F47" s="127">
        <v>1</v>
      </c>
      <c r="G47" s="128"/>
      <c r="H47" s="169">
        <v>0</v>
      </c>
      <c r="I47" s="166">
        <v>0</v>
      </c>
      <c r="J47" s="131"/>
    </row>
    <row r="48" spans="1:10" s="31" customFormat="1" ht="43.05" customHeight="1" thickBot="1" x14ac:dyDescent="0.35">
      <c r="A48" s="391">
        <v>5</v>
      </c>
      <c r="B48" s="1367"/>
      <c r="C48" s="1367"/>
      <c r="D48" s="1367"/>
      <c r="E48" s="144" t="s">
        <v>1157</v>
      </c>
      <c r="F48" s="144">
        <v>1</v>
      </c>
      <c r="G48" s="145"/>
      <c r="H48" s="1346" t="s">
        <v>3110</v>
      </c>
      <c r="I48" s="1347"/>
      <c r="J48" s="1348"/>
    </row>
    <row r="49" spans="1:10" s="46" customFormat="1" ht="47.55" customHeight="1" thickTop="1" thickBot="1" x14ac:dyDescent="0.35">
      <c r="A49" s="391">
        <v>6</v>
      </c>
      <c r="B49" s="1368" t="s">
        <v>344</v>
      </c>
      <c r="C49" s="1360" t="s">
        <v>2819</v>
      </c>
      <c r="D49" s="1360" t="s">
        <v>1158</v>
      </c>
      <c r="E49" s="153" t="s">
        <v>2820</v>
      </c>
      <c r="F49" s="848">
        <v>1</v>
      </c>
      <c r="G49" s="154"/>
      <c r="H49" s="1343" t="s">
        <v>2821</v>
      </c>
      <c r="I49" s="1344"/>
      <c r="J49" s="1345"/>
    </row>
    <row r="50" spans="1:10" s="31" customFormat="1" ht="82.5" customHeight="1" thickTop="1" thickBot="1" x14ac:dyDescent="0.35">
      <c r="A50" s="391">
        <v>6</v>
      </c>
      <c r="B50" s="1369"/>
      <c r="C50" s="1311"/>
      <c r="D50" s="1311"/>
      <c r="E50" s="127" t="s">
        <v>2822</v>
      </c>
      <c r="F50" s="848">
        <v>1</v>
      </c>
      <c r="G50" s="128"/>
      <c r="H50" s="1333" t="s">
        <v>2613</v>
      </c>
      <c r="I50" s="1334"/>
      <c r="J50" s="1335"/>
    </row>
    <row r="51" spans="1:10" s="31" customFormat="1" ht="94.5" customHeight="1" thickTop="1" x14ac:dyDescent="0.3">
      <c r="A51" s="391">
        <v>6</v>
      </c>
      <c r="B51" s="1369"/>
      <c r="C51" s="1311"/>
      <c r="D51" s="1311"/>
      <c r="E51" s="127" t="s">
        <v>2823</v>
      </c>
      <c r="F51" s="848">
        <v>1</v>
      </c>
      <c r="G51" s="128"/>
      <c r="H51" s="1333" t="s">
        <v>2586</v>
      </c>
      <c r="I51" s="1334"/>
      <c r="J51" s="1335"/>
    </row>
    <row r="52" spans="1:10" s="31" customFormat="1" ht="36" x14ac:dyDescent="0.3">
      <c r="A52" s="391">
        <v>6</v>
      </c>
      <c r="B52" s="1369"/>
      <c r="C52" s="1311"/>
      <c r="D52" s="1311"/>
      <c r="E52" s="127" t="s">
        <v>2824</v>
      </c>
      <c r="F52" s="127">
        <v>1</v>
      </c>
      <c r="G52" s="128"/>
      <c r="H52" s="169">
        <v>0</v>
      </c>
      <c r="I52" s="169">
        <v>0</v>
      </c>
      <c r="J52" s="131"/>
    </row>
    <row r="53" spans="1:10" s="31" customFormat="1" ht="54" x14ac:dyDescent="0.3">
      <c r="A53" s="391">
        <v>6</v>
      </c>
      <c r="B53" s="1369"/>
      <c r="C53" s="1311"/>
      <c r="D53" s="1311"/>
      <c r="E53" s="127" t="s">
        <v>2825</v>
      </c>
      <c r="F53" s="127">
        <v>1</v>
      </c>
      <c r="G53" s="128"/>
      <c r="H53" s="169">
        <v>0</v>
      </c>
      <c r="I53" s="169">
        <v>0</v>
      </c>
      <c r="J53" s="131"/>
    </row>
    <row r="54" spans="1:10" s="31" customFormat="1" ht="18" x14ac:dyDescent="0.3">
      <c r="A54" s="391">
        <v>6</v>
      </c>
      <c r="B54" s="1369"/>
      <c r="C54" s="1311"/>
      <c r="D54" s="1311"/>
      <c r="E54" s="127" t="s">
        <v>2587</v>
      </c>
      <c r="F54" s="127">
        <v>1</v>
      </c>
      <c r="G54" s="128"/>
      <c r="H54" s="169">
        <v>0</v>
      </c>
      <c r="I54" s="169">
        <v>0</v>
      </c>
      <c r="J54" s="131"/>
    </row>
    <row r="55" spans="1:10" s="31" customFormat="1" ht="36" x14ac:dyDescent="0.3">
      <c r="A55" s="391">
        <v>6</v>
      </c>
      <c r="B55" s="1369"/>
      <c r="C55" s="1311"/>
      <c r="D55" s="1311"/>
      <c r="E55" s="127" t="s">
        <v>2588</v>
      </c>
      <c r="F55" s="127">
        <v>1</v>
      </c>
      <c r="G55" s="128"/>
      <c r="H55" s="169">
        <v>0</v>
      </c>
      <c r="I55" s="169">
        <v>0</v>
      </c>
      <c r="J55" s="131"/>
    </row>
    <row r="56" spans="1:10" s="31" customFormat="1" ht="36" x14ac:dyDescent="0.3">
      <c r="A56" s="1054"/>
      <c r="B56" s="1369"/>
      <c r="C56" s="1311"/>
      <c r="D56" s="1311"/>
      <c r="E56" s="1045" t="s">
        <v>2590</v>
      </c>
      <c r="F56" s="1045">
        <v>1</v>
      </c>
      <c r="G56" s="1054"/>
      <c r="H56" s="1333" t="s">
        <v>2589</v>
      </c>
      <c r="I56" s="1334"/>
      <c r="J56" s="1335"/>
    </row>
    <row r="57" spans="1:10" s="31" customFormat="1" ht="36" x14ac:dyDescent="0.3">
      <c r="A57" s="391">
        <v>6</v>
      </c>
      <c r="B57" s="1369"/>
      <c r="C57" s="1311"/>
      <c r="D57" s="1311"/>
      <c r="E57" s="127" t="s">
        <v>2597</v>
      </c>
      <c r="F57" s="127">
        <v>1</v>
      </c>
      <c r="G57" s="128"/>
      <c r="H57" s="169">
        <v>0</v>
      </c>
      <c r="I57" s="169">
        <v>0</v>
      </c>
      <c r="J57" s="131"/>
    </row>
    <row r="58" spans="1:10" s="31" customFormat="1" ht="54" x14ac:dyDescent="0.3">
      <c r="A58" s="391">
        <v>6</v>
      </c>
      <c r="B58" s="1369"/>
      <c r="C58" s="1311"/>
      <c r="D58" s="1311"/>
      <c r="E58" s="127" t="s">
        <v>2598</v>
      </c>
      <c r="F58" s="127">
        <v>1</v>
      </c>
      <c r="G58" s="128"/>
      <c r="H58" s="169">
        <v>0</v>
      </c>
      <c r="I58" s="169">
        <v>0</v>
      </c>
      <c r="J58" s="131"/>
    </row>
    <row r="59" spans="1:10" s="31" customFormat="1" ht="36" x14ac:dyDescent="0.3">
      <c r="A59" s="391">
        <v>6</v>
      </c>
      <c r="B59" s="1369"/>
      <c r="C59" s="1311"/>
      <c r="D59" s="1311"/>
      <c r="E59" s="127" t="s">
        <v>2599</v>
      </c>
      <c r="F59" s="127">
        <v>1</v>
      </c>
      <c r="G59" s="128"/>
      <c r="H59" s="169">
        <v>0</v>
      </c>
      <c r="I59" s="169">
        <v>0</v>
      </c>
      <c r="J59" s="131"/>
    </row>
    <row r="60" spans="1:10" s="31" customFormat="1" ht="36" x14ac:dyDescent="0.3">
      <c r="A60" s="391">
        <v>6</v>
      </c>
      <c r="B60" s="1369"/>
      <c r="C60" s="1311"/>
      <c r="D60" s="1311"/>
      <c r="E60" s="127" t="s">
        <v>2591</v>
      </c>
      <c r="F60" s="127">
        <v>1</v>
      </c>
      <c r="G60" s="128"/>
      <c r="H60" s="169">
        <v>0</v>
      </c>
      <c r="I60" s="169">
        <v>0</v>
      </c>
      <c r="J60" s="131"/>
    </row>
    <row r="61" spans="1:10" s="31" customFormat="1" ht="54" x14ac:dyDescent="0.3">
      <c r="A61" s="391">
        <v>6</v>
      </c>
      <c r="B61" s="1369"/>
      <c r="C61" s="1311"/>
      <c r="D61" s="1311"/>
      <c r="E61" s="127" t="s">
        <v>2592</v>
      </c>
      <c r="F61" s="127">
        <v>1</v>
      </c>
      <c r="G61" s="128"/>
      <c r="H61" s="169">
        <v>0</v>
      </c>
      <c r="I61" s="169">
        <v>0</v>
      </c>
      <c r="J61" s="131"/>
    </row>
    <row r="62" spans="1:10" s="31" customFormat="1" ht="36" x14ac:dyDescent="0.3">
      <c r="A62" s="391">
        <v>6</v>
      </c>
      <c r="B62" s="1369"/>
      <c r="C62" s="1311"/>
      <c r="D62" s="1311"/>
      <c r="E62" s="127" t="s">
        <v>2593</v>
      </c>
      <c r="F62" s="127">
        <v>1</v>
      </c>
      <c r="G62" s="128"/>
      <c r="H62" s="169">
        <v>0</v>
      </c>
      <c r="I62" s="169">
        <v>0</v>
      </c>
      <c r="J62" s="131"/>
    </row>
    <row r="63" spans="1:10" s="46" customFormat="1" ht="58.05" customHeight="1" x14ac:dyDescent="0.3">
      <c r="A63" s="391">
        <v>6</v>
      </c>
      <c r="B63" s="1369"/>
      <c r="C63" s="1311"/>
      <c r="D63" s="1311"/>
      <c r="E63" s="129" t="s">
        <v>2822</v>
      </c>
      <c r="F63" s="849">
        <v>1</v>
      </c>
      <c r="G63" s="130"/>
      <c r="H63" s="1333" t="s">
        <v>3111</v>
      </c>
      <c r="I63" s="1334"/>
      <c r="J63" s="1335"/>
    </row>
    <row r="64" spans="1:10" s="31" customFormat="1" ht="78" customHeight="1" x14ac:dyDescent="0.3">
      <c r="A64" s="391">
        <v>6</v>
      </c>
      <c r="B64" s="1369"/>
      <c r="C64" s="1311"/>
      <c r="D64" s="1311"/>
      <c r="E64" s="127" t="s">
        <v>2822</v>
      </c>
      <c r="F64" s="849">
        <v>1</v>
      </c>
      <c r="G64" s="128"/>
      <c r="H64" s="1333" t="s">
        <v>3112</v>
      </c>
      <c r="I64" s="1334"/>
      <c r="J64" s="1335"/>
    </row>
    <row r="65" spans="1:11" s="31" customFormat="1" ht="23.1" customHeight="1" x14ac:dyDescent="0.3">
      <c r="A65" s="391">
        <v>6</v>
      </c>
      <c r="B65" s="1369"/>
      <c r="C65" s="1311"/>
      <c r="D65" s="1311"/>
      <c r="E65" s="127" t="s">
        <v>2822</v>
      </c>
      <c r="F65" s="849">
        <v>1</v>
      </c>
      <c r="G65" s="128"/>
      <c r="H65" s="1333" t="s">
        <v>1257</v>
      </c>
      <c r="I65" s="1334"/>
      <c r="J65" s="1335"/>
    </row>
    <row r="66" spans="1:11" s="31" customFormat="1" ht="22.5" customHeight="1" x14ac:dyDescent="0.3">
      <c r="A66" s="391">
        <v>6</v>
      </c>
      <c r="B66" s="1369"/>
      <c r="C66" s="1311"/>
      <c r="D66" s="1311"/>
      <c r="E66" s="127" t="s">
        <v>2822</v>
      </c>
      <c r="F66" s="849">
        <v>1</v>
      </c>
      <c r="G66" s="128"/>
      <c r="H66" s="1333" t="s">
        <v>1257</v>
      </c>
      <c r="I66" s="1334"/>
      <c r="J66" s="1335"/>
    </row>
    <row r="67" spans="1:11" s="31" customFormat="1" ht="25.5" customHeight="1" x14ac:dyDescent="0.3">
      <c r="A67" s="391">
        <v>6</v>
      </c>
      <c r="B67" s="1369"/>
      <c r="C67" s="1311"/>
      <c r="D67" s="1311"/>
      <c r="E67" s="127" t="s">
        <v>2822</v>
      </c>
      <c r="F67" s="849">
        <v>1</v>
      </c>
      <c r="G67" s="128"/>
      <c r="H67" s="1333" t="s">
        <v>1257</v>
      </c>
      <c r="I67" s="1334"/>
      <c r="J67" s="1335"/>
    </row>
    <row r="68" spans="1:11" s="31" customFormat="1" ht="134.25" customHeight="1" x14ac:dyDescent="0.3">
      <c r="A68" s="391">
        <v>6</v>
      </c>
      <c r="B68" s="1369"/>
      <c r="C68" s="1311"/>
      <c r="D68" s="1311"/>
      <c r="E68" s="127" t="s">
        <v>1159</v>
      </c>
      <c r="F68" s="849">
        <v>1</v>
      </c>
      <c r="G68" s="128"/>
      <c r="H68" s="1333" t="s">
        <v>2920</v>
      </c>
      <c r="I68" s="1334"/>
      <c r="J68" s="1335"/>
    </row>
    <row r="69" spans="1:11" s="31" customFormat="1" ht="40.049999999999997" customHeight="1" x14ac:dyDescent="0.3">
      <c r="A69" s="391">
        <v>6</v>
      </c>
      <c r="B69" s="1369"/>
      <c r="C69" s="1311"/>
      <c r="D69" s="1311"/>
      <c r="E69" s="127" t="s">
        <v>1159</v>
      </c>
      <c r="F69" s="849">
        <v>1</v>
      </c>
      <c r="G69" s="128"/>
      <c r="H69" s="1333" t="s">
        <v>2594</v>
      </c>
      <c r="I69" s="1334"/>
      <c r="J69" s="1335"/>
    </row>
    <row r="70" spans="1:11" s="31" customFormat="1" ht="63.75" customHeight="1" x14ac:dyDescent="0.3">
      <c r="A70" s="391">
        <v>6</v>
      </c>
      <c r="B70" s="1369"/>
      <c r="C70" s="1311"/>
      <c r="D70" s="1311"/>
      <c r="E70" s="127" t="s">
        <v>2373</v>
      </c>
      <c r="F70" s="127">
        <v>1</v>
      </c>
      <c r="G70" s="128"/>
      <c r="H70" s="169">
        <v>0</v>
      </c>
      <c r="I70" s="169">
        <v>0</v>
      </c>
      <c r="J70" s="131"/>
    </row>
    <row r="71" spans="1:11" s="31" customFormat="1" ht="76.5" customHeight="1" x14ac:dyDescent="0.3">
      <c r="A71" s="391">
        <v>6</v>
      </c>
      <c r="B71" s="1369"/>
      <c r="C71" s="1311"/>
      <c r="D71" s="1311"/>
      <c r="E71" s="127" t="s">
        <v>2595</v>
      </c>
      <c r="F71" s="127">
        <v>1</v>
      </c>
      <c r="G71" s="128"/>
      <c r="H71" s="169">
        <v>0</v>
      </c>
      <c r="I71" s="169">
        <v>0</v>
      </c>
      <c r="J71" s="131"/>
    </row>
    <row r="72" spans="1:11" s="31" customFormat="1" ht="63.75" customHeight="1" x14ac:dyDescent="0.3">
      <c r="A72" s="391">
        <v>6</v>
      </c>
      <c r="B72" s="1369"/>
      <c r="C72" s="1311"/>
      <c r="D72" s="1311"/>
      <c r="E72" s="127" t="s">
        <v>2596</v>
      </c>
      <c r="F72" s="127">
        <v>1</v>
      </c>
      <c r="G72" s="128"/>
      <c r="H72" s="169">
        <v>0</v>
      </c>
      <c r="I72" s="169">
        <v>0</v>
      </c>
      <c r="J72" s="131"/>
    </row>
    <row r="73" spans="1:11" s="31" customFormat="1" ht="76.5" customHeight="1" x14ac:dyDescent="0.3">
      <c r="A73" s="391">
        <v>6</v>
      </c>
      <c r="B73" s="1369"/>
      <c r="C73" s="1311"/>
      <c r="D73" s="1311"/>
      <c r="E73" s="127" t="s">
        <v>2086</v>
      </c>
      <c r="F73" s="127">
        <v>1</v>
      </c>
      <c r="G73" s="128"/>
      <c r="H73" s="1333" t="s">
        <v>3113</v>
      </c>
      <c r="I73" s="1334"/>
      <c r="J73" s="1335"/>
    </row>
    <row r="74" spans="1:11" s="31" customFormat="1" ht="45.6" customHeight="1" x14ac:dyDescent="0.3">
      <c r="A74" s="391">
        <v>6</v>
      </c>
      <c r="B74" s="1357" t="s">
        <v>344</v>
      </c>
      <c r="C74" s="1357" t="s">
        <v>2819</v>
      </c>
      <c r="D74" s="1357" t="s">
        <v>1160</v>
      </c>
      <c r="E74" s="127" t="s">
        <v>2820</v>
      </c>
      <c r="F74" s="127">
        <v>1</v>
      </c>
      <c r="G74" s="128"/>
      <c r="H74" s="1333" t="s">
        <v>2826</v>
      </c>
      <c r="I74" s="1334"/>
      <c r="J74" s="1335"/>
    </row>
    <row r="75" spans="1:11" s="31" customFormat="1" ht="43.5" customHeight="1" x14ac:dyDescent="0.3">
      <c r="A75" s="391">
        <v>6</v>
      </c>
      <c r="B75" s="1358"/>
      <c r="C75" s="1358"/>
      <c r="D75" s="1358"/>
      <c r="E75" s="127" t="s">
        <v>2820</v>
      </c>
      <c r="F75" s="127">
        <v>1</v>
      </c>
      <c r="G75" s="128"/>
      <c r="H75" s="1333" t="s">
        <v>2600</v>
      </c>
      <c r="I75" s="1334"/>
      <c r="J75" s="1335"/>
    </row>
    <row r="76" spans="1:11" s="31" customFormat="1" ht="99" customHeight="1" x14ac:dyDescent="0.3">
      <c r="A76" s="391">
        <v>6</v>
      </c>
      <c r="B76" s="1358"/>
      <c r="C76" s="1358"/>
      <c r="D76" s="1358"/>
      <c r="E76" s="127" t="s">
        <v>2601</v>
      </c>
      <c r="F76" s="127">
        <v>1</v>
      </c>
      <c r="G76" s="128"/>
      <c r="H76" s="169">
        <v>0</v>
      </c>
      <c r="I76" s="169">
        <v>0</v>
      </c>
      <c r="J76" s="131"/>
    </row>
    <row r="77" spans="1:11" s="31" customFormat="1" ht="59.25" customHeight="1" x14ac:dyDescent="0.3">
      <c r="A77" s="391">
        <v>6</v>
      </c>
      <c r="B77" s="1358"/>
      <c r="C77" s="1358"/>
      <c r="D77" s="1358"/>
      <c r="E77" s="127" t="s">
        <v>2602</v>
      </c>
      <c r="F77" s="127">
        <v>1</v>
      </c>
      <c r="G77" s="128"/>
      <c r="H77" s="169">
        <v>0</v>
      </c>
      <c r="I77" s="169">
        <v>0</v>
      </c>
      <c r="J77" s="131"/>
    </row>
    <row r="78" spans="1:11" s="31" customFormat="1" ht="115.05" customHeight="1" x14ac:dyDescent="0.3">
      <c r="A78" s="391">
        <v>6</v>
      </c>
      <c r="B78" s="1358"/>
      <c r="C78" s="1358"/>
      <c r="D78" s="1358"/>
      <c r="E78" s="127" t="s">
        <v>2820</v>
      </c>
      <c r="F78" s="127">
        <v>1</v>
      </c>
      <c r="G78" s="128"/>
      <c r="H78" s="1333" t="s">
        <v>2603</v>
      </c>
      <c r="I78" s="1334"/>
      <c r="J78" s="1335"/>
    </row>
    <row r="79" spans="1:11" s="31" customFormat="1" ht="36" x14ac:dyDescent="0.3">
      <c r="A79" s="391">
        <v>6</v>
      </c>
      <c r="B79" s="1358"/>
      <c r="C79" s="1358"/>
      <c r="D79" s="1358"/>
      <c r="E79" s="127" t="s">
        <v>2827</v>
      </c>
      <c r="F79" s="127">
        <v>1</v>
      </c>
      <c r="G79" s="128"/>
      <c r="H79" s="169">
        <v>0</v>
      </c>
      <c r="I79" s="169">
        <v>0</v>
      </c>
      <c r="J79" s="131"/>
      <c r="K79" s="75"/>
    </row>
    <row r="80" spans="1:11" s="31" customFormat="1" ht="54" x14ac:dyDescent="0.3">
      <c r="A80" s="391">
        <v>6</v>
      </c>
      <c r="B80" s="1358"/>
      <c r="C80" s="1358"/>
      <c r="D80" s="1358"/>
      <c r="E80" s="127" t="s">
        <v>2828</v>
      </c>
      <c r="F80" s="127">
        <v>1</v>
      </c>
      <c r="G80" s="128"/>
      <c r="H80" s="169">
        <v>0</v>
      </c>
      <c r="I80" s="169">
        <v>0</v>
      </c>
      <c r="J80" s="131"/>
      <c r="K80" s="75"/>
    </row>
    <row r="81" spans="1:11" s="31" customFormat="1" ht="36" x14ac:dyDescent="0.3">
      <c r="A81" s="391">
        <v>6</v>
      </c>
      <c r="B81" s="1358"/>
      <c r="C81" s="1358"/>
      <c r="D81" s="1358"/>
      <c r="E81" s="127" t="s">
        <v>2604</v>
      </c>
      <c r="F81" s="127">
        <v>1</v>
      </c>
      <c r="G81" s="128"/>
      <c r="H81" s="169">
        <v>0</v>
      </c>
      <c r="I81" s="169">
        <v>0</v>
      </c>
      <c r="J81" s="131"/>
      <c r="K81" s="75"/>
    </row>
    <row r="82" spans="1:11" s="31" customFormat="1" ht="18" x14ac:dyDescent="0.3">
      <c r="A82" s="1054"/>
      <c r="B82" s="1358"/>
      <c r="C82" s="1358"/>
      <c r="D82" s="1358"/>
      <c r="E82" s="1045" t="s">
        <v>2829</v>
      </c>
      <c r="F82" s="1045">
        <v>1</v>
      </c>
      <c r="G82" s="1054"/>
      <c r="H82" s="1333" t="s">
        <v>2605</v>
      </c>
      <c r="I82" s="1334"/>
      <c r="J82" s="1335"/>
      <c r="K82" s="75"/>
    </row>
    <row r="83" spans="1:11" s="31" customFormat="1" ht="38.25" customHeight="1" x14ac:dyDescent="0.3">
      <c r="A83" s="391">
        <v>6</v>
      </c>
      <c r="B83" s="1358"/>
      <c r="C83" s="1358"/>
      <c r="D83" s="1358"/>
      <c r="E83" s="127" t="s">
        <v>2591</v>
      </c>
      <c r="F83" s="127">
        <v>1</v>
      </c>
      <c r="G83" s="128"/>
      <c r="H83" s="169">
        <v>0</v>
      </c>
      <c r="I83" s="169">
        <v>0</v>
      </c>
      <c r="J83" s="131"/>
      <c r="K83" s="75"/>
    </row>
    <row r="84" spans="1:11" s="31" customFormat="1" ht="38.25" customHeight="1" x14ac:dyDescent="0.3">
      <c r="A84" s="391">
        <v>6</v>
      </c>
      <c r="B84" s="1358"/>
      <c r="C84" s="1358"/>
      <c r="D84" s="1358"/>
      <c r="E84" s="127" t="s">
        <v>2592</v>
      </c>
      <c r="F84" s="127">
        <v>1</v>
      </c>
      <c r="G84" s="128"/>
      <c r="H84" s="169">
        <v>0</v>
      </c>
      <c r="I84" s="169">
        <v>0</v>
      </c>
      <c r="J84" s="131"/>
      <c r="K84" s="75"/>
    </row>
    <row r="85" spans="1:11" s="31" customFormat="1" ht="38.25" customHeight="1" x14ac:dyDescent="0.3">
      <c r="A85" s="391">
        <v>6</v>
      </c>
      <c r="B85" s="1358"/>
      <c r="C85" s="1358"/>
      <c r="D85" s="1358"/>
      <c r="E85" s="127" t="s">
        <v>2593</v>
      </c>
      <c r="F85" s="127">
        <v>1</v>
      </c>
      <c r="G85" s="128"/>
      <c r="H85" s="169">
        <v>0</v>
      </c>
      <c r="I85" s="169">
        <v>0</v>
      </c>
      <c r="J85" s="131"/>
      <c r="K85" s="75"/>
    </row>
    <row r="86" spans="1:11" s="31" customFormat="1" ht="38.25" customHeight="1" x14ac:dyDescent="0.3">
      <c r="A86" s="1054"/>
      <c r="B86" s="1358"/>
      <c r="C86" s="1358"/>
      <c r="D86" s="1358"/>
      <c r="E86" s="1045" t="s">
        <v>2830</v>
      </c>
      <c r="F86" s="1045">
        <v>1</v>
      </c>
      <c r="G86" s="1054"/>
      <c r="H86" s="169">
        <v>0</v>
      </c>
      <c r="I86" s="169">
        <v>0</v>
      </c>
      <c r="J86" s="131"/>
      <c r="K86" s="75"/>
    </row>
    <row r="87" spans="1:11" s="31" customFormat="1" ht="38.25" customHeight="1" x14ac:dyDescent="0.3">
      <c r="A87" s="1054"/>
      <c r="B87" s="1358"/>
      <c r="C87" s="1358"/>
      <c r="D87" s="1358"/>
      <c r="E87" s="1045" t="s">
        <v>2831</v>
      </c>
      <c r="F87" s="1045">
        <v>1</v>
      </c>
      <c r="G87" s="1054"/>
      <c r="H87" s="169">
        <v>0</v>
      </c>
      <c r="I87" s="169">
        <v>0</v>
      </c>
      <c r="J87" s="131"/>
      <c r="K87" s="75"/>
    </row>
    <row r="88" spans="1:11" s="31" customFormat="1" ht="38.25" customHeight="1" x14ac:dyDescent="0.3">
      <c r="A88" s="1054"/>
      <c r="B88" s="1358"/>
      <c r="C88" s="1358"/>
      <c r="D88" s="1358"/>
      <c r="E88" s="1045" t="s">
        <v>2832</v>
      </c>
      <c r="F88" s="1045">
        <v>1</v>
      </c>
      <c r="G88" s="1054"/>
      <c r="H88" s="169">
        <v>0</v>
      </c>
      <c r="I88" s="169">
        <v>0</v>
      </c>
      <c r="J88" s="131"/>
      <c r="K88" s="75"/>
    </row>
    <row r="89" spans="1:11" s="31" customFormat="1" ht="82.5" customHeight="1" x14ac:dyDescent="0.3">
      <c r="A89" s="1054"/>
      <c r="B89" s="1358"/>
      <c r="C89" s="1358"/>
      <c r="D89" s="1358"/>
      <c r="E89" s="1045" t="s">
        <v>2829</v>
      </c>
      <c r="F89" s="1045">
        <v>1</v>
      </c>
      <c r="G89" s="1054"/>
      <c r="H89" s="1333" t="s">
        <v>3114</v>
      </c>
      <c r="I89" s="1334"/>
      <c r="J89" s="1335"/>
      <c r="K89" s="75"/>
    </row>
    <row r="90" spans="1:11" s="31" customFormat="1" ht="63" customHeight="1" x14ac:dyDescent="0.3">
      <c r="A90" s="1054"/>
      <c r="B90" s="1358"/>
      <c r="C90" s="1358"/>
      <c r="D90" s="1358"/>
      <c r="E90" s="1045" t="s">
        <v>2829</v>
      </c>
      <c r="F90" s="1045">
        <v>1</v>
      </c>
      <c r="G90" s="1054"/>
      <c r="H90" s="1333" t="s">
        <v>3115</v>
      </c>
      <c r="I90" s="1334"/>
      <c r="J90" s="1335"/>
      <c r="K90" s="75"/>
    </row>
    <row r="91" spans="1:11" s="31" customFormat="1" ht="48" customHeight="1" x14ac:dyDescent="0.3">
      <c r="A91" s="391">
        <v>6</v>
      </c>
      <c r="B91" s="1358"/>
      <c r="C91" s="1358"/>
      <c r="D91" s="1358"/>
      <c r="E91" s="127" t="s">
        <v>1159</v>
      </c>
      <c r="F91" s="127">
        <v>1</v>
      </c>
      <c r="G91" s="128"/>
      <c r="H91" s="1333" t="s">
        <v>2606</v>
      </c>
      <c r="I91" s="1334"/>
      <c r="J91" s="1335"/>
    </row>
    <row r="92" spans="1:11" s="31" customFormat="1" ht="47.1" customHeight="1" x14ac:dyDescent="0.3">
      <c r="A92" s="391">
        <v>6</v>
      </c>
      <c r="B92" s="1358"/>
      <c r="C92" s="1358"/>
      <c r="D92" s="1358"/>
      <c r="E92" s="127" t="s">
        <v>1159</v>
      </c>
      <c r="F92" s="127">
        <v>1</v>
      </c>
      <c r="G92" s="128"/>
      <c r="H92" s="1333" t="s">
        <v>2607</v>
      </c>
      <c r="I92" s="1334"/>
      <c r="J92" s="1335"/>
    </row>
    <row r="93" spans="1:11" s="31" customFormat="1" ht="51" customHeight="1" x14ac:dyDescent="0.3">
      <c r="A93" s="391">
        <v>6</v>
      </c>
      <c r="B93" s="1358"/>
      <c r="C93" s="1358"/>
      <c r="D93" s="1358"/>
      <c r="E93" s="127" t="s">
        <v>2373</v>
      </c>
      <c r="F93" s="127">
        <v>1</v>
      </c>
      <c r="G93" s="128"/>
      <c r="H93" s="169">
        <v>0</v>
      </c>
      <c r="I93" s="169">
        <v>0</v>
      </c>
      <c r="J93" s="131"/>
    </row>
    <row r="94" spans="1:11" s="31" customFormat="1" ht="36" x14ac:dyDescent="0.3">
      <c r="A94" s="391">
        <v>6</v>
      </c>
      <c r="B94" s="1358"/>
      <c r="C94" s="1358"/>
      <c r="D94" s="1358"/>
      <c r="E94" s="127" t="s">
        <v>2595</v>
      </c>
      <c r="F94" s="127">
        <v>1</v>
      </c>
      <c r="G94" s="128"/>
      <c r="H94" s="169">
        <v>0</v>
      </c>
      <c r="I94" s="169">
        <v>0</v>
      </c>
      <c r="J94" s="131"/>
    </row>
    <row r="95" spans="1:11" s="31" customFormat="1" ht="18" x14ac:dyDescent="0.3">
      <c r="A95" s="391">
        <v>6</v>
      </c>
      <c r="B95" s="1358"/>
      <c r="C95" s="1358"/>
      <c r="D95" s="1358"/>
      <c r="E95" s="127" t="s">
        <v>2596</v>
      </c>
      <c r="F95" s="127">
        <v>1</v>
      </c>
      <c r="G95" s="128"/>
      <c r="H95" s="169">
        <v>0</v>
      </c>
      <c r="I95" s="169">
        <v>0</v>
      </c>
      <c r="J95" s="131"/>
    </row>
    <row r="96" spans="1:11" s="31" customFormat="1" ht="67.05" customHeight="1" x14ac:dyDescent="0.3">
      <c r="A96" s="1054"/>
      <c r="B96" s="1358"/>
      <c r="C96" s="1358"/>
      <c r="D96" s="1358"/>
      <c r="E96" s="1045" t="s">
        <v>2608</v>
      </c>
      <c r="F96" s="1045">
        <v>1</v>
      </c>
      <c r="G96" s="1054"/>
      <c r="H96" s="1333" t="s">
        <v>2609</v>
      </c>
      <c r="I96" s="1334"/>
      <c r="J96" s="1335"/>
    </row>
    <row r="97" spans="1:10" s="31" customFormat="1" ht="60" customHeight="1" x14ac:dyDescent="0.3">
      <c r="A97" s="1054"/>
      <c r="B97" s="1358"/>
      <c r="C97" s="1358"/>
      <c r="D97" s="1358"/>
      <c r="E97" s="1045" t="s">
        <v>2608</v>
      </c>
      <c r="F97" s="1045">
        <v>1</v>
      </c>
      <c r="G97" s="1054"/>
      <c r="H97" s="1333" t="s">
        <v>2610</v>
      </c>
      <c r="I97" s="1334"/>
      <c r="J97" s="1335"/>
    </row>
    <row r="98" spans="1:10" s="31" customFormat="1" ht="51" customHeight="1" x14ac:dyDescent="0.3">
      <c r="A98" s="391">
        <v>6</v>
      </c>
      <c r="B98" s="1358"/>
      <c r="C98" s="1358"/>
      <c r="D98" s="1358"/>
      <c r="E98" s="127" t="s">
        <v>77</v>
      </c>
      <c r="F98" s="127">
        <v>1</v>
      </c>
      <c r="G98" s="128"/>
      <c r="H98" s="169">
        <v>0</v>
      </c>
      <c r="I98" s="169">
        <v>0</v>
      </c>
      <c r="J98" s="131"/>
    </row>
    <row r="99" spans="1:10" s="31" customFormat="1" ht="51" customHeight="1" x14ac:dyDescent="0.3">
      <c r="A99" s="391">
        <v>6</v>
      </c>
      <c r="B99" s="1358"/>
      <c r="C99" s="1358"/>
      <c r="D99" s="1358"/>
      <c r="E99" s="127" t="s">
        <v>2611</v>
      </c>
      <c r="F99" s="127">
        <v>1</v>
      </c>
      <c r="G99" s="128"/>
      <c r="H99" s="169">
        <v>0</v>
      </c>
      <c r="I99" s="169">
        <v>0</v>
      </c>
      <c r="J99" s="131"/>
    </row>
    <row r="100" spans="1:10" s="31" customFormat="1" ht="18.600000000000001" thickBot="1" x14ac:dyDescent="0.35">
      <c r="A100" s="391">
        <v>6</v>
      </c>
      <c r="B100" s="1358"/>
      <c r="C100" s="1358"/>
      <c r="D100" s="1358"/>
      <c r="E100" s="127" t="s">
        <v>2612</v>
      </c>
      <c r="F100" s="127">
        <v>1</v>
      </c>
      <c r="G100" s="128"/>
      <c r="H100" s="169">
        <v>0</v>
      </c>
      <c r="I100" s="169">
        <v>0</v>
      </c>
      <c r="J100" s="131"/>
    </row>
    <row r="101" spans="1:10" s="31" customFormat="1" ht="38.25" customHeight="1" thickTop="1" x14ac:dyDescent="0.3">
      <c r="A101" s="391">
        <v>7</v>
      </c>
      <c r="B101" s="1359" t="s">
        <v>344</v>
      </c>
      <c r="C101" s="1359" t="s">
        <v>1161</v>
      </c>
      <c r="D101" s="1360" t="s">
        <v>262</v>
      </c>
      <c r="E101" s="150" t="s">
        <v>214</v>
      </c>
      <c r="F101" s="150">
        <v>1</v>
      </c>
      <c r="G101" s="151"/>
      <c r="H101" s="172">
        <v>0</v>
      </c>
      <c r="I101" s="172">
        <v>0</v>
      </c>
      <c r="J101" s="152"/>
    </row>
    <row r="102" spans="1:10" s="31" customFormat="1" ht="38.25" customHeight="1" x14ac:dyDescent="0.3">
      <c r="A102" s="391">
        <v>7</v>
      </c>
      <c r="B102" s="1358"/>
      <c r="C102" s="1358"/>
      <c r="D102" s="1311"/>
      <c r="E102" s="127" t="s">
        <v>1162</v>
      </c>
      <c r="F102" s="127">
        <v>1</v>
      </c>
      <c r="G102" s="128"/>
      <c r="H102" s="169">
        <v>0</v>
      </c>
      <c r="I102" s="854">
        <v>0</v>
      </c>
      <c r="J102" s="131"/>
    </row>
    <row r="103" spans="1:10" s="31" customFormat="1" ht="38.25" customHeight="1" x14ac:dyDescent="0.3">
      <c r="A103" s="391">
        <v>7</v>
      </c>
      <c r="B103" s="1358"/>
      <c r="C103" s="1358"/>
      <c r="D103" s="1311"/>
      <c r="E103" s="127" t="s">
        <v>1163</v>
      </c>
      <c r="F103" s="127">
        <v>1</v>
      </c>
      <c r="G103" s="128"/>
      <c r="H103" s="169">
        <v>0</v>
      </c>
      <c r="I103" s="854">
        <v>0</v>
      </c>
      <c r="J103" s="131"/>
    </row>
    <row r="104" spans="1:10" s="31" customFormat="1" ht="62.55" customHeight="1" x14ac:dyDescent="0.3">
      <c r="A104" s="391">
        <v>7</v>
      </c>
      <c r="B104" s="1358"/>
      <c r="C104" s="1358"/>
      <c r="D104" s="1311"/>
      <c r="E104" s="127" t="s">
        <v>1164</v>
      </c>
      <c r="F104" s="127">
        <v>1</v>
      </c>
      <c r="G104" s="128"/>
      <c r="H104" s="1333" t="s">
        <v>3116</v>
      </c>
      <c r="I104" s="1334"/>
      <c r="J104" s="1335"/>
    </row>
    <row r="105" spans="1:10" s="31" customFormat="1" ht="96.75" customHeight="1" x14ac:dyDescent="0.3">
      <c r="A105" s="391">
        <v>7</v>
      </c>
      <c r="B105" s="1358"/>
      <c r="C105" s="1358"/>
      <c r="D105" s="1311"/>
      <c r="E105" s="127" t="s">
        <v>1164</v>
      </c>
      <c r="F105" s="127">
        <v>1</v>
      </c>
      <c r="G105" s="128"/>
      <c r="H105" s="1333" t="s">
        <v>2239</v>
      </c>
      <c r="I105" s="1334"/>
      <c r="J105" s="1335"/>
    </row>
    <row r="106" spans="1:10" s="31" customFormat="1" ht="42.6" customHeight="1" x14ac:dyDescent="0.3">
      <c r="A106" s="391">
        <v>7</v>
      </c>
      <c r="B106" s="1358"/>
      <c r="C106" s="1358"/>
      <c r="D106" s="1311"/>
      <c r="E106" s="127" t="s">
        <v>1164</v>
      </c>
      <c r="F106" s="127">
        <v>1</v>
      </c>
      <c r="G106" s="128"/>
      <c r="H106" s="1333" t="s">
        <v>1165</v>
      </c>
      <c r="I106" s="1334"/>
      <c r="J106" s="1335"/>
    </row>
    <row r="107" spans="1:10" s="31" customFormat="1" ht="37.5" customHeight="1" x14ac:dyDescent="0.3">
      <c r="A107" s="391">
        <v>7</v>
      </c>
      <c r="B107" s="1358"/>
      <c r="C107" s="1358"/>
      <c r="D107" s="1311" t="s">
        <v>2067</v>
      </c>
      <c r="E107" s="127" t="str">
        <f>'Input -CIES'!E7</f>
        <v>CIES Line 1</v>
      </c>
      <c r="F107" s="127">
        <v>1</v>
      </c>
      <c r="G107" s="128"/>
      <c r="H107" s="169">
        <v>0</v>
      </c>
      <c r="I107" s="169">
        <v>0</v>
      </c>
      <c r="J107" s="131"/>
    </row>
    <row r="108" spans="1:10" s="31" customFormat="1" ht="18" x14ac:dyDescent="0.3">
      <c r="A108" s="391">
        <v>7</v>
      </c>
      <c r="B108" s="1358"/>
      <c r="C108" s="1358"/>
      <c r="D108" s="1311"/>
      <c r="E108" s="127" t="str">
        <f>'Input -CIES'!E8</f>
        <v>CIES Line 2</v>
      </c>
      <c r="F108" s="127">
        <v>1</v>
      </c>
      <c r="G108" s="128"/>
      <c r="H108" s="169">
        <v>0</v>
      </c>
      <c r="I108" s="169">
        <v>0</v>
      </c>
      <c r="J108" s="131"/>
    </row>
    <row r="109" spans="1:10" s="31" customFormat="1" ht="18" x14ac:dyDescent="0.3">
      <c r="A109" s="391">
        <v>7</v>
      </c>
      <c r="B109" s="1358"/>
      <c r="C109" s="1358"/>
      <c r="D109" s="1311"/>
      <c r="E109" s="127" t="str">
        <f>'Input -CIES'!E9</f>
        <v>CIES Line 3</v>
      </c>
      <c r="F109" s="127">
        <v>1</v>
      </c>
      <c r="G109" s="128"/>
      <c r="H109" s="169">
        <v>0</v>
      </c>
      <c r="I109" s="169">
        <v>0</v>
      </c>
      <c r="J109" s="131"/>
    </row>
    <row r="110" spans="1:10" s="31" customFormat="1" ht="18" x14ac:dyDescent="0.3">
      <c r="A110" s="391">
        <v>7</v>
      </c>
      <c r="B110" s="1358"/>
      <c r="C110" s="1358"/>
      <c r="D110" s="1311"/>
      <c r="E110" s="127" t="str">
        <f>'Input -CIES'!E10</f>
        <v>CIES Line 4</v>
      </c>
      <c r="F110" s="127">
        <v>1</v>
      </c>
      <c r="G110" s="128"/>
      <c r="H110" s="169">
        <v>0</v>
      </c>
      <c r="I110" s="169">
        <v>0</v>
      </c>
      <c r="J110" s="131"/>
    </row>
    <row r="111" spans="1:10" s="31" customFormat="1" ht="18" x14ac:dyDescent="0.3">
      <c r="A111" s="391">
        <v>7</v>
      </c>
      <c r="B111" s="1358"/>
      <c r="C111" s="1358"/>
      <c r="D111" s="1311"/>
      <c r="E111" s="127" t="str">
        <f>'Input -CIES'!E11</f>
        <v>CIES Line 5</v>
      </c>
      <c r="F111" s="127">
        <v>1</v>
      </c>
      <c r="G111" s="128"/>
      <c r="H111" s="169">
        <v>0</v>
      </c>
      <c r="I111" s="169">
        <v>0</v>
      </c>
      <c r="J111" s="131"/>
    </row>
    <row r="112" spans="1:10" s="31" customFormat="1" ht="18" x14ac:dyDescent="0.3">
      <c r="A112" s="967">
        <v>7</v>
      </c>
      <c r="B112" s="1358"/>
      <c r="C112" s="1358"/>
      <c r="D112" s="1311"/>
      <c r="E112" s="127" t="str">
        <f>'Input -CIES'!E12</f>
        <v>CIES Line 6</v>
      </c>
      <c r="F112" s="966">
        <v>1</v>
      </c>
      <c r="G112" s="967"/>
      <c r="H112" s="169">
        <v>0</v>
      </c>
      <c r="I112" s="169">
        <v>0</v>
      </c>
      <c r="J112" s="1026"/>
    </row>
    <row r="113" spans="1:10" s="31" customFormat="1" ht="18" x14ac:dyDescent="0.3">
      <c r="A113" s="967">
        <v>7</v>
      </c>
      <c r="B113" s="1358"/>
      <c r="C113" s="1358"/>
      <c r="D113" s="1311"/>
      <c r="E113" s="127" t="str">
        <f>'Input -CIES'!E13</f>
        <v>CIES Line 7</v>
      </c>
      <c r="F113" s="966">
        <v>1</v>
      </c>
      <c r="G113" s="967"/>
      <c r="H113" s="169">
        <v>0</v>
      </c>
      <c r="I113" s="169">
        <v>0</v>
      </c>
      <c r="J113" s="1026"/>
    </row>
    <row r="114" spans="1:10" s="31" customFormat="1" ht="18" x14ac:dyDescent="0.3">
      <c r="A114" s="967">
        <v>7</v>
      </c>
      <c r="B114" s="1358"/>
      <c r="C114" s="1358"/>
      <c r="D114" s="1311"/>
      <c r="E114" s="127" t="str">
        <f>'Input -CIES'!E14</f>
        <v>CIES Line 8</v>
      </c>
      <c r="F114" s="966">
        <v>1</v>
      </c>
      <c r="G114" s="967"/>
      <c r="H114" s="169">
        <v>0</v>
      </c>
      <c r="I114" s="169">
        <v>0</v>
      </c>
      <c r="J114" s="1026"/>
    </row>
    <row r="115" spans="1:10" s="31" customFormat="1" ht="18" x14ac:dyDescent="0.3">
      <c r="A115" s="967">
        <v>7</v>
      </c>
      <c r="B115" s="1358"/>
      <c r="C115" s="1358"/>
      <c r="D115" s="1311"/>
      <c r="E115" s="127" t="str">
        <f>'Input -CIES'!E15</f>
        <v>CIES Line 9</v>
      </c>
      <c r="F115" s="966">
        <v>1</v>
      </c>
      <c r="G115" s="967"/>
      <c r="H115" s="169">
        <v>0</v>
      </c>
      <c r="I115" s="169">
        <v>0</v>
      </c>
      <c r="J115" s="1026"/>
    </row>
    <row r="116" spans="1:10" s="31" customFormat="1" ht="18" x14ac:dyDescent="0.3">
      <c r="A116" s="967">
        <v>7</v>
      </c>
      <c r="B116" s="1358"/>
      <c r="C116" s="1358"/>
      <c r="D116" s="1311"/>
      <c r="E116" s="127" t="str">
        <f>'Input -CIES'!E16</f>
        <v>CIES Line 10</v>
      </c>
      <c r="F116" s="966">
        <v>1</v>
      </c>
      <c r="G116" s="967"/>
      <c r="H116" s="169">
        <v>0</v>
      </c>
      <c r="I116" s="169">
        <v>0</v>
      </c>
      <c r="J116" s="1026"/>
    </row>
    <row r="117" spans="1:10" s="31" customFormat="1" ht="18" x14ac:dyDescent="0.3">
      <c r="A117" s="967">
        <v>7</v>
      </c>
      <c r="B117" s="1358"/>
      <c r="C117" s="1358"/>
      <c r="D117" s="1311"/>
      <c r="E117" s="127" t="str">
        <f>'Input -CIES'!E17</f>
        <v>CIES Line 11</v>
      </c>
      <c r="F117" s="966">
        <v>1</v>
      </c>
      <c r="G117" s="967"/>
      <c r="H117" s="169">
        <v>0</v>
      </c>
      <c r="I117" s="169">
        <v>0</v>
      </c>
      <c r="J117" s="1026"/>
    </row>
    <row r="118" spans="1:10" s="31" customFormat="1" ht="18" x14ac:dyDescent="0.3">
      <c r="A118" s="967">
        <v>7</v>
      </c>
      <c r="B118" s="1358"/>
      <c r="C118" s="1358"/>
      <c r="D118" s="1311"/>
      <c r="E118" s="127" t="str">
        <f>'Input -CIES'!E18</f>
        <v>CIES Line 12</v>
      </c>
      <c r="F118" s="966">
        <v>1</v>
      </c>
      <c r="G118" s="967"/>
      <c r="H118" s="169">
        <v>0</v>
      </c>
      <c r="I118" s="169">
        <v>0</v>
      </c>
      <c r="J118" s="1026"/>
    </row>
    <row r="119" spans="1:10" s="31" customFormat="1" ht="18" x14ac:dyDescent="0.3">
      <c r="A119" s="967">
        <v>7</v>
      </c>
      <c r="B119" s="1358"/>
      <c r="C119" s="1358"/>
      <c r="D119" s="1311"/>
      <c r="E119" s="127" t="str">
        <f>'Input -CIES'!E19</f>
        <v>CIES Line 13</v>
      </c>
      <c r="F119" s="966">
        <v>1</v>
      </c>
      <c r="G119" s="967"/>
      <c r="H119" s="169">
        <v>0</v>
      </c>
      <c r="I119" s="169">
        <v>0</v>
      </c>
      <c r="J119" s="1026"/>
    </row>
    <row r="120" spans="1:10" s="31" customFormat="1" ht="18" x14ac:dyDescent="0.3">
      <c r="A120" s="967">
        <v>7</v>
      </c>
      <c r="B120" s="1358"/>
      <c r="C120" s="1358"/>
      <c r="D120" s="1311"/>
      <c r="E120" s="127" t="str">
        <f>'Input -CIES'!E20</f>
        <v>CIES Line 14</v>
      </c>
      <c r="F120" s="966">
        <v>1</v>
      </c>
      <c r="G120" s="967"/>
      <c r="H120" s="169">
        <v>0</v>
      </c>
      <c r="I120" s="169">
        <v>0</v>
      </c>
      <c r="J120" s="1026"/>
    </row>
    <row r="121" spans="1:10" s="31" customFormat="1" ht="18" x14ac:dyDescent="0.3">
      <c r="A121" s="967">
        <v>7</v>
      </c>
      <c r="B121" s="1358"/>
      <c r="C121" s="1358"/>
      <c r="D121" s="1311"/>
      <c r="E121" s="127" t="str">
        <f>'Input -CIES'!E21</f>
        <v>CIES Line 15</v>
      </c>
      <c r="F121" s="966">
        <v>1</v>
      </c>
      <c r="G121" s="967"/>
      <c r="H121" s="169">
        <v>0</v>
      </c>
      <c r="I121" s="169">
        <v>0</v>
      </c>
      <c r="J121" s="1026"/>
    </row>
    <row r="122" spans="1:10" s="31" customFormat="1" ht="18" x14ac:dyDescent="0.3">
      <c r="A122" s="967">
        <v>7</v>
      </c>
      <c r="B122" s="1358"/>
      <c r="C122" s="1358"/>
      <c r="D122" s="1311"/>
      <c r="E122" s="127" t="str">
        <f>'Input -CIES'!E22</f>
        <v>CIES Line 16</v>
      </c>
      <c r="F122" s="966">
        <v>1</v>
      </c>
      <c r="G122" s="967"/>
      <c r="H122" s="169">
        <v>0</v>
      </c>
      <c r="I122" s="169">
        <v>0</v>
      </c>
      <c r="J122" s="1026"/>
    </row>
    <row r="123" spans="1:10" s="31" customFormat="1" ht="18" x14ac:dyDescent="0.3">
      <c r="A123" s="967">
        <v>7</v>
      </c>
      <c r="B123" s="1358"/>
      <c r="C123" s="1358"/>
      <c r="D123" s="1311"/>
      <c r="E123" s="127" t="str">
        <f>'Input -CIES'!E23</f>
        <v>CIES Line 17</v>
      </c>
      <c r="F123" s="966">
        <v>1</v>
      </c>
      <c r="G123" s="967"/>
      <c r="H123" s="169">
        <v>0</v>
      </c>
      <c r="I123" s="169">
        <v>0</v>
      </c>
      <c r="J123" s="1026"/>
    </row>
    <row r="124" spans="1:10" s="31" customFormat="1" ht="18" x14ac:dyDescent="0.3">
      <c r="A124" s="967">
        <v>7</v>
      </c>
      <c r="B124" s="1358"/>
      <c r="C124" s="1358"/>
      <c r="D124" s="1311"/>
      <c r="E124" s="127" t="str">
        <f>'Input -CIES'!E24</f>
        <v>CIES Line 18</v>
      </c>
      <c r="F124" s="966">
        <v>1</v>
      </c>
      <c r="G124" s="967"/>
      <c r="H124" s="169">
        <v>0</v>
      </c>
      <c r="I124" s="169">
        <v>0</v>
      </c>
      <c r="J124" s="1026"/>
    </row>
    <row r="125" spans="1:10" s="31" customFormat="1" ht="18" x14ac:dyDescent="0.3">
      <c r="A125" s="967">
        <v>7</v>
      </c>
      <c r="B125" s="1358"/>
      <c r="C125" s="1358"/>
      <c r="D125" s="1311"/>
      <c r="E125" s="127" t="str">
        <f>'Input -CIES'!E25</f>
        <v>CIES Line 19</v>
      </c>
      <c r="F125" s="966">
        <v>1</v>
      </c>
      <c r="G125" s="967"/>
      <c r="H125" s="169">
        <v>0</v>
      </c>
      <c r="I125" s="169">
        <v>0</v>
      </c>
      <c r="J125" s="1026"/>
    </row>
    <row r="126" spans="1:10" s="31" customFormat="1" ht="18" x14ac:dyDescent="0.3">
      <c r="A126" s="967">
        <v>7</v>
      </c>
      <c r="B126" s="1358"/>
      <c r="C126" s="1358"/>
      <c r="D126" s="1311"/>
      <c r="E126" s="127" t="str">
        <f>'Input -CIES'!E26</f>
        <v>CIES Line 20</v>
      </c>
      <c r="F126" s="966">
        <v>1</v>
      </c>
      <c r="G126" s="967"/>
      <c r="H126" s="169">
        <v>0</v>
      </c>
      <c r="I126" s="169">
        <v>0</v>
      </c>
      <c r="J126" s="1026"/>
    </row>
    <row r="127" spans="1:10" s="31" customFormat="1" ht="18" x14ac:dyDescent="0.3">
      <c r="A127" s="967">
        <v>7</v>
      </c>
      <c r="B127" s="1358"/>
      <c r="C127" s="1358"/>
      <c r="D127" s="1311"/>
      <c r="E127" s="127" t="str">
        <f>'Input -CIES'!E27</f>
        <v>CIES Line 21</v>
      </c>
      <c r="F127" s="966">
        <v>1</v>
      </c>
      <c r="G127" s="967"/>
      <c r="H127" s="169">
        <v>0</v>
      </c>
      <c r="I127" s="169">
        <v>0</v>
      </c>
      <c r="J127" s="1028"/>
    </row>
    <row r="128" spans="1:10" s="31" customFormat="1" ht="18" x14ac:dyDescent="0.3">
      <c r="A128" s="967">
        <v>7</v>
      </c>
      <c r="B128" s="1358"/>
      <c r="C128" s="1358"/>
      <c r="D128" s="1311"/>
      <c r="E128" s="127" t="str">
        <f>'Input -CIES'!E28</f>
        <v>CIES Line 22</v>
      </c>
      <c r="F128" s="966">
        <v>1</v>
      </c>
      <c r="G128" s="967"/>
      <c r="H128" s="169">
        <v>0</v>
      </c>
      <c r="I128" s="169">
        <v>0</v>
      </c>
      <c r="J128" s="1028"/>
    </row>
    <row r="129" spans="1:65" s="31" customFormat="1" ht="18" x14ac:dyDescent="0.3">
      <c r="A129" s="967">
        <v>7</v>
      </c>
      <c r="B129" s="1358"/>
      <c r="C129" s="1358"/>
      <c r="D129" s="1311"/>
      <c r="E129" s="127" t="str">
        <f>'Input -CIES'!E29</f>
        <v>CIES Line 23</v>
      </c>
      <c r="F129" s="966">
        <v>1</v>
      </c>
      <c r="G129" s="967"/>
      <c r="H129" s="169">
        <v>0</v>
      </c>
      <c r="I129" s="169">
        <v>0</v>
      </c>
      <c r="J129" s="1028"/>
    </row>
    <row r="130" spans="1:65" s="31" customFormat="1" ht="18" x14ac:dyDescent="0.3">
      <c r="A130" s="967">
        <v>7</v>
      </c>
      <c r="B130" s="1358"/>
      <c r="C130" s="1358"/>
      <c r="D130" s="1311"/>
      <c r="E130" s="127" t="str">
        <f>'Input -CIES'!E30</f>
        <v>CIES Line 24</v>
      </c>
      <c r="F130" s="966">
        <v>1</v>
      </c>
      <c r="G130" s="967"/>
      <c r="H130" s="169">
        <v>0</v>
      </c>
      <c r="I130" s="169">
        <v>0</v>
      </c>
      <c r="J130" s="1028"/>
    </row>
    <row r="131" spans="1:65" s="31" customFormat="1" ht="18" x14ac:dyDescent="0.3">
      <c r="A131" s="967">
        <v>7</v>
      </c>
      <c r="B131" s="1358"/>
      <c r="C131" s="1358"/>
      <c r="D131" s="1311"/>
      <c r="E131" s="127" t="str">
        <f>'Input -CIES'!E31</f>
        <v>CIES Line 25</v>
      </c>
      <c r="F131" s="966">
        <v>1</v>
      </c>
      <c r="G131" s="967"/>
      <c r="H131" s="169">
        <v>0</v>
      </c>
      <c r="I131" s="169">
        <v>0</v>
      </c>
      <c r="J131" s="1028"/>
    </row>
    <row r="132" spans="1:65" s="31" customFormat="1" ht="18" x14ac:dyDescent="0.3">
      <c r="A132" s="967">
        <v>7</v>
      </c>
      <c r="B132" s="1358"/>
      <c r="C132" s="1358"/>
      <c r="D132" s="1311"/>
      <c r="E132" s="127" t="str">
        <f>'Input -CIES'!E32</f>
        <v>CIES Line 26</v>
      </c>
      <c r="F132" s="966">
        <v>1</v>
      </c>
      <c r="G132" s="967"/>
      <c r="H132" s="169">
        <v>0</v>
      </c>
      <c r="I132" s="169">
        <v>0</v>
      </c>
      <c r="J132" s="1028"/>
    </row>
    <row r="133" spans="1:65" s="31" customFormat="1" ht="18" x14ac:dyDescent="0.3">
      <c r="A133" s="967">
        <v>7</v>
      </c>
      <c r="B133" s="1358"/>
      <c r="C133" s="1358"/>
      <c r="D133" s="1311"/>
      <c r="E133" s="127" t="str">
        <f>'Input -CIES'!E33</f>
        <v>CIES Line 27</v>
      </c>
      <c r="F133" s="966">
        <v>1</v>
      </c>
      <c r="G133" s="967"/>
      <c r="H133" s="169">
        <v>0</v>
      </c>
      <c r="I133" s="169">
        <v>0</v>
      </c>
      <c r="J133" s="1028"/>
    </row>
    <row r="134" spans="1:65" s="31" customFormat="1" ht="18" x14ac:dyDescent="0.3">
      <c r="A134" s="967">
        <v>7</v>
      </c>
      <c r="B134" s="1358"/>
      <c r="C134" s="1358"/>
      <c r="D134" s="1311"/>
      <c r="E134" s="127" t="str">
        <f>'Input -CIES'!E34</f>
        <v>CIES Line 28</v>
      </c>
      <c r="F134" s="966">
        <v>1</v>
      </c>
      <c r="G134" s="967"/>
      <c r="H134" s="169">
        <v>0</v>
      </c>
      <c r="I134" s="169">
        <v>0</v>
      </c>
      <c r="J134" s="1028"/>
    </row>
    <row r="135" spans="1:65" s="31" customFormat="1" ht="18" x14ac:dyDescent="0.3">
      <c r="A135" s="967">
        <v>7</v>
      </c>
      <c r="B135" s="1358"/>
      <c r="C135" s="1358"/>
      <c r="D135" s="1311"/>
      <c r="E135" s="127" t="str">
        <f>'Input -CIES'!E35</f>
        <v>CIES Line 29</v>
      </c>
      <c r="F135" s="966">
        <v>1</v>
      </c>
      <c r="G135" s="967"/>
      <c r="H135" s="169">
        <v>0</v>
      </c>
      <c r="I135" s="169">
        <v>0</v>
      </c>
      <c r="J135" s="1028"/>
    </row>
    <row r="136" spans="1:65" s="31" customFormat="1" ht="18" x14ac:dyDescent="0.3">
      <c r="A136" s="967">
        <v>7</v>
      </c>
      <c r="B136" s="1358"/>
      <c r="C136" s="1358"/>
      <c r="D136" s="1311"/>
      <c r="E136" s="127" t="str">
        <f>'Input -CIES'!E36</f>
        <v>CIES Line 30</v>
      </c>
      <c r="F136" s="966">
        <v>1</v>
      </c>
      <c r="G136" s="967"/>
      <c r="H136" s="169">
        <v>0</v>
      </c>
      <c r="I136" s="169">
        <v>0</v>
      </c>
      <c r="J136" s="1028"/>
    </row>
    <row r="137" spans="1:65" s="31" customFormat="1" ht="36" x14ac:dyDescent="0.3">
      <c r="A137" s="967">
        <v>7</v>
      </c>
      <c r="B137" s="1358"/>
      <c r="C137" s="1358"/>
      <c r="D137" s="1311" t="s">
        <v>262</v>
      </c>
      <c r="E137" s="127" t="s">
        <v>1171</v>
      </c>
      <c r="F137" s="127">
        <v>1</v>
      </c>
      <c r="G137" s="128"/>
      <c r="H137" s="169">
        <v>0</v>
      </c>
      <c r="I137" s="169">
        <v>0</v>
      </c>
      <c r="J137" s="131"/>
    </row>
    <row r="138" spans="1:65" s="31" customFormat="1" ht="36" x14ac:dyDescent="0.3">
      <c r="A138" s="967">
        <v>7</v>
      </c>
      <c r="B138" s="1295"/>
      <c r="C138" s="1295"/>
      <c r="D138" s="1307"/>
      <c r="E138" s="127" t="s">
        <v>1172</v>
      </c>
      <c r="F138" s="127">
        <v>1</v>
      </c>
      <c r="G138" s="128"/>
      <c r="H138" s="169">
        <v>0</v>
      </c>
      <c r="I138" s="169">
        <v>0</v>
      </c>
      <c r="J138" s="131"/>
    </row>
    <row r="139" spans="1:65" s="31" customFormat="1" ht="38.25" customHeight="1" x14ac:dyDescent="0.3">
      <c r="A139" s="967">
        <v>7</v>
      </c>
      <c r="B139" s="1357" t="s">
        <v>344</v>
      </c>
      <c r="C139" s="1357" t="s">
        <v>1161</v>
      </c>
      <c r="D139" s="1357" t="s">
        <v>1467</v>
      </c>
      <c r="E139" s="127" t="s">
        <v>219</v>
      </c>
      <c r="F139" s="127">
        <v>1</v>
      </c>
      <c r="G139" s="128"/>
      <c r="H139" s="169">
        <v>0</v>
      </c>
      <c r="I139" s="169">
        <v>0</v>
      </c>
      <c r="J139" s="131"/>
    </row>
    <row r="140" spans="1:65" s="31" customFormat="1" ht="38.25" customHeight="1" x14ac:dyDescent="0.3">
      <c r="A140" s="967">
        <v>7</v>
      </c>
      <c r="B140" s="1358"/>
      <c r="C140" s="1358"/>
      <c r="D140" s="1358"/>
      <c r="E140" s="127" t="s">
        <v>220</v>
      </c>
      <c r="F140" s="127">
        <v>1</v>
      </c>
      <c r="G140" s="128"/>
      <c r="H140" s="169">
        <v>0</v>
      </c>
      <c r="I140" s="169">
        <v>0</v>
      </c>
      <c r="J140" s="131"/>
    </row>
    <row r="141" spans="1:65" s="31" customFormat="1" ht="38.25" customHeight="1" x14ac:dyDescent="0.3">
      <c r="A141" s="967">
        <v>7</v>
      </c>
      <c r="B141" s="1358"/>
      <c r="C141" s="1358"/>
      <c r="D141" s="1358"/>
      <c r="E141" s="127" t="s">
        <v>1501</v>
      </c>
      <c r="F141" s="127">
        <v>1</v>
      </c>
      <c r="G141" s="128"/>
      <c r="H141" s="169">
        <v>0</v>
      </c>
      <c r="I141" s="169">
        <v>0</v>
      </c>
      <c r="J141" s="131"/>
    </row>
    <row r="142" spans="1:65" s="31" customFormat="1" ht="38.25" customHeight="1" x14ac:dyDescent="0.3">
      <c r="A142" s="967">
        <v>7</v>
      </c>
      <c r="B142" s="1358"/>
      <c r="C142" s="1358"/>
      <c r="D142" s="1358"/>
      <c r="E142" s="127" t="s">
        <v>1502</v>
      </c>
      <c r="F142" s="127">
        <v>1</v>
      </c>
      <c r="G142" s="128"/>
      <c r="H142" s="169">
        <v>0</v>
      </c>
      <c r="I142" s="169">
        <v>0</v>
      </c>
      <c r="J142" s="131"/>
    </row>
    <row r="143" spans="1:65" s="115" customFormat="1" ht="38.25" customHeight="1" x14ac:dyDescent="0.3">
      <c r="A143" s="967">
        <v>7</v>
      </c>
      <c r="B143" s="1358"/>
      <c r="C143" s="1358"/>
      <c r="D143" s="1358"/>
      <c r="E143" s="127" t="s">
        <v>1575</v>
      </c>
      <c r="F143" s="127">
        <v>1</v>
      </c>
      <c r="G143" s="128"/>
      <c r="H143" s="169">
        <v>0</v>
      </c>
      <c r="I143" s="169">
        <v>0</v>
      </c>
      <c r="J143" s="1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row>
    <row r="144" spans="1:65" s="115" customFormat="1" ht="38.25" customHeight="1" x14ac:dyDescent="0.3">
      <c r="A144" s="967">
        <v>7</v>
      </c>
      <c r="B144" s="1358"/>
      <c r="C144" s="1358"/>
      <c r="D144" s="1358"/>
      <c r="E144" s="127" t="s">
        <v>1576</v>
      </c>
      <c r="F144" s="127">
        <v>1</v>
      </c>
      <c r="G144" s="128"/>
      <c r="H144" s="169">
        <v>0</v>
      </c>
      <c r="I144" s="169">
        <v>0</v>
      </c>
      <c r="J144" s="1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row>
    <row r="145" spans="1:65" s="115" customFormat="1" ht="38.25" customHeight="1" x14ac:dyDescent="0.3">
      <c r="A145" s="967">
        <v>7</v>
      </c>
      <c r="B145" s="1295"/>
      <c r="C145" s="1295"/>
      <c r="D145" s="1295"/>
      <c r="E145" s="127" t="s">
        <v>1577</v>
      </c>
      <c r="F145" s="127">
        <v>1</v>
      </c>
      <c r="G145" s="128"/>
      <c r="H145" s="169">
        <v>0</v>
      </c>
      <c r="I145" s="169">
        <v>0</v>
      </c>
      <c r="J145" s="1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row>
    <row r="146" spans="1:65" s="31" customFormat="1" ht="38.25" customHeight="1" x14ac:dyDescent="0.3">
      <c r="A146" s="967">
        <v>7</v>
      </c>
      <c r="B146" s="1306" t="s">
        <v>344</v>
      </c>
      <c r="C146" s="1306" t="s">
        <v>1161</v>
      </c>
      <c r="D146" s="1306" t="s">
        <v>1503</v>
      </c>
      <c r="E146" s="127" t="s">
        <v>1504</v>
      </c>
      <c r="F146" s="127">
        <v>1</v>
      </c>
      <c r="G146" s="128"/>
      <c r="H146" s="169">
        <v>0</v>
      </c>
      <c r="I146" s="169">
        <v>0</v>
      </c>
      <c r="J146" s="131"/>
    </row>
    <row r="147" spans="1:65" s="31" customFormat="1" ht="38.25" customHeight="1" x14ac:dyDescent="0.3">
      <c r="A147" s="967">
        <v>7</v>
      </c>
      <c r="B147" s="1311"/>
      <c r="C147" s="1311"/>
      <c r="D147" s="1311"/>
      <c r="E147" s="127" t="s">
        <v>226</v>
      </c>
      <c r="F147" s="127">
        <v>1</v>
      </c>
      <c r="G147" s="128"/>
      <c r="H147" s="169">
        <v>0</v>
      </c>
      <c r="I147" s="169">
        <v>0</v>
      </c>
      <c r="J147" s="131"/>
    </row>
    <row r="148" spans="1:65" s="31" customFormat="1" ht="38.25" customHeight="1" x14ac:dyDescent="0.3">
      <c r="A148" s="967">
        <v>7</v>
      </c>
      <c r="B148" s="1311"/>
      <c r="C148" s="1311"/>
      <c r="D148" s="1311"/>
      <c r="E148" s="127" t="s">
        <v>227</v>
      </c>
      <c r="F148" s="127">
        <v>1</v>
      </c>
      <c r="G148" s="128"/>
      <c r="H148" s="169">
        <v>0</v>
      </c>
      <c r="I148" s="169">
        <v>0</v>
      </c>
      <c r="J148" s="131"/>
    </row>
    <row r="149" spans="1:65" s="31" customFormat="1" ht="38.25" customHeight="1" x14ac:dyDescent="0.3">
      <c r="A149" s="967">
        <v>7</v>
      </c>
      <c r="B149" s="1311"/>
      <c r="C149" s="1311"/>
      <c r="D149" s="1311"/>
      <c r="E149" s="127" t="s">
        <v>230</v>
      </c>
      <c r="F149" s="127">
        <v>1</v>
      </c>
      <c r="G149" s="128"/>
      <c r="H149" s="169">
        <v>0</v>
      </c>
      <c r="I149" s="169">
        <v>0</v>
      </c>
      <c r="J149" s="131"/>
    </row>
    <row r="150" spans="1:65" s="31" customFormat="1" ht="38.25" customHeight="1" x14ac:dyDescent="0.3">
      <c r="A150" s="967">
        <v>7</v>
      </c>
      <c r="B150" s="1311"/>
      <c r="C150" s="1311"/>
      <c r="D150" s="1311"/>
      <c r="E150" s="127" t="s">
        <v>1505</v>
      </c>
      <c r="F150" s="127">
        <v>1</v>
      </c>
      <c r="G150" s="128"/>
      <c r="H150" s="169">
        <v>0</v>
      </c>
      <c r="I150" s="169">
        <v>0</v>
      </c>
      <c r="J150" s="131"/>
    </row>
    <row r="151" spans="1:65" s="31" customFormat="1" ht="38.25" customHeight="1" x14ac:dyDescent="0.3">
      <c r="A151" s="967">
        <v>7</v>
      </c>
      <c r="B151" s="1307"/>
      <c r="C151" s="1307"/>
      <c r="D151" s="1307"/>
      <c r="E151" s="127" t="s">
        <v>1470</v>
      </c>
      <c r="F151" s="127">
        <v>1</v>
      </c>
      <c r="G151" s="128"/>
      <c r="H151" s="169">
        <v>0</v>
      </c>
      <c r="I151" s="169">
        <v>0</v>
      </c>
      <c r="J151" s="131"/>
    </row>
    <row r="152" spans="1:65" s="31" customFormat="1" ht="60" customHeight="1" x14ac:dyDescent="0.3">
      <c r="A152" s="967">
        <v>7</v>
      </c>
      <c r="B152" s="1357" t="s">
        <v>344</v>
      </c>
      <c r="C152" s="1357" t="s">
        <v>1161</v>
      </c>
      <c r="D152" s="1357" t="s">
        <v>262</v>
      </c>
      <c r="E152" s="127" t="s">
        <v>1458</v>
      </c>
      <c r="F152" s="127">
        <v>1</v>
      </c>
      <c r="G152" s="128"/>
      <c r="H152" s="1352" t="s">
        <v>1472</v>
      </c>
      <c r="I152" s="1353"/>
      <c r="J152" s="1354"/>
    </row>
    <row r="153" spans="1:65" s="31" customFormat="1" ht="152.55000000000001" customHeight="1" x14ac:dyDescent="0.3">
      <c r="A153" s="967">
        <v>7</v>
      </c>
      <c r="B153" s="1358"/>
      <c r="C153" s="1358"/>
      <c r="D153" s="1358"/>
      <c r="E153" s="127" t="s">
        <v>1458</v>
      </c>
      <c r="F153" s="127">
        <v>1</v>
      </c>
      <c r="G153" s="128"/>
      <c r="H153" s="1352" t="s">
        <v>3117</v>
      </c>
      <c r="I153" s="1353"/>
      <c r="J153" s="1354"/>
    </row>
    <row r="154" spans="1:65" s="31" customFormat="1" ht="230.25" customHeight="1" x14ac:dyDescent="0.3">
      <c r="A154" s="967">
        <v>7</v>
      </c>
      <c r="B154" s="1358"/>
      <c r="C154" s="1358"/>
      <c r="D154" s="1358"/>
      <c r="E154" s="127" t="s">
        <v>1458</v>
      </c>
      <c r="F154" s="127">
        <v>1</v>
      </c>
      <c r="G154" s="128"/>
      <c r="H154" s="1352" t="s">
        <v>3118</v>
      </c>
      <c r="I154" s="1353"/>
      <c r="J154" s="1354"/>
    </row>
    <row r="155" spans="1:65" s="31" customFormat="1" ht="187.05" customHeight="1" x14ac:dyDescent="0.3">
      <c r="A155" s="967">
        <v>7</v>
      </c>
      <c r="B155" s="1358"/>
      <c r="C155" s="1358"/>
      <c r="D155" s="1358"/>
      <c r="E155" s="127" t="s">
        <v>1458</v>
      </c>
      <c r="F155" s="127">
        <v>1</v>
      </c>
      <c r="G155" s="128"/>
      <c r="H155" s="1352" t="s">
        <v>1911</v>
      </c>
      <c r="I155" s="1353"/>
      <c r="J155" s="1354"/>
    </row>
    <row r="156" spans="1:65" s="31" customFormat="1" ht="52.05" customHeight="1" x14ac:dyDescent="0.3">
      <c r="A156" s="967">
        <v>7</v>
      </c>
      <c r="B156" s="1358"/>
      <c r="C156" s="1358"/>
      <c r="D156" s="1358"/>
      <c r="E156" s="127" t="s">
        <v>1458</v>
      </c>
      <c r="F156" s="127">
        <v>1</v>
      </c>
      <c r="G156" s="128"/>
      <c r="H156" s="1352" t="s">
        <v>1912</v>
      </c>
      <c r="I156" s="1353"/>
      <c r="J156" s="1354"/>
    </row>
    <row r="157" spans="1:65" s="31" customFormat="1" ht="44.55" customHeight="1" x14ac:dyDescent="0.3">
      <c r="A157" s="967">
        <v>7</v>
      </c>
      <c r="B157" s="1358"/>
      <c r="C157" s="1358"/>
      <c r="D157" s="1358"/>
      <c r="E157" s="127" t="s">
        <v>1458</v>
      </c>
      <c r="F157" s="127">
        <v>1</v>
      </c>
      <c r="G157" s="128"/>
      <c r="H157" s="1352" t="s">
        <v>2226</v>
      </c>
      <c r="I157" s="1355"/>
      <c r="J157" s="1356"/>
    </row>
    <row r="158" spans="1:65" s="31" customFormat="1" ht="48" customHeight="1" x14ac:dyDescent="0.3">
      <c r="A158" s="967">
        <v>7</v>
      </c>
      <c r="B158" s="1358"/>
      <c r="C158" s="1358"/>
      <c r="D158" s="1358"/>
      <c r="E158" s="1031" t="s">
        <v>1458</v>
      </c>
      <c r="F158" s="1031">
        <v>1</v>
      </c>
      <c r="G158" s="1032"/>
      <c r="H158" s="1349" t="s">
        <v>1471</v>
      </c>
      <c r="I158" s="1350"/>
      <c r="J158" s="1351"/>
    </row>
    <row r="159" spans="1:65" ht="54" x14ac:dyDescent="0.3">
      <c r="A159" s="1030">
        <v>10</v>
      </c>
      <c r="B159" s="1361" t="s">
        <v>664</v>
      </c>
      <c r="C159" s="1363" t="s">
        <v>665</v>
      </c>
      <c r="D159" s="1363" t="s">
        <v>2085</v>
      </c>
      <c r="E159" s="966" t="s">
        <v>1544</v>
      </c>
      <c r="F159" s="966">
        <v>1</v>
      </c>
      <c r="G159" s="1017"/>
      <c r="H159" s="1027">
        <v>0</v>
      </c>
      <c r="I159" s="1027">
        <v>0</v>
      </c>
      <c r="J159" s="1028"/>
    </row>
    <row r="160" spans="1:65" ht="18" x14ac:dyDescent="0.3">
      <c r="A160" s="1030">
        <v>10</v>
      </c>
      <c r="B160" s="1361"/>
      <c r="C160" s="1363"/>
      <c r="D160" s="1363"/>
      <c r="E160" s="966" t="s">
        <v>373</v>
      </c>
      <c r="F160" s="966">
        <v>1</v>
      </c>
      <c r="G160" s="1017"/>
      <c r="H160" s="1027">
        <v>0</v>
      </c>
      <c r="I160" s="1027">
        <v>0</v>
      </c>
      <c r="J160" s="1028"/>
    </row>
    <row r="161" spans="1:10" ht="78.599999999999994" customHeight="1" thickBot="1" x14ac:dyDescent="0.35">
      <c r="A161" s="1030">
        <v>10</v>
      </c>
      <c r="B161" s="1362"/>
      <c r="C161" s="1364"/>
      <c r="D161" s="1364"/>
      <c r="E161" s="969" t="s">
        <v>2086</v>
      </c>
      <c r="F161" s="969">
        <v>1</v>
      </c>
      <c r="G161" s="1033"/>
      <c r="H161" s="1365" t="s">
        <v>2087</v>
      </c>
      <c r="I161" s="1365"/>
      <c r="J161" s="1366"/>
    </row>
    <row r="162" spans="1:10" ht="14.4" thickTop="1" x14ac:dyDescent="0.3"/>
  </sheetData>
  <mergeCells count="79">
    <mergeCell ref="B159:B161"/>
    <mergeCell ref="C159:C161"/>
    <mergeCell ref="D159:D161"/>
    <mergeCell ref="H161:J161"/>
    <mergeCell ref="B34:B40"/>
    <mergeCell ref="D41:D43"/>
    <mergeCell ref="C41:C43"/>
    <mergeCell ref="B41:B43"/>
    <mergeCell ref="D44:D48"/>
    <mergeCell ref="C44:C48"/>
    <mergeCell ref="B44:B48"/>
    <mergeCell ref="D34:D40"/>
    <mergeCell ref="C34:C40"/>
    <mergeCell ref="D49:D73"/>
    <mergeCell ref="C49:C73"/>
    <mergeCell ref="B49:B73"/>
    <mergeCell ref="D74:D100"/>
    <mergeCell ref="C74:C100"/>
    <mergeCell ref="B74:B100"/>
    <mergeCell ref="D152:D158"/>
    <mergeCell ref="C152:C158"/>
    <mergeCell ref="B152:B158"/>
    <mergeCell ref="C101:C138"/>
    <mergeCell ref="B101:B138"/>
    <mergeCell ref="D139:D145"/>
    <mergeCell ref="C139:C145"/>
    <mergeCell ref="B139:B145"/>
    <mergeCell ref="D101:D106"/>
    <mergeCell ref="D137:D138"/>
    <mergeCell ref="D107:D136"/>
    <mergeCell ref="H97:J97"/>
    <mergeCell ref="H73:J73"/>
    <mergeCell ref="H68:J68"/>
    <mergeCell ref="H74:J74"/>
    <mergeCell ref="H158:J158"/>
    <mergeCell ref="H153:J153"/>
    <mergeCell ref="H154:J154"/>
    <mergeCell ref="H106:J106"/>
    <mergeCell ref="H152:J152"/>
    <mergeCell ref="H156:J156"/>
    <mergeCell ref="H157:J157"/>
    <mergeCell ref="H155:J155"/>
    <mergeCell ref="H91:J91"/>
    <mergeCell ref="H92:J92"/>
    <mergeCell ref="H41:J41"/>
    <mergeCell ref="H50:J50"/>
    <mergeCell ref="H51:J51"/>
    <mergeCell ref="H64:J64"/>
    <mergeCell ref="B146:B151"/>
    <mergeCell ref="C146:C151"/>
    <mergeCell ref="D146:D151"/>
    <mergeCell ref="H75:J75"/>
    <mergeCell ref="H63:J63"/>
    <mergeCell ref="H44:J44"/>
    <mergeCell ref="H43:J43"/>
    <mergeCell ref="H42:J42"/>
    <mergeCell ref="H48:J48"/>
    <mergeCell ref="H49:J49"/>
    <mergeCell ref="H104:J104"/>
    <mergeCell ref="H105:J105"/>
    <mergeCell ref="D24:D25"/>
    <mergeCell ref="H26:J26"/>
    <mergeCell ref="H27:J27"/>
    <mergeCell ref="H28:J28"/>
    <mergeCell ref="H8:J8"/>
    <mergeCell ref="H11:J11"/>
    <mergeCell ref="H12:J12"/>
    <mergeCell ref="H16:J16"/>
    <mergeCell ref="H23:J23"/>
    <mergeCell ref="H56:J56"/>
    <mergeCell ref="H82:J82"/>
    <mergeCell ref="H89:J89"/>
    <mergeCell ref="H90:J90"/>
    <mergeCell ref="H96:J96"/>
    <mergeCell ref="H67:J67"/>
    <mergeCell ref="H66:J66"/>
    <mergeCell ref="H65:J65"/>
    <mergeCell ref="H69:J69"/>
    <mergeCell ref="H78:J78"/>
  </mergeCells>
  <pageMargins left="0.7" right="0.7" top="0.75" bottom="0.75" header="0.3" footer="0.3"/>
  <pageSetup paperSize="9" orientation="portrait" horizontalDpi="4294967294"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'Guidance Notes'!$V$1:$V$2</xm:f>
          </x14:formula1>
          <xm:sqref>F7:F158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K130"/>
  <sheetViews>
    <sheetView topLeftCell="A101" zoomScale="70" zoomScaleNormal="70" workbookViewId="0">
      <selection activeCell="H109" sqref="H109:J109"/>
    </sheetView>
  </sheetViews>
  <sheetFormatPr defaultRowHeight="13.8" x14ac:dyDescent="0.3"/>
  <cols>
    <col min="1" max="1" width="9.33203125" customWidth="1"/>
    <col min="2" max="2" width="14.6640625" customWidth="1"/>
    <col min="3" max="3" width="19.44140625" customWidth="1"/>
    <col min="4" max="5" width="27.109375" customWidth="1"/>
    <col min="6" max="6" width="11" customWidth="1"/>
    <col min="7" max="7" width="7.6640625" customWidth="1"/>
    <col min="8" max="8" width="36.109375" customWidth="1"/>
    <col min="9" max="9" width="27.109375" customWidth="1"/>
    <col min="10" max="10" width="37.88671875" customWidth="1"/>
  </cols>
  <sheetData>
    <row r="1" spans="1:11" s="400" customFormat="1" ht="63.6" thickTop="1" thickBot="1" x14ac:dyDescent="0.35">
      <c r="A1" s="394"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1" s="400" customFormat="1" ht="113.25" customHeight="1" thickTop="1" x14ac:dyDescent="0.3">
      <c r="A2" s="975"/>
      <c r="B2" s="150" t="s">
        <v>1173</v>
      </c>
      <c r="C2" s="150" t="s">
        <v>1173</v>
      </c>
      <c r="D2" s="150" t="s">
        <v>2621</v>
      </c>
      <c r="E2" s="150" t="s">
        <v>904</v>
      </c>
      <c r="F2" s="150">
        <v>1</v>
      </c>
      <c r="G2" s="742"/>
      <c r="H2" s="1375" t="s">
        <v>2928</v>
      </c>
      <c r="I2" s="1376"/>
      <c r="J2" s="1377"/>
    </row>
    <row r="3" spans="1:11" s="400" customFormat="1" ht="277.5" customHeight="1" x14ac:dyDescent="0.3">
      <c r="A3" s="975"/>
      <c r="B3" s="1045"/>
      <c r="C3" s="1045"/>
      <c r="D3" s="1045"/>
      <c r="E3" s="1045" t="s">
        <v>2622</v>
      </c>
      <c r="F3" s="1045">
        <v>1</v>
      </c>
      <c r="G3" s="1044"/>
      <c r="H3" s="1378" t="s">
        <v>3173</v>
      </c>
      <c r="I3" s="1379"/>
      <c r="J3" s="1380"/>
    </row>
    <row r="4" spans="1:11" s="400" customFormat="1" ht="161.1" customHeight="1" x14ac:dyDescent="0.3">
      <c r="A4" s="975"/>
      <c r="B4" s="1045"/>
      <c r="C4" s="1045"/>
      <c r="D4" s="1045"/>
      <c r="E4" s="1045" t="s">
        <v>451</v>
      </c>
      <c r="F4" s="1045">
        <v>1</v>
      </c>
      <c r="G4" s="1044"/>
      <c r="H4" s="1378" t="s">
        <v>2963</v>
      </c>
      <c r="I4" s="1379"/>
      <c r="J4" s="1380"/>
    </row>
    <row r="5" spans="1:11" s="400" customFormat="1" ht="97.5" customHeight="1" x14ac:dyDescent="0.3">
      <c r="A5" s="975"/>
      <c r="B5" s="1045"/>
      <c r="C5" s="1045"/>
      <c r="D5" s="1045"/>
      <c r="E5" s="1045" t="s">
        <v>451</v>
      </c>
      <c r="F5" s="1045">
        <v>1</v>
      </c>
      <c r="G5" s="1044"/>
      <c r="H5" s="1378" t="s">
        <v>2623</v>
      </c>
      <c r="I5" s="1379"/>
      <c r="J5" s="1380"/>
    </row>
    <row r="6" spans="1:11" s="400" customFormat="1" ht="84.6" customHeight="1" thickBot="1" x14ac:dyDescent="0.35">
      <c r="A6" s="975"/>
      <c r="B6" s="1045"/>
      <c r="C6" s="1045"/>
      <c r="D6" s="1045"/>
      <c r="E6" s="1045" t="s">
        <v>2624</v>
      </c>
      <c r="F6" s="1045">
        <v>1</v>
      </c>
      <c r="G6" s="1044"/>
      <c r="H6" s="1378" t="s">
        <v>2625</v>
      </c>
      <c r="I6" s="1379"/>
      <c r="J6" s="1380"/>
    </row>
    <row r="7" spans="1:11" s="31" customFormat="1" ht="79.5" customHeight="1" thickTop="1" x14ac:dyDescent="0.3">
      <c r="A7" s="391">
        <v>11</v>
      </c>
      <c r="B7" s="1359" t="s">
        <v>1173</v>
      </c>
      <c r="C7" s="1359" t="s">
        <v>1173</v>
      </c>
      <c r="D7" s="1359" t="s">
        <v>354</v>
      </c>
      <c r="E7" s="150" t="s">
        <v>354</v>
      </c>
      <c r="F7" s="834">
        <v>1</v>
      </c>
      <c r="G7" s="151"/>
      <c r="H7" s="1343" t="s">
        <v>2379</v>
      </c>
      <c r="I7" s="1344"/>
      <c r="J7" s="1345"/>
    </row>
    <row r="8" spans="1:11" s="31" customFormat="1" ht="60.75" customHeight="1" x14ac:dyDescent="0.3">
      <c r="A8" s="391">
        <v>11</v>
      </c>
      <c r="B8" s="1358"/>
      <c r="C8" s="1358"/>
      <c r="D8" s="1358"/>
      <c r="E8" s="127" t="s">
        <v>354</v>
      </c>
      <c r="F8" s="1045">
        <v>1</v>
      </c>
      <c r="G8" s="128"/>
      <c r="H8" s="1333" t="s">
        <v>2929</v>
      </c>
      <c r="I8" s="1334"/>
      <c r="J8" s="1335"/>
    </row>
    <row r="9" spans="1:11" s="31" customFormat="1" ht="97.5" customHeight="1" x14ac:dyDescent="0.3">
      <c r="A9" s="391">
        <v>11</v>
      </c>
      <c r="B9" s="1358"/>
      <c r="C9" s="1358"/>
      <c r="D9" s="1358"/>
      <c r="E9" s="127" t="s">
        <v>354</v>
      </c>
      <c r="F9" s="1045">
        <v>1</v>
      </c>
      <c r="G9" s="128"/>
      <c r="H9" s="1333" t="s">
        <v>3119</v>
      </c>
      <c r="I9" s="1334"/>
      <c r="J9" s="1335"/>
    </row>
    <row r="10" spans="1:11" s="31" customFormat="1" ht="28.5" customHeight="1" x14ac:dyDescent="0.3">
      <c r="A10" s="1054"/>
      <c r="B10" s="1358"/>
      <c r="C10" s="1358"/>
      <c r="D10" s="1358"/>
      <c r="E10" s="127" t="s">
        <v>354</v>
      </c>
      <c r="F10" s="1045">
        <v>1</v>
      </c>
      <c r="G10" s="1054"/>
      <c r="H10" s="1297" t="s">
        <v>2643</v>
      </c>
      <c r="I10" s="1298"/>
      <c r="J10" s="1299"/>
      <c r="K10" s="115"/>
    </row>
    <row r="11" spans="1:11" s="31" customFormat="1" ht="44.1" customHeight="1" x14ac:dyDescent="0.3">
      <c r="A11" s="1054"/>
      <c r="B11" s="1358"/>
      <c r="C11" s="1358"/>
      <c r="D11" s="1358"/>
      <c r="E11" s="127" t="s">
        <v>354</v>
      </c>
      <c r="F11" s="1045">
        <v>1</v>
      </c>
      <c r="G11" s="1054"/>
      <c r="H11" s="1297" t="s">
        <v>2380</v>
      </c>
      <c r="I11" s="1298"/>
      <c r="J11" s="1299"/>
    </row>
    <row r="12" spans="1:11" s="31" customFormat="1" ht="48" customHeight="1" x14ac:dyDescent="0.3">
      <c r="A12" s="391">
        <v>11</v>
      </c>
      <c r="B12" s="1358"/>
      <c r="C12" s="1358"/>
      <c r="D12" s="1358"/>
      <c r="E12" s="132" t="s">
        <v>2644</v>
      </c>
      <c r="F12" s="1045">
        <v>1</v>
      </c>
      <c r="G12" s="128"/>
      <c r="H12" s="169">
        <v>0</v>
      </c>
      <c r="I12" s="169">
        <v>0</v>
      </c>
      <c r="J12" s="131"/>
    </row>
    <row r="13" spans="1:11" s="31" customFormat="1" ht="58.5" customHeight="1" x14ac:dyDescent="0.3">
      <c r="A13" s="391">
        <v>11</v>
      </c>
      <c r="B13" s="1358"/>
      <c r="C13" s="1358"/>
      <c r="D13" s="1358"/>
      <c r="E13" s="132" t="s">
        <v>2645</v>
      </c>
      <c r="F13" s="1045">
        <v>1</v>
      </c>
      <c r="G13" s="128"/>
      <c r="H13" s="169">
        <v>0</v>
      </c>
      <c r="I13" s="169">
        <v>0</v>
      </c>
      <c r="J13" s="131"/>
    </row>
    <row r="14" spans="1:11" s="31" customFormat="1" ht="66.75" customHeight="1" x14ac:dyDescent="0.3">
      <c r="A14" s="391">
        <v>11</v>
      </c>
      <c r="B14" s="1358"/>
      <c r="C14" s="1358"/>
      <c r="D14" s="1358"/>
      <c r="E14" s="132" t="s">
        <v>2646</v>
      </c>
      <c r="F14" s="1045">
        <v>1</v>
      </c>
      <c r="G14" s="128"/>
      <c r="H14" s="169">
        <v>0</v>
      </c>
      <c r="I14" s="169">
        <v>0</v>
      </c>
      <c r="J14" s="131"/>
    </row>
    <row r="15" spans="1:11" s="31" customFormat="1" ht="56.25" customHeight="1" x14ac:dyDescent="0.3">
      <c r="A15" s="391">
        <v>11</v>
      </c>
      <c r="B15" s="1295"/>
      <c r="C15" s="1295"/>
      <c r="D15" s="1295"/>
      <c r="E15" s="132" t="s">
        <v>2647</v>
      </c>
      <c r="F15" s="1045">
        <v>1</v>
      </c>
      <c r="G15" s="128"/>
      <c r="H15" s="169">
        <v>0</v>
      </c>
      <c r="I15" s="169">
        <v>0</v>
      </c>
      <c r="J15" s="131"/>
    </row>
    <row r="16" spans="1:11" s="31" customFormat="1" ht="66.599999999999994" customHeight="1" x14ac:dyDescent="0.3">
      <c r="A16" s="391">
        <v>11</v>
      </c>
      <c r="B16" s="1357" t="s">
        <v>1173</v>
      </c>
      <c r="C16" s="1357" t="s">
        <v>1173</v>
      </c>
      <c r="D16" s="1357" t="s">
        <v>1173</v>
      </c>
      <c r="E16" s="127" t="s">
        <v>1147</v>
      </c>
      <c r="F16" s="127">
        <v>1</v>
      </c>
      <c r="G16" s="128"/>
      <c r="H16" s="1333" t="s">
        <v>2626</v>
      </c>
      <c r="I16" s="1334"/>
      <c r="J16" s="1335"/>
    </row>
    <row r="17" spans="1:10" s="31" customFormat="1" ht="78.75" customHeight="1" x14ac:dyDescent="0.3">
      <c r="A17" s="391">
        <v>11</v>
      </c>
      <c r="B17" s="1295"/>
      <c r="C17" s="1295"/>
      <c r="D17" s="1295"/>
      <c r="E17" s="127" t="s">
        <v>1147</v>
      </c>
      <c r="F17" s="127">
        <v>1</v>
      </c>
      <c r="G17" s="128"/>
      <c r="H17" s="1333" t="s">
        <v>2381</v>
      </c>
      <c r="I17" s="1334"/>
      <c r="J17" s="1335"/>
    </row>
    <row r="18" spans="1:10" s="31" customFormat="1" ht="22.5" customHeight="1" x14ac:dyDescent="0.3">
      <c r="A18" s="391">
        <v>11</v>
      </c>
      <c r="B18" s="1357" t="s">
        <v>1173</v>
      </c>
      <c r="C18" s="1357" t="s">
        <v>1173</v>
      </c>
      <c r="D18" s="1357" t="s">
        <v>1147</v>
      </c>
      <c r="E18" s="127" t="s">
        <v>1147</v>
      </c>
      <c r="F18" s="127">
        <v>1</v>
      </c>
      <c r="G18" s="128"/>
      <c r="H18" s="1333" t="s">
        <v>2627</v>
      </c>
      <c r="I18" s="1334"/>
      <c r="J18" s="1335"/>
    </row>
    <row r="19" spans="1:10" s="31" customFormat="1" ht="48.75" customHeight="1" x14ac:dyDescent="0.3">
      <c r="A19" s="1054"/>
      <c r="B19" s="1358"/>
      <c r="C19" s="1358"/>
      <c r="D19" s="1358"/>
      <c r="E19" s="127" t="s">
        <v>1147</v>
      </c>
      <c r="F19" s="1045">
        <v>1</v>
      </c>
      <c r="G19" s="1054"/>
      <c r="H19" s="1297" t="s">
        <v>3120</v>
      </c>
      <c r="I19" s="1298"/>
      <c r="J19" s="1299"/>
    </row>
    <row r="20" spans="1:10" s="31" customFormat="1" ht="118.5" customHeight="1" x14ac:dyDescent="0.3">
      <c r="A20" s="391">
        <v>11</v>
      </c>
      <c r="B20" s="1358"/>
      <c r="C20" s="1358"/>
      <c r="D20" s="1358"/>
      <c r="E20" s="127" t="s">
        <v>2383</v>
      </c>
      <c r="F20" s="127">
        <v>1</v>
      </c>
      <c r="G20" s="128"/>
      <c r="H20" s="169">
        <v>0</v>
      </c>
      <c r="I20" s="169">
        <v>0</v>
      </c>
      <c r="J20" s="131"/>
    </row>
    <row r="21" spans="1:10" s="31" customFormat="1" ht="101.1" customHeight="1" x14ac:dyDescent="0.3">
      <c r="A21" s="391">
        <v>11</v>
      </c>
      <c r="B21" s="1358"/>
      <c r="C21" s="1358"/>
      <c r="D21" s="1358"/>
      <c r="E21" s="127" t="s">
        <v>2384</v>
      </c>
      <c r="F21" s="127">
        <v>1</v>
      </c>
      <c r="G21" s="128"/>
      <c r="H21" s="169">
        <v>0</v>
      </c>
      <c r="I21" s="169">
        <v>0</v>
      </c>
      <c r="J21" s="131"/>
    </row>
    <row r="22" spans="1:10" s="31" customFormat="1" ht="105.6" customHeight="1" x14ac:dyDescent="0.3">
      <c r="A22" s="1054"/>
      <c r="B22" s="1358"/>
      <c r="C22" s="1358"/>
      <c r="D22" s="1358"/>
      <c r="E22" s="1045" t="s">
        <v>2385</v>
      </c>
      <c r="F22" s="1045"/>
      <c r="G22" s="1054"/>
      <c r="H22" s="169">
        <v>0</v>
      </c>
      <c r="I22" s="169">
        <v>0</v>
      </c>
      <c r="J22" s="1105"/>
    </row>
    <row r="23" spans="1:10" s="31" customFormat="1" ht="88.5" customHeight="1" x14ac:dyDescent="0.3">
      <c r="A23" s="1054"/>
      <c r="B23" s="1358"/>
      <c r="C23" s="1358"/>
      <c r="D23" s="1358"/>
      <c r="E23" s="1045" t="s">
        <v>3011</v>
      </c>
      <c r="F23" s="1045"/>
      <c r="G23" s="1054"/>
      <c r="H23" s="169">
        <v>0</v>
      </c>
      <c r="I23" s="169">
        <v>0</v>
      </c>
      <c r="J23" s="1105"/>
    </row>
    <row r="24" spans="1:10" s="31" customFormat="1" ht="88.5" customHeight="1" x14ac:dyDescent="0.3">
      <c r="A24" s="1054"/>
      <c r="B24" s="1358"/>
      <c r="C24" s="1358"/>
      <c r="D24" s="1358"/>
      <c r="E24" s="127" t="s">
        <v>2387</v>
      </c>
      <c r="F24" s="1045"/>
      <c r="G24" s="1054"/>
      <c r="H24" s="169">
        <v>0</v>
      </c>
      <c r="I24" s="169">
        <v>0</v>
      </c>
      <c r="J24" s="1105"/>
    </row>
    <row r="25" spans="1:10" s="31" customFormat="1" ht="82.05" customHeight="1" x14ac:dyDescent="0.3">
      <c r="A25" s="1054"/>
      <c r="B25" s="1358"/>
      <c r="C25" s="1358"/>
      <c r="D25" s="1358"/>
      <c r="E25" s="127" t="s">
        <v>2388</v>
      </c>
      <c r="F25" s="1045"/>
      <c r="G25" s="1054"/>
      <c r="H25" s="169">
        <v>0</v>
      </c>
      <c r="I25" s="169">
        <v>0</v>
      </c>
      <c r="J25" s="1105"/>
    </row>
    <row r="26" spans="1:10" s="31" customFormat="1" ht="81" customHeight="1" x14ac:dyDescent="0.3">
      <c r="A26" s="1054"/>
      <c r="B26" s="1358"/>
      <c r="C26" s="1358"/>
      <c r="D26" s="1358"/>
      <c r="E26" s="1045" t="s">
        <v>2389</v>
      </c>
      <c r="F26" s="1045"/>
      <c r="G26" s="1054"/>
      <c r="H26" s="169">
        <v>0</v>
      </c>
      <c r="I26" s="169">
        <v>0</v>
      </c>
      <c r="J26" s="1105"/>
    </row>
    <row r="27" spans="1:10" s="31" customFormat="1" ht="60" customHeight="1" x14ac:dyDescent="0.3">
      <c r="A27" s="1054"/>
      <c r="B27" s="1358"/>
      <c r="C27" s="1358"/>
      <c r="D27" s="1358"/>
      <c r="E27" s="1045" t="s">
        <v>3012</v>
      </c>
      <c r="F27" s="1045"/>
      <c r="G27" s="1054"/>
      <c r="H27" s="169">
        <v>0</v>
      </c>
      <c r="I27" s="169">
        <v>0</v>
      </c>
      <c r="J27" s="1105"/>
    </row>
    <row r="28" spans="1:10" s="31" customFormat="1" ht="102.6" customHeight="1" x14ac:dyDescent="0.3">
      <c r="A28" s="1054"/>
      <c r="B28" s="1358"/>
      <c r="C28" s="1358"/>
      <c r="D28" s="1358"/>
      <c r="E28" s="127" t="s">
        <v>2391</v>
      </c>
      <c r="F28" s="1045"/>
      <c r="G28" s="1054"/>
      <c r="H28" s="169">
        <v>0</v>
      </c>
      <c r="I28" s="169">
        <v>0</v>
      </c>
      <c r="J28" s="1105"/>
    </row>
    <row r="29" spans="1:10" s="31" customFormat="1" ht="77.099999999999994" customHeight="1" x14ac:dyDescent="0.3">
      <c r="A29" s="1054"/>
      <c r="B29" s="1358"/>
      <c r="C29" s="1358"/>
      <c r="D29" s="1358"/>
      <c r="E29" s="127" t="s">
        <v>2392</v>
      </c>
      <c r="F29" s="1045"/>
      <c r="G29" s="1054"/>
      <c r="H29" s="169">
        <v>0</v>
      </c>
      <c r="I29" s="169">
        <v>0</v>
      </c>
      <c r="J29" s="1105"/>
    </row>
    <row r="30" spans="1:10" s="31" customFormat="1" ht="81.599999999999994" customHeight="1" x14ac:dyDescent="0.3">
      <c r="A30" s="1054"/>
      <c r="B30" s="1358"/>
      <c r="C30" s="1358"/>
      <c r="D30" s="1358"/>
      <c r="E30" s="1045" t="s">
        <v>2393</v>
      </c>
      <c r="F30" s="1045"/>
      <c r="G30" s="1054"/>
      <c r="H30" s="169">
        <v>0</v>
      </c>
      <c r="I30" s="169">
        <v>0</v>
      </c>
      <c r="J30" s="1105"/>
    </row>
    <row r="31" spans="1:10" s="31" customFormat="1" ht="64.05" customHeight="1" x14ac:dyDescent="0.3">
      <c r="A31" s="1054"/>
      <c r="B31" s="1358"/>
      <c r="C31" s="1358"/>
      <c r="D31" s="1358"/>
      <c r="E31" s="1045" t="s">
        <v>3013</v>
      </c>
      <c r="F31" s="1045"/>
      <c r="G31" s="1054"/>
      <c r="H31" s="169">
        <v>0</v>
      </c>
      <c r="I31" s="169">
        <v>0</v>
      </c>
      <c r="J31" s="1105"/>
    </row>
    <row r="32" spans="1:10" s="31" customFormat="1" ht="62.55" customHeight="1" x14ac:dyDescent="0.3">
      <c r="A32" s="391">
        <v>11</v>
      </c>
      <c r="B32" s="1295"/>
      <c r="C32" s="1295"/>
      <c r="D32" s="1295"/>
      <c r="E32" s="127" t="s">
        <v>1357</v>
      </c>
      <c r="F32" s="127">
        <v>1</v>
      </c>
      <c r="G32" s="128"/>
      <c r="H32" s="1333" t="s">
        <v>1375</v>
      </c>
      <c r="I32" s="1334"/>
      <c r="J32" s="1335"/>
    </row>
    <row r="33" spans="1:11" s="31" customFormat="1" ht="137.1" customHeight="1" x14ac:dyDescent="0.3">
      <c r="A33" s="1054"/>
      <c r="B33" s="158"/>
      <c r="C33" s="158"/>
      <c r="D33" s="158"/>
      <c r="E33" s="127" t="s">
        <v>1357</v>
      </c>
      <c r="F33" s="1045">
        <v>1</v>
      </c>
      <c r="G33" s="1054"/>
      <c r="H33" s="1297" t="s">
        <v>2663</v>
      </c>
      <c r="I33" s="1298"/>
      <c r="J33" s="1299"/>
    </row>
    <row r="34" spans="1:11" s="31" customFormat="1" ht="116.55" customHeight="1" x14ac:dyDescent="0.3">
      <c r="A34" s="391">
        <v>11</v>
      </c>
      <c r="B34" s="1357" t="s">
        <v>1173</v>
      </c>
      <c r="C34" s="1357" t="s">
        <v>1173</v>
      </c>
      <c r="D34" s="1138" t="s">
        <v>2669</v>
      </c>
      <c r="E34" s="127" t="s">
        <v>2664</v>
      </c>
      <c r="F34" s="127">
        <v>1</v>
      </c>
      <c r="G34" s="128"/>
      <c r="H34" s="1333" t="s">
        <v>2935</v>
      </c>
      <c r="I34" s="1334"/>
      <c r="J34" s="1335"/>
    </row>
    <row r="35" spans="1:11" s="31" customFormat="1" ht="145.5" customHeight="1" x14ac:dyDescent="0.3">
      <c r="A35" s="391">
        <v>11</v>
      </c>
      <c r="B35" s="1358"/>
      <c r="C35" s="1358"/>
      <c r="D35" s="158"/>
      <c r="E35" s="127" t="s">
        <v>1356</v>
      </c>
      <c r="F35" s="127">
        <v>1</v>
      </c>
      <c r="G35" s="128"/>
      <c r="H35" s="1333" t="s">
        <v>2396</v>
      </c>
      <c r="I35" s="1334"/>
      <c r="J35" s="1335"/>
    </row>
    <row r="36" spans="1:11" s="31" customFormat="1" ht="97.05" customHeight="1" x14ac:dyDescent="0.3">
      <c r="A36" s="391">
        <v>11</v>
      </c>
      <c r="B36" s="1358"/>
      <c r="C36" s="1358"/>
      <c r="D36" s="158"/>
      <c r="E36" s="127" t="s">
        <v>1356</v>
      </c>
      <c r="F36" s="127">
        <v>1</v>
      </c>
      <c r="G36" s="128"/>
      <c r="H36" s="1333" t="s">
        <v>2397</v>
      </c>
      <c r="I36" s="1334"/>
      <c r="J36" s="1335"/>
    </row>
    <row r="37" spans="1:11" s="31" customFormat="1" ht="42" customHeight="1" x14ac:dyDescent="0.3">
      <c r="A37" s="391">
        <v>11</v>
      </c>
      <c r="B37" s="1358"/>
      <c r="C37" s="1358"/>
      <c r="D37" s="1306" t="s">
        <v>2665</v>
      </c>
      <c r="E37" s="127" t="s">
        <v>2665</v>
      </c>
      <c r="F37" s="127">
        <v>1</v>
      </c>
      <c r="G37" s="128"/>
      <c r="H37" s="1381" t="s">
        <v>1387</v>
      </c>
      <c r="I37" s="1382"/>
      <c r="J37" s="1335"/>
    </row>
    <row r="38" spans="1:11" s="31" customFormat="1" ht="64.05" customHeight="1" x14ac:dyDescent="0.3">
      <c r="A38" s="1054"/>
      <c r="B38" s="1358"/>
      <c r="C38" s="1358"/>
      <c r="D38" s="1311"/>
      <c r="E38" s="127" t="s">
        <v>2665</v>
      </c>
      <c r="F38" s="1045">
        <v>1</v>
      </c>
      <c r="G38" s="1054"/>
      <c r="H38" s="1297" t="s">
        <v>2936</v>
      </c>
      <c r="I38" s="1298"/>
      <c r="J38" s="1299"/>
    </row>
    <row r="39" spans="1:11" s="31" customFormat="1" ht="42" customHeight="1" x14ac:dyDescent="0.3">
      <c r="A39" s="391">
        <v>11</v>
      </c>
      <c r="B39" s="1358"/>
      <c r="C39" s="1358"/>
      <c r="D39" s="127" t="s">
        <v>1362</v>
      </c>
      <c r="E39" s="127" t="s">
        <v>1362</v>
      </c>
      <c r="F39" s="127">
        <v>1</v>
      </c>
      <c r="G39" s="128"/>
      <c r="H39" s="1381" t="s">
        <v>1388</v>
      </c>
      <c r="I39" s="1382"/>
      <c r="J39" s="1335"/>
    </row>
    <row r="40" spans="1:11" s="31" customFormat="1" ht="159.75" customHeight="1" x14ac:dyDescent="0.3">
      <c r="A40" s="391">
        <v>11</v>
      </c>
      <c r="B40" s="1358"/>
      <c r="C40" s="1358"/>
      <c r="D40" s="127" t="s">
        <v>1363</v>
      </c>
      <c r="E40" s="127" t="s">
        <v>1363</v>
      </c>
      <c r="F40" s="127">
        <v>1</v>
      </c>
      <c r="G40" s="128"/>
      <c r="H40" s="1381" t="s">
        <v>2937</v>
      </c>
      <c r="I40" s="1382"/>
      <c r="J40" s="1335"/>
      <c r="K40" s="75"/>
    </row>
    <row r="41" spans="1:11" s="31" customFormat="1" ht="38.25" customHeight="1" x14ac:dyDescent="0.3">
      <c r="A41" s="1054"/>
      <c r="B41" s="1358"/>
      <c r="C41" s="1358"/>
      <c r="D41" s="1306" t="s">
        <v>2666</v>
      </c>
      <c r="E41" s="1045" t="s">
        <v>402</v>
      </c>
      <c r="F41" s="1045"/>
      <c r="G41" s="1054"/>
      <c r="H41" s="169">
        <v>0</v>
      </c>
      <c r="I41" s="169">
        <v>0</v>
      </c>
      <c r="J41" s="131"/>
      <c r="K41" s="75"/>
    </row>
    <row r="42" spans="1:11" s="31" customFormat="1" ht="38.25" customHeight="1" x14ac:dyDescent="0.3">
      <c r="A42" s="1054"/>
      <c r="B42" s="1358"/>
      <c r="C42" s="1358"/>
      <c r="D42" s="1311"/>
      <c r="E42" s="1045" t="s">
        <v>1365</v>
      </c>
      <c r="F42" s="1045"/>
      <c r="G42" s="1054"/>
      <c r="H42" s="169">
        <v>0</v>
      </c>
      <c r="I42" s="169">
        <v>0</v>
      </c>
      <c r="J42" s="131"/>
      <c r="K42" s="75"/>
    </row>
    <row r="43" spans="1:11" s="31" customFormat="1" ht="38.25" customHeight="1" x14ac:dyDescent="0.3">
      <c r="A43" s="1054"/>
      <c r="B43" s="1358"/>
      <c r="C43" s="1358"/>
      <c r="D43" s="1311"/>
      <c r="E43" s="1045" t="s">
        <v>1381</v>
      </c>
      <c r="F43" s="1045"/>
      <c r="G43" s="1054"/>
      <c r="H43" s="169">
        <v>0</v>
      </c>
      <c r="I43" s="169">
        <v>0</v>
      </c>
      <c r="J43" s="131"/>
      <c r="K43" s="75"/>
    </row>
    <row r="44" spans="1:11" s="31" customFormat="1" ht="118.5" customHeight="1" x14ac:dyDescent="0.3">
      <c r="A44" s="1054"/>
      <c r="B44" s="1358"/>
      <c r="C44" s="1358"/>
      <c r="D44" s="1311"/>
      <c r="E44" s="1045" t="s">
        <v>1367</v>
      </c>
      <c r="F44" s="1045"/>
      <c r="G44" s="1054"/>
      <c r="H44" s="169">
        <v>0</v>
      </c>
      <c r="I44" s="169">
        <v>0</v>
      </c>
      <c r="J44" s="131"/>
      <c r="K44" s="75"/>
    </row>
    <row r="45" spans="1:11" s="31" customFormat="1" ht="38.25" customHeight="1" x14ac:dyDescent="0.3">
      <c r="A45" s="1054"/>
      <c r="B45" s="1358"/>
      <c r="C45" s="1358"/>
      <c r="D45" s="1311"/>
      <c r="E45" s="1045" t="s">
        <v>973</v>
      </c>
      <c r="F45" s="1045"/>
      <c r="G45" s="1054"/>
      <c r="H45" s="169">
        <v>0</v>
      </c>
      <c r="I45" s="169">
        <v>0</v>
      </c>
      <c r="J45" s="131"/>
      <c r="K45" s="75"/>
    </row>
    <row r="46" spans="1:11" s="31" customFormat="1" ht="38.25" customHeight="1" x14ac:dyDescent="0.3">
      <c r="A46" s="1054"/>
      <c r="B46" s="1358"/>
      <c r="C46" s="1358"/>
      <c r="D46" s="1311"/>
      <c r="E46" s="1045" t="s">
        <v>977</v>
      </c>
      <c r="F46" s="1045"/>
      <c r="G46" s="1054"/>
      <c r="H46" s="169">
        <v>0</v>
      </c>
      <c r="I46" s="169">
        <v>0</v>
      </c>
      <c r="J46" s="131"/>
      <c r="K46" s="75"/>
    </row>
    <row r="47" spans="1:11" s="31" customFormat="1" ht="68.25" customHeight="1" x14ac:dyDescent="0.3">
      <c r="A47" s="391">
        <v>11</v>
      </c>
      <c r="B47" s="1295"/>
      <c r="C47" s="1295"/>
      <c r="D47" s="1311"/>
      <c r="E47" s="127" t="s">
        <v>2086</v>
      </c>
      <c r="F47" s="127">
        <v>1</v>
      </c>
      <c r="G47" s="128"/>
      <c r="H47" s="1381" t="s">
        <v>1393</v>
      </c>
      <c r="I47" s="1382"/>
      <c r="J47" s="1335"/>
    </row>
    <row r="48" spans="1:11" s="31" customFormat="1" ht="127.5" customHeight="1" x14ac:dyDescent="0.3">
      <c r="A48" s="1054"/>
      <c r="B48" s="158"/>
      <c r="C48" s="158"/>
      <c r="D48" s="1307"/>
      <c r="E48" s="127" t="s">
        <v>2086</v>
      </c>
      <c r="F48" s="1045">
        <v>1</v>
      </c>
      <c r="G48" s="1054"/>
      <c r="H48" s="1297" t="s">
        <v>2667</v>
      </c>
      <c r="I48" s="1298"/>
      <c r="J48" s="1299"/>
    </row>
    <row r="49" spans="1:10" s="31" customFormat="1" ht="38.25" customHeight="1" x14ac:dyDescent="0.3">
      <c r="A49" s="1054"/>
      <c r="B49" s="158"/>
      <c r="C49" s="1370" t="s">
        <v>2668</v>
      </c>
      <c r="D49" s="1373" t="s">
        <v>1385</v>
      </c>
      <c r="E49" s="1045" t="s">
        <v>2848</v>
      </c>
      <c r="F49" s="1045">
        <v>1</v>
      </c>
      <c r="G49" s="1054"/>
      <c r="H49" s="169">
        <v>0</v>
      </c>
      <c r="I49" s="169">
        <v>0</v>
      </c>
      <c r="J49" s="131"/>
    </row>
    <row r="50" spans="1:10" s="31" customFormat="1" ht="38.25" customHeight="1" x14ac:dyDescent="0.3">
      <c r="A50" s="1054"/>
      <c r="B50" s="158"/>
      <c r="C50" s="1371"/>
      <c r="D50" s="1374"/>
      <c r="E50" s="1045" t="s">
        <v>2628</v>
      </c>
      <c r="F50" s="1045">
        <v>1</v>
      </c>
      <c r="G50" s="1054"/>
      <c r="H50" s="1297" t="s">
        <v>2636</v>
      </c>
      <c r="I50" s="1298"/>
      <c r="J50" s="1299"/>
    </row>
    <row r="51" spans="1:10" s="31" customFormat="1" ht="38.25" customHeight="1" x14ac:dyDescent="0.3">
      <c r="A51" s="1054"/>
      <c r="B51" s="158"/>
      <c r="C51" s="1371"/>
      <c r="D51" s="1374"/>
      <c r="E51" s="1045" t="s">
        <v>2629</v>
      </c>
      <c r="F51" s="1045">
        <v>1</v>
      </c>
      <c r="G51" s="1054"/>
      <c r="H51" s="1297" t="s">
        <v>2637</v>
      </c>
      <c r="I51" s="1298"/>
      <c r="J51" s="1299"/>
    </row>
    <row r="52" spans="1:10" s="31" customFormat="1" ht="38.25" customHeight="1" x14ac:dyDescent="0.3">
      <c r="A52" s="1054"/>
      <c r="B52" s="158"/>
      <c r="C52" s="1371"/>
      <c r="D52" s="1374"/>
      <c r="E52" s="1045" t="s">
        <v>2630</v>
      </c>
      <c r="F52" s="1045">
        <v>1</v>
      </c>
      <c r="G52" s="1054"/>
      <c r="H52" s="1297" t="s">
        <v>2638</v>
      </c>
      <c r="I52" s="1298"/>
      <c r="J52" s="1299"/>
    </row>
    <row r="53" spans="1:10" s="31" customFormat="1" ht="38.25" customHeight="1" x14ac:dyDescent="0.3">
      <c r="A53" s="1054"/>
      <c r="B53" s="158"/>
      <c r="C53" s="1371"/>
      <c r="D53" s="1374"/>
      <c r="E53" s="1045" t="s">
        <v>2631</v>
      </c>
      <c r="F53" s="1045">
        <v>1</v>
      </c>
      <c r="G53" s="1054"/>
      <c r="H53" s="1297" t="s">
        <v>2639</v>
      </c>
      <c r="I53" s="1298"/>
      <c r="J53" s="1299"/>
    </row>
    <row r="54" spans="1:10" s="31" customFormat="1" ht="38.25" customHeight="1" x14ac:dyDescent="0.3">
      <c r="A54" s="1054"/>
      <c r="B54" s="158"/>
      <c r="C54" s="1371"/>
      <c r="D54" s="1374" t="s">
        <v>1386</v>
      </c>
      <c r="E54" s="1045" t="s">
        <v>2849</v>
      </c>
      <c r="F54" s="1045">
        <v>1</v>
      </c>
      <c r="G54" s="1054"/>
      <c r="H54" s="169">
        <v>0</v>
      </c>
      <c r="I54" s="169">
        <v>0</v>
      </c>
      <c r="J54" s="131"/>
    </row>
    <row r="55" spans="1:10" s="31" customFormat="1" ht="38.25" customHeight="1" x14ac:dyDescent="0.3">
      <c r="A55" s="1054"/>
      <c r="B55" s="158"/>
      <c r="C55" s="1371"/>
      <c r="D55" s="1374"/>
      <c r="E55" s="1045" t="s">
        <v>2632</v>
      </c>
      <c r="F55" s="1045">
        <v>1</v>
      </c>
      <c r="G55" s="1054"/>
      <c r="H55" s="1297" t="s">
        <v>2636</v>
      </c>
      <c r="I55" s="1298"/>
      <c r="J55" s="1299"/>
    </row>
    <row r="56" spans="1:10" s="31" customFormat="1" ht="38.25" customHeight="1" x14ac:dyDescent="0.3">
      <c r="A56" s="1054"/>
      <c r="B56" s="158"/>
      <c r="C56" s="1371"/>
      <c r="D56" s="1374"/>
      <c r="E56" s="1045" t="s">
        <v>2633</v>
      </c>
      <c r="F56" s="1045">
        <v>1</v>
      </c>
      <c r="G56" s="1054"/>
      <c r="H56" s="1297" t="s">
        <v>2637</v>
      </c>
      <c r="I56" s="1298"/>
      <c r="J56" s="1299"/>
    </row>
    <row r="57" spans="1:10" s="31" customFormat="1" ht="38.25" customHeight="1" x14ac:dyDescent="0.3">
      <c r="A57" s="1054"/>
      <c r="B57" s="158"/>
      <c r="C57" s="1371"/>
      <c r="D57" s="1374"/>
      <c r="E57" s="1045" t="s">
        <v>2634</v>
      </c>
      <c r="F57" s="1045">
        <v>1</v>
      </c>
      <c r="G57" s="1054"/>
      <c r="H57" s="1297" t="s">
        <v>2638</v>
      </c>
      <c r="I57" s="1298"/>
      <c r="J57" s="1299"/>
    </row>
    <row r="58" spans="1:10" s="31" customFormat="1" ht="38.25" customHeight="1" x14ac:dyDescent="0.3">
      <c r="A58" s="1054"/>
      <c r="B58" s="158"/>
      <c r="C58" s="1371"/>
      <c r="D58" s="1374"/>
      <c r="E58" s="1045" t="s">
        <v>2635</v>
      </c>
      <c r="F58" s="1045">
        <v>1</v>
      </c>
      <c r="G58" s="1054"/>
      <c r="H58" s="1297" t="s">
        <v>2639</v>
      </c>
      <c r="I58" s="1298"/>
      <c r="J58" s="1299"/>
    </row>
    <row r="59" spans="1:10" s="31" customFormat="1" ht="76.5" customHeight="1" x14ac:dyDescent="0.3">
      <c r="A59" s="1054"/>
      <c r="B59" s="158"/>
      <c r="C59" s="1371"/>
      <c r="D59" s="158"/>
      <c r="E59" s="1045" t="s">
        <v>2640</v>
      </c>
      <c r="F59" s="1045">
        <v>1</v>
      </c>
      <c r="G59" s="1054"/>
      <c r="H59" s="1297" t="s">
        <v>2641</v>
      </c>
      <c r="I59" s="1298"/>
      <c r="J59" s="1299"/>
    </row>
    <row r="60" spans="1:10" s="31" customFormat="1" ht="38.25" customHeight="1" x14ac:dyDescent="0.3">
      <c r="A60" s="1054"/>
      <c r="B60" s="158"/>
      <c r="C60" s="1372"/>
      <c r="D60" s="146"/>
      <c r="E60" s="1045" t="s">
        <v>2640</v>
      </c>
      <c r="F60" s="1045">
        <v>1</v>
      </c>
      <c r="G60" s="1054"/>
      <c r="H60" s="1297" t="s">
        <v>2642</v>
      </c>
      <c r="I60" s="1298"/>
      <c r="J60" s="1299"/>
    </row>
    <row r="61" spans="1:10" s="31" customFormat="1" ht="38.25" customHeight="1" x14ac:dyDescent="0.3">
      <c r="A61" s="391">
        <v>11</v>
      </c>
      <c r="B61" s="1357" t="s">
        <v>1173</v>
      </c>
      <c r="C61" s="1357" t="s">
        <v>1173</v>
      </c>
      <c r="D61" s="1357" t="s">
        <v>1175</v>
      </c>
      <c r="E61" s="127" t="s">
        <v>1295</v>
      </c>
      <c r="F61" s="127">
        <v>1</v>
      </c>
      <c r="G61" s="128"/>
      <c r="H61" s="173">
        <f>I61+I62-I63</f>
        <v>0</v>
      </c>
      <c r="I61" s="169">
        <v>0</v>
      </c>
      <c r="J61" s="131"/>
    </row>
    <row r="62" spans="1:10" s="31" customFormat="1" ht="36" x14ac:dyDescent="0.3">
      <c r="A62" s="391">
        <v>11</v>
      </c>
      <c r="B62" s="1358"/>
      <c r="C62" s="1358"/>
      <c r="D62" s="1358"/>
      <c r="E62" s="127" t="s">
        <v>1176</v>
      </c>
      <c r="F62" s="127">
        <v>1</v>
      </c>
      <c r="G62" s="128"/>
      <c r="H62" s="169">
        <v>0</v>
      </c>
      <c r="I62" s="169">
        <v>0</v>
      </c>
      <c r="J62" s="131"/>
    </row>
    <row r="63" spans="1:10" s="31" customFormat="1" ht="36" x14ac:dyDescent="0.3">
      <c r="A63" s="391">
        <v>11</v>
      </c>
      <c r="B63" s="1358"/>
      <c r="C63" s="1358"/>
      <c r="D63" s="1358"/>
      <c r="E63" s="127" t="s">
        <v>1177</v>
      </c>
      <c r="F63" s="127">
        <v>1</v>
      </c>
      <c r="G63" s="128"/>
      <c r="H63" s="169">
        <v>0</v>
      </c>
      <c r="I63" s="169">
        <v>0</v>
      </c>
      <c r="J63" s="131"/>
    </row>
    <row r="64" spans="1:10" s="31" customFormat="1" ht="54" x14ac:dyDescent="0.3">
      <c r="A64" s="391">
        <v>11</v>
      </c>
      <c r="B64" s="1358"/>
      <c r="C64" s="1358"/>
      <c r="D64" s="1358"/>
      <c r="E64" s="127" t="s">
        <v>1297</v>
      </c>
      <c r="F64" s="127">
        <v>1</v>
      </c>
      <c r="G64" s="128"/>
      <c r="H64" s="173">
        <f>I64+I65-I66</f>
        <v>0</v>
      </c>
      <c r="I64" s="169">
        <v>0</v>
      </c>
      <c r="J64" s="131"/>
    </row>
    <row r="65" spans="1:10" s="31" customFormat="1" ht="36" x14ac:dyDescent="0.3">
      <c r="A65" s="391">
        <v>11</v>
      </c>
      <c r="B65" s="1358"/>
      <c r="C65" s="1358"/>
      <c r="D65" s="1358"/>
      <c r="E65" s="127" t="s">
        <v>1178</v>
      </c>
      <c r="F65" s="127">
        <v>1</v>
      </c>
      <c r="G65" s="128"/>
      <c r="H65" s="169">
        <v>0</v>
      </c>
      <c r="I65" s="169">
        <v>0</v>
      </c>
      <c r="J65" s="131"/>
    </row>
    <row r="66" spans="1:10" s="31" customFormat="1" ht="36" x14ac:dyDescent="0.3">
      <c r="A66" s="391">
        <v>11</v>
      </c>
      <c r="B66" s="1358"/>
      <c r="C66" s="1358"/>
      <c r="D66" s="1358"/>
      <c r="E66" s="127" t="s">
        <v>1179</v>
      </c>
      <c r="F66" s="127">
        <v>1</v>
      </c>
      <c r="G66" s="128"/>
      <c r="H66" s="169">
        <v>0</v>
      </c>
      <c r="I66" s="169">
        <v>0</v>
      </c>
      <c r="J66" s="131"/>
    </row>
    <row r="67" spans="1:10" s="31" customFormat="1" ht="36" x14ac:dyDescent="0.3">
      <c r="A67" s="391">
        <v>11</v>
      </c>
      <c r="B67" s="1358"/>
      <c r="C67" s="1358"/>
      <c r="D67" s="1358"/>
      <c r="E67" s="127" t="s">
        <v>1296</v>
      </c>
      <c r="F67" s="127">
        <v>1</v>
      </c>
      <c r="G67" s="128"/>
      <c r="H67" s="173">
        <f>I67-I68+I69</f>
        <v>0</v>
      </c>
      <c r="I67" s="169">
        <v>0</v>
      </c>
      <c r="J67" s="131"/>
    </row>
    <row r="68" spans="1:10" s="31" customFormat="1" ht="36" x14ac:dyDescent="0.3">
      <c r="A68" s="391">
        <v>11</v>
      </c>
      <c r="B68" s="1358"/>
      <c r="C68" s="1358"/>
      <c r="D68" s="1358"/>
      <c r="E68" s="127" t="s">
        <v>1180</v>
      </c>
      <c r="F68" s="127">
        <v>1</v>
      </c>
      <c r="G68" s="128"/>
      <c r="H68" s="169">
        <v>0</v>
      </c>
      <c r="I68" s="169">
        <v>0</v>
      </c>
      <c r="J68" s="131"/>
    </row>
    <row r="69" spans="1:10" s="31" customFormat="1" ht="36" x14ac:dyDescent="0.3">
      <c r="A69" s="391">
        <v>11</v>
      </c>
      <c r="B69" s="1358"/>
      <c r="C69" s="1358"/>
      <c r="D69" s="1358"/>
      <c r="E69" s="127" t="s">
        <v>1181</v>
      </c>
      <c r="F69" s="127">
        <v>1</v>
      </c>
      <c r="G69" s="128"/>
      <c r="H69" s="169">
        <v>0</v>
      </c>
      <c r="I69" s="169">
        <v>0</v>
      </c>
      <c r="J69" s="131"/>
    </row>
    <row r="70" spans="1:10" s="31" customFormat="1" ht="54" x14ac:dyDescent="0.3">
      <c r="A70" s="391">
        <v>11</v>
      </c>
      <c r="B70" s="1358"/>
      <c r="C70" s="1358"/>
      <c r="D70" s="1358"/>
      <c r="E70" s="127" t="s">
        <v>1298</v>
      </c>
      <c r="F70" s="127">
        <v>1</v>
      </c>
      <c r="G70" s="128"/>
      <c r="H70" s="173">
        <f>I70-I71+I72</f>
        <v>0</v>
      </c>
      <c r="I70" s="169">
        <v>0</v>
      </c>
      <c r="J70" s="131"/>
    </row>
    <row r="71" spans="1:10" s="31" customFormat="1" ht="36" x14ac:dyDescent="0.3">
      <c r="A71" s="391">
        <v>11</v>
      </c>
      <c r="B71" s="1358"/>
      <c r="C71" s="1358"/>
      <c r="D71" s="1358"/>
      <c r="E71" s="127" t="s">
        <v>1182</v>
      </c>
      <c r="F71" s="127">
        <v>1</v>
      </c>
      <c r="G71" s="128"/>
      <c r="H71" s="169">
        <v>0</v>
      </c>
      <c r="I71" s="169">
        <v>0</v>
      </c>
      <c r="J71" s="131"/>
    </row>
    <row r="72" spans="1:10" s="31" customFormat="1" ht="54" x14ac:dyDescent="0.3">
      <c r="A72" s="391">
        <v>11</v>
      </c>
      <c r="B72" s="1295"/>
      <c r="C72" s="1295"/>
      <c r="D72" s="1295"/>
      <c r="E72" s="127" t="s">
        <v>1183</v>
      </c>
      <c r="F72" s="127">
        <v>1</v>
      </c>
      <c r="G72" s="128"/>
      <c r="H72" s="169">
        <v>0</v>
      </c>
      <c r="I72" s="169">
        <v>0</v>
      </c>
      <c r="J72" s="131"/>
    </row>
    <row r="73" spans="1:10" s="31" customFormat="1" ht="98.1" customHeight="1" x14ac:dyDescent="0.3">
      <c r="A73" s="391">
        <v>11</v>
      </c>
      <c r="B73" s="1357" t="s">
        <v>1173</v>
      </c>
      <c r="C73" s="1357" t="s">
        <v>1173</v>
      </c>
      <c r="D73" s="1357" t="s">
        <v>741</v>
      </c>
      <c r="E73" s="132" t="s">
        <v>1913</v>
      </c>
      <c r="F73" s="127">
        <v>1</v>
      </c>
      <c r="G73" s="128"/>
      <c r="H73" s="1333" t="s">
        <v>2376</v>
      </c>
      <c r="I73" s="1334"/>
      <c r="J73" s="1335"/>
    </row>
    <row r="74" spans="1:10" s="31" customFormat="1" ht="178.5" customHeight="1" x14ac:dyDescent="0.3">
      <c r="A74" s="391">
        <v>11</v>
      </c>
      <c r="B74" s="1358"/>
      <c r="C74" s="1358"/>
      <c r="D74" s="1358"/>
      <c r="E74" s="127" t="str">
        <f>IF(F74=1,E73,"")</f>
        <v>Ceramics, Porcelain Work and Figurines</v>
      </c>
      <c r="F74" s="127">
        <v>1</v>
      </c>
      <c r="G74" s="128"/>
      <c r="H74" s="1333" t="s">
        <v>1914</v>
      </c>
      <c r="I74" s="1334"/>
      <c r="J74" s="1335"/>
    </row>
    <row r="75" spans="1:10" s="31" customFormat="1" ht="103.5" customHeight="1" x14ac:dyDescent="0.3">
      <c r="A75" s="1054"/>
      <c r="B75" s="1358"/>
      <c r="C75" s="1358"/>
      <c r="D75" s="1358"/>
      <c r="E75" s="127" t="s">
        <v>1913</v>
      </c>
      <c r="F75" s="1045">
        <v>1</v>
      </c>
      <c r="G75" s="1054"/>
      <c r="H75" s="1297" t="s">
        <v>2377</v>
      </c>
      <c r="I75" s="1298"/>
      <c r="J75" s="1299"/>
    </row>
    <row r="76" spans="1:10" s="31" customFormat="1" ht="178.5" customHeight="1" x14ac:dyDescent="0.3">
      <c r="A76" s="391">
        <v>11</v>
      </c>
      <c r="B76" s="1358"/>
      <c r="C76" s="1358"/>
      <c r="D76" s="1358"/>
      <c r="E76" s="132" t="s">
        <v>1287</v>
      </c>
      <c r="F76" s="127">
        <v>1</v>
      </c>
      <c r="G76" s="128"/>
      <c r="H76" s="1333" t="s">
        <v>3121</v>
      </c>
      <c r="I76" s="1334"/>
      <c r="J76" s="1335"/>
    </row>
    <row r="77" spans="1:10" s="31" customFormat="1" ht="19.5" customHeight="1" x14ac:dyDescent="0.3">
      <c r="A77" s="391">
        <v>11</v>
      </c>
      <c r="B77" s="1358"/>
      <c r="C77" s="1358"/>
      <c r="D77" s="1358"/>
      <c r="E77" s="127" t="str">
        <f>IF(F77=1,E76,"")</f>
        <v>Art Collection</v>
      </c>
      <c r="F77" s="127">
        <v>1</v>
      </c>
      <c r="G77" s="128"/>
      <c r="H77" s="1333" t="s">
        <v>1257</v>
      </c>
      <c r="I77" s="1334"/>
      <c r="J77" s="1335"/>
    </row>
    <row r="78" spans="1:10" s="31" customFormat="1" ht="123.6" customHeight="1" x14ac:dyDescent="0.3">
      <c r="A78" s="391">
        <v>11</v>
      </c>
      <c r="B78" s="1358"/>
      <c r="C78" s="1358"/>
      <c r="D78" s="1358"/>
      <c r="E78" s="132" t="s">
        <v>1288</v>
      </c>
      <c r="F78" s="127">
        <v>1</v>
      </c>
      <c r="G78" s="128"/>
      <c r="H78" s="1333" t="s">
        <v>2378</v>
      </c>
      <c r="I78" s="1334"/>
      <c r="J78" s="1335"/>
    </row>
    <row r="79" spans="1:10" s="31" customFormat="1" ht="80.55" customHeight="1" x14ac:dyDescent="0.3">
      <c r="A79" s="391">
        <v>11</v>
      </c>
      <c r="B79" s="1358"/>
      <c r="C79" s="1358"/>
      <c r="D79" s="1358"/>
      <c r="E79" s="127" t="str">
        <f>IF(F79=1,E78,"")</f>
        <v>Machinery, Equipment and other Artefacts from the Pottery Industry</v>
      </c>
      <c r="F79" s="127">
        <v>1</v>
      </c>
      <c r="G79" s="128"/>
      <c r="H79" s="1333" t="s">
        <v>1257</v>
      </c>
      <c r="I79" s="1334"/>
      <c r="J79" s="1335"/>
    </row>
    <row r="80" spans="1:10" s="31" customFormat="1" ht="155.55000000000001" customHeight="1" x14ac:dyDescent="0.3">
      <c r="A80" s="391">
        <v>11</v>
      </c>
      <c r="B80" s="1295"/>
      <c r="C80" s="1295"/>
      <c r="D80" s="1295"/>
      <c r="E80" s="127" t="s">
        <v>1289</v>
      </c>
      <c r="F80" s="127">
        <v>1</v>
      </c>
      <c r="G80" s="128"/>
      <c r="H80" s="1333" t="s">
        <v>1184</v>
      </c>
      <c r="I80" s="1334"/>
      <c r="J80" s="1335"/>
    </row>
    <row r="81" spans="1:11" s="31" customFormat="1" ht="62.25" customHeight="1" x14ac:dyDescent="0.3">
      <c r="A81" s="391">
        <v>11</v>
      </c>
      <c r="B81" s="1357" t="s">
        <v>1173</v>
      </c>
      <c r="C81" s="1357" t="s">
        <v>1173</v>
      </c>
      <c r="D81" s="1357" t="s">
        <v>293</v>
      </c>
      <c r="E81" s="127" t="s">
        <v>293</v>
      </c>
      <c r="F81" s="127">
        <v>1</v>
      </c>
      <c r="G81" s="128"/>
      <c r="H81" s="1381" t="s">
        <v>2850</v>
      </c>
      <c r="I81" s="1382"/>
      <c r="J81" s="1335"/>
    </row>
    <row r="82" spans="1:11" s="31" customFormat="1" ht="45" customHeight="1" x14ac:dyDescent="0.3">
      <c r="A82" s="391">
        <v>11</v>
      </c>
      <c r="B82" s="1358"/>
      <c r="C82" s="1358"/>
      <c r="D82" s="1358"/>
      <c r="E82" s="127" t="s">
        <v>293</v>
      </c>
      <c r="F82" s="127">
        <v>1</v>
      </c>
      <c r="G82" s="128"/>
      <c r="H82" s="1381" t="s">
        <v>3122</v>
      </c>
      <c r="I82" s="1382"/>
      <c r="J82" s="1335"/>
    </row>
    <row r="83" spans="1:11" s="31" customFormat="1" ht="28.5" customHeight="1" x14ac:dyDescent="0.3">
      <c r="A83" s="391">
        <v>11</v>
      </c>
      <c r="B83" s="1295"/>
      <c r="C83" s="1295"/>
      <c r="D83" s="1295"/>
      <c r="E83" s="127" t="s">
        <v>1290</v>
      </c>
      <c r="F83" s="127">
        <v>1</v>
      </c>
      <c r="G83" s="128"/>
      <c r="H83" s="1381" t="s">
        <v>1257</v>
      </c>
      <c r="I83" s="1382"/>
      <c r="J83" s="1335"/>
    </row>
    <row r="84" spans="1:11" s="31" customFormat="1" ht="38.25" customHeight="1" x14ac:dyDescent="0.3">
      <c r="A84" s="391">
        <v>11</v>
      </c>
      <c r="B84" s="1357" t="s">
        <v>1173</v>
      </c>
      <c r="C84" s="1357" t="s">
        <v>1173</v>
      </c>
      <c r="D84" s="1357" t="s">
        <v>1147</v>
      </c>
      <c r="E84" s="127" t="s">
        <v>1185</v>
      </c>
      <c r="F84" s="127">
        <v>1</v>
      </c>
      <c r="G84" s="128"/>
      <c r="H84" s="1381" t="s">
        <v>1186</v>
      </c>
      <c r="I84" s="1382"/>
      <c r="J84" s="1335"/>
    </row>
    <row r="85" spans="1:11" s="31" customFormat="1" ht="61.05" customHeight="1" x14ac:dyDescent="0.3">
      <c r="A85" s="391">
        <v>11</v>
      </c>
      <c r="B85" s="1358"/>
      <c r="C85" s="1358"/>
      <c r="D85" s="1358"/>
      <c r="E85" s="127" t="s">
        <v>1187</v>
      </c>
      <c r="F85" s="127">
        <v>1</v>
      </c>
      <c r="G85" s="128"/>
      <c r="H85" s="169">
        <v>0</v>
      </c>
      <c r="I85" s="169">
        <v>0</v>
      </c>
      <c r="J85" s="131"/>
    </row>
    <row r="86" spans="1:11" s="31" customFormat="1" ht="76.5" customHeight="1" x14ac:dyDescent="0.3">
      <c r="A86" s="391">
        <v>11</v>
      </c>
      <c r="B86" s="1358"/>
      <c r="C86" s="1358"/>
      <c r="D86" s="1358"/>
      <c r="E86" s="127" t="s">
        <v>1188</v>
      </c>
      <c r="F86" s="127">
        <v>1</v>
      </c>
      <c r="G86" s="128"/>
      <c r="H86" s="169">
        <v>0</v>
      </c>
      <c r="I86" s="169">
        <v>0</v>
      </c>
      <c r="J86" s="131"/>
    </row>
    <row r="87" spans="1:11" s="31" customFormat="1" ht="77.25" customHeight="1" x14ac:dyDescent="0.3">
      <c r="A87" s="391">
        <v>11</v>
      </c>
      <c r="B87" s="1358"/>
      <c r="C87" s="1358"/>
      <c r="D87" s="1358"/>
      <c r="E87" s="127" t="s">
        <v>1189</v>
      </c>
      <c r="F87" s="127">
        <v>1</v>
      </c>
      <c r="G87" s="128"/>
      <c r="H87" s="1381" t="s">
        <v>2852</v>
      </c>
      <c r="I87" s="1382"/>
      <c r="J87" s="1335"/>
      <c r="K87" s="75"/>
    </row>
    <row r="88" spans="1:11" s="31" customFormat="1" ht="83.25" customHeight="1" x14ac:dyDescent="0.3">
      <c r="A88" s="391">
        <v>11</v>
      </c>
      <c r="B88" s="1295"/>
      <c r="C88" s="1295"/>
      <c r="D88" s="1295"/>
      <c r="E88" s="127" t="s">
        <v>1190</v>
      </c>
      <c r="F88" s="127">
        <v>1</v>
      </c>
      <c r="G88" s="128"/>
      <c r="H88" s="1381" t="s">
        <v>2853</v>
      </c>
      <c r="I88" s="1382"/>
      <c r="J88" s="1335"/>
      <c r="K88" s="75"/>
    </row>
    <row r="89" spans="1:11" s="31" customFormat="1" ht="52.5" customHeight="1" x14ac:dyDescent="0.3">
      <c r="A89" s="391">
        <v>11</v>
      </c>
      <c r="B89" s="127" t="s">
        <v>1173</v>
      </c>
      <c r="C89" s="127" t="s">
        <v>1173</v>
      </c>
      <c r="D89" s="127" t="s">
        <v>1350</v>
      </c>
      <c r="E89" s="127" t="s">
        <v>1350</v>
      </c>
      <c r="F89" s="127">
        <v>1</v>
      </c>
      <c r="G89" s="128"/>
      <c r="H89" s="1381" t="s">
        <v>3123</v>
      </c>
      <c r="I89" s="1382"/>
      <c r="J89" s="1335"/>
    </row>
    <row r="90" spans="1:11" s="47" customFormat="1" ht="79.5" customHeight="1" x14ac:dyDescent="0.3">
      <c r="A90" s="391">
        <v>11</v>
      </c>
      <c r="B90" s="1357" t="s">
        <v>1173</v>
      </c>
      <c r="C90" s="1357" t="s">
        <v>1350</v>
      </c>
      <c r="D90" s="1383" t="s">
        <v>1351</v>
      </c>
      <c r="E90" s="127" t="s">
        <v>1354</v>
      </c>
      <c r="F90" s="127">
        <v>1</v>
      </c>
      <c r="G90" s="127"/>
      <c r="H90" s="169">
        <v>0</v>
      </c>
      <c r="I90" s="169">
        <v>0</v>
      </c>
      <c r="J90" s="133"/>
    </row>
    <row r="91" spans="1:11" s="47" customFormat="1" ht="61.05" customHeight="1" x14ac:dyDescent="0.3">
      <c r="A91" s="391">
        <v>11</v>
      </c>
      <c r="B91" s="1358"/>
      <c r="C91" s="1358"/>
      <c r="D91" s="1384"/>
      <c r="E91" s="127" t="s">
        <v>1355</v>
      </c>
      <c r="F91" s="127">
        <v>1</v>
      </c>
      <c r="G91" s="127"/>
      <c r="H91" s="169">
        <v>0</v>
      </c>
      <c r="I91" s="169">
        <v>0</v>
      </c>
      <c r="J91" s="133"/>
    </row>
    <row r="92" spans="1:11" s="47" customFormat="1" ht="54" x14ac:dyDescent="0.3">
      <c r="A92" s="391">
        <v>11</v>
      </c>
      <c r="B92" s="1295"/>
      <c r="C92" s="1295"/>
      <c r="D92" s="1385"/>
      <c r="E92" s="127" t="s">
        <v>1356</v>
      </c>
      <c r="F92" s="127">
        <v>1</v>
      </c>
      <c r="G92" s="127"/>
      <c r="H92" s="169">
        <v>0</v>
      </c>
      <c r="I92" s="169">
        <v>0</v>
      </c>
      <c r="J92" s="133"/>
    </row>
    <row r="93" spans="1:11" s="47" customFormat="1" ht="79.5" customHeight="1" x14ac:dyDescent="0.3">
      <c r="A93" s="391">
        <v>11</v>
      </c>
      <c r="B93" s="1357" t="s">
        <v>1173</v>
      </c>
      <c r="C93" s="1357" t="s">
        <v>1350</v>
      </c>
      <c r="D93" s="1383" t="s">
        <v>1352</v>
      </c>
      <c r="E93" s="127" t="s">
        <v>1354</v>
      </c>
      <c r="F93" s="127">
        <v>1</v>
      </c>
      <c r="G93" s="127"/>
      <c r="H93" s="169">
        <v>0</v>
      </c>
      <c r="I93" s="169">
        <v>0</v>
      </c>
      <c r="J93" s="133"/>
    </row>
    <row r="94" spans="1:11" s="47" customFormat="1" ht="63" customHeight="1" x14ac:dyDescent="0.3">
      <c r="A94" s="391">
        <v>11</v>
      </c>
      <c r="B94" s="1358"/>
      <c r="C94" s="1358"/>
      <c r="D94" s="1384"/>
      <c r="E94" s="127" t="s">
        <v>1355</v>
      </c>
      <c r="F94" s="127">
        <v>1</v>
      </c>
      <c r="G94" s="127"/>
      <c r="H94" s="169">
        <v>0</v>
      </c>
      <c r="I94" s="169">
        <v>0</v>
      </c>
      <c r="J94" s="133"/>
    </row>
    <row r="95" spans="1:11" s="47" customFormat="1" ht="62.55" customHeight="1" x14ac:dyDescent="0.3">
      <c r="A95" s="391">
        <v>11</v>
      </c>
      <c r="B95" s="1295"/>
      <c r="C95" s="1295"/>
      <c r="D95" s="1385"/>
      <c r="E95" s="127" t="s">
        <v>1356</v>
      </c>
      <c r="F95" s="127">
        <v>1</v>
      </c>
      <c r="G95" s="127"/>
      <c r="H95" s="169">
        <v>0</v>
      </c>
      <c r="I95" s="169">
        <v>0</v>
      </c>
      <c r="J95" s="133"/>
    </row>
    <row r="96" spans="1:11" s="47" customFormat="1" ht="79.5" customHeight="1" x14ac:dyDescent="0.3">
      <c r="A96" s="391">
        <v>11</v>
      </c>
      <c r="B96" s="1357" t="s">
        <v>1173</v>
      </c>
      <c r="C96" s="1357" t="s">
        <v>1350</v>
      </c>
      <c r="D96" s="1383" t="s">
        <v>1353</v>
      </c>
      <c r="E96" s="127" t="s">
        <v>1354</v>
      </c>
      <c r="F96" s="127">
        <v>1</v>
      </c>
      <c r="G96" s="127"/>
      <c r="H96" s="169">
        <v>0</v>
      </c>
      <c r="I96" s="169">
        <v>0</v>
      </c>
      <c r="J96" s="133"/>
    </row>
    <row r="97" spans="1:10" s="47" customFormat="1" ht="38.25" customHeight="1" x14ac:dyDescent="0.3">
      <c r="A97" s="391">
        <v>11</v>
      </c>
      <c r="B97" s="1358"/>
      <c r="C97" s="1358"/>
      <c r="D97" s="1384"/>
      <c r="E97" s="127" t="s">
        <v>1355</v>
      </c>
      <c r="F97" s="127">
        <v>1</v>
      </c>
      <c r="G97" s="127"/>
      <c r="H97" s="169">
        <v>0</v>
      </c>
      <c r="I97" s="169">
        <v>0</v>
      </c>
      <c r="J97" s="133"/>
    </row>
    <row r="98" spans="1:10" s="47" customFormat="1" ht="54" x14ac:dyDescent="0.3">
      <c r="A98" s="391">
        <v>11</v>
      </c>
      <c r="B98" s="1295"/>
      <c r="C98" s="1295"/>
      <c r="D98" s="1385"/>
      <c r="E98" s="127" t="s">
        <v>1356</v>
      </c>
      <c r="F98" s="127">
        <v>1</v>
      </c>
      <c r="G98" s="127"/>
      <c r="H98" s="169">
        <v>0</v>
      </c>
      <c r="I98" s="169">
        <v>0</v>
      </c>
      <c r="J98" s="133"/>
    </row>
    <row r="99" spans="1:10" s="47" customFormat="1" ht="60" customHeight="1" x14ac:dyDescent="0.3">
      <c r="A99" s="391">
        <v>11</v>
      </c>
      <c r="B99" s="1357" t="s">
        <v>1173</v>
      </c>
      <c r="C99" s="1357" t="s">
        <v>1350</v>
      </c>
      <c r="D99" s="1357" t="s">
        <v>1350</v>
      </c>
      <c r="E99" s="127" t="s">
        <v>1357</v>
      </c>
      <c r="F99" s="127">
        <v>1</v>
      </c>
      <c r="G99" s="127"/>
      <c r="H99" s="1333" t="s">
        <v>1375</v>
      </c>
      <c r="I99" s="1334"/>
      <c r="J99" s="1335"/>
    </row>
    <row r="100" spans="1:10" s="47" customFormat="1" ht="149.25" customHeight="1" x14ac:dyDescent="0.3">
      <c r="A100" s="391">
        <v>11</v>
      </c>
      <c r="B100" s="1295"/>
      <c r="C100" s="1295"/>
      <c r="D100" s="1295"/>
      <c r="E100" s="127" t="s">
        <v>1357</v>
      </c>
      <c r="F100" s="127">
        <v>1</v>
      </c>
      <c r="G100" s="127"/>
      <c r="H100" s="1333" t="s">
        <v>1392</v>
      </c>
      <c r="I100" s="1334"/>
      <c r="J100" s="1335"/>
    </row>
    <row r="101" spans="1:10" s="47" customFormat="1" ht="61.5" customHeight="1" x14ac:dyDescent="0.3">
      <c r="A101" s="391">
        <v>11</v>
      </c>
      <c r="B101" s="1357" t="s">
        <v>1173</v>
      </c>
      <c r="C101" s="1357" t="s">
        <v>1350</v>
      </c>
      <c r="D101" s="1357" t="s">
        <v>1358</v>
      </c>
      <c r="E101" s="127" t="s">
        <v>1359</v>
      </c>
      <c r="F101" s="127">
        <v>1</v>
      </c>
      <c r="G101" s="127"/>
      <c r="H101" s="1333" t="s">
        <v>1376</v>
      </c>
      <c r="I101" s="1334"/>
      <c r="J101" s="1335"/>
    </row>
    <row r="102" spans="1:10" s="47" customFormat="1" ht="60.75" customHeight="1" x14ac:dyDescent="0.3">
      <c r="A102" s="391">
        <v>11</v>
      </c>
      <c r="B102" s="1358"/>
      <c r="C102" s="1358"/>
      <c r="D102" s="1358"/>
      <c r="E102" s="127" t="s">
        <v>1359</v>
      </c>
      <c r="F102" s="127">
        <v>1</v>
      </c>
      <c r="G102" s="127"/>
      <c r="H102" s="1333" t="s">
        <v>1376</v>
      </c>
      <c r="I102" s="1334"/>
      <c r="J102" s="1335"/>
    </row>
    <row r="103" spans="1:10" s="47" customFormat="1" ht="60" customHeight="1" x14ac:dyDescent="0.3">
      <c r="A103" s="391">
        <v>11</v>
      </c>
      <c r="B103" s="1358"/>
      <c r="C103" s="1358"/>
      <c r="D103" s="1358"/>
      <c r="E103" s="127" t="s">
        <v>1360</v>
      </c>
      <c r="F103" s="127">
        <v>1</v>
      </c>
      <c r="G103" s="127"/>
      <c r="H103" s="1333" t="s">
        <v>1376</v>
      </c>
      <c r="I103" s="1334"/>
      <c r="J103" s="1335"/>
    </row>
    <row r="104" spans="1:10" s="47" customFormat="1" ht="63.6" customHeight="1" x14ac:dyDescent="0.3">
      <c r="A104" s="391">
        <v>11</v>
      </c>
      <c r="B104" s="1295"/>
      <c r="C104" s="1295"/>
      <c r="D104" s="1295"/>
      <c r="E104" s="127" t="s">
        <v>1360</v>
      </c>
      <c r="F104" s="127">
        <v>1</v>
      </c>
      <c r="G104" s="127"/>
      <c r="H104" s="1333" t="s">
        <v>1376</v>
      </c>
      <c r="I104" s="1334"/>
      <c r="J104" s="1335"/>
    </row>
    <row r="105" spans="1:10" s="47" customFormat="1" ht="37.5" customHeight="1" x14ac:dyDescent="0.3">
      <c r="A105" s="391">
        <v>11</v>
      </c>
      <c r="B105" s="1357" t="s">
        <v>1173</v>
      </c>
      <c r="C105" s="1357" t="s">
        <v>1350</v>
      </c>
      <c r="D105" s="1357" t="s">
        <v>1350</v>
      </c>
      <c r="E105" s="127" t="s">
        <v>1361</v>
      </c>
      <c r="F105" s="127">
        <v>1</v>
      </c>
      <c r="G105" s="127"/>
      <c r="H105" s="1333" t="s">
        <v>1391</v>
      </c>
      <c r="I105" s="1334"/>
      <c r="J105" s="1335"/>
    </row>
    <row r="106" spans="1:10" s="47" customFormat="1" ht="65.25" customHeight="1" x14ac:dyDescent="0.3">
      <c r="A106" s="391">
        <v>11</v>
      </c>
      <c r="B106" s="1358"/>
      <c r="C106" s="1358"/>
      <c r="D106" s="1358"/>
      <c r="E106" s="127" t="s">
        <v>1361</v>
      </c>
      <c r="F106" s="127">
        <v>1</v>
      </c>
      <c r="G106" s="127"/>
      <c r="H106" s="1333" t="s">
        <v>1377</v>
      </c>
      <c r="I106" s="1334"/>
      <c r="J106" s="1335"/>
    </row>
    <row r="107" spans="1:10" s="47" customFormat="1" ht="45" customHeight="1" x14ac:dyDescent="0.3">
      <c r="A107" s="391">
        <v>11</v>
      </c>
      <c r="B107" s="1358"/>
      <c r="C107" s="1358"/>
      <c r="D107" s="1358"/>
      <c r="E107" s="127" t="s">
        <v>1362</v>
      </c>
      <c r="F107" s="127">
        <v>1</v>
      </c>
      <c r="G107" s="127"/>
      <c r="H107" s="1381" t="s">
        <v>1378</v>
      </c>
      <c r="I107" s="1382"/>
      <c r="J107" s="1335"/>
    </row>
    <row r="108" spans="1:10" s="47" customFormat="1" ht="68.099999999999994" customHeight="1" x14ac:dyDescent="0.3">
      <c r="A108" s="391">
        <v>11</v>
      </c>
      <c r="B108" s="1358"/>
      <c r="C108" s="1358"/>
      <c r="D108" s="1358"/>
      <c r="E108" s="127" t="s">
        <v>1362</v>
      </c>
      <c r="F108" s="127">
        <v>1</v>
      </c>
      <c r="G108" s="127"/>
      <c r="H108" s="1381" t="s">
        <v>1389</v>
      </c>
      <c r="I108" s="1382"/>
      <c r="J108" s="1335"/>
    </row>
    <row r="109" spans="1:10" s="47" customFormat="1" ht="141.6" customHeight="1" x14ac:dyDescent="0.3">
      <c r="A109" s="391">
        <v>11</v>
      </c>
      <c r="B109" s="1358"/>
      <c r="C109" s="1358"/>
      <c r="D109" s="1358"/>
      <c r="E109" s="127" t="s">
        <v>1363</v>
      </c>
      <c r="F109" s="127">
        <v>1</v>
      </c>
      <c r="G109" s="127"/>
      <c r="H109" s="1381" t="s">
        <v>1379</v>
      </c>
      <c r="I109" s="1382"/>
      <c r="J109" s="1335"/>
    </row>
    <row r="110" spans="1:10" s="47" customFormat="1" ht="142.5" customHeight="1" x14ac:dyDescent="0.3">
      <c r="A110" s="391">
        <v>11</v>
      </c>
      <c r="B110" s="1295"/>
      <c r="C110" s="1295"/>
      <c r="D110" s="1295"/>
      <c r="E110" s="127" t="s">
        <v>1363</v>
      </c>
      <c r="F110" s="127">
        <v>1</v>
      </c>
      <c r="G110" s="127"/>
      <c r="H110" s="1381" t="s">
        <v>1376</v>
      </c>
      <c r="I110" s="1382"/>
      <c r="J110" s="1335"/>
    </row>
    <row r="111" spans="1:10" s="47" customFormat="1" ht="25.5" customHeight="1" x14ac:dyDescent="0.3">
      <c r="A111" s="391">
        <v>11</v>
      </c>
      <c r="B111" s="1357" t="s">
        <v>1173</v>
      </c>
      <c r="C111" s="1357" t="s">
        <v>1350</v>
      </c>
      <c r="D111" s="1357" t="s">
        <v>1364</v>
      </c>
      <c r="E111" s="127" t="s">
        <v>402</v>
      </c>
      <c r="F111" s="127">
        <v>1</v>
      </c>
      <c r="G111" s="127"/>
      <c r="H111" s="174">
        <f>SUM(I111:I116)</f>
        <v>0</v>
      </c>
      <c r="I111" s="169">
        <v>0</v>
      </c>
      <c r="J111" s="133"/>
    </row>
    <row r="112" spans="1:10" s="47" customFormat="1" ht="40.5" customHeight="1" x14ac:dyDescent="0.3">
      <c r="A112" s="391">
        <v>11</v>
      </c>
      <c r="B112" s="1358"/>
      <c r="C112" s="1358"/>
      <c r="D112" s="1358"/>
      <c r="E112" s="127" t="s">
        <v>1365</v>
      </c>
      <c r="F112" s="127">
        <v>1</v>
      </c>
      <c r="G112" s="127"/>
      <c r="H112" s="169">
        <v>0</v>
      </c>
      <c r="I112" s="169">
        <v>0</v>
      </c>
      <c r="J112" s="133"/>
    </row>
    <row r="113" spans="1:10" s="47" customFormat="1" ht="41.25" customHeight="1" x14ac:dyDescent="0.3">
      <c r="A113" s="391">
        <v>11</v>
      </c>
      <c r="B113" s="1358"/>
      <c r="C113" s="1358"/>
      <c r="D113" s="1358"/>
      <c r="E113" s="127" t="s">
        <v>1366</v>
      </c>
      <c r="F113" s="127">
        <v>1</v>
      </c>
      <c r="G113" s="127"/>
      <c r="H113" s="169">
        <v>0</v>
      </c>
      <c r="I113" s="169">
        <v>0</v>
      </c>
      <c r="J113" s="133"/>
    </row>
    <row r="114" spans="1:10" s="47" customFormat="1" ht="161.55000000000001" customHeight="1" x14ac:dyDescent="0.3">
      <c r="A114" s="391">
        <v>11</v>
      </c>
      <c r="B114" s="1358"/>
      <c r="C114" s="1358"/>
      <c r="D114" s="1358"/>
      <c r="E114" s="127" t="s">
        <v>1367</v>
      </c>
      <c r="F114" s="127">
        <v>1</v>
      </c>
      <c r="G114" s="127"/>
      <c r="H114" s="169">
        <v>0</v>
      </c>
      <c r="I114" s="169">
        <v>0</v>
      </c>
      <c r="J114" s="133"/>
    </row>
    <row r="115" spans="1:10" s="47" customFormat="1" ht="25.5" customHeight="1" x14ac:dyDescent="0.3">
      <c r="A115" s="391">
        <v>11</v>
      </c>
      <c r="B115" s="1358"/>
      <c r="C115" s="1358"/>
      <c r="D115" s="1358"/>
      <c r="E115" s="127" t="s">
        <v>973</v>
      </c>
      <c r="F115" s="127">
        <v>1</v>
      </c>
      <c r="G115" s="127"/>
      <c r="H115" s="169">
        <v>0</v>
      </c>
      <c r="I115" s="169">
        <v>0</v>
      </c>
      <c r="J115" s="133"/>
    </row>
    <row r="116" spans="1:10" s="47" customFormat="1" ht="25.5" customHeight="1" x14ac:dyDescent="0.3">
      <c r="A116" s="391">
        <v>11</v>
      </c>
      <c r="B116" s="1295"/>
      <c r="C116" s="1295"/>
      <c r="D116" s="1295"/>
      <c r="E116" s="127" t="s">
        <v>1368</v>
      </c>
      <c r="F116" s="127">
        <v>1</v>
      </c>
      <c r="G116" s="127"/>
      <c r="H116" s="169">
        <v>0</v>
      </c>
      <c r="I116" s="169">
        <v>0</v>
      </c>
      <c r="J116" s="133"/>
    </row>
    <row r="117" spans="1:10" s="47" customFormat="1" ht="143.1" customHeight="1" x14ac:dyDescent="0.3">
      <c r="A117" s="391">
        <v>11</v>
      </c>
      <c r="B117" s="1357" t="s">
        <v>1173</v>
      </c>
      <c r="C117" s="1357" t="s">
        <v>1350</v>
      </c>
      <c r="D117" s="1357" t="s">
        <v>1350</v>
      </c>
      <c r="E117" s="127" t="s">
        <v>1363</v>
      </c>
      <c r="F117" s="127">
        <v>1</v>
      </c>
      <c r="G117" s="127"/>
      <c r="H117" s="1333" t="s">
        <v>1380</v>
      </c>
      <c r="I117" s="1334"/>
      <c r="J117" s="1335"/>
    </row>
    <row r="118" spans="1:10" s="47" customFormat="1" ht="139.5" customHeight="1" x14ac:dyDescent="0.3">
      <c r="A118" s="391">
        <v>11</v>
      </c>
      <c r="B118" s="1295"/>
      <c r="C118" s="1295"/>
      <c r="D118" s="1295"/>
      <c r="E118" s="127" t="s">
        <v>1363</v>
      </c>
      <c r="F118" s="127">
        <v>1</v>
      </c>
      <c r="G118" s="127"/>
      <c r="H118" s="1333" t="s">
        <v>1390</v>
      </c>
      <c r="I118" s="1334"/>
      <c r="J118" s="1335"/>
    </row>
    <row r="119" spans="1:10" s="47" customFormat="1" ht="51" customHeight="1" x14ac:dyDescent="0.3">
      <c r="A119" s="391">
        <v>11</v>
      </c>
      <c r="B119" s="1357" t="s">
        <v>1173</v>
      </c>
      <c r="C119" s="1357" t="s">
        <v>1369</v>
      </c>
      <c r="D119" s="1383" t="s">
        <v>1351</v>
      </c>
      <c r="E119" s="127" t="s">
        <v>3034</v>
      </c>
      <c r="F119" s="127">
        <v>1</v>
      </c>
      <c r="G119" s="127"/>
      <c r="H119" s="175">
        <v>0</v>
      </c>
      <c r="I119" s="134"/>
      <c r="J119" s="133"/>
    </row>
    <row r="120" spans="1:10" s="47" customFormat="1" ht="73.5" customHeight="1" x14ac:dyDescent="0.3">
      <c r="A120" s="391">
        <v>11</v>
      </c>
      <c r="B120" s="1358"/>
      <c r="C120" s="1358"/>
      <c r="D120" s="1384"/>
      <c r="E120" s="127" t="s">
        <v>1370</v>
      </c>
      <c r="F120" s="127">
        <v>1</v>
      </c>
      <c r="G120" s="127"/>
      <c r="H120" s="175">
        <v>0</v>
      </c>
      <c r="I120" s="134"/>
      <c r="J120" s="133"/>
    </row>
    <row r="121" spans="1:10" s="47" customFormat="1" ht="51" customHeight="1" x14ac:dyDescent="0.3">
      <c r="A121" s="391">
        <v>11</v>
      </c>
      <c r="B121" s="1358"/>
      <c r="C121" s="1358"/>
      <c r="D121" s="1384"/>
      <c r="E121" s="127" t="s">
        <v>1371</v>
      </c>
      <c r="F121" s="127">
        <v>1</v>
      </c>
      <c r="G121" s="127"/>
      <c r="H121" s="175">
        <v>0</v>
      </c>
      <c r="I121" s="134"/>
      <c r="J121" s="133"/>
    </row>
    <row r="122" spans="1:10" s="47" customFormat="1" ht="51" customHeight="1" x14ac:dyDescent="0.3">
      <c r="A122" s="391">
        <v>11</v>
      </c>
      <c r="B122" s="1358"/>
      <c r="C122" s="1358"/>
      <c r="D122" s="1384"/>
      <c r="E122" s="127" t="s">
        <v>1372</v>
      </c>
      <c r="F122" s="127">
        <v>1</v>
      </c>
      <c r="G122" s="127"/>
      <c r="H122" s="175">
        <v>0</v>
      </c>
      <c r="I122" s="134"/>
      <c r="J122" s="133"/>
    </row>
    <row r="123" spans="1:10" s="47" customFormat="1" ht="51" customHeight="1" x14ac:dyDescent="0.3">
      <c r="A123" s="391">
        <v>11</v>
      </c>
      <c r="B123" s="1295"/>
      <c r="C123" s="1295"/>
      <c r="D123" s="1385"/>
      <c r="E123" s="127" t="s">
        <v>1373</v>
      </c>
      <c r="F123" s="127">
        <v>1</v>
      </c>
      <c r="G123" s="127"/>
      <c r="H123" s="175">
        <v>0</v>
      </c>
      <c r="I123" s="134"/>
      <c r="J123" s="133"/>
    </row>
    <row r="124" spans="1:10" s="47" customFormat="1" ht="51" customHeight="1" x14ac:dyDescent="0.3">
      <c r="A124" s="391">
        <v>11</v>
      </c>
      <c r="B124" s="1357" t="s">
        <v>1173</v>
      </c>
      <c r="C124" s="1357" t="s">
        <v>1369</v>
      </c>
      <c r="D124" s="1383" t="s">
        <v>1352</v>
      </c>
      <c r="E124" s="127" t="s">
        <v>2859</v>
      </c>
      <c r="F124" s="127">
        <v>1</v>
      </c>
      <c r="G124" s="127"/>
      <c r="H124" s="175">
        <v>0</v>
      </c>
      <c r="I124" s="134"/>
      <c r="J124" s="133"/>
    </row>
    <row r="125" spans="1:10" s="47" customFormat="1" ht="74.25" customHeight="1" x14ac:dyDescent="0.3">
      <c r="A125" s="391">
        <v>11</v>
      </c>
      <c r="B125" s="1358"/>
      <c r="C125" s="1358"/>
      <c r="D125" s="1384"/>
      <c r="E125" s="127" t="s">
        <v>1370</v>
      </c>
      <c r="F125" s="127">
        <v>1</v>
      </c>
      <c r="G125" s="127"/>
      <c r="H125" s="175">
        <v>0</v>
      </c>
      <c r="I125" s="134"/>
      <c r="J125" s="133"/>
    </row>
    <row r="126" spans="1:10" s="47" customFormat="1" ht="51" customHeight="1" x14ac:dyDescent="0.3">
      <c r="A126" s="391">
        <v>11</v>
      </c>
      <c r="B126" s="1358"/>
      <c r="C126" s="1358"/>
      <c r="D126" s="1384"/>
      <c r="E126" s="127" t="s">
        <v>1371</v>
      </c>
      <c r="F126" s="127">
        <v>1</v>
      </c>
      <c r="G126" s="127"/>
      <c r="H126" s="175">
        <v>0</v>
      </c>
      <c r="I126" s="134"/>
      <c r="J126" s="133"/>
    </row>
    <row r="127" spans="1:10" s="47" customFormat="1" ht="51" customHeight="1" x14ac:dyDescent="0.3">
      <c r="A127" s="391">
        <v>11</v>
      </c>
      <c r="B127" s="1358"/>
      <c r="C127" s="1358"/>
      <c r="D127" s="1384"/>
      <c r="E127" s="127" t="s">
        <v>1372</v>
      </c>
      <c r="F127" s="127">
        <v>1</v>
      </c>
      <c r="G127" s="127"/>
      <c r="H127" s="175">
        <v>0</v>
      </c>
      <c r="I127" s="134"/>
      <c r="J127" s="133"/>
    </row>
    <row r="128" spans="1:10" s="47" customFormat="1" ht="51" customHeight="1" x14ac:dyDescent="0.3">
      <c r="A128" s="391">
        <v>11</v>
      </c>
      <c r="B128" s="1295"/>
      <c r="C128" s="1295"/>
      <c r="D128" s="1385"/>
      <c r="E128" s="127" t="s">
        <v>1373</v>
      </c>
      <c r="F128" s="127">
        <v>1</v>
      </c>
      <c r="G128" s="127"/>
      <c r="H128" s="175">
        <v>0</v>
      </c>
      <c r="I128" s="134"/>
      <c r="J128" s="133"/>
    </row>
    <row r="129" spans="1:10" s="47" customFormat="1" ht="85.5" customHeight="1" thickBot="1" x14ac:dyDescent="0.35">
      <c r="A129" s="391">
        <v>11</v>
      </c>
      <c r="B129" s="127" t="s">
        <v>1173</v>
      </c>
      <c r="C129" s="127" t="s">
        <v>1384</v>
      </c>
      <c r="D129" s="127" t="s">
        <v>1374</v>
      </c>
      <c r="E129" s="127" t="s">
        <v>1374</v>
      </c>
      <c r="F129" s="127">
        <v>1</v>
      </c>
      <c r="G129" s="127"/>
      <c r="H129" s="1333" t="s">
        <v>2966</v>
      </c>
      <c r="I129" s="1334"/>
      <c r="J129" s="1335"/>
    </row>
    <row r="130" spans="1:10" ht="18.600000000000001" thickTop="1" x14ac:dyDescent="0.3">
      <c r="F130" s="1084"/>
    </row>
  </sheetData>
  <mergeCells count="123">
    <mergeCell ref="B7:B15"/>
    <mergeCell ref="D16:D17"/>
    <mergeCell ref="C16:C17"/>
    <mergeCell ref="B16:B17"/>
    <mergeCell ref="D18:D32"/>
    <mergeCell ref="H129:J129"/>
    <mergeCell ref="H117:J117"/>
    <mergeCell ref="H118:J118"/>
    <mergeCell ref="H106:J106"/>
    <mergeCell ref="C18:C32"/>
    <mergeCell ref="B18:B32"/>
    <mergeCell ref="C34:C47"/>
    <mergeCell ref="B34:B47"/>
    <mergeCell ref="D61:D72"/>
    <mergeCell ref="C61:C72"/>
    <mergeCell ref="H11:J11"/>
    <mergeCell ref="H19:J19"/>
    <mergeCell ref="H107:J107"/>
    <mergeCell ref="H108:J108"/>
    <mergeCell ref="H109:J109"/>
    <mergeCell ref="H110:J110"/>
    <mergeCell ref="H37:J37"/>
    <mergeCell ref="H39:J39"/>
    <mergeCell ref="H40:J40"/>
    <mergeCell ref="B61:B72"/>
    <mergeCell ref="H73:J73"/>
    <mergeCell ref="C73:C80"/>
    <mergeCell ref="D73:D80"/>
    <mergeCell ref="B73:B80"/>
    <mergeCell ref="D81:D83"/>
    <mergeCell ref="D84:D88"/>
    <mergeCell ref="C81:C83"/>
    <mergeCell ref="B81:B83"/>
    <mergeCell ref="C84:C88"/>
    <mergeCell ref="B84:B88"/>
    <mergeCell ref="H75:J75"/>
    <mergeCell ref="H77:J77"/>
    <mergeCell ref="H78:J78"/>
    <mergeCell ref="H87:J87"/>
    <mergeCell ref="H88:J88"/>
    <mergeCell ref="H81:J81"/>
    <mergeCell ref="H82:J82"/>
    <mergeCell ref="H83:J83"/>
    <mergeCell ref="H84:J84"/>
    <mergeCell ref="H80:J80"/>
    <mergeCell ref="B90:B92"/>
    <mergeCell ref="B93:B95"/>
    <mergeCell ref="B96:B98"/>
    <mergeCell ref="D99:D100"/>
    <mergeCell ref="C99:C100"/>
    <mergeCell ref="B99:B100"/>
    <mergeCell ref="D90:D92"/>
    <mergeCell ref="D93:D95"/>
    <mergeCell ref="D96:D98"/>
    <mergeCell ref="C90:C92"/>
    <mergeCell ref="C93:C95"/>
    <mergeCell ref="C96:C98"/>
    <mergeCell ref="H104:J104"/>
    <mergeCell ref="H105:J105"/>
    <mergeCell ref="D119:D123"/>
    <mergeCell ref="C119:C123"/>
    <mergeCell ref="B119:B123"/>
    <mergeCell ref="D124:D128"/>
    <mergeCell ref="C124:C128"/>
    <mergeCell ref="B124:B128"/>
    <mergeCell ref="D111:D116"/>
    <mergeCell ref="C111:C116"/>
    <mergeCell ref="B111:B116"/>
    <mergeCell ref="D117:D118"/>
    <mergeCell ref="C117:C118"/>
    <mergeCell ref="B117:B118"/>
    <mergeCell ref="D101:D104"/>
    <mergeCell ref="C101:C104"/>
    <mergeCell ref="B101:B104"/>
    <mergeCell ref="D105:D110"/>
    <mergeCell ref="C105:C110"/>
    <mergeCell ref="B105:B110"/>
    <mergeCell ref="H101:J101"/>
    <mergeCell ref="H99:J99"/>
    <mergeCell ref="H74:J74"/>
    <mergeCell ref="H76:J76"/>
    <mergeCell ref="H7:J7"/>
    <mergeCell ref="H8:J8"/>
    <mergeCell ref="H9:J9"/>
    <mergeCell ref="H102:J102"/>
    <mergeCell ref="H103:J103"/>
    <mergeCell ref="H47:J47"/>
    <mergeCell ref="H89:J89"/>
    <mergeCell ref="H16:J16"/>
    <mergeCell ref="H17:J17"/>
    <mergeCell ref="H18:J18"/>
    <mergeCell ref="H32:J32"/>
    <mergeCell ref="H100:J100"/>
    <mergeCell ref="H2:J2"/>
    <mergeCell ref="H3:J3"/>
    <mergeCell ref="H4:J4"/>
    <mergeCell ref="H5:J5"/>
    <mergeCell ref="H6:J6"/>
    <mergeCell ref="H34:J34"/>
    <mergeCell ref="H35:J35"/>
    <mergeCell ref="H36:J36"/>
    <mergeCell ref="H79:J79"/>
    <mergeCell ref="H10:J10"/>
    <mergeCell ref="H33:J33"/>
    <mergeCell ref="D7:D15"/>
    <mergeCell ref="C7:C15"/>
    <mergeCell ref="D37:D38"/>
    <mergeCell ref="H38:J38"/>
    <mergeCell ref="H48:J48"/>
    <mergeCell ref="D41:D48"/>
    <mergeCell ref="C49:C60"/>
    <mergeCell ref="D49:D53"/>
    <mergeCell ref="D54:D58"/>
    <mergeCell ref="H50:J50"/>
    <mergeCell ref="H51:J51"/>
    <mergeCell ref="H52:J52"/>
    <mergeCell ref="H53:J53"/>
    <mergeCell ref="H55:J55"/>
    <mergeCell ref="H56:J56"/>
    <mergeCell ref="H57:J57"/>
    <mergeCell ref="H58:J58"/>
    <mergeCell ref="H59:J59"/>
    <mergeCell ref="H60:J60"/>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'Guidance Notes'!$V$1:$V$2</xm:f>
          </x14:formula1>
          <xm:sqref>F7:F129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K323"/>
  <sheetViews>
    <sheetView topLeftCell="B320" zoomScale="70" zoomScaleNormal="70" workbookViewId="0">
      <selection activeCell="H321" sqref="H321:J321"/>
    </sheetView>
  </sheetViews>
  <sheetFormatPr defaultRowHeight="13.8" x14ac:dyDescent="0.3"/>
  <cols>
    <col min="2" max="2" width="28" bestFit="1" customWidth="1"/>
    <col min="3" max="3" width="40.6640625" customWidth="1"/>
    <col min="4" max="4" width="29" customWidth="1"/>
    <col min="5" max="5" width="20.33203125" customWidth="1"/>
    <col min="8" max="8" width="38.88671875" customWidth="1"/>
    <col min="9" max="9" width="46.88671875" customWidth="1"/>
    <col min="10" max="10" width="44.6640625" customWidth="1"/>
  </cols>
  <sheetData>
    <row r="1" spans="1:10" s="400" customFormat="1" ht="63.6" thickTop="1" thickBot="1" x14ac:dyDescent="0.35">
      <c r="A1" s="394"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0" s="31" customFormat="1" ht="129.75" customHeight="1" thickTop="1" x14ac:dyDescent="0.3">
      <c r="A2" s="391">
        <v>12</v>
      </c>
      <c r="B2" s="1401" t="s">
        <v>294</v>
      </c>
      <c r="C2" s="1401" t="s">
        <v>294</v>
      </c>
      <c r="D2" s="1401" t="s">
        <v>294</v>
      </c>
      <c r="E2" s="150" t="s">
        <v>1191</v>
      </c>
      <c r="F2" s="150">
        <v>1</v>
      </c>
      <c r="G2" s="151"/>
      <c r="H2" s="1329" t="s">
        <v>2833</v>
      </c>
      <c r="I2" s="1329"/>
      <c r="J2" s="1330"/>
    </row>
    <row r="3" spans="1:10" s="31" customFormat="1" ht="92.25" customHeight="1" x14ac:dyDescent="0.3">
      <c r="A3" s="391">
        <v>12</v>
      </c>
      <c r="B3" s="1310"/>
      <c r="C3" s="1310"/>
      <c r="D3" s="1310"/>
      <c r="E3" s="127" t="s">
        <v>601</v>
      </c>
      <c r="F3" s="127">
        <v>1</v>
      </c>
      <c r="G3" s="128"/>
      <c r="H3" s="169">
        <v>0</v>
      </c>
      <c r="I3" s="169">
        <v>0</v>
      </c>
      <c r="J3" s="170">
        <v>0</v>
      </c>
    </row>
    <row r="4" spans="1:10" s="31" customFormat="1" ht="68.25" customHeight="1" x14ac:dyDescent="0.3">
      <c r="A4" s="391">
        <v>12</v>
      </c>
      <c r="B4" s="1310"/>
      <c r="C4" s="1310"/>
      <c r="D4" s="1310"/>
      <c r="E4" s="127" t="s">
        <v>603</v>
      </c>
      <c r="F4" s="127">
        <v>1</v>
      </c>
      <c r="G4" s="128"/>
      <c r="H4" s="176"/>
      <c r="I4" s="176"/>
      <c r="J4" s="170">
        <v>0</v>
      </c>
    </row>
    <row r="5" spans="1:10" s="31" customFormat="1" ht="38.25" customHeight="1" x14ac:dyDescent="0.3">
      <c r="A5" s="391">
        <v>12</v>
      </c>
      <c r="B5" s="1310"/>
      <c r="C5" s="1310"/>
      <c r="D5" s="1310"/>
      <c r="E5" s="127" t="s">
        <v>902</v>
      </c>
      <c r="F5" s="127">
        <v>1</v>
      </c>
      <c r="G5" s="128"/>
      <c r="H5" s="176"/>
      <c r="I5" s="176"/>
      <c r="J5" s="170">
        <v>0</v>
      </c>
    </row>
    <row r="6" spans="1:10" s="31" customFormat="1" ht="38.25" customHeight="1" x14ac:dyDescent="0.3">
      <c r="A6" s="391">
        <v>12</v>
      </c>
      <c r="B6" s="1310"/>
      <c r="C6" s="1310"/>
      <c r="D6" s="1310"/>
      <c r="E6" s="127" t="s">
        <v>354</v>
      </c>
      <c r="F6" s="127">
        <v>1</v>
      </c>
      <c r="G6" s="128"/>
      <c r="H6" s="176"/>
      <c r="I6" s="176"/>
      <c r="J6" s="170">
        <v>0</v>
      </c>
    </row>
    <row r="7" spans="1:10" s="31" customFormat="1" ht="90" x14ac:dyDescent="0.3">
      <c r="A7" s="391">
        <v>12</v>
      </c>
      <c r="B7" s="1310"/>
      <c r="C7" s="1310"/>
      <c r="D7" s="1310"/>
      <c r="E7" s="127" t="s">
        <v>70</v>
      </c>
      <c r="F7" s="127">
        <v>1</v>
      </c>
      <c r="G7" s="128"/>
      <c r="H7" s="169">
        <v>0</v>
      </c>
      <c r="I7" s="169">
        <v>0</v>
      </c>
      <c r="J7" s="169">
        <v>0</v>
      </c>
    </row>
    <row r="8" spans="1:10" s="31" customFormat="1" ht="38.25" customHeight="1" x14ac:dyDescent="0.3">
      <c r="A8" s="391">
        <v>12</v>
      </c>
      <c r="B8" s="1310"/>
      <c r="C8" s="1310"/>
      <c r="D8" s="1310"/>
      <c r="E8" s="127" t="s">
        <v>1104</v>
      </c>
      <c r="F8" s="127">
        <v>1</v>
      </c>
      <c r="G8" s="128"/>
      <c r="H8" s="169">
        <v>0</v>
      </c>
      <c r="I8" s="169">
        <v>0</v>
      </c>
      <c r="J8" s="170">
        <v>0</v>
      </c>
    </row>
    <row r="9" spans="1:10" s="31" customFormat="1" ht="38.25" customHeight="1" x14ac:dyDescent="0.3">
      <c r="A9" s="391">
        <v>12</v>
      </c>
      <c r="B9" s="1310"/>
      <c r="C9" s="1310"/>
      <c r="D9" s="1310"/>
      <c r="E9" s="127" t="s">
        <v>606</v>
      </c>
      <c r="F9" s="127">
        <v>1</v>
      </c>
      <c r="G9" s="128"/>
      <c r="H9" s="169">
        <v>0</v>
      </c>
      <c r="I9" s="169">
        <v>0</v>
      </c>
      <c r="J9" s="170">
        <v>0</v>
      </c>
    </row>
    <row r="10" spans="1:10" s="31" customFormat="1" ht="38.25" customHeight="1" x14ac:dyDescent="0.3">
      <c r="A10" s="391">
        <v>12</v>
      </c>
      <c r="B10" s="1310"/>
      <c r="C10" s="1310"/>
      <c r="D10" s="1310"/>
      <c r="E10" s="127" t="s">
        <v>607</v>
      </c>
      <c r="F10" s="127">
        <v>1</v>
      </c>
      <c r="G10" s="128"/>
      <c r="H10" s="176"/>
      <c r="I10" s="176"/>
      <c r="J10" s="170">
        <v>0</v>
      </c>
    </row>
    <row r="11" spans="1:10" s="31" customFormat="1" ht="38.25" customHeight="1" x14ac:dyDescent="0.3">
      <c r="A11" s="391">
        <v>12</v>
      </c>
      <c r="B11" s="1310"/>
      <c r="C11" s="1310"/>
      <c r="D11" s="1310"/>
      <c r="E11" s="127" t="s">
        <v>608</v>
      </c>
      <c r="F11" s="127">
        <v>1</v>
      </c>
      <c r="G11" s="128"/>
      <c r="H11" s="176"/>
      <c r="I11" s="176"/>
      <c r="J11" s="170">
        <v>0</v>
      </c>
    </row>
    <row r="12" spans="1:10" s="31" customFormat="1" ht="38.25" customHeight="1" x14ac:dyDescent="0.3">
      <c r="A12" s="391">
        <v>12</v>
      </c>
      <c r="B12" s="1310"/>
      <c r="C12" s="1310"/>
      <c r="D12" s="1310"/>
      <c r="E12" s="127" t="s">
        <v>610</v>
      </c>
      <c r="F12" s="127">
        <v>1</v>
      </c>
      <c r="G12" s="128"/>
      <c r="H12" s="169">
        <v>0</v>
      </c>
      <c r="I12" s="169">
        <v>0</v>
      </c>
      <c r="J12" s="170">
        <v>0</v>
      </c>
    </row>
    <row r="13" spans="1:10" s="31" customFormat="1" ht="38.25" customHeight="1" x14ac:dyDescent="0.3">
      <c r="A13" s="391">
        <v>12</v>
      </c>
      <c r="B13" s="1310"/>
      <c r="C13" s="1310"/>
      <c r="D13" s="1310"/>
      <c r="E13" s="127" t="s">
        <v>4</v>
      </c>
      <c r="F13" s="127">
        <v>1</v>
      </c>
      <c r="G13" s="128"/>
      <c r="H13" s="169">
        <v>0</v>
      </c>
      <c r="I13" s="169">
        <v>0</v>
      </c>
      <c r="J13" s="170">
        <v>0</v>
      </c>
    </row>
    <row r="14" spans="1:10" s="31" customFormat="1" ht="150" customHeight="1" x14ac:dyDescent="0.3">
      <c r="A14" s="391">
        <v>12</v>
      </c>
      <c r="B14" s="1310"/>
      <c r="C14" s="1310"/>
      <c r="D14" s="1310"/>
      <c r="E14" s="127" t="s">
        <v>1192</v>
      </c>
      <c r="F14" s="127">
        <v>1</v>
      </c>
      <c r="G14" s="128"/>
      <c r="H14" s="169">
        <v>0</v>
      </c>
      <c r="I14" s="169">
        <v>0</v>
      </c>
      <c r="J14" s="170">
        <v>0</v>
      </c>
    </row>
    <row r="15" spans="1:10" s="31" customFormat="1" ht="156" customHeight="1" x14ac:dyDescent="0.3">
      <c r="A15" s="391">
        <v>12</v>
      </c>
      <c r="B15" s="1310"/>
      <c r="C15" s="1310"/>
      <c r="D15" s="1310"/>
      <c r="E15" s="127" t="s">
        <v>2834</v>
      </c>
      <c r="F15" s="127">
        <v>1</v>
      </c>
      <c r="G15" s="128"/>
      <c r="H15" s="169">
        <v>0</v>
      </c>
      <c r="I15" s="169">
        <v>0</v>
      </c>
      <c r="J15" s="177">
        <v>0</v>
      </c>
    </row>
    <row r="16" spans="1:10" s="31" customFormat="1" ht="135.75" customHeight="1" thickBot="1" x14ac:dyDescent="0.35">
      <c r="A16" s="391">
        <v>12</v>
      </c>
      <c r="B16" s="1312"/>
      <c r="C16" s="1312"/>
      <c r="D16" s="1312"/>
      <c r="E16" s="144" t="s">
        <v>1193</v>
      </c>
      <c r="F16" s="144">
        <v>1</v>
      </c>
      <c r="G16" s="145"/>
      <c r="H16" s="167">
        <v>0</v>
      </c>
      <c r="I16" s="167">
        <v>0</v>
      </c>
      <c r="J16" s="178">
        <v>0</v>
      </c>
    </row>
    <row r="17" spans="1:11" s="31" customFormat="1" ht="44.55" customHeight="1" thickTop="1" x14ac:dyDescent="0.3">
      <c r="A17" s="391">
        <v>13</v>
      </c>
      <c r="B17" s="1401" t="s">
        <v>295</v>
      </c>
      <c r="C17" s="1401" t="s">
        <v>295</v>
      </c>
      <c r="D17" s="1401" t="s">
        <v>295</v>
      </c>
      <c r="E17" s="150" t="s">
        <v>295</v>
      </c>
      <c r="F17" s="150">
        <v>1</v>
      </c>
      <c r="G17" s="151"/>
      <c r="H17" s="1329" t="s">
        <v>1950</v>
      </c>
      <c r="I17" s="1329"/>
      <c r="J17" s="1330"/>
    </row>
    <row r="18" spans="1:11" s="31" customFormat="1" ht="36" x14ac:dyDescent="0.3">
      <c r="A18" s="391">
        <v>13</v>
      </c>
      <c r="B18" s="1310"/>
      <c r="C18" s="1310"/>
      <c r="D18" s="1310"/>
      <c r="E18" s="127" t="s">
        <v>295</v>
      </c>
      <c r="F18" s="127">
        <v>1</v>
      </c>
      <c r="G18" s="128"/>
      <c r="H18" s="1308" t="s">
        <v>2781</v>
      </c>
      <c r="I18" s="1308"/>
      <c r="J18" s="1309"/>
    </row>
    <row r="19" spans="1:11" s="31" customFormat="1" ht="90" x14ac:dyDescent="0.3">
      <c r="A19" s="391">
        <v>13</v>
      </c>
      <c r="B19" s="1310"/>
      <c r="C19" s="1310"/>
      <c r="D19" s="1310"/>
      <c r="E19" s="127" t="s">
        <v>1194</v>
      </c>
      <c r="F19" s="127">
        <v>1</v>
      </c>
      <c r="G19" s="128"/>
      <c r="H19" s="169">
        <v>0</v>
      </c>
      <c r="I19" s="135"/>
      <c r="J19" s="131"/>
    </row>
    <row r="20" spans="1:11" s="31" customFormat="1" ht="88.5" customHeight="1" x14ac:dyDescent="0.3">
      <c r="A20" s="391">
        <v>13</v>
      </c>
      <c r="B20" s="1310"/>
      <c r="C20" s="1310"/>
      <c r="D20" s="1310"/>
      <c r="E20" s="127" t="s">
        <v>1195</v>
      </c>
      <c r="F20" s="127">
        <v>1</v>
      </c>
      <c r="G20" s="128"/>
      <c r="H20" s="169">
        <v>0</v>
      </c>
      <c r="I20" s="135"/>
      <c r="J20" s="131"/>
    </row>
    <row r="21" spans="1:11" s="31" customFormat="1" ht="90" x14ac:dyDescent="0.3">
      <c r="A21" s="391">
        <v>13</v>
      </c>
      <c r="B21" s="1310"/>
      <c r="C21" s="1310"/>
      <c r="D21" s="1310"/>
      <c r="E21" s="127" t="s">
        <v>1196</v>
      </c>
      <c r="F21" s="127">
        <v>1</v>
      </c>
      <c r="G21" s="128"/>
      <c r="H21" s="169">
        <v>0</v>
      </c>
      <c r="I21" s="135"/>
      <c r="J21" s="131"/>
    </row>
    <row r="22" spans="1:11" s="31" customFormat="1" ht="72.599999999999994" thickBot="1" x14ac:dyDescent="0.35">
      <c r="A22" s="391">
        <v>13</v>
      </c>
      <c r="B22" s="1312"/>
      <c r="C22" s="1312"/>
      <c r="D22" s="1312"/>
      <c r="E22" s="144" t="s">
        <v>1197</v>
      </c>
      <c r="F22" s="144">
        <v>1</v>
      </c>
      <c r="G22" s="145"/>
      <c r="H22" s="171">
        <v>0</v>
      </c>
      <c r="I22" s="155"/>
      <c r="J22" s="148"/>
    </row>
    <row r="23" spans="1:11" s="31" customFormat="1" ht="36" customHeight="1" thickTop="1" x14ac:dyDescent="0.3">
      <c r="A23" s="391">
        <v>14</v>
      </c>
      <c r="B23" s="1401" t="s">
        <v>296</v>
      </c>
      <c r="C23" s="1401" t="s">
        <v>296</v>
      </c>
      <c r="D23" s="1401" t="s">
        <v>296</v>
      </c>
      <c r="E23" s="150" t="s">
        <v>296</v>
      </c>
      <c r="F23" s="150">
        <v>1</v>
      </c>
      <c r="G23" s="151"/>
      <c r="H23" s="1329" t="s">
        <v>1921</v>
      </c>
      <c r="I23" s="1329"/>
      <c r="J23" s="1330"/>
      <c r="K23" s="126"/>
    </row>
    <row r="24" spans="1:11" s="31" customFormat="1" ht="56.25" customHeight="1" x14ac:dyDescent="0.3">
      <c r="A24" s="391">
        <v>14</v>
      </c>
      <c r="B24" s="1310"/>
      <c r="C24" s="1310"/>
      <c r="D24" s="1310"/>
      <c r="E24" s="127" t="s">
        <v>296</v>
      </c>
      <c r="F24" s="127">
        <v>1</v>
      </c>
      <c r="G24" s="128"/>
      <c r="H24" s="1308" t="s">
        <v>1198</v>
      </c>
      <c r="I24" s="1308"/>
      <c r="J24" s="1309"/>
      <c r="K24" s="126"/>
    </row>
    <row r="25" spans="1:11" s="31" customFormat="1" ht="25.5" customHeight="1" thickBot="1" x14ac:dyDescent="0.35">
      <c r="A25" s="391">
        <v>14</v>
      </c>
      <c r="B25" s="1312"/>
      <c r="C25" s="1312"/>
      <c r="D25" s="1312"/>
      <c r="E25" s="144" t="s">
        <v>296</v>
      </c>
      <c r="F25" s="144">
        <v>1</v>
      </c>
      <c r="G25" s="145"/>
      <c r="H25" s="1386" t="s">
        <v>1466</v>
      </c>
      <c r="I25" s="1386"/>
      <c r="J25" s="1387"/>
    </row>
    <row r="26" spans="1:11" s="31" customFormat="1" ht="38.25" customHeight="1" thickTop="1" x14ac:dyDescent="0.3">
      <c r="A26" s="391">
        <v>15</v>
      </c>
      <c r="B26" s="1401" t="s">
        <v>297</v>
      </c>
      <c r="C26" s="1401" t="s">
        <v>297</v>
      </c>
      <c r="D26" s="1401" t="s">
        <v>297</v>
      </c>
      <c r="E26" s="150" t="s">
        <v>297</v>
      </c>
      <c r="F26" s="150">
        <v>1</v>
      </c>
      <c r="G26" s="151"/>
      <c r="H26" s="1329" t="s">
        <v>626</v>
      </c>
      <c r="I26" s="1329"/>
      <c r="J26" s="1330"/>
    </row>
    <row r="27" spans="1:11" s="31" customFormat="1" ht="29.55" customHeight="1" thickBot="1" x14ac:dyDescent="0.35">
      <c r="A27" s="391">
        <v>15</v>
      </c>
      <c r="B27" s="1312"/>
      <c r="C27" s="1312"/>
      <c r="D27" s="1312"/>
      <c r="E27" s="144" t="s">
        <v>297</v>
      </c>
      <c r="F27" s="144">
        <v>1</v>
      </c>
      <c r="G27" s="145"/>
      <c r="H27" s="1386" t="s">
        <v>1466</v>
      </c>
      <c r="I27" s="1386"/>
      <c r="J27" s="1387"/>
    </row>
    <row r="28" spans="1:11" s="31" customFormat="1" ht="25.5" customHeight="1" thickTop="1" x14ac:dyDescent="0.3">
      <c r="A28" s="391">
        <v>16</v>
      </c>
      <c r="B28" s="1401" t="s">
        <v>1199</v>
      </c>
      <c r="C28" s="1401" t="s">
        <v>1199</v>
      </c>
      <c r="D28" s="1401" t="s">
        <v>1199</v>
      </c>
      <c r="E28" s="150" t="s">
        <v>1200</v>
      </c>
      <c r="F28" s="150">
        <v>1</v>
      </c>
      <c r="G28" s="151"/>
      <c r="H28" s="168">
        <v>0</v>
      </c>
      <c r="I28" s="168">
        <v>0</v>
      </c>
      <c r="J28" s="156"/>
    </row>
    <row r="29" spans="1:11" s="31" customFormat="1" ht="25.5" customHeight="1" x14ac:dyDescent="0.3">
      <c r="A29" s="391">
        <v>16</v>
      </c>
      <c r="B29" s="1310"/>
      <c r="C29" s="1310"/>
      <c r="D29" s="1310"/>
      <c r="E29" s="127" t="s">
        <v>1201</v>
      </c>
      <c r="F29" s="127">
        <v>1</v>
      </c>
      <c r="G29" s="128"/>
      <c r="H29" s="166">
        <v>0</v>
      </c>
      <c r="I29" s="166">
        <v>0</v>
      </c>
      <c r="J29" s="136"/>
    </row>
    <row r="30" spans="1:11" s="31" customFormat="1" ht="46.5" customHeight="1" x14ac:dyDescent="0.3">
      <c r="A30" s="391">
        <v>16</v>
      </c>
      <c r="B30" s="1310"/>
      <c r="C30" s="1310"/>
      <c r="D30" s="1310"/>
      <c r="E30" s="127" t="s">
        <v>1199</v>
      </c>
      <c r="F30" s="127">
        <v>1</v>
      </c>
      <c r="G30" s="128"/>
      <c r="H30" s="1308" t="s">
        <v>1466</v>
      </c>
      <c r="I30" s="1308"/>
      <c r="J30" s="1309"/>
    </row>
    <row r="31" spans="1:11" s="31" customFormat="1" ht="56.25" customHeight="1" x14ac:dyDescent="0.3">
      <c r="A31" s="391">
        <v>16</v>
      </c>
      <c r="B31" s="1310" t="s">
        <v>635</v>
      </c>
      <c r="C31" s="1310" t="s">
        <v>635</v>
      </c>
      <c r="D31" s="1310" t="s">
        <v>635</v>
      </c>
      <c r="E31" s="127" t="s">
        <v>1200</v>
      </c>
      <c r="F31" s="127">
        <v>1</v>
      </c>
      <c r="G31" s="128"/>
      <c r="H31" s="166">
        <v>0</v>
      </c>
      <c r="I31" s="166">
        <v>0</v>
      </c>
      <c r="J31" s="136"/>
    </row>
    <row r="32" spans="1:11" s="31" customFormat="1" ht="25.5" customHeight="1" x14ac:dyDescent="0.3">
      <c r="A32" s="391">
        <v>16</v>
      </c>
      <c r="B32" s="1310"/>
      <c r="C32" s="1310"/>
      <c r="D32" s="1310"/>
      <c r="E32" s="127" t="s">
        <v>1201</v>
      </c>
      <c r="F32" s="127">
        <v>1</v>
      </c>
      <c r="G32" s="128"/>
      <c r="H32" s="166">
        <v>0</v>
      </c>
      <c r="I32" s="166">
        <v>0</v>
      </c>
      <c r="J32" s="136"/>
    </row>
    <row r="33" spans="1:11" s="31" customFormat="1" ht="36" x14ac:dyDescent="0.3">
      <c r="A33" s="391">
        <v>16</v>
      </c>
      <c r="B33" s="1310"/>
      <c r="C33" s="1310"/>
      <c r="D33" s="1310"/>
      <c r="E33" s="127" t="s">
        <v>635</v>
      </c>
      <c r="F33" s="127">
        <v>1</v>
      </c>
      <c r="G33" s="128"/>
      <c r="H33" s="1308" t="s">
        <v>1951</v>
      </c>
      <c r="I33" s="1308"/>
      <c r="J33" s="1309"/>
    </row>
    <row r="34" spans="1:11" s="31" customFormat="1" ht="36.6" thickBot="1" x14ac:dyDescent="0.35">
      <c r="A34" s="391">
        <v>16</v>
      </c>
      <c r="B34" s="1312"/>
      <c r="C34" s="1312"/>
      <c r="D34" s="1312"/>
      <c r="E34" s="144" t="s">
        <v>635</v>
      </c>
      <c r="F34" s="144">
        <v>1</v>
      </c>
      <c r="G34" s="145"/>
      <c r="H34" s="1386" t="s">
        <v>1466</v>
      </c>
      <c r="I34" s="1386"/>
      <c r="J34" s="1387"/>
    </row>
    <row r="35" spans="1:11" s="31" customFormat="1" ht="37.200000000000003" thickTop="1" thickBot="1" x14ac:dyDescent="0.35">
      <c r="A35" s="391">
        <v>18</v>
      </c>
      <c r="B35" s="1401" t="s">
        <v>395</v>
      </c>
      <c r="C35" s="1401" t="s">
        <v>395</v>
      </c>
      <c r="D35" s="1401" t="s">
        <v>395</v>
      </c>
      <c r="E35" s="150" t="s">
        <v>395</v>
      </c>
      <c r="F35" s="150">
        <v>1</v>
      </c>
      <c r="G35" s="151"/>
      <c r="H35" s="1401" t="s">
        <v>1922</v>
      </c>
      <c r="I35" s="1401"/>
      <c r="J35" s="1402"/>
    </row>
    <row r="36" spans="1:11" s="31" customFormat="1" ht="37.200000000000003" thickTop="1" thickBot="1" x14ac:dyDescent="0.35">
      <c r="A36" s="391">
        <v>18</v>
      </c>
      <c r="B36" s="1310"/>
      <c r="C36" s="1310"/>
      <c r="D36" s="1310"/>
      <c r="E36" s="127" t="s">
        <v>395</v>
      </c>
      <c r="F36" s="150">
        <v>1</v>
      </c>
      <c r="G36" s="128"/>
      <c r="H36" s="1310" t="s">
        <v>1466</v>
      </c>
      <c r="I36" s="1310"/>
      <c r="J36" s="1315"/>
    </row>
    <row r="37" spans="1:11" s="31" customFormat="1" ht="37.200000000000003" thickTop="1" thickBot="1" x14ac:dyDescent="0.35">
      <c r="A37" s="391">
        <v>18</v>
      </c>
      <c r="B37" s="1310" t="s">
        <v>403</v>
      </c>
      <c r="C37" s="1310" t="s">
        <v>403</v>
      </c>
      <c r="D37" s="1310" t="s">
        <v>403</v>
      </c>
      <c r="E37" s="127" t="s">
        <v>403</v>
      </c>
      <c r="F37" s="150">
        <v>1</v>
      </c>
      <c r="G37" s="128"/>
      <c r="H37" s="1310" t="s">
        <v>1300</v>
      </c>
      <c r="I37" s="1310"/>
      <c r="J37" s="1315"/>
    </row>
    <row r="38" spans="1:11" s="31" customFormat="1" ht="36.6" thickTop="1" x14ac:dyDescent="0.3">
      <c r="A38" s="391">
        <v>18</v>
      </c>
      <c r="B38" s="1310"/>
      <c r="C38" s="1310"/>
      <c r="D38" s="1310"/>
      <c r="E38" s="127" t="s">
        <v>403</v>
      </c>
      <c r="F38" s="150">
        <v>1</v>
      </c>
      <c r="G38" s="128"/>
      <c r="H38" s="1310" t="s">
        <v>1301</v>
      </c>
      <c r="I38" s="1310"/>
      <c r="J38" s="1315"/>
    </row>
    <row r="39" spans="1:11" s="31" customFormat="1" ht="45.6" customHeight="1" x14ac:dyDescent="0.3">
      <c r="A39" s="391">
        <v>18</v>
      </c>
      <c r="B39" s="1310"/>
      <c r="C39" s="1310"/>
      <c r="D39" s="1310"/>
      <c r="E39" s="127" t="s">
        <v>1299</v>
      </c>
      <c r="F39" s="127">
        <v>1</v>
      </c>
      <c r="G39" s="128"/>
      <c r="H39" s="1310" t="s">
        <v>2942</v>
      </c>
      <c r="I39" s="1310"/>
      <c r="J39" s="1315"/>
    </row>
    <row r="40" spans="1:11" s="31" customFormat="1" ht="153.6" customHeight="1" thickBot="1" x14ac:dyDescent="0.35">
      <c r="A40" s="391">
        <v>18</v>
      </c>
      <c r="B40" s="1312"/>
      <c r="C40" s="1312"/>
      <c r="D40" s="1312"/>
      <c r="E40" s="144" t="s">
        <v>1299</v>
      </c>
      <c r="F40" s="144">
        <v>1</v>
      </c>
      <c r="G40" s="145"/>
      <c r="H40" s="1312" t="s">
        <v>2240</v>
      </c>
      <c r="I40" s="1312"/>
      <c r="J40" s="1396"/>
    </row>
    <row r="41" spans="1:11" s="31" customFormat="1" ht="109.2" customHeight="1" thickTop="1" x14ac:dyDescent="0.3">
      <c r="A41" s="391">
        <v>19</v>
      </c>
      <c r="B41" s="127" t="s">
        <v>308</v>
      </c>
      <c r="C41" s="127" t="s">
        <v>308</v>
      </c>
      <c r="D41" s="127" t="s">
        <v>308</v>
      </c>
      <c r="E41" s="127" t="str">
        <f>'Input - BS'!G343</f>
        <v>Outstanding legal cases</v>
      </c>
      <c r="F41" s="127">
        <v>1</v>
      </c>
      <c r="G41" s="128"/>
      <c r="H41" s="1308" t="s">
        <v>2579</v>
      </c>
      <c r="I41" s="1308"/>
      <c r="J41" s="1309"/>
    </row>
    <row r="42" spans="1:11" s="31" customFormat="1" ht="99.75" customHeight="1" x14ac:dyDescent="0.3">
      <c r="A42" s="391">
        <v>19</v>
      </c>
      <c r="B42" s="127" t="s">
        <v>308</v>
      </c>
      <c r="C42" s="127" t="s">
        <v>308</v>
      </c>
      <c r="D42" s="127" t="s">
        <v>308</v>
      </c>
      <c r="E42" s="127" t="str">
        <f>'Input - BS'!G348</f>
        <v>Injury and Damage Compensation claims</v>
      </c>
      <c r="F42" s="127">
        <v>1</v>
      </c>
      <c r="G42" s="128"/>
      <c r="H42" s="1308" t="s">
        <v>2943</v>
      </c>
      <c r="I42" s="1308"/>
      <c r="J42" s="1309"/>
    </row>
    <row r="43" spans="1:11" s="31" customFormat="1" ht="52.5" customHeight="1" x14ac:dyDescent="0.3">
      <c r="A43" s="391">
        <v>19</v>
      </c>
      <c r="B43" s="127" t="s">
        <v>308</v>
      </c>
      <c r="C43" s="127" t="s">
        <v>308</v>
      </c>
      <c r="D43" s="127" t="s">
        <v>308</v>
      </c>
      <c r="E43" s="127" t="str">
        <f>'Input - BS'!G353</f>
        <v>Provision 2</v>
      </c>
      <c r="F43" s="127">
        <v>1</v>
      </c>
      <c r="G43" s="128"/>
      <c r="H43" s="1308" t="s">
        <v>2068</v>
      </c>
      <c r="I43" s="1308"/>
      <c r="J43" s="1309"/>
    </row>
    <row r="44" spans="1:11" s="31" customFormat="1" ht="52.5" customHeight="1" x14ac:dyDescent="0.3">
      <c r="A44" s="391">
        <v>19</v>
      </c>
      <c r="B44" s="127" t="s">
        <v>308</v>
      </c>
      <c r="C44" s="127" t="s">
        <v>308</v>
      </c>
      <c r="D44" s="127" t="s">
        <v>308</v>
      </c>
      <c r="E44" s="127" t="str">
        <f>'Input - BS'!G358</f>
        <v>Other</v>
      </c>
      <c r="F44" s="127">
        <v>1</v>
      </c>
      <c r="G44" s="128"/>
      <c r="H44" s="1308" t="s">
        <v>2224</v>
      </c>
      <c r="I44" s="1308"/>
      <c r="J44" s="1309"/>
    </row>
    <row r="45" spans="1:11" s="31" customFormat="1" ht="69.75" customHeight="1" thickBot="1" x14ac:dyDescent="0.35">
      <c r="A45" s="391">
        <v>19</v>
      </c>
      <c r="B45" s="144" t="s">
        <v>308</v>
      </c>
      <c r="C45" s="144" t="s">
        <v>308</v>
      </c>
      <c r="D45" s="144" t="s">
        <v>308</v>
      </c>
      <c r="E45" s="144" t="s">
        <v>1202</v>
      </c>
      <c r="F45" s="144">
        <v>1</v>
      </c>
      <c r="G45" s="145"/>
      <c r="H45" s="1386" t="s">
        <v>656</v>
      </c>
      <c r="I45" s="1386"/>
      <c r="J45" s="1387"/>
      <c r="K45" s="75"/>
    </row>
    <row r="46" spans="1:11" s="31" customFormat="1" ht="54.6" thickTop="1" x14ac:dyDescent="0.3">
      <c r="A46" s="391">
        <v>20</v>
      </c>
      <c r="B46" s="1401" t="s">
        <v>309</v>
      </c>
      <c r="C46" s="1360" t="s">
        <v>309</v>
      </c>
      <c r="D46" s="150" t="s">
        <v>309</v>
      </c>
      <c r="E46" s="150" t="s">
        <v>2399</v>
      </c>
      <c r="F46" s="150">
        <v>1</v>
      </c>
      <c r="G46" s="151"/>
      <c r="H46" s="1329" t="s">
        <v>2398</v>
      </c>
      <c r="I46" s="1329"/>
      <c r="J46" s="1330"/>
    </row>
    <row r="47" spans="1:11" s="31" customFormat="1" ht="54" x14ac:dyDescent="0.3">
      <c r="A47" s="391">
        <v>20</v>
      </c>
      <c r="B47" s="1310"/>
      <c r="C47" s="1311"/>
      <c r="D47" s="1306" t="s">
        <v>2400</v>
      </c>
      <c r="E47" s="127" t="s">
        <v>2401</v>
      </c>
      <c r="F47" s="127">
        <v>1</v>
      </c>
      <c r="G47" s="128"/>
      <c r="H47" s="169">
        <v>0</v>
      </c>
      <c r="I47" s="169">
        <v>0</v>
      </c>
      <c r="J47" s="136"/>
    </row>
    <row r="48" spans="1:11" s="31" customFormat="1" ht="48" customHeight="1" x14ac:dyDescent="0.3">
      <c r="A48" s="391">
        <v>20</v>
      </c>
      <c r="B48" s="1310"/>
      <c r="C48" s="1311"/>
      <c r="D48" s="1311"/>
      <c r="E48" s="127" t="s">
        <v>2402</v>
      </c>
      <c r="F48" s="127">
        <v>1</v>
      </c>
      <c r="G48" s="128"/>
      <c r="H48" s="169">
        <v>0</v>
      </c>
      <c r="I48" s="169">
        <v>0</v>
      </c>
      <c r="J48" s="136"/>
    </row>
    <row r="49" spans="1:10" s="31" customFormat="1" ht="157.05000000000001" customHeight="1" x14ac:dyDescent="0.3">
      <c r="A49" s="391">
        <v>20</v>
      </c>
      <c r="B49" s="1310"/>
      <c r="C49" s="1311"/>
      <c r="D49" s="1311"/>
      <c r="E49" s="127" t="s">
        <v>2403</v>
      </c>
      <c r="F49" s="127">
        <v>1</v>
      </c>
      <c r="G49" s="128"/>
      <c r="H49" s="169">
        <v>0</v>
      </c>
      <c r="I49" s="169">
        <v>0</v>
      </c>
      <c r="J49" s="136"/>
    </row>
    <row r="50" spans="1:10" s="31" customFormat="1" ht="104.55" customHeight="1" x14ac:dyDescent="0.3">
      <c r="A50" s="1054"/>
      <c r="B50" s="1296"/>
      <c r="C50" s="1311"/>
      <c r="D50" s="1311"/>
      <c r="E50" s="127" t="s">
        <v>2404</v>
      </c>
      <c r="F50" s="1045">
        <v>1</v>
      </c>
      <c r="G50" s="1054"/>
      <c r="H50" s="1065"/>
      <c r="I50" s="1065">
        <v>0</v>
      </c>
      <c r="J50" s="1085"/>
    </row>
    <row r="51" spans="1:10" s="31" customFormat="1" ht="36" x14ac:dyDescent="0.3">
      <c r="A51" s="1054"/>
      <c r="B51" s="1296"/>
      <c r="C51" s="1311"/>
      <c r="D51" s="1311"/>
      <c r="E51" s="1045" t="s">
        <v>2405</v>
      </c>
      <c r="F51" s="1045">
        <v>1</v>
      </c>
      <c r="G51" s="1054"/>
      <c r="H51" s="1065"/>
      <c r="I51" s="1065"/>
      <c r="J51" s="1085"/>
    </row>
    <row r="52" spans="1:10" s="31" customFormat="1" ht="54" x14ac:dyDescent="0.3">
      <c r="A52" s="1054"/>
      <c r="B52" s="1296"/>
      <c r="C52" s="1311"/>
      <c r="D52" s="1311"/>
      <c r="E52" s="127" t="s">
        <v>2406</v>
      </c>
      <c r="F52" s="1045">
        <v>1</v>
      </c>
      <c r="G52" s="1054"/>
      <c r="H52" s="1065"/>
      <c r="I52" s="1065"/>
      <c r="J52" s="1085"/>
    </row>
    <row r="53" spans="1:10" s="31" customFormat="1" ht="36" x14ac:dyDescent="0.3">
      <c r="A53" s="1054"/>
      <c r="B53" s="1296"/>
      <c r="C53" s="1311"/>
      <c r="D53" s="1311"/>
      <c r="E53" s="127" t="s">
        <v>2407</v>
      </c>
      <c r="F53" s="1045">
        <v>1</v>
      </c>
      <c r="G53" s="1054"/>
      <c r="H53" s="1065"/>
      <c r="I53" s="1065"/>
      <c r="J53" s="1085"/>
    </row>
    <row r="54" spans="1:10" s="31" customFormat="1" ht="162" customHeight="1" x14ac:dyDescent="0.3">
      <c r="A54" s="1054"/>
      <c r="B54" s="1296"/>
      <c r="C54" s="1311"/>
      <c r="D54" s="1311"/>
      <c r="E54" s="127" t="s">
        <v>2408</v>
      </c>
      <c r="F54" s="1045">
        <v>1</v>
      </c>
      <c r="G54" s="1054"/>
      <c r="H54" s="1065"/>
      <c r="I54" s="1065"/>
      <c r="J54" s="1085"/>
    </row>
    <row r="55" spans="1:10" s="31" customFormat="1" ht="107.55" customHeight="1" x14ac:dyDescent="0.3">
      <c r="A55" s="1054"/>
      <c r="B55" s="1296"/>
      <c r="C55" s="1311"/>
      <c r="D55" s="1311"/>
      <c r="E55" s="127" t="s">
        <v>2409</v>
      </c>
      <c r="F55" s="1045">
        <v>1</v>
      </c>
      <c r="G55" s="1054"/>
      <c r="H55" s="1065"/>
      <c r="I55" s="1065"/>
      <c r="J55" s="1085"/>
    </row>
    <row r="56" spans="1:10" s="31" customFormat="1" ht="44.55" customHeight="1" x14ac:dyDescent="0.3">
      <c r="A56" s="391">
        <v>20</v>
      </c>
      <c r="B56" s="1310"/>
      <c r="C56" s="1311"/>
      <c r="D56" s="1307"/>
      <c r="E56" s="1045" t="s">
        <v>2410</v>
      </c>
      <c r="F56" s="127">
        <v>1</v>
      </c>
      <c r="G56" s="128"/>
      <c r="H56" s="169">
        <v>0</v>
      </c>
      <c r="I56" s="169">
        <v>0</v>
      </c>
      <c r="J56" s="136"/>
    </row>
    <row r="57" spans="1:10" s="31" customFormat="1" ht="77.099999999999994" customHeight="1" x14ac:dyDescent="0.3">
      <c r="A57" s="1054"/>
      <c r="B57" s="1296"/>
      <c r="C57" s="1311"/>
      <c r="D57" s="1370" t="s">
        <v>2411</v>
      </c>
      <c r="E57" s="127" t="s">
        <v>2401</v>
      </c>
      <c r="F57" s="1045">
        <v>1</v>
      </c>
      <c r="G57" s="1054"/>
      <c r="H57" s="1065"/>
      <c r="I57" s="1065"/>
      <c r="J57" s="1085"/>
    </row>
    <row r="58" spans="1:10" s="31" customFormat="1" ht="36" x14ac:dyDescent="0.3">
      <c r="A58" s="1054"/>
      <c r="B58" s="1296"/>
      <c r="C58" s="1311"/>
      <c r="D58" s="1371"/>
      <c r="E58" s="127" t="s">
        <v>2402</v>
      </c>
      <c r="F58" s="1045">
        <v>1</v>
      </c>
      <c r="G58" s="1054"/>
      <c r="H58" s="1065"/>
      <c r="I58" s="1065"/>
      <c r="J58" s="1085"/>
    </row>
    <row r="59" spans="1:10" s="31" customFormat="1" ht="163.05000000000001" customHeight="1" x14ac:dyDescent="0.3">
      <c r="A59" s="1054"/>
      <c r="B59" s="1296"/>
      <c r="C59" s="1311"/>
      <c r="D59" s="1371"/>
      <c r="E59" s="127" t="s">
        <v>2403</v>
      </c>
      <c r="F59" s="1045">
        <v>1</v>
      </c>
      <c r="G59" s="1054"/>
      <c r="H59" s="1065"/>
      <c r="I59" s="1065"/>
      <c r="J59" s="1085"/>
    </row>
    <row r="60" spans="1:10" s="31" customFormat="1" ht="103.05" customHeight="1" x14ac:dyDescent="0.3">
      <c r="A60" s="1054"/>
      <c r="B60" s="1296"/>
      <c r="C60" s="1311"/>
      <c r="D60" s="1371"/>
      <c r="E60" s="127" t="s">
        <v>2404</v>
      </c>
      <c r="F60" s="1045">
        <v>1</v>
      </c>
      <c r="G60" s="1054"/>
      <c r="H60" s="1065"/>
      <c r="I60" s="1065"/>
      <c r="J60" s="1085"/>
    </row>
    <row r="61" spans="1:10" s="31" customFormat="1" ht="36" x14ac:dyDescent="0.3">
      <c r="A61" s="1054"/>
      <c r="B61" s="1296"/>
      <c r="C61" s="1311"/>
      <c r="D61" s="1371"/>
      <c r="E61" s="1045" t="s">
        <v>2405</v>
      </c>
      <c r="F61" s="1045">
        <v>1</v>
      </c>
      <c r="G61" s="1054"/>
      <c r="H61" s="1065"/>
      <c r="I61" s="1065"/>
      <c r="J61" s="1085"/>
    </row>
    <row r="62" spans="1:10" s="31" customFormat="1" ht="54" x14ac:dyDescent="0.3">
      <c r="A62" s="1054"/>
      <c r="B62" s="1296"/>
      <c r="C62" s="1311"/>
      <c r="D62" s="1371"/>
      <c r="E62" s="127" t="s">
        <v>2406</v>
      </c>
      <c r="F62" s="1045">
        <v>1</v>
      </c>
      <c r="G62" s="1054"/>
      <c r="H62" s="1065"/>
      <c r="I62" s="1065"/>
      <c r="J62" s="1085"/>
    </row>
    <row r="63" spans="1:10" s="31" customFormat="1" ht="36" x14ac:dyDescent="0.3">
      <c r="A63" s="1054"/>
      <c r="B63" s="1296"/>
      <c r="C63" s="1311"/>
      <c r="D63" s="1371"/>
      <c r="E63" s="127" t="s">
        <v>2407</v>
      </c>
      <c r="F63" s="1045">
        <v>1</v>
      </c>
      <c r="G63" s="1054"/>
      <c r="H63" s="1065"/>
      <c r="I63" s="1065"/>
      <c r="J63" s="1085"/>
    </row>
    <row r="64" spans="1:10" s="31" customFormat="1" ht="161.1" customHeight="1" x14ac:dyDescent="0.3">
      <c r="A64" s="1054"/>
      <c r="B64" s="1296"/>
      <c r="C64" s="1311"/>
      <c r="D64" s="1371"/>
      <c r="E64" s="127" t="s">
        <v>2408</v>
      </c>
      <c r="F64" s="1045">
        <v>1</v>
      </c>
      <c r="G64" s="1054"/>
      <c r="H64" s="1065"/>
      <c r="I64" s="1065"/>
      <c r="J64" s="1085"/>
    </row>
    <row r="65" spans="1:10" s="31" customFormat="1" ht="102.6" customHeight="1" x14ac:dyDescent="0.3">
      <c r="A65" s="1054"/>
      <c r="B65" s="1296"/>
      <c r="C65" s="1311"/>
      <c r="D65" s="1371"/>
      <c r="E65" s="127" t="s">
        <v>2409</v>
      </c>
      <c r="F65" s="1045">
        <v>1</v>
      </c>
      <c r="G65" s="1054"/>
      <c r="H65" s="1065"/>
      <c r="I65" s="1065"/>
      <c r="J65" s="1085"/>
    </row>
    <row r="66" spans="1:10" s="31" customFormat="1" ht="45.6" customHeight="1" x14ac:dyDescent="0.3">
      <c r="A66" s="1054"/>
      <c r="B66" s="1296"/>
      <c r="C66" s="1311"/>
      <c r="D66" s="1372"/>
      <c r="E66" s="1045" t="s">
        <v>2410</v>
      </c>
      <c r="F66" s="1045">
        <v>1</v>
      </c>
      <c r="G66" s="1054"/>
      <c r="H66" s="1065"/>
      <c r="I66" s="1065"/>
      <c r="J66" s="1085"/>
    </row>
    <row r="67" spans="1:10" s="31" customFormat="1" ht="78.599999999999994" customHeight="1" x14ac:dyDescent="0.3">
      <c r="A67" s="1054"/>
      <c r="B67" s="1296"/>
      <c r="C67" s="1311"/>
      <c r="D67" s="1306" t="s">
        <v>2412</v>
      </c>
      <c r="E67" s="1045" t="s">
        <v>2413</v>
      </c>
      <c r="F67" s="1045">
        <v>1</v>
      </c>
      <c r="G67" s="1054"/>
      <c r="H67" s="1065"/>
      <c r="I67" s="1065"/>
      <c r="J67" s="1085"/>
    </row>
    <row r="68" spans="1:10" s="31" customFormat="1" ht="50.1" customHeight="1" x14ac:dyDescent="0.3">
      <c r="A68" s="1054"/>
      <c r="B68" s="1296"/>
      <c r="C68" s="1311"/>
      <c r="D68" s="1311"/>
      <c r="E68" s="1045" t="s">
        <v>2414</v>
      </c>
      <c r="F68" s="1045">
        <v>1</v>
      </c>
      <c r="G68" s="1054"/>
      <c r="H68" s="1065"/>
      <c r="I68" s="1065"/>
      <c r="J68" s="1085"/>
    </row>
    <row r="69" spans="1:10" s="31" customFormat="1" ht="36" x14ac:dyDescent="0.3">
      <c r="A69" s="1054"/>
      <c r="B69" s="1296"/>
      <c r="C69" s="1311"/>
      <c r="D69" s="1311"/>
      <c r="E69" s="1045" t="s">
        <v>2415</v>
      </c>
      <c r="F69" s="1045">
        <v>1</v>
      </c>
      <c r="G69" s="1054"/>
      <c r="H69" s="1065"/>
      <c r="I69" s="1065"/>
      <c r="J69" s="1085"/>
    </row>
    <row r="70" spans="1:10" s="31" customFormat="1" ht="54" x14ac:dyDescent="0.3">
      <c r="A70" s="1054"/>
      <c r="B70" s="1296"/>
      <c r="C70" s="1311"/>
      <c r="D70" s="1311"/>
      <c r="E70" s="1045" t="s">
        <v>2416</v>
      </c>
      <c r="F70" s="1045">
        <v>1</v>
      </c>
      <c r="G70" s="1054"/>
      <c r="H70" s="1065"/>
      <c r="I70" s="1065"/>
      <c r="J70" s="1085"/>
    </row>
    <row r="71" spans="1:10" s="31" customFormat="1" ht="36" x14ac:dyDescent="0.3">
      <c r="A71" s="1054"/>
      <c r="B71" s="1296"/>
      <c r="C71" s="1311"/>
      <c r="D71" s="1311"/>
      <c r="E71" s="1045" t="s">
        <v>2417</v>
      </c>
      <c r="F71" s="1045">
        <v>1</v>
      </c>
      <c r="G71" s="1054"/>
      <c r="H71" s="1065"/>
      <c r="I71" s="1065"/>
      <c r="J71" s="1085"/>
    </row>
    <row r="72" spans="1:10" s="31" customFormat="1" ht="36" x14ac:dyDescent="0.3">
      <c r="A72" s="1054"/>
      <c r="B72" s="1296"/>
      <c r="C72" s="1311"/>
      <c r="D72" s="1307"/>
      <c r="E72" s="1045" t="s">
        <v>2418</v>
      </c>
      <c r="F72" s="1045">
        <v>1</v>
      </c>
      <c r="G72" s="1054"/>
      <c r="H72" s="1065"/>
      <c r="I72" s="1065"/>
      <c r="J72" s="1085"/>
    </row>
    <row r="73" spans="1:10" s="31" customFormat="1" ht="81" customHeight="1" x14ac:dyDescent="0.3">
      <c r="A73" s="1054"/>
      <c r="B73" s="1296"/>
      <c r="C73" s="1311"/>
      <c r="D73" s="1306" t="s">
        <v>2419</v>
      </c>
      <c r="E73" s="1045" t="s">
        <v>2413</v>
      </c>
      <c r="F73" s="1045">
        <v>1</v>
      </c>
      <c r="G73" s="1054"/>
      <c r="H73" s="1065"/>
      <c r="I73" s="1065"/>
      <c r="J73" s="1085"/>
    </row>
    <row r="74" spans="1:10" s="31" customFormat="1" ht="36" x14ac:dyDescent="0.3">
      <c r="A74" s="1054"/>
      <c r="B74" s="1296"/>
      <c r="C74" s="1311"/>
      <c r="D74" s="1311"/>
      <c r="E74" s="1045" t="s">
        <v>2414</v>
      </c>
      <c r="F74" s="1045">
        <v>1</v>
      </c>
      <c r="G74" s="1054"/>
      <c r="H74" s="1065"/>
      <c r="I74" s="1065"/>
      <c r="J74" s="1085"/>
    </row>
    <row r="75" spans="1:10" s="31" customFormat="1" ht="36" x14ac:dyDescent="0.3">
      <c r="A75" s="1054"/>
      <c r="B75" s="1296"/>
      <c r="C75" s="1311"/>
      <c r="D75" s="1311"/>
      <c r="E75" s="1045" t="s">
        <v>2415</v>
      </c>
      <c r="F75" s="1045">
        <v>1</v>
      </c>
      <c r="G75" s="1054"/>
      <c r="H75" s="1065"/>
      <c r="I75" s="1065"/>
      <c r="J75" s="1085"/>
    </row>
    <row r="76" spans="1:10" s="31" customFormat="1" ht="54" x14ac:dyDescent="0.3">
      <c r="A76" s="1054"/>
      <c r="B76" s="1296"/>
      <c r="C76" s="1311"/>
      <c r="D76" s="1311"/>
      <c r="E76" s="1045" t="s">
        <v>2416</v>
      </c>
      <c r="F76" s="1045">
        <v>1</v>
      </c>
      <c r="G76" s="1054"/>
      <c r="H76" s="1065"/>
      <c r="I76" s="1065"/>
      <c r="J76" s="1085"/>
    </row>
    <row r="77" spans="1:10" s="31" customFormat="1" ht="36" x14ac:dyDescent="0.3">
      <c r="A77" s="1054"/>
      <c r="B77" s="1296"/>
      <c r="C77" s="1311"/>
      <c r="D77" s="1311"/>
      <c r="E77" s="1045" t="s">
        <v>2417</v>
      </c>
      <c r="F77" s="1045">
        <v>1</v>
      </c>
      <c r="G77" s="1054"/>
      <c r="H77" s="1065"/>
      <c r="I77" s="1065"/>
      <c r="J77" s="1085"/>
    </row>
    <row r="78" spans="1:10" s="31" customFormat="1" ht="36" x14ac:dyDescent="0.3">
      <c r="A78" s="1054"/>
      <c r="B78" s="1296"/>
      <c r="C78" s="1311"/>
      <c r="D78" s="1307"/>
      <c r="E78" s="1045" t="s">
        <v>2418</v>
      </c>
      <c r="F78" s="1045">
        <v>1</v>
      </c>
      <c r="G78" s="1054"/>
      <c r="H78" s="1065"/>
      <c r="I78" s="1065"/>
      <c r="J78" s="1085"/>
    </row>
    <row r="79" spans="1:10" s="31" customFormat="1" ht="57" customHeight="1" x14ac:dyDescent="0.3">
      <c r="A79" s="391">
        <v>20</v>
      </c>
      <c r="B79" s="1310"/>
      <c r="C79" s="1311"/>
      <c r="D79" s="1370" t="s">
        <v>2420</v>
      </c>
      <c r="E79" s="127" t="s">
        <v>2516</v>
      </c>
      <c r="F79" s="127">
        <v>1</v>
      </c>
      <c r="G79" s="128"/>
      <c r="H79" s="1308" t="s">
        <v>2783</v>
      </c>
      <c r="I79" s="1308"/>
      <c r="J79" s="1309"/>
    </row>
    <row r="80" spans="1:10" s="31" customFormat="1" ht="57" customHeight="1" x14ac:dyDescent="0.3">
      <c r="A80" s="1054"/>
      <c r="B80" s="1296"/>
      <c r="C80" s="1311"/>
      <c r="D80" s="1371"/>
      <c r="E80" s="1045" t="s">
        <v>402</v>
      </c>
      <c r="F80" s="1045">
        <v>1</v>
      </c>
      <c r="G80" s="1054"/>
      <c r="H80" s="1065"/>
      <c r="I80" s="1065"/>
      <c r="J80" s="1085"/>
    </row>
    <row r="81" spans="1:10" s="31" customFormat="1" ht="57" customHeight="1" x14ac:dyDescent="0.3">
      <c r="A81" s="1054"/>
      <c r="B81" s="1296"/>
      <c r="C81" s="1311"/>
      <c r="D81" s="1371"/>
      <c r="E81" s="1045" t="s">
        <v>2421</v>
      </c>
      <c r="F81" s="1045">
        <v>1</v>
      </c>
      <c r="G81" s="1054"/>
      <c r="H81" s="1065"/>
      <c r="I81" s="1065"/>
      <c r="J81" s="1085"/>
    </row>
    <row r="82" spans="1:10" s="31" customFormat="1" ht="57" customHeight="1" x14ac:dyDescent="0.3">
      <c r="A82" s="1054"/>
      <c r="B82" s="1296"/>
      <c r="C82" s="1311"/>
      <c r="D82" s="1371"/>
      <c r="E82" s="1045" t="s">
        <v>2422</v>
      </c>
      <c r="F82" s="1045">
        <v>1</v>
      </c>
      <c r="G82" s="1054"/>
      <c r="H82" s="1065"/>
      <c r="I82" s="1065"/>
      <c r="J82" s="1085"/>
    </row>
    <row r="83" spans="1:10" s="31" customFormat="1" ht="57" customHeight="1" x14ac:dyDescent="0.3">
      <c r="A83" s="1054"/>
      <c r="B83" s="1296"/>
      <c r="C83" s="1311"/>
      <c r="D83" s="1371"/>
      <c r="E83" s="1045" t="s">
        <v>2423</v>
      </c>
      <c r="F83" s="1045">
        <v>1</v>
      </c>
      <c r="G83" s="1054"/>
      <c r="H83" s="1065"/>
      <c r="I83" s="1065"/>
      <c r="J83" s="1085"/>
    </row>
    <row r="84" spans="1:10" s="31" customFormat="1" ht="57" customHeight="1" x14ac:dyDescent="0.3">
      <c r="A84" s="1054"/>
      <c r="B84" s="1296"/>
      <c r="C84" s="1311"/>
      <c r="D84" s="1371"/>
      <c r="E84" s="1045" t="s">
        <v>2424</v>
      </c>
      <c r="F84" s="1045">
        <v>1</v>
      </c>
      <c r="G84" s="1054"/>
      <c r="H84" s="1065"/>
      <c r="I84" s="1065"/>
      <c r="J84" s="1085"/>
    </row>
    <row r="85" spans="1:10" s="31" customFormat="1" ht="57" customHeight="1" x14ac:dyDescent="0.3">
      <c r="A85" s="1054"/>
      <c r="B85" s="1296"/>
      <c r="C85" s="1311"/>
      <c r="D85" s="1371"/>
      <c r="E85" s="1045" t="s">
        <v>2425</v>
      </c>
      <c r="F85" s="1045">
        <v>1</v>
      </c>
      <c r="G85" s="1054"/>
      <c r="H85" s="1065"/>
      <c r="I85" s="1065"/>
      <c r="J85" s="1085"/>
    </row>
    <row r="86" spans="1:10" s="31" customFormat="1" ht="57" customHeight="1" x14ac:dyDescent="0.3">
      <c r="A86" s="1054"/>
      <c r="B86" s="1296"/>
      <c r="C86" s="1311"/>
      <c r="D86" s="1371"/>
      <c r="E86" s="1045" t="s">
        <v>2426</v>
      </c>
      <c r="F86" s="1045">
        <v>1</v>
      </c>
      <c r="G86" s="1054"/>
      <c r="H86" s="1065"/>
      <c r="I86" s="1065"/>
      <c r="J86" s="1085"/>
    </row>
    <row r="87" spans="1:10" s="31" customFormat="1" ht="57" customHeight="1" x14ac:dyDescent="0.3">
      <c r="A87" s="1054"/>
      <c r="B87" s="1296"/>
      <c r="C87" s="1311"/>
      <c r="D87" s="1371"/>
      <c r="E87" s="1045" t="s">
        <v>2427</v>
      </c>
      <c r="F87" s="1045">
        <v>1</v>
      </c>
      <c r="G87" s="1054"/>
      <c r="H87" s="1065"/>
      <c r="I87" s="1065"/>
      <c r="J87" s="1085"/>
    </row>
    <row r="88" spans="1:10" s="31" customFormat="1" ht="71.25" customHeight="1" x14ac:dyDescent="0.3">
      <c r="A88" s="391">
        <v>20</v>
      </c>
      <c r="B88" s="1310"/>
      <c r="C88" s="1311"/>
      <c r="D88" s="1372"/>
      <c r="E88" s="127" t="s">
        <v>2428</v>
      </c>
      <c r="F88" s="127">
        <v>1</v>
      </c>
      <c r="G88" s="128"/>
      <c r="H88" s="1308" t="s">
        <v>2429</v>
      </c>
      <c r="I88" s="1308"/>
      <c r="J88" s="1309"/>
    </row>
    <row r="89" spans="1:10" s="31" customFormat="1" ht="50.55" customHeight="1" x14ac:dyDescent="0.3">
      <c r="A89" s="391">
        <v>20</v>
      </c>
      <c r="B89" s="1310"/>
      <c r="C89" s="1311"/>
      <c r="D89" s="1306" t="s">
        <v>2430</v>
      </c>
      <c r="E89" s="127" t="s">
        <v>2430</v>
      </c>
      <c r="F89" s="127">
        <v>1</v>
      </c>
      <c r="G89" s="128"/>
      <c r="H89" s="1308" t="s">
        <v>2944</v>
      </c>
      <c r="I89" s="1308"/>
      <c r="J89" s="1309"/>
    </row>
    <row r="90" spans="1:10" s="31" customFormat="1" ht="45.6" customHeight="1" x14ac:dyDescent="0.3">
      <c r="A90" s="391">
        <v>20</v>
      </c>
      <c r="B90" s="1310"/>
      <c r="C90" s="1311"/>
      <c r="D90" s="1311"/>
      <c r="E90" s="127" t="s">
        <v>2430</v>
      </c>
      <c r="F90" s="127">
        <v>1</v>
      </c>
      <c r="G90" s="128"/>
      <c r="H90" s="1308" t="s">
        <v>2431</v>
      </c>
      <c r="I90" s="1308"/>
      <c r="J90" s="1309"/>
    </row>
    <row r="91" spans="1:10" s="31" customFormat="1" ht="89.25" customHeight="1" x14ac:dyDescent="0.3">
      <c r="A91" s="1054"/>
      <c r="B91" s="1045"/>
      <c r="C91" s="1311"/>
      <c r="D91" s="1311"/>
      <c r="E91" s="1045" t="s">
        <v>402</v>
      </c>
      <c r="F91" s="1045">
        <v>1</v>
      </c>
      <c r="G91" s="1054"/>
      <c r="H91" s="1065"/>
      <c r="I91" s="1065"/>
      <c r="J91" s="1085"/>
    </row>
    <row r="92" spans="1:10" s="31" customFormat="1" ht="89.25" customHeight="1" x14ac:dyDescent="0.3">
      <c r="A92" s="1054"/>
      <c r="B92" s="1045"/>
      <c r="C92" s="1311"/>
      <c r="D92" s="1311"/>
      <c r="E92" s="1045" t="s">
        <v>2421</v>
      </c>
      <c r="F92" s="1045">
        <v>1</v>
      </c>
      <c r="G92" s="1054"/>
      <c r="H92" s="1065"/>
      <c r="I92" s="1065"/>
      <c r="J92" s="1085"/>
    </row>
    <row r="93" spans="1:10" s="31" customFormat="1" ht="89.25" customHeight="1" x14ac:dyDescent="0.3">
      <c r="A93" s="1054"/>
      <c r="B93" s="1045"/>
      <c r="C93" s="1311"/>
      <c r="D93" s="1311"/>
      <c r="E93" s="1045" t="s">
        <v>2422</v>
      </c>
      <c r="F93" s="1045">
        <v>1</v>
      </c>
      <c r="G93" s="1054"/>
      <c r="H93" s="1065"/>
      <c r="I93" s="1065"/>
      <c r="J93" s="1085"/>
    </row>
    <row r="94" spans="1:10" s="31" customFormat="1" ht="89.25" customHeight="1" x14ac:dyDescent="0.3">
      <c r="A94" s="1054"/>
      <c r="B94" s="1045"/>
      <c r="C94" s="1311"/>
      <c r="D94" s="1311"/>
      <c r="E94" s="1045" t="s">
        <v>2423</v>
      </c>
      <c r="F94" s="1045">
        <v>1</v>
      </c>
      <c r="G94" s="1054"/>
      <c r="H94" s="1065"/>
      <c r="I94" s="1065"/>
      <c r="J94" s="1085"/>
    </row>
    <row r="95" spans="1:10" s="31" customFormat="1" ht="89.25" customHeight="1" x14ac:dyDescent="0.3">
      <c r="A95" s="1054"/>
      <c r="B95" s="1045"/>
      <c r="C95" s="1311"/>
      <c r="D95" s="1311"/>
      <c r="E95" s="1045" t="s">
        <v>2424</v>
      </c>
      <c r="F95" s="1045">
        <v>1</v>
      </c>
      <c r="G95" s="1054"/>
      <c r="H95" s="1065"/>
      <c r="I95" s="1065"/>
      <c r="J95" s="1085"/>
    </row>
    <row r="96" spans="1:10" s="31" customFormat="1" ht="89.25" customHeight="1" x14ac:dyDescent="0.3">
      <c r="A96" s="1054"/>
      <c r="B96" s="1045"/>
      <c r="C96" s="1311"/>
      <c r="D96" s="1311"/>
      <c r="E96" s="1045" t="s">
        <v>2425</v>
      </c>
      <c r="F96" s="1045">
        <v>1</v>
      </c>
      <c r="G96" s="1054"/>
      <c r="H96" s="1065"/>
      <c r="I96" s="1065"/>
      <c r="J96" s="1085"/>
    </row>
    <row r="97" spans="1:10" s="31" customFormat="1" ht="89.25" customHeight="1" x14ac:dyDescent="0.3">
      <c r="A97" s="1054"/>
      <c r="B97" s="1045"/>
      <c r="C97" s="1311"/>
      <c r="D97" s="1311"/>
      <c r="E97" s="1045" t="s">
        <v>2426</v>
      </c>
      <c r="F97" s="1045">
        <v>1</v>
      </c>
      <c r="G97" s="1054"/>
      <c r="H97" s="1065"/>
      <c r="I97" s="1065"/>
      <c r="J97" s="1085"/>
    </row>
    <row r="98" spans="1:10" s="31" customFormat="1" ht="89.25" customHeight="1" x14ac:dyDescent="0.3">
      <c r="A98" s="1054"/>
      <c r="B98" s="1045"/>
      <c r="C98" s="1307"/>
      <c r="D98" s="1311"/>
      <c r="E98" s="1045" t="s">
        <v>2432</v>
      </c>
      <c r="F98" s="1045">
        <v>1</v>
      </c>
      <c r="G98" s="1054"/>
      <c r="H98" s="1065"/>
      <c r="I98" s="1065"/>
      <c r="J98" s="1085"/>
    </row>
    <row r="99" spans="1:10" s="31" customFormat="1" ht="67.5" customHeight="1" x14ac:dyDescent="0.3">
      <c r="A99" s="391">
        <v>20</v>
      </c>
      <c r="B99" s="127" t="s">
        <v>309</v>
      </c>
      <c r="C99" s="127" t="s">
        <v>309</v>
      </c>
      <c r="D99" s="1307"/>
      <c r="E99" s="127" t="s">
        <v>2428</v>
      </c>
      <c r="F99" s="127">
        <v>1</v>
      </c>
      <c r="G99" s="128"/>
      <c r="H99" s="1308" t="s">
        <v>2433</v>
      </c>
      <c r="I99" s="1308"/>
      <c r="J99" s="1309"/>
    </row>
    <row r="100" spans="1:10" s="31" customFormat="1" ht="119.1" customHeight="1" x14ac:dyDescent="0.3">
      <c r="A100" s="391">
        <v>20</v>
      </c>
      <c r="B100" s="1310" t="s">
        <v>309</v>
      </c>
      <c r="C100" s="1310" t="s">
        <v>309</v>
      </c>
      <c r="D100" s="1306" t="s">
        <v>2434</v>
      </c>
      <c r="E100" s="127" t="s">
        <v>2434</v>
      </c>
      <c r="F100" s="127">
        <v>1</v>
      </c>
      <c r="G100" s="128"/>
      <c r="H100" s="1308" t="s">
        <v>2435</v>
      </c>
      <c r="I100" s="1308"/>
      <c r="J100" s="1309"/>
    </row>
    <row r="101" spans="1:10" s="31" customFormat="1" ht="148.94999999999999" customHeight="1" x14ac:dyDescent="0.3">
      <c r="A101" s="1054"/>
      <c r="B101" s="1296"/>
      <c r="C101" s="1296"/>
      <c r="D101" s="1307"/>
      <c r="E101" s="127" t="s">
        <v>2434</v>
      </c>
      <c r="F101" s="1045">
        <v>1</v>
      </c>
      <c r="G101" s="1054"/>
      <c r="H101" s="1303" t="s">
        <v>2436</v>
      </c>
      <c r="I101" s="1298"/>
      <c r="J101" s="1299"/>
    </row>
    <row r="102" spans="1:10" s="31" customFormat="1" ht="187.5" customHeight="1" x14ac:dyDescent="0.3">
      <c r="A102" s="1054"/>
      <c r="B102" s="1296"/>
      <c r="C102" s="1296"/>
      <c r="D102" s="1045" t="s">
        <v>2437</v>
      </c>
      <c r="E102" s="1045" t="s">
        <v>2437</v>
      </c>
      <c r="F102" s="1045">
        <v>1</v>
      </c>
      <c r="G102" s="1054"/>
      <c r="H102" s="1303" t="s">
        <v>2438</v>
      </c>
      <c r="I102" s="1304"/>
      <c r="J102" s="1305"/>
    </row>
    <row r="103" spans="1:10" s="31" customFormat="1" ht="112.5" customHeight="1" x14ac:dyDescent="0.3">
      <c r="A103" s="391">
        <v>20</v>
      </c>
      <c r="B103" s="1310"/>
      <c r="C103" s="1310"/>
      <c r="D103" s="1306" t="s">
        <v>2444</v>
      </c>
      <c r="E103" s="127" t="s">
        <v>2439</v>
      </c>
      <c r="F103" s="127">
        <v>1</v>
      </c>
      <c r="G103" s="128"/>
      <c r="H103" s="169">
        <v>0</v>
      </c>
      <c r="I103" s="169">
        <v>0</v>
      </c>
      <c r="J103" s="136"/>
    </row>
    <row r="104" spans="1:10" s="31" customFormat="1" ht="62.55" customHeight="1" x14ac:dyDescent="0.3">
      <c r="A104" s="391">
        <v>20</v>
      </c>
      <c r="B104" s="1310"/>
      <c r="C104" s="1310"/>
      <c r="D104" s="1311"/>
      <c r="E104" s="127" t="s">
        <v>2440</v>
      </c>
      <c r="F104" s="127">
        <v>1</v>
      </c>
      <c r="G104" s="128"/>
      <c r="H104" s="166">
        <v>0</v>
      </c>
      <c r="I104" s="166">
        <v>0</v>
      </c>
      <c r="J104" s="136"/>
    </row>
    <row r="105" spans="1:10" s="31" customFormat="1" ht="36" x14ac:dyDescent="0.3">
      <c r="A105" s="1054"/>
      <c r="B105" s="1296"/>
      <c r="C105" s="1296"/>
      <c r="D105" s="1311"/>
      <c r="E105" s="127" t="s">
        <v>2441</v>
      </c>
      <c r="F105" s="1045"/>
      <c r="G105" s="1054"/>
      <c r="H105" s="1106"/>
      <c r="I105" s="1106"/>
      <c r="J105" s="1085"/>
    </row>
    <row r="106" spans="1:10" s="31" customFormat="1" ht="81" customHeight="1" x14ac:dyDescent="0.3">
      <c r="A106" s="1054"/>
      <c r="B106" s="1296"/>
      <c r="C106" s="1296"/>
      <c r="D106" s="1311"/>
      <c r="E106" s="1045" t="s">
        <v>2442</v>
      </c>
      <c r="F106" s="1045"/>
      <c r="G106" s="1054"/>
      <c r="H106" s="1106"/>
      <c r="I106" s="1106"/>
      <c r="J106" s="1085"/>
    </row>
    <row r="107" spans="1:10" s="31" customFormat="1" ht="81" customHeight="1" x14ac:dyDescent="0.3">
      <c r="A107" s="1054"/>
      <c r="B107" s="1296"/>
      <c r="C107" s="1296"/>
      <c r="D107" s="1307"/>
      <c r="E107" s="1045" t="s">
        <v>2443</v>
      </c>
      <c r="F107" s="1045"/>
      <c r="G107" s="1054"/>
      <c r="H107" s="1106"/>
      <c r="I107" s="1106"/>
      <c r="J107" s="1085"/>
    </row>
    <row r="108" spans="1:10" s="31" customFormat="1" ht="153.6" customHeight="1" x14ac:dyDescent="0.3">
      <c r="A108" s="391">
        <v>20</v>
      </c>
      <c r="B108" s="1310"/>
      <c r="C108" s="1310"/>
      <c r="D108" s="1306" t="s">
        <v>2445</v>
      </c>
      <c r="E108" s="127" t="s">
        <v>2445</v>
      </c>
      <c r="F108" s="127">
        <v>1</v>
      </c>
      <c r="G108" s="128"/>
      <c r="H108" s="1308" t="s">
        <v>2446</v>
      </c>
      <c r="I108" s="1308"/>
      <c r="J108" s="1309"/>
    </row>
    <row r="109" spans="1:10" s="31" customFormat="1" ht="81.599999999999994" customHeight="1" x14ac:dyDescent="0.3">
      <c r="A109" s="1054"/>
      <c r="B109" s="1296"/>
      <c r="C109" s="1296"/>
      <c r="D109" s="1311"/>
      <c r="E109" s="1045" t="s">
        <v>2447</v>
      </c>
      <c r="F109" s="1045"/>
      <c r="G109" s="1054"/>
      <c r="H109" s="166">
        <v>0</v>
      </c>
      <c r="I109" s="166">
        <v>0</v>
      </c>
      <c r="J109" s="136"/>
    </row>
    <row r="110" spans="1:10" s="31" customFormat="1" ht="80.099999999999994" customHeight="1" x14ac:dyDescent="0.3">
      <c r="A110" s="1054"/>
      <c r="B110" s="1296"/>
      <c r="C110" s="1296"/>
      <c r="D110" s="1311"/>
      <c r="E110" s="1045" t="s">
        <v>2448</v>
      </c>
      <c r="F110" s="1045"/>
      <c r="G110" s="1054"/>
      <c r="H110" s="1106"/>
      <c r="I110" s="1106"/>
      <c r="J110" s="1085"/>
    </row>
    <row r="111" spans="1:10" s="31" customFormat="1" ht="84" customHeight="1" x14ac:dyDescent="0.3">
      <c r="A111" s="1054"/>
      <c r="B111" s="1296"/>
      <c r="C111" s="1296"/>
      <c r="D111" s="1311"/>
      <c r="E111" s="1045" t="s">
        <v>2449</v>
      </c>
      <c r="F111" s="1045"/>
      <c r="G111" s="1054"/>
      <c r="H111" s="1106"/>
      <c r="I111" s="1106"/>
      <c r="J111" s="1085"/>
    </row>
    <row r="112" spans="1:10" s="31" customFormat="1" ht="86.1" customHeight="1" x14ac:dyDescent="0.3">
      <c r="A112" s="1054"/>
      <c r="B112" s="1296"/>
      <c r="C112" s="1296"/>
      <c r="D112" s="1307"/>
      <c r="E112" s="1045" t="s">
        <v>2450</v>
      </c>
      <c r="F112" s="1045"/>
      <c r="G112" s="1054"/>
      <c r="H112" s="1106"/>
      <c r="I112" s="1106"/>
      <c r="J112" s="1085"/>
    </row>
    <row r="113" spans="1:10" s="31" customFormat="1" ht="147" customHeight="1" x14ac:dyDescent="0.3">
      <c r="A113" s="391">
        <v>20</v>
      </c>
      <c r="B113" s="1310"/>
      <c r="C113" s="1310"/>
      <c r="D113" s="127"/>
      <c r="E113" s="127" t="s">
        <v>2451</v>
      </c>
      <c r="F113" s="127">
        <v>1</v>
      </c>
      <c r="G113" s="128"/>
      <c r="H113" s="1308" t="s">
        <v>2452</v>
      </c>
      <c r="I113" s="1308"/>
      <c r="J113" s="1309"/>
    </row>
    <row r="114" spans="1:10" s="31" customFormat="1" ht="49.5" customHeight="1" x14ac:dyDescent="0.3">
      <c r="A114" s="391">
        <v>20</v>
      </c>
      <c r="B114" s="1310"/>
      <c r="C114" s="1310"/>
      <c r="D114" s="127"/>
      <c r="E114" s="127" t="s">
        <v>2451</v>
      </c>
      <c r="F114" s="127">
        <v>1</v>
      </c>
      <c r="G114" s="128"/>
      <c r="H114" s="1310" t="s">
        <v>2453</v>
      </c>
      <c r="I114" s="1310"/>
      <c r="J114" s="1315"/>
    </row>
    <row r="115" spans="1:10" s="31" customFormat="1" ht="64.5" customHeight="1" x14ac:dyDescent="0.3">
      <c r="A115" s="391">
        <v>20</v>
      </c>
      <c r="B115" s="1310"/>
      <c r="C115" s="1310"/>
      <c r="D115" s="127"/>
      <c r="E115" s="127" t="s">
        <v>2454</v>
      </c>
      <c r="F115" s="127">
        <v>1</v>
      </c>
      <c r="G115" s="128"/>
      <c r="H115" s="1310" t="s">
        <v>2862</v>
      </c>
      <c r="I115" s="1310"/>
      <c r="J115" s="1315"/>
    </row>
    <row r="116" spans="1:10" s="31" customFormat="1" ht="157.05000000000001" customHeight="1" x14ac:dyDescent="0.3">
      <c r="A116" s="391">
        <v>20</v>
      </c>
      <c r="B116" s="1310"/>
      <c r="C116" s="1310"/>
      <c r="D116" s="127"/>
      <c r="E116" s="127" t="s">
        <v>2454</v>
      </c>
      <c r="F116" s="127">
        <v>1</v>
      </c>
      <c r="G116" s="128"/>
      <c r="H116" s="1325" t="s">
        <v>2455</v>
      </c>
      <c r="I116" s="1310"/>
      <c r="J116" s="1315"/>
    </row>
    <row r="117" spans="1:10" s="31" customFormat="1" ht="181.5" customHeight="1" x14ac:dyDescent="0.3">
      <c r="A117" s="391">
        <v>20</v>
      </c>
      <c r="B117" s="1310"/>
      <c r="C117" s="1310"/>
      <c r="D117" s="127" t="s">
        <v>2456</v>
      </c>
      <c r="E117" s="127" t="s">
        <v>2457</v>
      </c>
      <c r="F117" s="127">
        <v>1</v>
      </c>
      <c r="G117" s="128"/>
      <c r="H117" s="166">
        <v>0</v>
      </c>
      <c r="I117" s="166">
        <v>0</v>
      </c>
      <c r="J117" s="136"/>
    </row>
    <row r="118" spans="1:10" s="31" customFormat="1" ht="139.5" customHeight="1" x14ac:dyDescent="0.3">
      <c r="A118" s="391">
        <v>20</v>
      </c>
      <c r="B118" s="1310"/>
      <c r="C118" s="1310"/>
      <c r="D118" s="127"/>
      <c r="E118" s="127" t="s">
        <v>2458</v>
      </c>
      <c r="F118" s="127">
        <v>1</v>
      </c>
      <c r="G118" s="128"/>
      <c r="H118" s="166">
        <v>0</v>
      </c>
      <c r="I118" s="166">
        <v>0</v>
      </c>
      <c r="J118" s="136"/>
    </row>
    <row r="119" spans="1:10" s="31" customFormat="1" ht="244.05" customHeight="1" x14ac:dyDescent="0.3">
      <c r="A119" s="391">
        <v>20</v>
      </c>
      <c r="B119" s="1310"/>
      <c r="C119" s="1310"/>
      <c r="D119" s="127"/>
      <c r="E119" s="127" t="s">
        <v>2459</v>
      </c>
      <c r="F119" s="127">
        <v>1</v>
      </c>
      <c r="G119" s="128"/>
      <c r="H119" s="166">
        <v>0</v>
      </c>
      <c r="I119" s="166">
        <v>0</v>
      </c>
      <c r="J119" s="136"/>
    </row>
    <row r="120" spans="1:10" s="31" customFormat="1" ht="197.1" customHeight="1" x14ac:dyDescent="0.3">
      <c r="A120" s="1054"/>
      <c r="B120" s="1296"/>
      <c r="C120" s="1296"/>
      <c r="D120" s="1045"/>
      <c r="E120" s="127" t="s">
        <v>2468</v>
      </c>
      <c r="F120" s="1045">
        <v>1</v>
      </c>
      <c r="G120" s="1054"/>
      <c r="H120" s="1106"/>
      <c r="I120" s="1106"/>
      <c r="J120" s="1085"/>
    </row>
    <row r="121" spans="1:10" s="31" customFormat="1" ht="204.6" customHeight="1" x14ac:dyDescent="0.3">
      <c r="A121" s="391">
        <v>20</v>
      </c>
      <c r="B121" s="1310"/>
      <c r="C121" s="1310"/>
      <c r="D121" s="127"/>
      <c r="E121" s="127" t="s">
        <v>2460</v>
      </c>
      <c r="F121" s="127">
        <v>1</v>
      </c>
      <c r="G121" s="128"/>
      <c r="H121" s="166">
        <v>0</v>
      </c>
      <c r="I121" s="166">
        <v>0</v>
      </c>
      <c r="J121" s="136"/>
    </row>
    <row r="122" spans="1:10" s="31" customFormat="1" ht="162.6" customHeight="1" x14ac:dyDescent="0.3">
      <c r="A122" s="391">
        <v>20</v>
      </c>
      <c r="B122" s="1310"/>
      <c r="C122" s="1310"/>
      <c r="D122" s="127"/>
      <c r="E122" s="127" t="s">
        <v>2461</v>
      </c>
      <c r="F122" s="127">
        <v>1</v>
      </c>
      <c r="G122" s="128"/>
      <c r="H122" s="166">
        <v>0</v>
      </c>
      <c r="I122" s="166">
        <v>0</v>
      </c>
      <c r="J122" s="136"/>
    </row>
    <row r="123" spans="1:10" s="31" customFormat="1" ht="181.5" customHeight="1" x14ac:dyDescent="0.3">
      <c r="A123" s="1054"/>
      <c r="B123" s="1296"/>
      <c r="C123" s="1296"/>
      <c r="D123" s="1045"/>
      <c r="E123" s="127" t="s">
        <v>2462</v>
      </c>
      <c r="F123" s="1045">
        <v>1</v>
      </c>
      <c r="G123" s="1054"/>
      <c r="H123" s="1106"/>
      <c r="I123" s="1106"/>
      <c r="J123" s="1085"/>
    </row>
    <row r="124" spans="1:10" s="31" customFormat="1" ht="147" customHeight="1" x14ac:dyDescent="0.3">
      <c r="A124" s="1054"/>
      <c r="B124" s="1296"/>
      <c r="C124" s="1296"/>
      <c r="D124" s="1045"/>
      <c r="E124" s="127" t="s">
        <v>2463</v>
      </c>
      <c r="F124" s="1045">
        <v>1</v>
      </c>
      <c r="G124" s="1054"/>
      <c r="H124" s="1106"/>
      <c r="I124" s="1106"/>
      <c r="J124" s="1085"/>
    </row>
    <row r="125" spans="1:10" s="31" customFormat="1" ht="241.5" customHeight="1" x14ac:dyDescent="0.3">
      <c r="A125" s="1054"/>
      <c r="B125" s="1296"/>
      <c r="C125" s="1296"/>
      <c r="D125" s="1045"/>
      <c r="E125" s="127" t="s">
        <v>2464</v>
      </c>
      <c r="F125" s="1045">
        <v>1</v>
      </c>
      <c r="G125" s="1054"/>
      <c r="H125" s="1106"/>
      <c r="I125" s="1106"/>
      <c r="J125" s="1085"/>
    </row>
    <row r="126" spans="1:10" s="31" customFormat="1" ht="203.1" customHeight="1" x14ac:dyDescent="0.3">
      <c r="A126" s="1054"/>
      <c r="B126" s="1296"/>
      <c r="C126" s="1296"/>
      <c r="D126" s="1045"/>
      <c r="E126" s="127" t="s">
        <v>2467</v>
      </c>
      <c r="F126" s="1045">
        <v>1</v>
      </c>
      <c r="G126" s="1054"/>
      <c r="H126" s="1106"/>
      <c r="I126" s="1106"/>
      <c r="J126" s="1085"/>
    </row>
    <row r="127" spans="1:10" s="31" customFormat="1" ht="197.1" customHeight="1" x14ac:dyDescent="0.3">
      <c r="A127" s="1054"/>
      <c r="B127" s="1296"/>
      <c r="C127" s="1296"/>
      <c r="D127" s="1045"/>
      <c r="E127" s="127" t="s">
        <v>2465</v>
      </c>
      <c r="F127" s="1045">
        <v>1</v>
      </c>
      <c r="G127" s="1054"/>
      <c r="H127" s="1106"/>
      <c r="I127" s="1106"/>
      <c r="J127" s="1085"/>
    </row>
    <row r="128" spans="1:10" s="31" customFormat="1" ht="163.05000000000001" customHeight="1" x14ac:dyDescent="0.3">
      <c r="A128" s="1054"/>
      <c r="B128" s="1296"/>
      <c r="C128" s="1296"/>
      <c r="D128" s="1045"/>
      <c r="E128" s="127" t="s">
        <v>2466</v>
      </c>
      <c r="F128" s="1045">
        <v>1</v>
      </c>
      <c r="G128" s="1054"/>
      <c r="H128" s="1106"/>
      <c r="I128" s="1106"/>
      <c r="J128" s="1085"/>
    </row>
    <row r="129" spans="1:10" s="31" customFormat="1" ht="144.6" customHeight="1" x14ac:dyDescent="0.3">
      <c r="A129" s="1054"/>
      <c r="B129" s="1296"/>
      <c r="C129" s="1296"/>
      <c r="D129" s="1306" t="s">
        <v>2469</v>
      </c>
      <c r="E129" s="1045" t="s">
        <v>2470</v>
      </c>
      <c r="F129" s="1045">
        <v>1</v>
      </c>
      <c r="G129" s="1054"/>
      <c r="H129" s="1106"/>
      <c r="I129" s="1106"/>
      <c r="J129" s="1085"/>
    </row>
    <row r="130" spans="1:10" s="31" customFormat="1" ht="203.1" customHeight="1" x14ac:dyDescent="0.3">
      <c r="A130" s="1054"/>
      <c r="B130" s="1296"/>
      <c r="C130" s="1296"/>
      <c r="D130" s="1311"/>
      <c r="E130" s="1045" t="s">
        <v>2471</v>
      </c>
      <c r="F130" s="1045">
        <v>1</v>
      </c>
      <c r="G130" s="1054"/>
      <c r="H130" s="1106"/>
      <c r="I130" s="1106"/>
      <c r="J130" s="1085"/>
    </row>
    <row r="131" spans="1:10" s="31" customFormat="1" ht="142.5" customHeight="1" x14ac:dyDescent="0.3">
      <c r="A131" s="1054"/>
      <c r="B131" s="1296"/>
      <c r="C131" s="1296"/>
      <c r="D131" s="1311"/>
      <c r="E131" s="1045" t="s">
        <v>2472</v>
      </c>
      <c r="F131" s="1045">
        <v>1</v>
      </c>
      <c r="G131" s="1054"/>
      <c r="H131" s="1106"/>
      <c r="I131" s="1106"/>
      <c r="J131" s="1085"/>
    </row>
    <row r="132" spans="1:10" s="31" customFormat="1" ht="218.55" customHeight="1" x14ac:dyDescent="0.3">
      <c r="A132" s="1054"/>
      <c r="B132" s="1296"/>
      <c r="C132" s="1296"/>
      <c r="D132" s="1307"/>
      <c r="E132" s="1045" t="s">
        <v>2473</v>
      </c>
      <c r="F132" s="1045">
        <v>1</v>
      </c>
      <c r="G132" s="1054"/>
      <c r="H132" s="1106"/>
      <c r="I132" s="1106"/>
      <c r="J132" s="1085"/>
    </row>
    <row r="133" spans="1:10" s="31" customFormat="1" ht="72" x14ac:dyDescent="0.3">
      <c r="A133" s="1054"/>
      <c r="B133" s="1296"/>
      <c r="C133" s="1296"/>
      <c r="D133" s="1045" t="s">
        <v>2474</v>
      </c>
      <c r="E133" s="1045" t="s">
        <v>2549</v>
      </c>
      <c r="F133" s="1045">
        <v>1</v>
      </c>
      <c r="G133" s="1054"/>
      <c r="H133" s="1106"/>
      <c r="I133" s="1106"/>
      <c r="J133" s="1085"/>
    </row>
    <row r="134" spans="1:10" s="31" customFormat="1" ht="90" x14ac:dyDescent="0.3">
      <c r="A134" s="1054"/>
      <c r="B134" s="1296"/>
      <c r="C134" s="1296"/>
      <c r="D134" s="1045" t="s">
        <v>2474</v>
      </c>
      <c r="E134" s="1045" t="s">
        <v>2550</v>
      </c>
      <c r="F134" s="1045"/>
      <c r="G134" s="1054"/>
      <c r="H134" s="1106"/>
      <c r="I134" s="1106"/>
      <c r="J134" s="1085"/>
    </row>
    <row r="135" spans="1:10" s="31" customFormat="1" ht="219.6" customHeight="1" x14ac:dyDescent="0.3">
      <c r="A135" s="1054"/>
      <c r="B135" s="1296"/>
      <c r="C135" s="1296"/>
      <c r="D135" s="1045" t="s">
        <v>2551</v>
      </c>
      <c r="E135" s="1045" t="s">
        <v>2475</v>
      </c>
      <c r="F135" s="1045">
        <v>1</v>
      </c>
      <c r="G135" s="1054"/>
      <c r="H135" s="1106"/>
      <c r="I135" s="1106"/>
      <c r="J135" s="1085"/>
    </row>
    <row r="136" spans="1:10" s="31" customFormat="1" ht="158.1" customHeight="1" x14ac:dyDescent="0.3">
      <c r="A136" s="1054"/>
      <c r="B136" s="1296"/>
      <c r="C136" s="1296"/>
      <c r="D136" s="1045"/>
      <c r="E136" s="1045" t="s">
        <v>2476</v>
      </c>
      <c r="F136" s="1045">
        <v>1</v>
      </c>
      <c r="G136" s="1054"/>
      <c r="H136" s="1106"/>
      <c r="I136" s="1106"/>
      <c r="J136" s="1085"/>
    </row>
    <row r="137" spans="1:10" s="31" customFormat="1" ht="223.05" customHeight="1" x14ac:dyDescent="0.3">
      <c r="A137" s="1054"/>
      <c r="B137" s="1296"/>
      <c r="C137" s="1296"/>
      <c r="D137" s="1045"/>
      <c r="E137" s="1045" t="s">
        <v>2477</v>
      </c>
      <c r="F137" s="1045">
        <v>1</v>
      </c>
      <c r="G137" s="1054"/>
      <c r="H137" s="1106"/>
      <c r="I137" s="1106"/>
      <c r="J137" s="1085"/>
    </row>
    <row r="138" spans="1:10" s="31" customFormat="1" ht="160.05000000000001" customHeight="1" x14ac:dyDescent="0.3">
      <c r="A138" s="1054"/>
      <c r="B138" s="1296"/>
      <c r="C138" s="1296"/>
      <c r="D138" s="1045"/>
      <c r="E138" s="1045" t="s">
        <v>2478</v>
      </c>
      <c r="F138" s="1045">
        <v>1</v>
      </c>
      <c r="G138" s="1054"/>
      <c r="H138" s="1106"/>
      <c r="I138" s="1106"/>
      <c r="J138" s="1085"/>
    </row>
    <row r="139" spans="1:10" s="31" customFormat="1" ht="214.05" customHeight="1" x14ac:dyDescent="0.3">
      <c r="A139" s="1054"/>
      <c r="B139" s="1296"/>
      <c r="C139" s="1296"/>
      <c r="D139" s="1045" t="s">
        <v>2552</v>
      </c>
      <c r="E139" s="1045" t="s">
        <v>2479</v>
      </c>
      <c r="F139" s="1045">
        <v>1</v>
      </c>
      <c r="G139" s="1054"/>
      <c r="H139" s="1106"/>
      <c r="I139" s="1106"/>
      <c r="J139" s="1085"/>
    </row>
    <row r="140" spans="1:10" s="31" customFormat="1" ht="158.55000000000001" customHeight="1" x14ac:dyDescent="0.3">
      <c r="A140" s="1054"/>
      <c r="B140" s="1296"/>
      <c r="C140" s="1296"/>
      <c r="D140" s="1045"/>
      <c r="E140" s="1045" t="s">
        <v>2480</v>
      </c>
      <c r="F140" s="1045">
        <v>1</v>
      </c>
      <c r="G140" s="1054"/>
      <c r="H140" s="1106"/>
      <c r="I140" s="1106"/>
      <c r="J140" s="1085"/>
    </row>
    <row r="141" spans="1:10" s="31" customFormat="1" ht="218.1" customHeight="1" x14ac:dyDescent="0.3">
      <c r="A141" s="1054"/>
      <c r="B141" s="1296"/>
      <c r="C141" s="1296"/>
      <c r="D141" s="1045"/>
      <c r="E141" s="1045" t="s">
        <v>2481</v>
      </c>
      <c r="F141" s="1045">
        <v>1</v>
      </c>
      <c r="G141" s="1054"/>
      <c r="H141" s="1106"/>
      <c r="I141" s="1106"/>
      <c r="J141" s="1085"/>
    </row>
    <row r="142" spans="1:10" s="31" customFormat="1" ht="160.05000000000001" customHeight="1" x14ac:dyDescent="0.3">
      <c r="A142" s="1054"/>
      <c r="B142" s="1296"/>
      <c r="C142" s="1296"/>
      <c r="D142" s="1045"/>
      <c r="E142" s="1045" t="s">
        <v>2482</v>
      </c>
      <c r="F142" s="1045">
        <v>1</v>
      </c>
      <c r="G142" s="1054"/>
      <c r="H142" s="1106"/>
      <c r="I142" s="1106"/>
      <c r="J142" s="1085"/>
    </row>
    <row r="143" spans="1:10" s="31" customFormat="1" ht="50.55" customHeight="1" x14ac:dyDescent="0.3">
      <c r="A143" s="391">
        <v>20</v>
      </c>
      <c r="B143" s="127" t="s">
        <v>309</v>
      </c>
      <c r="C143" s="127" t="s">
        <v>309</v>
      </c>
      <c r="D143" s="127"/>
      <c r="E143" s="127"/>
      <c r="F143" s="127">
        <v>1</v>
      </c>
      <c r="G143" s="128"/>
      <c r="H143" s="1308" t="s">
        <v>2483</v>
      </c>
      <c r="I143" s="1308"/>
      <c r="J143" s="1309"/>
    </row>
    <row r="144" spans="1:10" s="31" customFormat="1" ht="98.1" customHeight="1" x14ac:dyDescent="0.3">
      <c r="A144" s="1054"/>
      <c r="B144" s="1045"/>
      <c r="C144" s="1045"/>
      <c r="D144" s="1045"/>
      <c r="E144" s="1045"/>
      <c r="F144" s="1045">
        <v>1</v>
      </c>
      <c r="G144" s="1054"/>
      <c r="H144" s="1297" t="s">
        <v>2845</v>
      </c>
      <c r="I144" s="1298"/>
      <c r="J144" s="1299"/>
    </row>
    <row r="145" spans="1:10" s="31" customFormat="1" ht="60" customHeight="1" x14ac:dyDescent="0.3">
      <c r="A145" s="1054"/>
      <c r="B145" s="1045"/>
      <c r="C145" s="1045"/>
      <c r="D145" s="1045"/>
      <c r="E145" s="1045"/>
      <c r="F145" s="1045">
        <v>1</v>
      </c>
      <c r="G145" s="1054"/>
      <c r="H145" s="1297" t="s">
        <v>2484</v>
      </c>
      <c r="I145" s="1298"/>
      <c r="J145" s="1299"/>
    </row>
    <row r="146" spans="1:10" s="31" customFormat="1" ht="64.5" customHeight="1" x14ac:dyDescent="0.3">
      <c r="A146" s="391">
        <v>20</v>
      </c>
      <c r="B146" s="1310" t="s">
        <v>309</v>
      </c>
      <c r="C146" s="127" t="s">
        <v>2485</v>
      </c>
      <c r="D146" s="127" t="s">
        <v>2485</v>
      </c>
      <c r="E146" s="127" t="s">
        <v>2486</v>
      </c>
      <c r="F146" s="127">
        <v>1</v>
      </c>
      <c r="G146" s="127"/>
      <c r="H146" s="1308" t="s">
        <v>1396</v>
      </c>
      <c r="I146" s="1308"/>
      <c r="J146" s="1309"/>
    </row>
    <row r="147" spans="1:10" s="31" customFormat="1" ht="75" customHeight="1" x14ac:dyDescent="0.3">
      <c r="A147" s="391">
        <v>20</v>
      </c>
      <c r="B147" s="1310"/>
      <c r="C147" s="127" t="s">
        <v>2556</v>
      </c>
      <c r="D147" s="1306" t="s">
        <v>2557</v>
      </c>
      <c r="E147" s="127" t="s">
        <v>1397</v>
      </c>
      <c r="F147" s="127">
        <v>1</v>
      </c>
      <c r="G147" s="127"/>
      <c r="H147" s="1308"/>
      <c r="I147" s="1308"/>
      <c r="J147" s="1309"/>
    </row>
    <row r="148" spans="1:10" s="31" customFormat="1" ht="81" customHeight="1" x14ac:dyDescent="0.3">
      <c r="A148" s="391">
        <v>20</v>
      </c>
      <c r="B148" s="1310"/>
      <c r="C148" s="127"/>
      <c r="D148" s="1311"/>
      <c r="E148" s="127" t="s">
        <v>1370</v>
      </c>
      <c r="F148" s="127">
        <v>1</v>
      </c>
      <c r="G148" s="127"/>
      <c r="H148" s="1308"/>
      <c r="I148" s="1308"/>
      <c r="J148" s="1309"/>
    </row>
    <row r="149" spans="1:10" s="31" customFormat="1" ht="18" x14ac:dyDescent="0.3">
      <c r="A149" s="391">
        <v>20</v>
      </c>
      <c r="B149" s="1310" t="s">
        <v>309</v>
      </c>
      <c r="C149" s="127"/>
      <c r="D149" s="1311"/>
      <c r="E149" s="127" t="s">
        <v>3036</v>
      </c>
      <c r="F149" s="127">
        <v>1</v>
      </c>
      <c r="G149" s="127"/>
      <c r="H149" s="1308"/>
      <c r="I149" s="1308"/>
      <c r="J149" s="1309"/>
    </row>
    <row r="150" spans="1:10" s="31" customFormat="1" ht="18" x14ac:dyDescent="0.3">
      <c r="A150" s="391">
        <v>20</v>
      </c>
      <c r="B150" s="1310"/>
      <c r="C150" s="127"/>
      <c r="D150" s="1307"/>
      <c r="E150" s="127" t="s">
        <v>2863</v>
      </c>
      <c r="F150" s="127">
        <v>1</v>
      </c>
      <c r="G150" s="127"/>
      <c r="H150" s="1308"/>
      <c r="I150" s="1308"/>
      <c r="J150" s="1309"/>
    </row>
    <row r="151" spans="1:10" s="31" customFormat="1" ht="36" x14ac:dyDescent="0.3">
      <c r="A151" s="391">
        <v>20</v>
      </c>
      <c r="B151" s="1310"/>
      <c r="C151" s="127"/>
      <c r="D151" s="1306" t="s">
        <v>1395</v>
      </c>
      <c r="E151" s="127" t="s">
        <v>1397</v>
      </c>
      <c r="F151" s="127">
        <v>1</v>
      </c>
      <c r="G151" s="127"/>
      <c r="H151" s="1308"/>
      <c r="I151" s="1308"/>
      <c r="J151" s="1309"/>
    </row>
    <row r="152" spans="1:10" s="31" customFormat="1" ht="72" x14ac:dyDescent="0.3">
      <c r="A152" s="391">
        <v>20</v>
      </c>
      <c r="B152" s="1310"/>
      <c r="C152" s="1107"/>
      <c r="D152" s="1311"/>
      <c r="E152" s="127" t="s">
        <v>1370</v>
      </c>
      <c r="F152" s="127">
        <v>1</v>
      </c>
      <c r="G152" s="127"/>
      <c r="H152" s="1308"/>
      <c r="I152" s="1308"/>
      <c r="J152" s="1309"/>
    </row>
    <row r="153" spans="1:10" s="31" customFormat="1" ht="18" x14ac:dyDescent="0.3">
      <c r="A153" s="391">
        <v>20</v>
      </c>
      <c r="B153" s="1310" t="s">
        <v>309</v>
      </c>
      <c r="C153" s="127"/>
      <c r="D153" s="1311"/>
      <c r="E153" s="127" t="s">
        <v>3036</v>
      </c>
      <c r="F153" s="127">
        <v>1</v>
      </c>
      <c r="G153" s="127"/>
      <c r="H153" s="1308"/>
      <c r="I153" s="1308"/>
      <c r="J153" s="1309"/>
    </row>
    <row r="154" spans="1:10" s="31" customFormat="1" ht="18" x14ac:dyDescent="0.3">
      <c r="A154" s="391">
        <v>20</v>
      </c>
      <c r="B154" s="1310"/>
      <c r="C154" s="127"/>
      <c r="D154" s="1307"/>
      <c r="E154" s="127" t="s">
        <v>2863</v>
      </c>
      <c r="F154" s="127">
        <v>1</v>
      </c>
      <c r="G154" s="127"/>
      <c r="H154" s="1308"/>
      <c r="I154" s="1308"/>
      <c r="J154" s="1309"/>
    </row>
    <row r="155" spans="1:10" s="31" customFormat="1" ht="75" customHeight="1" x14ac:dyDescent="0.3">
      <c r="A155" s="391">
        <v>20</v>
      </c>
      <c r="B155" s="1310"/>
      <c r="C155" s="127"/>
      <c r="D155" s="1306" t="s">
        <v>2487</v>
      </c>
      <c r="E155" s="127" t="s">
        <v>1397</v>
      </c>
      <c r="F155" s="127">
        <v>1</v>
      </c>
      <c r="G155" s="127"/>
      <c r="H155" s="1308"/>
      <c r="I155" s="1308"/>
      <c r="J155" s="1309"/>
    </row>
    <row r="156" spans="1:10" s="31" customFormat="1" ht="77.099999999999994" customHeight="1" x14ac:dyDescent="0.3">
      <c r="A156" s="391">
        <v>20</v>
      </c>
      <c r="B156" s="1310"/>
      <c r="C156" s="127"/>
      <c r="D156" s="1311"/>
      <c r="E156" s="127" t="s">
        <v>1370</v>
      </c>
      <c r="F156" s="127">
        <v>1</v>
      </c>
      <c r="G156" s="127"/>
      <c r="H156" s="1308"/>
      <c r="I156" s="1308"/>
      <c r="J156" s="1309"/>
    </row>
    <row r="157" spans="1:10" s="31" customFormat="1" ht="18" x14ac:dyDescent="0.3">
      <c r="A157" s="391">
        <v>20</v>
      </c>
      <c r="B157" s="1310" t="s">
        <v>309</v>
      </c>
      <c r="C157" s="127"/>
      <c r="D157" s="1311"/>
      <c r="E157" s="127" t="s">
        <v>3036</v>
      </c>
      <c r="F157" s="127">
        <v>1</v>
      </c>
      <c r="G157" s="127"/>
      <c r="H157" s="1308"/>
      <c r="I157" s="1308"/>
      <c r="J157" s="1309"/>
    </row>
    <row r="158" spans="1:10" s="31" customFormat="1" ht="18" x14ac:dyDescent="0.3">
      <c r="A158" s="391">
        <v>20</v>
      </c>
      <c r="B158" s="1310"/>
      <c r="C158" s="127"/>
      <c r="D158" s="1307"/>
      <c r="E158" s="127" t="s">
        <v>2863</v>
      </c>
      <c r="F158" s="127">
        <v>1</v>
      </c>
      <c r="G158" s="127"/>
      <c r="H158" s="1308"/>
      <c r="I158" s="1308"/>
      <c r="J158" s="1309"/>
    </row>
    <row r="159" spans="1:10" s="31" customFormat="1" ht="122.55" customHeight="1" x14ac:dyDescent="0.3">
      <c r="A159" s="391">
        <v>20</v>
      </c>
      <c r="B159" s="1310"/>
      <c r="C159" s="127"/>
      <c r="D159" s="127" t="s">
        <v>2485</v>
      </c>
      <c r="E159" s="127" t="s">
        <v>2488</v>
      </c>
      <c r="F159" s="127">
        <v>1</v>
      </c>
      <c r="G159" s="127"/>
      <c r="H159" s="1308" t="s">
        <v>2489</v>
      </c>
      <c r="I159" s="1308"/>
      <c r="J159" s="1309"/>
    </row>
    <row r="160" spans="1:10" s="31" customFormat="1" ht="101.1" customHeight="1" x14ac:dyDescent="0.3">
      <c r="A160" s="391">
        <v>20</v>
      </c>
      <c r="B160" s="1310"/>
      <c r="C160" s="127"/>
      <c r="D160" s="127"/>
      <c r="E160" s="127" t="s">
        <v>2490</v>
      </c>
      <c r="F160" s="127">
        <v>1</v>
      </c>
      <c r="G160" s="127"/>
      <c r="H160" s="1308" t="s">
        <v>2491</v>
      </c>
      <c r="I160" s="1308"/>
      <c r="J160" s="1309"/>
    </row>
    <row r="161" spans="1:10" s="31" customFormat="1" ht="79.5" customHeight="1" x14ac:dyDescent="0.3">
      <c r="A161" s="391">
        <v>20</v>
      </c>
      <c r="B161" s="1310"/>
      <c r="C161" s="127"/>
      <c r="D161" s="127"/>
      <c r="E161" s="127" t="s">
        <v>2492</v>
      </c>
      <c r="F161" s="127">
        <v>1</v>
      </c>
      <c r="G161" s="127"/>
      <c r="H161" s="1308" t="s">
        <v>2493</v>
      </c>
      <c r="I161" s="1308"/>
      <c r="J161" s="1309"/>
    </row>
    <row r="162" spans="1:10" s="31" customFormat="1" ht="83.25" customHeight="1" x14ac:dyDescent="0.3">
      <c r="A162" s="391">
        <v>20</v>
      </c>
      <c r="B162" s="1310"/>
      <c r="C162" s="127"/>
      <c r="D162" s="127"/>
      <c r="E162" s="127" t="s">
        <v>2494</v>
      </c>
      <c r="F162" s="127">
        <v>1</v>
      </c>
      <c r="G162" s="127"/>
      <c r="H162" s="1308" t="s">
        <v>2945</v>
      </c>
      <c r="I162" s="1308"/>
      <c r="J162" s="1309"/>
    </row>
    <row r="163" spans="1:10" s="31" customFormat="1" ht="63.75" customHeight="1" x14ac:dyDescent="0.3">
      <c r="A163" s="391">
        <v>20</v>
      </c>
      <c r="B163" s="1310" t="s">
        <v>309</v>
      </c>
      <c r="C163" s="1310" t="s">
        <v>2495</v>
      </c>
      <c r="D163" s="1310" t="s">
        <v>2558</v>
      </c>
      <c r="E163" s="127" t="s">
        <v>1398</v>
      </c>
      <c r="F163" s="127">
        <v>1</v>
      </c>
      <c r="G163" s="127"/>
      <c r="H163" s="175">
        <f>SUM(I163:I169)</f>
        <v>0</v>
      </c>
      <c r="I163" s="166">
        <v>0</v>
      </c>
      <c r="J163" s="136"/>
    </row>
    <row r="164" spans="1:10" s="31" customFormat="1" ht="63.75" customHeight="1" x14ac:dyDescent="0.3">
      <c r="A164" s="391">
        <v>20</v>
      </c>
      <c r="B164" s="1310"/>
      <c r="C164" s="1310"/>
      <c r="D164" s="1310"/>
      <c r="E164" s="127" t="s">
        <v>1399</v>
      </c>
      <c r="F164" s="127">
        <v>1</v>
      </c>
      <c r="G164" s="127"/>
      <c r="H164" s="166">
        <v>0</v>
      </c>
      <c r="I164" s="166">
        <v>0</v>
      </c>
      <c r="J164" s="136"/>
    </row>
    <row r="165" spans="1:10" s="31" customFormat="1" ht="63.75" customHeight="1" x14ac:dyDescent="0.3">
      <c r="A165" s="391">
        <v>20</v>
      </c>
      <c r="B165" s="1310"/>
      <c r="C165" s="1310"/>
      <c r="D165" s="1310"/>
      <c r="E165" s="127" t="s">
        <v>1400</v>
      </c>
      <c r="F165" s="127">
        <v>1</v>
      </c>
      <c r="G165" s="127"/>
      <c r="H165" s="166">
        <v>0</v>
      </c>
      <c r="I165" s="166">
        <v>0</v>
      </c>
      <c r="J165" s="136"/>
    </row>
    <row r="166" spans="1:10" s="31" customFormat="1" ht="232.5" customHeight="1" x14ac:dyDescent="0.3">
      <c r="A166" s="391">
        <v>20</v>
      </c>
      <c r="B166" s="1310"/>
      <c r="C166" s="1310"/>
      <c r="D166" s="1310"/>
      <c r="E166" s="127" t="s">
        <v>1401</v>
      </c>
      <c r="F166" s="127">
        <v>1</v>
      </c>
      <c r="G166" s="127"/>
      <c r="H166" s="166">
        <v>0</v>
      </c>
      <c r="I166" s="166">
        <v>0</v>
      </c>
      <c r="J166" s="136"/>
    </row>
    <row r="167" spans="1:10" s="31" customFormat="1" ht="179.55" customHeight="1" x14ac:dyDescent="0.3">
      <c r="A167" s="391">
        <v>20</v>
      </c>
      <c r="B167" s="1310"/>
      <c r="C167" s="1310"/>
      <c r="D167" s="1310"/>
      <c r="E167" s="127" t="s">
        <v>1402</v>
      </c>
      <c r="F167" s="127">
        <v>1</v>
      </c>
      <c r="G167" s="127"/>
      <c r="H167" s="166">
        <v>0</v>
      </c>
      <c r="I167" s="166">
        <v>0</v>
      </c>
      <c r="J167" s="136"/>
    </row>
    <row r="168" spans="1:10" s="31" customFormat="1" ht="63.75" customHeight="1" x14ac:dyDescent="0.3">
      <c r="A168" s="391">
        <v>20</v>
      </c>
      <c r="B168" s="1310"/>
      <c r="C168" s="1310"/>
      <c r="D168" s="1310"/>
      <c r="E168" s="127" t="s">
        <v>1403</v>
      </c>
      <c r="F168" s="127">
        <v>1</v>
      </c>
      <c r="G168" s="127"/>
      <c r="H168" s="166">
        <v>0</v>
      </c>
      <c r="I168" s="166">
        <v>0</v>
      </c>
      <c r="J168" s="136"/>
    </row>
    <row r="169" spans="1:10" s="31" customFormat="1" ht="63.75" customHeight="1" x14ac:dyDescent="0.3">
      <c r="A169" s="391">
        <v>20</v>
      </c>
      <c r="B169" s="1310"/>
      <c r="C169" s="1310"/>
      <c r="D169" s="1310"/>
      <c r="E169" s="127" t="s">
        <v>1404</v>
      </c>
      <c r="F169" s="127">
        <v>1</v>
      </c>
      <c r="G169" s="127"/>
      <c r="H169" s="166">
        <v>0</v>
      </c>
      <c r="I169" s="166">
        <v>0</v>
      </c>
      <c r="J169" s="136"/>
    </row>
    <row r="170" spans="1:10" s="31" customFormat="1" ht="63.75" customHeight="1" x14ac:dyDescent="0.3">
      <c r="A170" s="391">
        <v>20</v>
      </c>
      <c r="B170" s="1310"/>
      <c r="C170" s="1310"/>
      <c r="D170" s="1310"/>
      <c r="E170" s="127" t="s">
        <v>1405</v>
      </c>
      <c r="F170" s="127">
        <v>1</v>
      </c>
      <c r="G170" s="127"/>
      <c r="H170" s="166">
        <v>0</v>
      </c>
      <c r="I170" s="166">
        <v>0</v>
      </c>
      <c r="J170" s="136"/>
    </row>
    <row r="171" spans="1:10" s="31" customFormat="1" ht="63.75" customHeight="1" x14ac:dyDescent="0.3">
      <c r="A171" s="391">
        <v>20</v>
      </c>
      <c r="B171" s="1310"/>
      <c r="C171" s="1310"/>
      <c r="D171" s="1310"/>
      <c r="E171" s="127" t="s">
        <v>1406</v>
      </c>
      <c r="F171" s="127">
        <v>1</v>
      </c>
      <c r="G171" s="127"/>
      <c r="H171" s="166">
        <v>0</v>
      </c>
      <c r="I171" s="166">
        <v>0</v>
      </c>
      <c r="J171" s="136"/>
    </row>
    <row r="172" spans="1:10" s="31" customFormat="1" ht="63.75" customHeight="1" x14ac:dyDescent="0.3">
      <c r="A172" s="391">
        <v>20</v>
      </c>
      <c r="B172" s="1310"/>
      <c r="C172" s="1310"/>
      <c r="D172" s="1310"/>
      <c r="E172" s="127" t="s">
        <v>1407</v>
      </c>
      <c r="F172" s="127">
        <v>1</v>
      </c>
      <c r="G172" s="127"/>
      <c r="H172" s="166">
        <v>0</v>
      </c>
      <c r="I172" s="166">
        <v>0</v>
      </c>
      <c r="J172" s="136"/>
    </row>
    <row r="173" spans="1:10" s="31" customFormat="1" ht="215.55" customHeight="1" x14ac:dyDescent="0.3">
      <c r="A173" s="391">
        <v>20</v>
      </c>
      <c r="B173" s="1310"/>
      <c r="C173" s="1310"/>
      <c r="D173" s="1310"/>
      <c r="E173" s="127" t="s">
        <v>1408</v>
      </c>
      <c r="F173" s="127">
        <v>1</v>
      </c>
      <c r="G173" s="127"/>
      <c r="H173" s="166">
        <v>0</v>
      </c>
      <c r="I173" s="166">
        <v>0</v>
      </c>
      <c r="J173" s="136"/>
    </row>
    <row r="174" spans="1:10" s="31" customFormat="1" ht="162.6" customHeight="1" x14ac:dyDescent="0.3">
      <c r="A174" s="391">
        <v>20</v>
      </c>
      <c r="B174" s="1310"/>
      <c r="C174" s="1310"/>
      <c r="D174" s="1310"/>
      <c r="E174" s="127" t="s">
        <v>1409</v>
      </c>
      <c r="F174" s="127">
        <v>1</v>
      </c>
      <c r="G174" s="127"/>
      <c r="H174" s="166">
        <v>0</v>
      </c>
      <c r="I174" s="166">
        <v>0</v>
      </c>
      <c r="J174" s="136"/>
    </row>
    <row r="175" spans="1:10" s="31" customFormat="1" ht="63.75" customHeight="1" x14ac:dyDescent="0.3">
      <c r="A175" s="391">
        <v>20</v>
      </c>
      <c r="B175" s="1310"/>
      <c r="C175" s="1310"/>
      <c r="D175" s="1310"/>
      <c r="E175" s="127" t="s">
        <v>1410</v>
      </c>
      <c r="F175" s="127">
        <v>1</v>
      </c>
      <c r="G175" s="127"/>
      <c r="H175" s="166">
        <v>0</v>
      </c>
      <c r="I175" s="166">
        <v>0</v>
      </c>
      <c r="J175" s="136"/>
    </row>
    <row r="176" spans="1:10" s="31" customFormat="1" ht="63.75" customHeight="1" x14ac:dyDescent="0.3">
      <c r="A176" s="391">
        <v>20</v>
      </c>
      <c r="B176" s="1310"/>
      <c r="C176" s="1310"/>
      <c r="D176" s="1310"/>
      <c r="E176" s="127" t="s">
        <v>1411</v>
      </c>
      <c r="F176" s="127">
        <v>1</v>
      </c>
      <c r="G176" s="127"/>
      <c r="H176" s="166">
        <v>0</v>
      </c>
      <c r="I176" s="166">
        <v>0</v>
      </c>
      <c r="J176" s="136"/>
    </row>
    <row r="177" spans="1:10" s="31" customFormat="1" ht="211.5" customHeight="1" x14ac:dyDescent="0.3">
      <c r="A177" s="391">
        <v>20</v>
      </c>
      <c r="B177" s="1310" t="s">
        <v>309</v>
      </c>
      <c r="C177" s="1370" t="s">
        <v>1394</v>
      </c>
      <c r="D177" s="1370" t="s">
        <v>1394</v>
      </c>
      <c r="E177" s="127" t="s">
        <v>1363</v>
      </c>
      <c r="F177" s="127">
        <v>1</v>
      </c>
      <c r="G177" s="127"/>
      <c r="H177" s="1308" t="s">
        <v>2496</v>
      </c>
      <c r="I177" s="1308"/>
      <c r="J177" s="1309"/>
    </row>
    <row r="178" spans="1:10" s="31" customFormat="1" ht="224.1" customHeight="1" x14ac:dyDescent="0.3">
      <c r="A178" s="391">
        <v>20</v>
      </c>
      <c r="B178" s="1310"/>
      <c r="C178" s="1372"/>
      <c r="D178" s="1372"/>
      <c r="E178" s="127" t="s">
        <v>1363</v>
      </c>
      <c r="F178" s="127">
        <v>1</v>
      </c>
      <c r="G178" s="127"/>
      <c r="H178" s="1308" t="s">
        <v>1390</v>
      </c>
      <c r="I178" s="1308"/>
      <c r="J178" s="1309"/>
    </row>
    <row r="179" spans="1:10" s="31" customFormat="1" ht="226.05" customHeight="1" x14ac:dyDescent="0.3">
      <c r="A179" s="391">
        <v>20</v>
      </c>
      <c r="B179" s="1310"/>
      <c r="C179" s="127" t="s">
        <v>1412</v>
      </c>
      <c r="D179" s="127" t="s">
        <v>1412</v>
      </c>
      <c r="E179" s="127" t="s">
        <v>1412</v>
      </c>
      <c r="F179" s="127">
        <v>1</v>
      </c>
      <c r="G179" s="127"/>
      <c r="H179" s="1308" t="s">
        <v>2946</v>
      </c>
      <c r="I179" s="1308"/>
      <c r="J179" s="1309"/>
    </row>
    <row r="180" spans="1:10" s="31" customFormat="1" ht="36" x14ac:dyDescent="0.3">
      <c r="A180" s="391">
        <v>20</v>
      </c>
      <c r="B180" s="127" t="s">
        <v>309</v>
      </c>
      <c r="C180" s="127" t="s">
        <v>829</v>
      </c>
      <c r="D180" s="127" t="s">
        <v>1413</v>
      </c>
      <c r="E180" s="127" t="s">
        <v>1415</v>
      </c>
      <c r="F180" s="127">
        <v>1</v>
      </c>
      <c r="G180" s="127"/>
      <c r="H180" s="166">
        <v>0</v>
      </c>
      <c r="I180" s="166">
        <v>0</v>
      </c>
      <c r="J180" s="136"/>
    </row>
    <row r="181" spans="1:10" s="31" customFormat="1" ht="18" x14ac:dyDescent="0.3">
      <c r="A181" s="391">
        <v>20</v>
      </c>
      <c r="B181" s="127" t="s">
        <v>309</v>
      </c>
      <c r="C181" s="127" t="s">
        <v>829</v>
      </c>
      <c r="D181" s="127" t="s">
        <v>1414</v>
      </c>
      <c r="E181" s="127" t="s">
        <v>1415</v>
      </c>
      <c r="F181" s="127">
        <v>1</v>
      </c>
      <c r="G181" s="127"/>
      <c r="H181" s="166">
        <v>0</v>
      </c>
      <c r="I181" s="166">
        <v>0</v>
      </c>
      <c r="J181" s="136"/>
    </row>
    <row r="182" spans="1:10" s="31" customFormat="1" ht="18" x14ac:dyDescent="0.3">
      <c r="A182" s="391">
        <v>20</v>
      </c>
      <c r="B182" s="127" t="s">
        <v>309</v>
      </c>
      <c r="C182" s="127" t="s">
        <v>829</v>
      </c>
      <c r="D182" s="127" t="s">
        <v>2835</v>
      </c>
      <c r="E182" s="127" t="s">
        <v>1415</v>
      </c>
      <c r="F182" s="127">
        <v>1</v>
      </c>
      <c r="G182" s="127"/>
      <c r="H182" s="166">
        <v>0</v>
      </c>
      <c r="I182" s="166">
        <v>0</v>
      </c>
      <c r="J182" s="136"/>
    </row>
    <row r="183" spans="1:10" s="31" customFormat="1" ht="36" x14ac:dyDescent="0.3">
      <c r="A183" s="391">
        <v>20</v>
      </c>
      <c r="B183" s="127" t="s">
        <v>309</v>
      </c>
      <c r="C183" s="127" t="s">
        <v>829</v>
      </c>
      <c r="D183" s="127" t="s">
        <v>1413</v>
      </c>
      <c r="E183" s="127" t="s">
        <v>1416</v>
      </c>
      <c r="F183" s="127">
        <v>1</v>
      </c>
      <c r="G183" s="127"/>
      <c r="H183" s="166">
        <v>0</v>
      </c>
      <c r="I183" s="166">
        <v>0</v>
      </c>
      <c r="J183" s="136"/>
    </row>
    <row r="184" spans="1:10" s="31" customFormat="1" ht="18" x14ac:dyDescent="0.3">
      <c r="A184" s="391">
        <v>20</v>
      </c>
      <c r="B184" s="127" t="s">
        <v>309</v>
      </c>
      <c r="C184" s="127" t="s">
        <v>829</v>
      </c>
      <c r="D184" s="127" t="s">
        <v>1414</v>
      </c>
      <c r="E184" s="127" t="s">
        <v>1416</v>
      </c>
      <c r="F184" s="127">
        <v>1</v>
      </c>
      <c r="G184" s="127"/>
      <c r="H184" s="166">
        <v>0</v>
      </c>
      <c r="I184" s="166">
        <v>0</v>
      </c>
      <c r="J184" s="136"/>
    </row>
    <row r="185" spans="1:10" s="31" customFormat="1" ht="18" x14ac:dyDescent="0.3">
      <c r="A185" s="391">
        <v>20</v>
      </c>
      <c r="B185" s="127" t="s">
        <v>309</v>
      </c>
      <c r="C185" s="127" t="s">
        <v>829</v>
      </c>
      <c r="D185" s="127" t="s">
        <v>2835</v>
      </c>
      <c r="E185" s="127" t="s">
        <v>1416</v>
      </c>
      <c r="F185" s="127">
        <v>1</v>
      </c>
      <c r="G185" s="127"/>
      <c r="H185" s="166">
        <v>0</v>
      </c>
      <c r="I185" s="166">
        <v>0</v>
      </c>
      <c r="J185" s="136"/>
    </row>
    <row r="186" spans="1:10" s="31" customFormat="1" ht="93" customHeight="1" x14ac:dyDescent="0.3">
      <c r="A186" s="391">
        <v>20</v>
      </c>
      <c r="B186" s="127" t="s">
        <v>309</v>
      </c>
      <c r="C186" s="127" t="s">
        <v>829</v>
      </c>
      <c r="D186" s="127" t="s">
        <v>829</v>
      </c>
      <c r="E186" s="127" t="s">
        <v>829</v>
      </c>
      <c r="F186" s="127">
        <v>1</v>
      </c>
      <c r="G186" s="127"/>
      <c r="H186" s="1308" t="s">
        <v>3014</v>
      </c>
      <c r="I186" s="1308"/>
      <c r="J186" s="1309"/>
    </row>
    <row r="187" spans="1:10" s="31" customFormat="1" ht="36" x14ac:dyDescent="0.3">
      <c r="A187" s="391">
        <v>20</v>
      </c>
      <c r="B187" s="127" t="s">
        <v>309</v>
      </c>
      <c r="C187" s="127" t="s">
        <v>830</v>
      </c>
      <c r="D187" s="127" t="s">
        <v>2497</v>
      </c>
      <c r="E187" s="127" t="s">
        <v>1415</v>
      </c>
      <c r="F187" s="127">
        <v>1</v>
      </c>
      <c r="G187" s="127"/>
      <c r="H187" s="166">
        <v>0</v>
      </c>
      <c r="I187" s="166">
        <v>0</v>
      </c>
      <c r="J187" s="136"/>
    </row>
    <row r="188" spans="1:10" s="31" customFormat="1" ht="18" x14ac:dyDescent="0.3">
      <c r="A188" s="391">
        <v>20</v>
      </c>
      <c r="B188" s="127" t="s">
        <v>309</v>
      </c>
      <c r="C188" s="127" t="s">
        <v>830</v>
      </c>
      <c r="D188" s="127" t="s">
        <v>1417</v>
      </c>
      <c r="E188" s="127" t="s">
        <v>1415</v>
      </c>
      <c r="F188" s="127">
        <v>1</v>
      </c>
      <c r="G188" s="127"/>
      <c r="H188" s="166">
        <v>0</v>
      </c>
      <c r="I188" s="166">
        <v>0</v>
      </c>
      <c r="J188" s="136"/>
    </row>
    <row r="189" spans="1:10" s="31" customFormat="1" ht="36" x14ac:dyDescent="0.3">
      <c r="A189" s="391">
        <v>20</v>
      </c>
      <c r="B189" s="127" t="s">
        <v>309</v>
      </c>
      <c r="C189" s="127" t="s">
        <v>830</v>
      </c>
      <c r="D189" s="127" t="s">
        <v>2497</v>
      </c>
      <c r="E189" s="127" t="s">
        <v>1416</v>
      </c>
      <c r="F189" s="127">
        <v>1</v>
      </c>
      <c r="G189" s="127"/>
      <c r="H189" s="166">
        <v>0</v>
      </c>
      <c r="I189" s="166">
        <v>0</v>
      </c>
      <c r="J189" s="136"/>
    </row>
    <row r="190" spans="1:10" s="31" customFormat="1" ht="18" x14ac:dyDescent="0.3">
      <c r="A190" s="391">
        <v>20</v>
      </c>
      <c r="B190" s="127" t="s">
        <v>309</v>
      </c>
      <c r="C190" s="127" t="s">
        <v>830</v>
      </c>
      <c r="D190" s="127" t="s">
        <v>1417</v>
      </c>
      <c r="E190" s="127" t="s">
        <v>1416</v>
      </c>
      <c r="F190" s="127">
        <v>1</v>
      </c>
      <c r="G190" s="127"/>
      <c r="H190" s="166">
        <v>0</v>
      </c>
      <c r="I190" s="166">
        <v>0</v>
      </c>
      <c r="J190" s="136"/>
    </row>
    <row r="191" spans="1:10" s="31" customFormat="1" ht="99.75" customHeight="1" x14ac:dyDescent="0.3">
      <c r="A191" s="391">
        <v>20</v>
      </c>
      <c r="B191" s="127" t="s">
        <v>309</v>
      </c>
      <c r="C191" s="127" t="s">
        <v>830</v>
      </c>
      <c r="D191" s="127" t="s">
        <v>830</v>
      </c>
      <c r="E191" s="127" t="s">
        <v>830</v>
      </c>
      <c r="F191" s="127">
        <v>1</v>
      </c>
      <c r="G191" s="127"/>
      <c r="H191" s="1308" t="s">
        <v>3124</v>
      </c>
      <c r="I191" s="1308"/>
      <c r="J191" s="1309"/>
    </row>
    <row r="192" spans="1:10" s="31" customFormat="1" ht="35.1" customHeight="1" x14ac:dyDescent="0.3">
      <c r="A192" s="391">
        <v>20</v>
      </c>
      <c r="B192" s="127" t="s">
        <v>309</v>
      </c>
      <c r="C192" s="127" t="s">
        <v>830</v>
      </c>
      <c r="D192" s="127" t="s">
        <v>830</v>
      </c>
      <c r="E192" s="127" t="s">
        <v>830</v>
      </c>
      <c r="F192" s="1045">
        <v>1</v>
      </c>
      <c r="G192" s="1045"/>
      <c r="H192" s="1297" t="s">
        <v>2498</v>
      </c>
      <c r="I192" s="1298"/>
      <c r="J192" s="1299"/>
    </row>
    <row r="193" spans="1:10" s="31" customFormat="1" ht="119.55" customHeight="1" x14ac:dyDescent="0.3">
      <c r="A193" s="391">
        <v>20</v>
      </c>
      <c r="B193" s="127" t="s">
        <v>309</v>
      </c>
      <c r="C193" s="127" t="s">
        <v>2499</v>
      </c>
      <c r="D193" s="127" t="s">
        <v>2977</v>
      </c>
      <c r="E193" s="127" t="s">
        <v>2978</v>
      </c>
      <c r="F193" s="127">
        <v>1</v>
      </c>
      <c r="G193" s="127"/>
      <c r="H193" s="166">
        <v>0</v>
      </c>
      <c r="I193" s="166">
        <v>0</v>
      </c>
      <c r="J193" s="136"/>
    </row>
    <row r="194" spans="1:10" s="31" customFormat="1" ht="124.05" customHeight="1" x14ac:dyDescent="0.3">
      <c r="A194" s="391">
        <v>20</v>
      </c>
      <c r="B194" s="127" t="s">
        <v>309</v>
      </c>
      <c r="C194" s="127" t="s">
        <v>2499</v>
      </c>
      <c r="D194" s="127" t="s">
        <v>1414</v>
      </c>
      <c r="E194" s="127" t="s">
        <v>2978</v>
      </c>
      <c r="F194" s="127">
        <v>1</v>
      </c>
      <c r="G194" s="127"/>
      <c r="H194" s="166">
        <v>0</v>
      </c>
      <c r="I194" s="166">
        <v>0</v>
      </c>
      <c r="J194" s="136"/>
    </row>
    <row r="195" spans="1:10" s="31" customFormat="1" ht="123" customHeight="1" x14ac:dyDescent="0.3">
      <c r="A195" s="391">
        <v>20</v>
      </c>
      <c r="B195" s="127" t="s">
        <v>309</v>
      </c>
      <c r="C195" s="127" t="s">
        <v>2499</v>
      </c>
      <c r="D195" s="127" t="s">
        <v>2835</v>
      </c>
      <c r="E195" s="127" t="s">
        <v>2978</v>
      </c>
      <c r="F195" s="127">
        <v>1</v>
      </c>
      <c r="G195" s="127"/>
      <c r="H195" s="166">
        <v>0</v>
      </c>
      <c r="I195" s="166">
        <v>0</v>
      </c>
      <c r="J195" s="136"/>
    </row>
    <row r="196" spans="1:10" s="31" customFormat="1" ht="107.1" customHeight="1" x14ac:dyDescent="0.3">
      <c r="A196" s="391">
        <v>20</v>
      </c>
      <c r="B196" s="127" t="s">
        <v>309</v>
      </c>
      <c r="C196" s="127" t="s">
        <v>2499</v>
      </c>
      <c r="D196" s="127" t="s">
        <v>2977</v>
      </c>
      <c r="E196" s="127" t="s">
        <v>1418</v>
      </c>
      <c r="F196" s="127">
        <v>1</v>
      </c>
      <c r="G196" s="127"/>
      <c r="H196" s="166">
        <v>0</v>
      </c>
      <c r="I196" s="166">
        <v>0</v>
      </c>
      <c r="J196" s="136"/>
    </row>
    <row r="197" spans="1:10" s="31" customFormat="1" ht="100.05" customHeight="1" x14ac:dyDescent="0.3">
      <c r="A197" s="391">
        <v>20</v>
      </c>
      <c r="B197" s="127" t="s">
        <v>309</v>
      </c>
      <c r="C197" s="127" t="s">
        <v>2499</v>
      </c>
      <c r="D197" s="127" t="s">
        <v>1414</v>
      </c>
      <c r="E197" s="127" t="s">
        <v>1418</v>
      </c>
      <c r="F197" s="127">
        <v>1</v>
      </c>
      <c r="G197" s="127"/>
      <c r="H197" s="166">
        <v>0</v>
      </c>
      <c r="I197" s="166">
        <v>0</v>
      </c>
      <c r="J197" s="136"/>
    </row>
    <row r="198" spans="1:10" s="31" customFormat="1" ht="98.1" customHeight="1" x14ac:dyDescent="0.3">
      <c r="A198" s="391">
        <v>20</v>
      </c>
      <c r="B198" s="127" t="s">
        <v>309</v>
      </c>
      <c r="C198" s="127" t="s">
        <v>2499</v>
      </c>
      <c r="D198" s="127" t="s">
        <v>2835</v>
      </c>
      <c r="E198" s="127" t="s">
        <v>1418</v>
      </c>
      <c r="F198" s="127">
        <v>1</v>
      </c>
      <c r="G198" s="127"/>
      <c r="H198" s="166">
        <v>0</v>
      </c>
      <c r="I198" s="166">
        <v>0</v>
      </c>
      <c r="J198" s="136"/>
    </row>
    <row r="199" spans="1:10" s="31" customFormat="1" ht="90" x14ac:dyDescent="0.3">
      <c r="A199" s="391">
        <v>20</v>
      </c>
      <c r="B199" s="127" t="s">
        <v>309</v>
      </c>
      <c r="C199" s="127" t="s">
        <v>1412</v>
      </c>
      <c r="D199" s="127" t="s">
        <v>2977</v>
      </c>
      <c r="E199" s="127" t="s">
        <v>1419</v>
      </c>
      <c r="F199" s="127">
        <v>1</v>
      </c>
      <c r="G199" s="127"/>
      <c r="H199" s="166">
        <v>0</v>
      </c>
      <c r="I199" s="166">
        <v>0</v>
      </c>
      <c r="J199" s="136"/>
    </row>
    <row r="200" spans="1:10" s="31" customFormat="1" ht="81.599999999999994" customHeight="1" x14ac:dyDescent="0.3">
      <c r="A200" s="391">
        <v>20</v>
      </c>
      <c r="B200" s="127" t="s">
        <v>309</v>
      </c>
      <c r="C200" s="127" t="s">
        <v>2499</v>
      </c>
      <c r="D200" s="127" t="s">
        <v>1414</v>
      </c>
      <c r="E200" s="127" t="s">
        <v>1419</v>
      </c>
      <c r="F200" s="127">
        <v>1</v>
      </c>
      <c r="G200" s="127"/>
      <c r="H200" s="166">
        <v>0</v>
      </c>
      <c r="I200" s="166">
        <v>0</v>
      </c>
      <c r="J200" s="136"/>
    </row>
    <row r="201" spans="1:10" s="31" customFormat="1" ht="84" customHeight="1" x14ac:dyDescent="0.3">
      <c r="A201" s="391">
        <v>20</v>
      </c>
      <c r="B201" s="127" t="s">
        <v>309</v>
      </c>
      <c r="C201" s="127" t="s">
        <v>2499</v>
      </c>
      <c r="D201" s="127" t="s">
        <v>2835</v>
      </c>
      <c r="E201" s="127" t="s">
        <v>1419</v>
      </c>
      <c r="F201" s="127">
        <v>1</v>
      </c>
      <c r="G201" s="127"/>
      <c r="H201" s="166">
        <v>0</v>
      </c>
      <c r="I201" s="166">
        <v>0</v>
      </c>
      <c r="J201" s="136"/>
    </row>
    <row r="202" spans="1:10" s="31" customFormat="1" ht="125.55" customHeight="1" x14ac:dyDescent="0.3">
      <c r="A202" s="391">
        <v>20</v>
      </c>
      <c r="B202" s="127" t="s">
        <v>309</v>
      </c>
      <c r="C202" s="127" t="s">
        <v>2499</v>
      </c>
      <c r="D202" s="127" t="s">
        <v>1420</v>
      </c>
      <c r="E202" s="127" t="s">
        <v>2978</v>
      </c>
      <c r="F202" s="127">
        <v>1</v>
      </c>
      <c r="G202" s="127"/>
      <c r="H202" s="166">
        <v>0</v>
      </c>
      <c r="I202" s="166">
        <v>0</v>
      </c>
      <c r="J202" s="136"/>
    </row>
    <row r="203" spans="1:10" s="31" customFormat="1" ht="118.05" customHeight="1" x14ac:dyDescent="0.3">
      <c r="A203" s="391">
        <v>20</v>
      </c>
      <c r="B203" s="127" t="s">
        <v>309</v>
      </c>
      <c r="C203" s="127" t="s">
        <v>2499</v>
      </c>
      <c r="D203" s="127" t="s">
        <v>2500</v>
      </c>
      <c r="E203" s="127" t="s">
        <v>2978</v>
      </c>
      <c r="F203" s="127">
        <v>1</v>
      </c>
      <c r="G203" s="127"/>
      <c r="H203" s="166">
        <v>0</v>
      </c>
      <c r="I203" s="166">
        <v>0</v>
      </c>
      <c r="J203" s="136"/>
    </row>
    <row r="204" spans="1:10" s="31" customFormat="1" ht="101.1" customHeight="1" x14ac:dyDescent="0.3">
      <c r="A204" s="391">
        <v>20</v>
      </c>
      <c r="B204" s="127" t="s">
        <v>309</v>
      </c>
      <c r="C204" s="127" t="s">
        <v>2499</v>
      </c>
      <c r="D204" s="127" t="s">
        <v>1420</v>
      </c>
      <c r="E204" s="127" t="s">
        <v>1418</v>
      </c>
      <c r="F204" s="127">
        <v>1</v>
      </c>
      <c r="G204" s="127"/>
      <c r="H204" s="166">
        <v>0</v>
      </c>
      <c r="I204" s="166">
        <v>0</v>
      </c>
      <c r="J204" s="136"/>
    </row>
    <row r="205" spans="1:10" s="31" customFormat="1" ht="104.55" customHeight="1" x14ac:dyDescent="0.3">
      <c r="A205" s="391">
        <v>20</v>
      </c>
      <c r="B205" s="127" t="s">
        <v>309</v>
      </c>
      <c r="C205" s="127" t="s">
        <v>2499</v>
      </c>
      <c r="D205" s="127" t="s">
        <v>2500</v>
      </c>
      <c r="E205" s="127" t="s">
        <v>1418</v>
      </c>
      <c r="F205" s="127">
        <v>1</v>
      </c>
      <c r="G205" s="127"/>
      <c r="H205" s="166">
        <v>0</v>
      </c>
      <c r="I205" s="166">
        <v>0</v>
      </c>
      <c r="J205" s="136"/>
    </row>
    <row r="206" spans="1:10" s="31" customFormat="1" ht="84.6" customHeight="1" x14ac:dyDescent="0.3">
      <c r="A206" s="391">
        <v>20</v>
      </c>
      <c r="B206" s="127" t="s">
        <v>309</v>
      </c>
      <c r="C206" s="127" t="s">
        <v>2499</v>
      </c>
      <c r="D206" s="127" t="s">
        <v>1420</v>
      </c>
      <c r="E206" s="127" t="s">
        <v>1419</v>
      </c>
      <c r="F206" s="127">
        <v>1</v>
      </c>
      <c r="G206" s="127"/>
      <c r="H206" s="166">
        <v>0</v>
      </c>
      <c r="I206" s="166">
        <v>0</v>
      </c>
      <c r="J206" s="136"/>
    </row>
    <row r="207" spans="1:10" s="31" customFormat="1" ht="84" customHeight="1" x14ac:dyDescent="0.3">
      <c r="A207" s="391">
        <v>20</v>
      </c>
      <c r="B207" s="127" t="s">
        <v>309</v>
      </c>
      <c r="C207" s="127" t="s">
        <v>2499</v>
      </c>
      <c r="D207" s="127" t="s">
        <v>2500</v>
      </c>
      <c r="E207" s="127" t="s">
        <v>1419</v>
      </c>
      <c r="F207" s="127">
        <v>1</v>
      </c>
      <c r="G207" s="127"/>
      <c r="H207" s="166">
        <v>0</v>
      </c>
      <c r="I207" s="166">
        <v>0</v>
      </c>
      <c r="J207" s="136"/>
    </row>
    <row r="208" spans="1:10" s="31" customFormat="1" ht="159" customHeight="1" x14ac:dyDescent="0.3">
      <c r="A208" s="391">
        <v>20</v>
      </c>
      <c r="B208" s="1310" t="s">
        <v>309</v>
      </c>
      <c r="C208" s="1310" t="s">
        <v>2499</v>
      </c>
      <c r="D208" s="1310" t="s">
        <v>1412</v>
      </c>
      <c r="E208" s="127" t="s">
        <v>1412</v>
      </c>
      <c r="F208" s="127">
        <v>1</v>
      </c>
      <c r="G208" s="127"/>
      <c r="H208" s="1308" t="s">
        <v>2947</v>
      </c>
      <c r="I208" s="1308"/>
      <c r="J208" s="1309"/>
    </row>
    <row r="209" spans="1:10" s="31" customFormat="1" ht="25.05" customHeight="1" x14ac:dyDescent="0.3">
      <c r="A209" s="391">
        <v>20</v>
      </c>
      <c r="B209" s="1310"/>
      <c r="C209" s="1310"/>
      <c r="D209" s="1310"/>
      <c r="E209" s="127" t="s">
        <v>830</v>
      </c>
      <c r="F209" s="127">
        <v>1</v>
      </c>
      <c r="G209" s="127"/>
      <c r="H209" s="1316" t="s">
        <v>1421</v>
      </c>
      <c r="I209" s="1316"/>
      <c r="J209" s="1317"/>
    </row>
    <row r="210" spans="1:10" s="31" customFormat="1" ht="45.6" customHeight="1" x14ac:dyDescent="0.3">
      <c r="A210" s="391">
        <v>20</v>
      </c>
      <c r="B210" s="1310"/>
      <c r="C210" s="1310"/>
      <c r="D210" s="1310"/>
      <c r="E210" s="127" t="s">
        <v>830</v>
      </c>
      <c r="F210" s="127">
        <v>1</v>
      </c>
      <c r="G210" s="127"/>
      <c r="H210" s="1316" t="s">
        <v>3125</v>
      </c>
      <c r="I210" s="1316"/>
      <c r="J210" s="1317"/>
    </row>
    <row r="211" spans="1:10" s="31" customFormat="1" ht="23.1" customHeight="1" x14ac:dyDescent="0.3">
      <c r="A211" s="391">
        <v>20</v>
      </c>
      <c r="B211" s="1310"/>
      <c r="C211" s="1310"/>
      <c r="D211" s="1310"/>
      <c r="E211" s="127" t="s">
        <v>830</v>
      </c>
      <c r="F211" s="127">
        <v>1</v>
      </c>
      <c r="G211" s="127"/>
      <c r="H211" s="1316" t="s">
        <v>1422</v>
      </c>
      <c r="I211" s="1316"/>
      <c r="J211" s="1317"/>
    </row>
    <row r="212" spans="1:10" s="31" customFormat="1" ht="40.049999999999997" customHeight="1" x14ac:dyDescent="0.3">
      <c r="A212" s="391">
        <v>20</v>
      </c>
      <c r="B212" s="1310"/>
      <c r="C212" s="1310"/>
      <c r="D212" s="1310"/>
      <c r="E212" s="127" t="s">
        <v>829</v>
      </c>
      <c r="F212" s="127">
        <v>1</v>
      </c>
      <c r="G212" s="127"/>
      <c r="H212" s="1316" t="s">
        <v>1423</v>
      </c>
      <c r="I212" s="1316"/>
      <c r="J212" s="1317"/>
    </row>
    <row r="213" spans="1:10" s="31" customFormat="1" ht="40.049999999999997" customHeight="1" thickBot="1" x14ac:dyDescent="0.35">
      <c r="A213" s="391">
        <v>20</v>
      </c>
      <c r="B213" s="1312"/>
      <c r="C213" s="1312"/>
      <c r="D213" s="1312"/>
      <c r="E213" s="144" t="s">
        <v>829</v>
      </c>
      <c r="F213" s="144">
        <v>1</v>
      </c>
      <c r="G213" s="144"/>
      <c r="H213" s="1390" t="s">
        <v>3126</v>
      </c>
      <c r="I213" s="1390"/>
      <c r="J213" s="1391"/>
    </row>
    <row r="214" spans="1:10" s="31" customFormat="1" ht="108.6" thickTop="1" x14ac:dyDescent="0.3">
      <c r="A214" s="391">
        <v>21</v>
      </c>
      <c r="B214" s="1401" t="s">
        <v>468</v>
      </c>
      <c r="C214" s="1401" t="s">
        <v>1425</v>
      </c>
      <c r="D214" s="1401" t="s">
        <v>1425</v>
      </c>
      <c r="E214" s="150" t="s">
        <v>1425</v>
      </c>
      <c r="F214" s="150">
        <v>1</v>
      </c>
      <c r="G214" s="150"/>
      <c r="H214" s="1388" t="s">
        <v>470</v>
      </c>
      <c r="I214" s="1388"/>
      <c r="J214" s="1389"/>
    </row>
    <row r="215" spans="1:10" s="31" customFormat="1" ht="108" x14ac:dyDescent="0.3">
      <c r="A215" s="391">
        <v>21</v>
      </c>
      <c r="B215" s="1310"/>
      <c r="C215" s="1310"/>
      <c r="D215" s="1310"/>
      <c r="E215" s="127" t="s">
        <v>1425</v>
      </c>
      <c r="F215" s="127">
        <v>1</v>
      </c>
      <c r="G215" s="127"/>
      <c r="H215" s="1316" t="s">
        <v>471</v>
      </c>
      <c r="I215" s="1316"/>
      <c r="J215" s="1317"/>
    </row>
    <row r="216" spans="1:10" s="31" customFormat="1" ht="176.1" customHeight="1" x14ac:dyDescent="0.3">
      <c r="A216" s="391">
        <v>21</v>
      </c>
      <c r="B216" s="1310" t="s">
        <v>468</v>
      </c>
      <c r="C216" s="1310" t="s">
        <v>472</v>
      </c>
      <c r="D216" s="1310" t="s">
        <v>472</v>
      </c>
      <c r="E216" s="127" t="s">
        <v>472</v>
      </c>
      <c r="F216" s="127">
        <v>1</v>
      </c>
      <c r="G216" s="127"/>
      <c r="H216" s="1316" t="s">
        <v>473</v>
      </c>
      <c r="I216" s="1316"/>
      <c r="J216" s="1317"/>
    </row>
    <row r="217" spans="1:10" s="31" customFormat="1" ht="180" customHeight="1" x14ac:dyDescent="0.3">
      <c r="A217" s="391">
        <v>21</v>
      </c>
      <c r="B217" s="1310"/>
      <c r="C217" s="1310"/>
      <c r="D217" s="1310"/>
      <c r="E217" s="127" t="s">
        <v>472</v>
      </c>
      <c r="F217" s="127">
        <v>1</v>
      </c>
      <c r="G217" s="127"/>
      <c r="H217" s="1316" t="s">
        <v>658</v>
      </c>
      <c r="I217" s="1316"/>
      <c r="J217" s="1317"/>
    </row>
    <row r="218" spans="1:10" s="31" customFormat="1" ht="179.55" customHeight="1" x14ac:dyDescent="0.3">
      <c r="A218" s="391">
        <v>21</v>
      </c>
      <c r="B218" s="1310"/>
      <c r="C218" s="1310"/>
      <c r="D218" s="1310"/>
      <c r="E218" s="127" t="s">
        <v>472</v>
      </c>
      <c r="F218" s="127">
        <v>1</v>
      </c>
      <c r="G218" s="127"/>
      <c r="H218" s="1316" t="s">
        <v>657</v>
      </c>
      <c r="I218" s="1316"/>
      <c r="J218" s="1317"/>
    </row>
    <row r="219" spans="1:10" s="31" customFormat="1" ht="88.5" customHeight="1" x14ac:dyDescent="0.3">
      <c r="A219" s="391">
        <v>21</v>
      </c>
      <c r="B219" s="1310"/>
      <c r="C219" s="1310"/>
      <c r="D219" s="1310"/>
      <c r="E219" s="127" t="s">
        <v>1426</v>
      </c>
      <c r="F219" s="127">
        <v>1</v>
      </c>
      <c r="G219" s="127"/>
      <c r="H219" s="166">
        <v>0</v>
      </c>
      <c r="I219" s="166">
        <v>0</v>
      </c>
      <c r="J219" s="136"/>
    </row>
    <row r="220" spans="1:10" s="31" customFormat="1" ht="174" customHeight="1" x14ac:dyDescent="0.3">
      <c r="A220" s="391">
        <v>21</v>
      </c>
      <c r="B220" s="1310"/>
      <c r="C220" s="1310"/>
      <c r="D220" s="1310"/>
      <c r="E220" s="127" t="s">
        <v>472</v>
      </c>
      <c r="F220" s="127">
        <v>1</v>
      </c>
      <c r="G220" s="127"/>
      <c r="H220" s="1392" t="s">
        <v>2241</v>
      </c>
      <c r="I220" s="1394"/>
      <c r="J220" s="1395"/>
    </row>
    <row r="221" spans="1:10" s="31" customFormat="1" ht="72" x14ac:dyDescent="0.3">
      <c r="A221" s="391">
        <v>21</v>
      </c>
      <c r="B221" s="127" t="s">
        <v>468</v>
      </c>
      <c r="C221" s="127" t="s">
        <v>472</v>
      </c>
      <c r="D221" s="127" t="s">
        <v>1588</v>
      </c>
      <c r="E221" s="127" t="s">
        <v>491</v>
      </c>
      <c r="F221" s="127">
        <v>1</v>
      </c>
      <c r="G221" s="127"/>
      <c r="H221" s="166">
        <v>0</v>
      </c>
      <c r="I221" s="169">
        <v>0</v>
      </c>
      <c r="J221" s="136"/>
    </row>
    <row r="222" spans="1:10" s="31" customFormat="1" ht="82.5" customHeight="1" x14ac:dyDescent="0.3">
      <c r="A222" s="391">
        <v>21</v>
      </c>
      <c r="B222" s="1310" t="s">
        <v>468</v>
      </c>
      <c r="C222" s="1310" t="s">
        <v>312</v>
      </c>
      <c r="D222" s="1310" t="s">
        <v>1427</v>
      </c>
      <c r="E222" s="127" t="s">
        <v>1427</v>
      </c>
      <c r="F222" s="127">
        <v>1</v>
      </c>
      <c r="G222" s="127"/>
      <c r="H222" s="1392" t="s">
        <v>2225</v>
      </c>
      <c r="I222" s="1392"/>
      <c r="J222" s="1393"/>
    </row>
    <row r="223" spans="1:10" s="31" customFormat="1" ht="79.5" customHeight="1" x14ac:dyDescent="0.3">
      <c r="A223" s="391">
        <v>21</v>
      </c>
      <c r="B223" s="1310"/>
      <c r="C223" s="1310"/>
      <c r="D223" s="1310"/>
      <c r="E223" s="127" t="s">
        <v>1427</v>
      </c>
      <c r="F223" s="127">
        <v>1</v>
      </c>
      <c r="G223" s="127"/>
      <c r="H223" s="1392" t="s">
        <v>3127</v>
      </c>
      <c r="I223" s="1392"/>
      <c r="J223" s="1393"/>
    </row>
    <row r="224" spans="1:10" s="31" customFormat="1" ht="36" x14ac:dyDescent="0.3">
      <c r="A224" s="391">
        <v>21</v>
      </c>
      <c r="B224" s="1310" t="s">
        <v>468</v>
      </c>
      <c r="C224" s="1310" t="s">
        <v>505</v>
      </c>
      <c r="D224" s="1310" t="s">
        <v>505</v>
      </c>
      <c r="E224" s="127" t="s">
        <v>1428</v>
      </c>
      <c r="F224" s="127">
        <v>1</v>
      </c>
      <c r="G224" s="127"/>
      <c r="H224" s="169">
        <v>0</v>
      </c>
      <c r="I224" s="169">
        <v>0</v>
      </c>
      <c r="J224" s="170">
        <v>0</v>
      </c>
    </row>
    <row r="225" spans="1:10" s="31" customFormat="1" ht="18" x14ac:dyDescent="0.3">
      <c r="A225" s="391">
        <v>21</v>
      </c>
      <c r="B225" s="1310"/>
      <c r="C225" s="1310"/>
      <c r="D225" s="1310"/>
      <c r="E225" s="127" t="s">
        <v>507</v>
      </c>
      <c r="F225" s="127">
        <v>1</v>
      </c>
      <c r="G225" s="127"/>
      <c r="H225" s="169">
        <v>0</v>
      </c>
      <c r="I225" s="169">
        <v>0</v>
      </c>
      <c r="J225" s="170">
        <v>0</v>
      </c>
    </row>
    <row r="226" spans="1:10" s="31" customFormat="1" ht="18" x14ac:dyDescent="0.3">
      <c r="A226" s="391">
        <v>21</v>
      </c>
      <c r="B226" s="1310"/>
      <c r="C226" s="1310"/>
      <c r="D226" s="1310"/>
      <c r="E226" s="127" t="s">
        <v>508</v>
      </c>
      <c r="F226" s="127">
        <v>1</v>
      </c>
      <c r="G226" s="127"/>
      <c r="H226" s="169">
        <v>0</v>
      </c>
      <c r="I226" s="169">
        <v>0</v>
      </c>
      <c r="J226" s="170">
        <v>0</v>
      </c>
    </row>
    <row r="227" spans="1:10" s="31" customFormat="1" ht="18" x14ac:dyDescent="0.3">
      <c r="A227" s="391">
        <v>21</v>
      </c>
      <c r="B227" s="1310"/>
      <c r="C227" s="1310"/>
      <c r="D227" s="1310"/>
      <c r="E227" s="127" t="s">
        <v>509</v>
      </c>
      <c r="F227" s="127">
        <v>1</v>
      </c>
      <c r="G227" s="127"/>
      <c r="H227" s="169">
        <v>0</v>
      </c>
      <c r="I227" s="169">
        <v>0</v>
      </c>
      <c r="J227" s="170">
        <v>0</v>
      </c>
    </row>
    <row r="228" spans="1:10" s="31" customFormat="1" ht="18" x14ac:dyDescent="0.3">
      <c r="A228" s="391">
        <v>21</v>
      </c>
      <c r="B228" s="1310"/>
      <c r="C228" s="1310"/>
      <c r="D228" s="1310"/>
      <c r="E228" s="127" t="s">
        <v>373</v>
      </c>
      <c r="F228" s="127">
        <v>1</v>
      </c>
      <c r="G228" s="127"/>
      <c r="H228" s="169">
        <v>0</v>
      </c>
      <c r="I228" s="169">
        <v>0</v>
      </c>
      <c r="J228" s="170">
        <v>0</v>
      </c>
    </row>
    <row r="229" spans="1:10" s="31" customFormat="1" ht="36" x14ac:dyDescent="0.3">
      <c r="A229" s="391">
        <v>21</v>
      </c>
      <c r="B229" s="1310"/>
      <c r="C229" s="1310"/>
      <c r="D229" s="1310"/>
      <c r="E229" s="127" t="s">
        <v>505</v>
      </c>
      <c r="F229" s="127">
        <v>1</v>
      </c>
      <c r="G229" s="127"/>
      <c r="H229" s="1316" t="s">
        <v>510</v>
      </c>
      <c r="I229" s="1316"/>
      <c r="J229" s="1317"/>
    </row>
    <row r="230" spans="1:10" s="31" customFormat="1" ht="36" x14ac:dyDescent="0.3">
      <c r="A230" s="391">
        <v>21</v>
      </c>
      <c r="B230" s="1310"/>
      <c r="C230" s="1310"/>
      <c r="D230" s="1310"/>
      <c r="E230" s="127" t="s">
        <v>505</v>
      </c>
      <c r="F230" s="127">
        <v>1</v>
      </c>
      <c r="G230" s="127"/>
      <c r="H230" s="1316" t="s">
        <v>1871</v>
      </c>
      <c r="I230" s="1316"/>
      <c r="J230" s="1317"/>
    </row>
    <row r="231" spans="1:10" s="31" customFormat="1" ht="37.5" customHeight="1" x14ac:dyDescent="0.3">
      <c r="A231" s="391">
        <v>21</v>
      </c>
      <c r="B231" s="1310"/>
      <c r="C231" s="1310"/>
      <c r="D231" s="1310"/>
      <c r="E231" s="127" t="s">
        <v>505</v>
      </c>
      <c r="F231" s="127">
        <v>1</v>
      </c>
      <c r="G231" s="127"/>
      <c r="H231" s="1392" t="s">
        <v>744</v>
      </c>
      <c r="I231" s="1392"/>
      <c r="J231" s="1393"/>
    </row>
    <row r="232" spans="1:10" s="31" customFormat="1" ht="38.25" customHeight="1" x14ac:dyDescent="0.3">
      <c r="A232" s="391">
        <v>21</v>
      </c>
      <c r="B232" s="1310" t="s">
        <v>468</v>
      </c>
      <c r="C232" s="1310" t="s">
        <v>745</v>
      </c>
      <c r="D232" s="1310" t="s">
        <v>745</v>
      </c>
      <c r="E232" s="127" t="s">
        <v>1603</v>
      </c>
      <c r="F232" s="127">
        <v>1</v>
      </c>
      <c r="G232" s="127"/>
      <c r="H232" s="137"/>
      <c r="I232" s="137"/>
      <c r="J232" s="170">
        <v>0</v>
      </c>
    </row>
    <row r="233" spans="1:10" s="31" customFormat="1" ht="38.25" customHeight="1" x14ac:dyDescent="0.3">
      <c r="A233" s="391">
        <v>21</v>
      </c>
      <c r="B233" s="1310"/>
      <c r="C233" s="1310"/>
      <c r="D233" s="1310"/>
      <c r="E233" s="127" t="s">
        <v>749</v>
      </c>
      <c r="F233" s="127">
        <v>1</v>
      </c>
      <c r="G233" s="127"/>
      <c r="H233" s="169">
        <v>0</v>
      </c>
      <c r="I233" s="169">
        <v>0</v>
      </c>
      <c r="J233" s="170">
        <v>0</v>
      </c>
    </row>
    <row r="234" spans="1:10" s="31" customFormat="1" ht="72" x14ac:dyDescent="0.3">
      <c r="A234" s="391">
        <v>21</v>
      </c>
      <c r="B234" s="1310"/>
      <c r="C234" s="1310"/>
      <c r="D234" s="1310"/>
      <c r="E234" s="127" t="s">
        <v>750</v>
      </c>
      <c r="F234" s="127">
        <v>1</v>
      </c>
      <c r="G234" s="127"/>
      <c r="H234" s="179">
        <v>0</v>
      </c>
      <c r="I234" s="179">
        <v>0</v>
      </c>
      <c r="J234" s="136"/>
    </row>
    <row r="235" spans="1:10" s="31" customFormat="1" ht="38.25" customHeight="1" x14ac:dyDescent="0.3">
      <c r="A235" s="391">
        <v>21</v>
      </c>
      <c r="B235" s="1310"/>
      <c r="C235" s="1310"/>
      <c r="D235" s="1310"/>
      <c r="E235" s="127" t="s">
        <v>753</v>
      </c>
      <c r="F235" s="127">
        <v>1</v>
      </c>
      <c r="G235" s="127"/>
      <c r="H235" s="169">
        <v>0</v>
      </c>
      <c r="I235" s="169">
        <v>0</v>
      </c>
      <c r="J235" s="170">
        <v>0</v>
      </c>
    </row>
    <row r="236" spans="1:10" s="31" customFormat="1" ht="38.25" customHeight="1" x14ac:dyDescent="0.3">
      <c r="A236" s="391">
        <v>21</v>
      </c>
      <c r="B236" s="1310"/>
      <c r="C236" s="1310"/>
      <c r="D236" s="1310"/>
      <c r="E236" s="127" t="s">
        <v>1429</v>
      </c>
      <c r="F236" s="127">
        <v>1</v>
      </c>
      <c r="G236" s="127"/>
      <c r="H236" s="169">
        <v>0</v>
      </c>
      <c r="I236" s="169">
        <v>0</v>
      </c>
      <c r="J236" s="136"/>
    </row>
    <row r="237" spans="1:10" s="31" customFormat="1" ht="54" x14ac:dyDescent="0.3">
      <c r="A237" s="391">
        <v>21</v>
      </c>
      <c r="B237" s="127" t="s">
        <v>468</v>
      </c>
      <c r="C237" s="127" t="s">
        <v>1604</v>
      </c>
      <c r="D237" s="127" t="s">
        <v>756</v>
      </c>
      <c r="E237" s="127" t="s">
        <v>758</v>
      </c>
      <c r="F237" s="127">
        <v>1</v>
      </c>
      <c r="G237" s="127"/>
      <c r="H237" s="137"/>
      <c r="I237" s="137"/>
      <c r="J237" s="170">
        <v>0</v>
      </c>
    </row>
    <row r="238" spans="1:10" s="31" customFormat="1" ht="36" x14ac:dyDescent="0.3">
      <c r="A238" s="391">
        <v>21</v>
      </c>
      <c r="B238" s="1310" t="s">
        <v>468</v>
      </c>
      <c r="C238" s="1310" t="s">
        <v>1430</v>
      </c>
      <c r="D238" s="1310" t="s">
        <v>1430</v>
      </c>
      <c r="E238" s="127" t="s">
        <v>1431</v>
      </c>
      <c r="F238" s="127">
        <v>1</v>
      </c>
      <c r="G238" s="127"/>
      <c r="H238" s="169">
        <v>0</v>
      </c>
      <c r="I238" s="169">
        <v>0</v>
      </c>
      <c r="J238" s="136"/>
    </row>
    <row r="239" spans="1:10" s="31" customFormat="1" ht="54" x14ac:dyDescent="0.3">
      <c r="A239" s="1054"/>
      <c r="B239" s="1296"/>
      <c r="C239" s="1296"/>
      <c r="D239" s="1296"/>
      <c r="E239" s="1045" t="s">
        <v>763</v>
      </c>
      <c r="F239" s="1045"/>
      <c r="G239" s="1045"/>
      <c r="H239" s="136"/>
      <c r="I239" s="136"/>
      <c r="J239" s="1065">
        <v>0</v>
      </c>
    </row>
    <row r="240" spans="1:10" s="31" customFormat="1" ht="134.1" customHeight="1" x14ac:dyDescent="0.3">
      <c r="A240" s="391">
        <v>21</v>
      </c>
      <c r="B240" s="1310"/>
      <c r="C240" s="1310"/>
      <c r="D240" s="1310"/>
      <c r="E240" s="127" t="s">
        <v>762</v>
      </c>
      <c r="F240" s="127">
        <v>1</v>
      </c>
      <c r="G240" s="127"/>
      <c r="H240" s="169">
        <v>0</v>
      </c>
      <c r="I240" s="169">
        <v>0</v>
      </c>
      <c r="J240" s="136"/>
    </row>
    <row r="241" spans="1:10" s="31" customFormat="1" ht="81" customHeight="1" x14ac:dyDescent="0.3">
      <c r="A241" s="391">
        <v>21</v>
      </c>
      <c r="B241" s="1310"/>
      <c r="C241" s="1310"/>
      <c r="D241" s="1310"/>
      <c r="E241" s="127" t="s">
        <v>1432</v>
      </c>
      <c r="F241" s="127">
        <v>1</v>
      </c>
      <c r="G241" s="127"/>
      <c r="H241" s="169">
        <v>0</v>
      </c>
      <c r="I241" s="169">
        <v>0</v>
      </c>
      <c r="J241" s="170">
        <v>0</v>
      </c>
    </row>
    <row r="242" spans="1:10" s="31" customFormat="1" ht="82.5" customHeight="1" x14ac:dyDescent="0.3">
      <c r="A242" s="391">
        <v>21</v>
      </c>
      <c r="B242" s="1310"/>
      <c r="C242" s="1310"/>
      <c r="D242" s="1310"/>
      <c r="E242" s="127" t="s">
        <v>1433</v>
      </c>
      <c r="F242" s="127">
        <v>1</v>
      </c>
      <c r="G242" s="127"/>
      <c r="H242" s="169">
        <v>0</v>
      </c>
      <c r="I242" s="169">
        <v>0</v>
      </c>
      <c r="J242" s="170">
        <v>0</v>
      </c>
    </row>
    <row r="243" spans="1:10" s="31" customFormat="1" ht="120" customHeight="1" x14ac:dyDescent="0.3">
      <c r="A243" s="391">
        <v>21</v>
      </c>
      <c r="B243" s="1310"/>
      <c r="C243" s="1310"/>
      <c r="D243" s="1310"/>
      <c r="E243" s="127" t="s">
        <v>1430</v>
      </c>
      <c r="F243" s="127">
        <v>1</v>
      </c>
      <c r="G243" s="127"/>
      <c r="H243" s="1392" t="s">
        <v>2242</v>
      </c>
      <c r="I243" s="1392"/>
      <c r="J243" s="1393"/>
    </row>
    <row r="244" spans="1:10" s="31" customFormat="1" ht="119.55" customHeight="1" x14ac:dyDescent="0.3">
      <c r="A244" s="391">
        <v>21</v>
      </c>
      <c r="B244" s="1310"/>
      <c r="C244" s="1310"/>
      <c r="D244" s="1310"/>
      <c r="E244" s="127" t="s">
        <v>1430</v>
      </c>
      <c r="F244" s="127">
        <v>1</v>
      </c>
      <c r="G244" s="127"/>
      <c r="H244" s="1316" t="s">
        <v>767</v>
      </c>
      <c r="I244" s="1316"/>
      <c r="J244" s="1317"/>
    </row>
    <row r="245" spans="1:10" s="31" customFormat="1" ht="44.55" customHeight="1" x14ac:dyDescent="0.3">
      <c r="A245" s="391">
        <v>21</v>
      </c>
      <c r="B245" s="1310" t="s">
        <v>468</v>
      </c>
      <c r="C245" s="1310" t="s">
        <v>1434</v>
      </c>
      <c r="D245" s="1310" t="s">
        <v>1434</v>
      </c>
      <c r="E245" s="127" t="s">
        <v>769</v>
      </c>
      <c r="F245" s="127">
        <v>1</v>
      </c>
      <c r="G245" s="127"/>
      <c r="H245" s="169">
        <v>0</v>
      </c>
      <c r="I245" s="138"/>
      <c r="J245" s="136"/>
    </row>
    <row r="246" spans="1:10" s="31" customFormat="1" ht="78.599999999999994" customHeight="1" x14ac:dyDescent="0.3">
      <c r="A246" s="391">
        <v>21</v>
      </c>
      <c r="B246" s="1310"/>
      <c r="C246" s="1310"/>
      <c r="D246" s="1310"/>
      <c r="E246" s="127" t="s">
        <v>948</v>
      </c>
      <c r="F246" s="127">
        <v>1</v>
      </c>
      <c r="G246" s="127"/>
      <c r="H246" s="169">
        <v>0</v>
      </c>
      <c r="I246" s="138"/>
      <c r="J246" s="136"/>
    </row>
    <row r="247" spans="1:10" s="31" customFormat="1" ht="18" x14ac:dyDescent="0.3">
      <c r="A247" s="391">
        <v>21</v>
      </c>
      <c r="B247" s="1310"/>
      <c r="C247" s="1310"/>
      <c r="D247" s="1310"/>
      <c r="E247" s="127" t="s">
        <v>410</v>
      </c>
      <c r="F247" s="127">
        <v>1</v>
      </c>
      <c r="G247" s="127"/>
      <c r="H247" s="169">
        <v>0</v>
      </c>
      <c r="I247" s="138"/>
      <c r="J247" s="136"/>
    </row>
    <row r="248" spans="1:10" s="31" customFormat="1" ht="79.5" customHeight="1" x14ac:dyDescent="0.3">
      <c r="A248" s="391">
        <v>21</v>
      </c>
      <c r="B248" s="1310"/>
      <c r="C248" s="1310"/>
      <c r="D248" s="1310"/>
      <c r="E248" s="127" t="s">
        <v>1426</v>
      </c>
      <c r="F248" s="127">
        <v>1</v>
      </c>
      <c r="G248" s="127"/>
      <c r="H248" s="169">
        <v>0</v>
      </c>
      <c r="I248" s="138"/>
      <c r="J248" s="136"/>
    </row>
    <row r="249" spans="1:10" s="31" customFormat="1" ht="42.6" customHeight="1" x14ac:dyDescent="0.3">
      <c r="A249" s="391">
        <v>21</v>
      </c>
      <c r="B249" s="1310"/>
      <c r="C249" s="1310"/>
      <c r="D249" s="1310"/>
      <c r="E249" s="127" t="s">
        <v>1435</v>
      </c>
      <c r="F249" s="127">
        <v>1</v>
      </c>
      <c r="G249" s="127"/>
      <c r="H249" s="139">
        <v>0</v>
      </c>
      <c r="I249" s="138"/>
      <c r="J249" s="136"/>
    </row>
    <row r="250" spans="1:10" s="31" customFormat="1" ht="79.5" customHeight="1" x14ac:dyDescent="0.3">
      <c r="A250" s="391">
        <v>21</v>
      </c>
      <c r="B250" s="1310"/>
      <c r="C250" s="1310"/>
      <c r="D250" s="1310"/>
      <c r="E250" s="127" t="s">
        <v>1436</v>
      </c>
      <c r="F250" s="127">
        <v>1</v>
      </c>
      <c r="G250" s="127"/>
      <c r="H250" s="139">
        <v>0</v>
      </c>
      <c r="I250" s="138"/>
      <c r="J250" s="136"/>
    </row>
    <row r="251" spans="1:10" s="31" customFormat="1" ht="36" x14ac:dyDescent="0.3">
      <c r="A251" s="391">
        <v>21</v>
      </c>
      <c r="B251" s="1310"/>
      <c r="C251" s="1310"/>
      <c r="D251" s="1310"/>
      <c r="E251" s="127" t="s">
        <v>1437</v>
      </c>
      <c r="F251" s="127">
        <v>1</v>
      </c>
      <c r="G251" s="127"/>
      <c r="H251" s="139">
        <v>0</v>
      </c>
      <c r="I251" s="138"/>
      <c r="J251" s="136"/>
    </row>
    <row r="252" spans="1:10" s="31" customFormat="1" ht="84" customHeight="1" x14ac:dyDescent="0.3">
      <c r="A252" s="391">
        <v>21</v>
      </c>
      <c r="B252" s="1310"/>
      <c r="C252" s="1310"/>
      <c r="D252" s="1310"/>
      <c r="E252" s="127" t="s">
        <v>1438</v>
      </c>
      <c r="F252" s="127">
        <v>1</v>
      </c>
      <c r="G252" s="127"/>
      <c r="H252" s="139">
        <v>0</v>
      </c>
      <c r="I252" s="138"/>
      <c r="J252" s="136"/>
    </row>
    <row r="253" spans="1:10" s="31" customFormat="1" ht="198" customHeight="1" x14ac:dyDescent="0.3">
      <c r="A253" s="391">
        <v>21</v>
      </c>
      <c r="B253" s="1310"/>
      <c r="C253" s="1310"/>
      <c r="D253" s="1310"/>
      <c r="E253" s="127" t="s">
        <v>1434</v>
      </c>
      <c r="F253" s="127">
        <v>1</v>
      </c>
      <c r="G253" s="127"/>
      <c r="H253" s="1392" t="s">
        <v>3128</v>
      </c>
      <c r="I253" s="1394"/>
      <c r="J253" s="1395"/>
    </row>
    <row r="254" spans="1:10" s="31" customFormat="1" ht="54" x14ac:dyDescent="0.3">
      <c r="A254" s="391">
        <v>21</v>
      </c>
      <c r="B254" s="127" t="s">
        <v>468</v>
      </c>
      <c r="C254" s="127" t="s">
        <v>771</v>
      </c>
      <c r="D254" s="127" t="s">
        <v>771</v>
      </c>
      <c r="E254" s="127" t="s">
        <v>771</v>
      </c>
      <c r="F254" s="127">
        <v>1</v>
      </c>
      <c r="G254" s="127"/>
      <c r="H254" s="1316" t="s">
        <v>3129</v>
      </c>
      <c r="I254" s="1316"/>
      <c r="J254" s="1317"/>
    </row>
    <row r="255" spans="1:10" s="31" customFormat="1" ht="102" customHeight="1" x14ac:dyDescent="0.3">
      <c r="A255" s="391">
        <v>21</v>
      </c>
      <c r="B255" s="127" t="s">
        <v>468</v>
      </c>
      <c r="C255" s="127" t="s">
        <v>314</v>
      </c>
      <c r="D255" s="127" t="s">
        <v>314</v>
      </c>
      <c r="E255" s="127" t="s">
        <v>314</v>
      </c>
      <c r="F255" s="127">
        <v>1</v>
      </c>
      <c r="G255" s="127"/>
      <c r="H255" s="1316" t="s">
        <v>3130</v>
      </c>
      <c r="I255" s="1316"/>
      <c r="J255" s="1317"/>
    </row>
    <row r="256" spans="1:10" s="31" customFormat="1" ht="25.5" customHeight="1" x14ac:dyDescent="0.3">
      <c r="A256" s="391">
        <v>21</v>
      </c>
      <c r="B256" s="1310" t="s">
        <v>468</v>
      </c>
      <c r="C256" s="1310" t="s">
        <v>314</v>
      </c>
      <c r="D256" s="1310" t="s">
        <v>774</v>
      </c>
      <c r="E256" s="127" t="s">
        <v>506</v>
      </c>
      <c r="F256" s="127">
        <v>0</v>
      </c>
      <c r="G256" s="127"/>
      <c r="H256" s="139">
        <v>0</v>
      </c>
      <c r="I256" s="139">
        <v>0</v>
      </c>
      <c r="J256" s="136"/>
    </row>
    <row r="257" spans="1:10" s="31" customFormat="1" ht="25.5" customHeight="1" x14ac:dyDescent="0.3">
      <c r="A257" s="391">
        <v>21</v>
      </c>
      <c r="B257" s="1310"/>
      <c r="C257" s="1310"/>
      <c r="D257" s="1310"/>
      <c r="E257" s="127" t="s">
        <v>507</v>
      </c>
      <c r="F257" s="127">
        <v>0</v>
      </c>
      <c r="G257" s="127"/>
      <c r="H257" s="139">
        <v>0</v>
      </c>
      <c r="I257" s="139">
        <v>0</v>
      </c>
      <c r="J257" s="136"/>
    </row>
    <row r="258" spans="1:10" s="31" customFormat="1" ht="25.5" customHeight="1" x14ac:dyDescent="0.3">
      <c r="A258" s="391">
        <v>21</v>
      </c>
      <c r="B258" s="1310"/>
      <c r="C258" s="1310"/>
      <c r="D258" s="1310"/>
      <c r="E258" s="127" t="s">
        <v>508</v>
      </c>
      <c r="F258" s="127">
        <v>0</v>
      </c>
      <c r="G258" s="127"/>
      <c r="H258" s="139">
        <v>0</v>
      </c>
      <c r="I258" s="139">
        <v>0</v>
      </c>
      <c r="J258" s="136"/>
    </row>
    <row r="259" spans="1:10" s="31" customFormat="1" ht="25.5" customHeight="1" x14ac:dyDescent="0.3">
      <c r="A259" s="391">
        <v>21</v>
      </c>
      <c r="B259" s="1310"/>
      <c r="C259" s="1310"/>
      <c r="D259" s="1310"/>
      <c r="E259" s="127" t="s">
        <v>509</v>
      </c>
      <c r="F259" s="127">
        <v>0</v>
      </c>
      <c r="G259" s="127"/>
      <c r="H259" s="139">
        <v>0</v>
      </c>
      <c r="I259" s="139">
        <v>0</v>
      </c>
      <c r="J259" s="136"/>
    </row>
    <row r="260" spans="1:10" s="31" customFormat="1" ht="25.5" customHeight="1" x14ac:dyDescent="0.3">
      <c r="A260" s="391">
        <v>21</v>
      </c>
      <c r="B260" s="1310"/>
      <c r="C260" s="1310"/>
      <c r="D260" s="1310"/>
      <c r="E260" s="127" t="s">
        <v>373</v>
      </c>
      <c r="F260" s="127">
        <v>0</v>
      </c>
      <c r="G260" s="127"/>
      <c r="H260" s="139">
        <v>0</v>
      </c>
      <c r="I260" s="139">
        <v>0</v>
      </c>
      <c r="J260" s="136"/>
    </row>
    <row r="261" spans="1:10" s="31" customFormat="1" ht="25.5" customHeight="1" x14ac:dyDescent="0.3">
      <c r="A261" s="391">
        <v>21</v>
      </c>
      <c r="B261" s="1310" t="s">
        <v>468</v>
      </c>
      <c r="C261" s="1310" t="s">
        <v>314</v>
      </c>
      <c r="D261" s="1310" t="s">
        <v>1440</v>
      </c>
      <c r="E261" s="127" t="s">
        <v>777</v>
      </c>
      <c r="F261" s="127">
        <v>1</v>
      </c>
      <c r="G261" s="127"/>
      <c r="H261" s="860">
        <v>0</v>
      </c>
      <c r="I261" s="860">
        <v>0</v>
      </c>
      <c r="J261" s="136"/>
    </row>
    <row r="262" spans="1:10" s="31" customFormat="1" ht="25.5" customHeight="1" x14ac:dyDescent="0.3">
      <c r="A262" s="391">
        <v>21</v>
      </c>
      <c r="B262" s="1310"/>
      <c r="C262" s="1310"/>
      <c r="D262" s="1310"/>
      <c r="E262" s="127" t="s">
        <v>778</v>
      </c>
      <c r="F262" s="127">
        <v>1</v>
      </c>
      <c r="G262" s="127"/>
      <c r="H262" s="860">
        <v>0</v>
      </c>
      <c r="I262" s="860">
        <v>0</v>
      </c>
      <c r="J262" s="136"/>
    </row>
    <row r="263" spans="1:10" s="31" customFormat="1" ht="25.5" customHeight="1" x14ac:dyDescent="0.3">
      <c r="A263" s="391">
        <v>21</v>
      </c>
      <c r="B263" s="1310"/>
      <c r="C263" s="1310"/>
      <c r="D263" s="1310"/>
      <c r="E263" s="127" t="s">
        <v>777</v>
      </c>
      <c r="F263" s="127">
        <v>1</v>
      </c>
      <c r="G263" s="127"/>
      <c r="H263" s="860">
        <v>0</v>
      </c>
      <c r="I263" s="860">
        <v>0</v>
      </c>
      <c r="J263" s="136"/>
    </row>
    <row r="264" spans="1:10" s="31" customFormat="1" ht="25.5" customHeight="1" x14ac:dyDescent="0.3">
      <c r="A264" s="391">
        <v>21</v>
      </c>
      <c r="B264" s="1310"/>
      <c r="C264" s="1310"/>
      <c r="D264" s="1310"/>
      <c r="E264" s="127" t="s">
        <v>778</v>
      </c>
      <c r="F264" s="127">
        <v>1</v>
      </c>
      <c r="G264" s="127"/>
      <c r="H264" s="860">
        <v>0</v>
      </c>
      <c r="I264" s="860">
        <v>0</v>
      </c>
      <c r="J264" s="136"/>
    </row>
    <row r="265" spans="1:10" s="31" customFormat="1" ht="36" x14ac:dyDescent="0.3">
      <c r="A265" s="391">
        <v>21</v>
      </c>
      <c r="B265" s="1310" t="s">
        <v>468</v>
      </c>
      <c r="C265" s="1310" t="s">
        <v>314</v>
      </c>
      <c r="D265" s="1310" t="s">
        <v>1439</v>
      </c>
      <c r="E265" s="127" t="s">
        <v>780</v>
      </c>
      <c r="F265" s="127">
        <v>1</v>
      </c>
      <c r="G265" s="127"/>
      <c r="H265" s="139">
        <v>0</v>
      </c>
      <c r="I265" s="139">
        <v>0</v>
      </c>
      <c r="J265" s="136"/>
    </row>
    <row r="266" spans="1:10" s="31" customFormat="1" ht="25.5" customHeight="1" x14ac:dyDescent="0.3">
      <c r="A266" s="391">
        <v>21</v>
      </c>
      <c r="B266" s="1310"/>
      <c r="C266" s="1310"/>
      <c r="D266" s="1310"/>
      <c r="E266" s="127" t="s">
        <v>781</v>
      </c>
      <c r="F266" s="127">
        <v>1</v>
      </c>
      <c r="G266" s="127"/>
      <c r="H266" s="139">
        <v>0</v>
      </c>
      <c r="I266" s="139">
        <v>0</v>
      </c>
      <c r="J266" s="136"/>
    </row>
    <row r="267" spans="1:10" s="31" customFormat="1" ht="36" x14ac:dyDescent="0.3">
      <c r="A267" s="391">
        <v>21</v>
      </c>
      <c r="B267" s="1310"/>
      <c r="C267" s="1310"/>
      <c r="D267" s="1310"/>
      <c r="E267" s="127" t="s">
        <v>1431</v>
      </c>
      <c r="F267" s="127">
        <v>1</v>
      </c>
      <c r="G267" s="127"/>
      <c r="H267" s="139">
        <v>0</v>
      </c>
      <c r="I267" s="139">
        <v>0</v>
      </c>
      <c r="J267" s="136"/>
    </row>
    <row r="268" spans="1:10" s="31" customFormat="1" ht="25.5" customHeight="1" x14ac:dyDescent="0.3">
      <c r="A268" s="391">
        <v>21</v>
      </c>
      <c r="B268" s="1310"/>
      <c r="C268" s="1310"/>
      <c r="D268" s="1310"/>
      <c r="E268" s="127" t="s">
        <v>783</v>
      </c>
      <c r="F268" s="127">
        <v>1</v>
      </c>
      <c r="G268" s="127"/>
      <c r="H268" s="139">
        <v>0</v>
      </c>
      <c r="I268" s="139">
        <v>0</v>
      </c>
      <c r="J268" s="136"/>
    </row>
    <row r="269" spans="1:10" s="31" customFormat="1" ht="36" x14ac:dyDescent="0.3">
      <c r="A269" s="391">
        <v>21</v>
      </c>
      <c r="B269" s="1310"/>
      <c r="C269" s="1310"/>
      <c r="D269" s="1310"/>
      <c r="E269" s="127" t="s">
        <v>1586</v>
      </c>
      <c r="F269" s="127">
        <v>1</v>
      </c>
      <c r="G269" s="127"/>
      <c r="H269" s="139">
        <v>0</v>
      </c>
      <c r="I269" s="139">
        <v>0</v>
      </c>
      <c r="J269" s="136"/>
    </row>
    <row r="270" spans="1:10" s="31" customFormat="1" ht="45" customHeight="1" x14ac:dyDescent="0.3">
      <c r="A270" s="391">
        <v>21</v>
      </c>
      <c r="B270" s="1310" t="s">
        <v>468</v>
      </c>
      <c r="C270" s="1310" t="s">
        <v>784</v>
      </c>
      <c r="D270" s="1310" t="s">
        <v>784</v>
      </c>
      <c r="E270" s="127" t="s">
        <v>785</v>
      </c>
      <c r="F270" s="127">
        <v>1</v>
      </c>
      <c r="G270" s="127"/>
      <c r="H270" s="139">
        <v>0</v>
      </c>
      <c r="I270" s="139">
        <v>0</v>
      </c>
      <c r="J270" s="136"/>
    </row>
    <row r="271" spans="1:10" s="31" customFormat="1" ht="47.25" customHeight="1" x14ac:dyDescent="0.3">
      <c r="A271" s="391">
        <v>21</v>
      </c>
      <c r="B271" s="1310"/>
      <c r="C271" s="1310"/>
      <c r="D271" s="1310"/>
      <c r="E271" s="127" t="s">
        <v>786</v>
      </c>
      <c r="F271" s="127">
        <v>1</v>
      </c>
      <c r="G271" s="127"/>
      <c r="H271" s="139">
        <v>0</v>
      </c>
      <c r="I271" s="139">
        <v>0</v>
      </c>
      <c r="J271" s="136"/>
    </row>
    <row r="272" spans="1:10" s="31" customFormat="1" ht="76.5" customHeight="1" x14ac:dyDescent="0.3">
      <c r="A272" s="391">
        <v>21</v>
      </c>
      <c r="B272" s="1310" t="s">
        <v>468</v>
      </c>
      <c r="C272" s="1310" t="s">
        <v>1441</v>
      </c>
      <c r="D272" s="1310" t="s">
        <v>1441</v>
      </c>
      <c r="E272" s="127" t="s">
        <v>1441</v>
      </c>
      <c r="F272" s="127">
        <v>1</v>
      </c>
      <c r="G272" s="127"/>
      <c r="H272" s="1316" t="s">
        <v>1442</v>
      </c>
      <c r="I272" s="1316"/>
      <c r="J272" s="1317"/>
    </row>
    <row r="273" spans="1:10" s="31" customFormat="1" ht="76.5" customHeight="1" x14ac:dyDescent="0.3">
      <c r="A273" s="391">
        <v>21</v>
      </c>
      <c r="B273" s="1310"/>
      <c r="C273" s="1310"/>
      <c r="D273" s="1310"/>
      <c r="E273" s="127" t="s">
        <v>1441</v>
      </c>
      <c r="F273" s="127">
        <v>1</v>
      </c>
      <c r="G273" s="127"/>
      <c r="H273" s="1316" t="s">
        <v>3131</v>
      </c>
      <c r="I273" s="1316"/>
      <c r="J273" s="1317"/>
    </row>
    <row r="274" spans="1:10" s="31" customFormat="1" ht="76.5" customHeight="1" x14ac:dyDescent="0.3">
      <c r="A274" s="391">
        <v>21</v>
      </c>
      <c r="B274" s="1310"/>
      <c r="C274" s="1310"/>
      <c r="D274" s="1310"/>
      <c r="E274" s="127" t="s">
        <v>1441</v>
      </c>
      <c r="F274" s="127">
        <v>1</v>
      </c>
      <c r="G274" s="127"/>
      <c r="H274" s="1316" t="s">
        <v>1443</v>
      </c>
      <c r="I274" s="1316"/>
      <c r="J274" s="1317"/>
    </row>
    <row r="275" spans="1:10" s="31" customFormat="1" ht="51" customHeight="1" x14ac:dyDescent="0.3">
      <c r="A275" s="391">
        <v>21</v>
      </c>
      <c r="B275" s="1310" t="s">
        <v>468</v>
      </c>
      <c r="C275" s="1310" t="s">
        <v>1441</v>
      </c>
      <c r="D275" s="1310" t="s">
        <v>1446</v>
      </c>
      <c r="E275" s="127" t="s">
        <v>1445</v>
      </c>
      <c r="F275" s="127"/>
      <c r="G275" s="127"/>
      <c r="H275" s="141" t="s">
        <v>1578</v>
      </c>
      <c r="I275" s="141" t="s">
        <v>1579</v>
      </c>
      <c r="J275" s="136"/>
    </row>
    <row r="276" spans="1:10" s="31" customFormat="1" ht="54" x14ac:dyDescent="0.3">
      <c r="A276" s="391">
        <v>21</v>
      </c>
      <c r="B276" s="1310"/>
      <c r="C276" s="1310"/>
      <c r="D276" s="1310"/>
      <c r="E276" s="127" t="s">
        <v>1447</v>
      </c>
      <c r="F276" s="127">
        <v>1</v>
      </c>
      <c r="G276" s="127"/>
      <c r="H276" s="179">
        <v>0</v>
      </c>
      <c r="I276" s="179">
        <v>0</v>
      </c>
      <c r="J276" s="136"/>
    </row>
    <row r="277" spans="1:10" s="31" customFormat="1" ht="63.75" customHeight="1" x14ac:dyDescent="0.3">
      <c r="A277" s="391">
        <v>21</v>
      </c>
      <c r="B277" s="1310"/>
      <c r="C277" s="1310"/>
      <c r="D277" s="1310"/>
      <c r="E277" s="127" t="s">
        <v>1448</v>
      </c>
      <c r="F277" s="127">
        <v>1</v>
      </c>
      <c r="G277" s="127"/>
      <c r="H277" s="139">
        <v>0</v>
      </c>
      <c r="I277" s="139">
        <v>0</v>
      </c>
      <c r="J277" s="136"/>
    </row>
    <row r="278" spans="1:10" s="31" customFormat="1" ht="43.5" customHeight="1" x14ac:dyDescent="0.3">
      <c r="A278" s="391">
        <v>21</v>
      </c>
      <c r="B278" s="1310"/>
      <c r="C278" s="1310"/>
      <c r="D278" s="1310"/>
      <c r="E278" s="127" t="s">
        <v>1449</v>
      </c>
      <c r="F278" s="127">
        <v>1</v>
      </c>
      <c r="G278" s="127"/>
      <c r="H278" s="827">
        <v>0</v>
      </c>
      <c r="I278" s="828">
        <v>0</v>
      </c>
      <c r="J278" s="136"/>
    </row>
    <row r="279" spans="1:10" s="31" customFormat="1" ht="81.599999999999994" customHeight="1" x14ac:dyDescent="0.3">
      <c r="A279" s="391">
        <v>21</v>
      </c>
      <c r="B279" s="1310"/>
      <c r="C279" s="1310"/>
      <c r="D279" s="1310"/>
      <c r="E279" s="127" t="s">
        <v>1450</v>
      </c>
      <c r="F279" s="127">
        <v>1</v>
      </c>
      <c r="G279" s="127"/>
      <c r="H279" s="139">
        <v>0</v>
      </c>
      <c r="I279" s="139">
        <v>0</v>
      </c>
      <c r="J279" s="136"/>
    </row>
    <row r="280" spans="1:10" s="31" customFormat="1" ht="54" x14ac:dyDescent="0.3">
      <c r="A280" s="391">
        <v>21</v>
      </c>
      <c r="B280" s="1310" t="s">
        <v>468</v>
      </c>
      <c r="C280" s="1310" t="s">
        <v>1441</v>
      </c>
      <c r="D280" s="1310" t="s">
        <v>1451</v>
      </c>
      <c r="E280" s="127" t="s">
        <v>1452</v>
      </c>
      <c r="F280" s="127"/>
      <c r="G280" s="127"/>
      <c r="H280" s="141" t="s">
        <v>1578</v>
      </c>
      <c r="I280" s="141" t="s">
        <v>1579</v>
      </c>
      <c r="J280" s="136"/>
    </row>
    <row r="281" spans="1:10" s="31" customFormat="1" ht="54" x14ac:dyDescent="0.3">
      <c r="A281" s="391">
        <v>21</v>
      </c>
      <c r="B281" s="1310"/>
      <c r="C281" s="1310"/>
      <c r="D281" s="1310"/>
      <c r="E281" s="127" t="s">
        <v>1447</v>
      </c>
      <c r="F281" s="127">
        <v>1</v>
      </c>
      <c r="G281" s="127"/>
      <c r="H281" s="179">
        <v>0</v>
      </c>
      <c r="I281" s="855">
        <v>0</v>
      </c>
      <c r="J281" s="136"/>
    </row>
    <row r="282" spans="1:10" s="31" customFormat="1" ht="60.75" customHeight="1" x14ac:dyDescent="0.3">
      <c r="A282" s="391">
        <v>21</v>
      </c>
      <c r="B282" s="1310"/>
      <c r="C282" s="1310"/>
      <c r="D282" s="1310"/>
      <c r="E282" s="127" t="s">
        <v>1448</v>
      </c>
      <c r="F282" s="127">
        <v>1</v>
      </c>
      <c r="G282" s="127"/>
      <c r="H282" s="139">
        <v>0</v>
      </c>
      <c r="I282" s="856">
        <v>0</v>
      </c>
      <c r="J282" s="136"/>
    </row>
    <row r="283" spans="1:10" s="31" customFormat="1" ht="47.25" customHeight="1" x14ac:dyDescent="0.3">
      <c r="A283" s="391">
        <v>21</v>
      </c>
      <c r="B283" s="1310"/>
      <c r="C283" s="1310"/>
      <c r="D283" s="1310"/>
      <c r="E283" s="127" t="s">
        <v>1449</v>
      </c>
      <c r="F283" s="127">
        <v>1</v>
      </c>
      <c r="G283" s="127"/>
      <c r="H283" s="827">
        <v>0</v>
      </c>
      <c r="I283" s="855">
        <v>0</v>
      </c>
      <c r="J283" s="136"/>
    </row>
    <row r="284" spans="1:10" s="31" customFormat="1" ht="78.599999999999994" customHeight="1" x14ac:dyDescent="0.3">
      <c r="A284" s="391">
        <v>21</v>
      </c>
      <c r="B284" s="1310"/>
      <c r="C284" s="1310"/>
      <c r="D284" s="1310"/>
      <c r="E284" s="127" t="s">
        <v>1450</v>
      </c>
      <c r="F284" s="127">
        <v>1</v>
      </c>
      <c r="G284" s="127"/>
      <c r="H284" s="139">
        <v>0</v>
      </c>
      <c r="I284" s="856">
        <v>0</v>
      </c>
      <c r="J284" s="136"/>
    </row>
    <row r="285" spans="1:10" s="31" customFormat="1" ht="54" x14ac:dyDescent="0.3">
      <c r="A285" s="391">
        <v>21</v>
      </c>
      <c r="B285" s="1310" t="s">
        <v>468</v>
      </c>
      <c r="C285" s="1310" t="s">
        <v>1441</v>
      </c>
      <c r="D285" s="1310" t="s">
        <v>1453</v>
      </c>
      <c r="E285" s="127" t="s">
        <v>1454</v>
      </c>
      <c r="F285" s="127"/>
      <c r="G285" s="127"/>
      <c r="H285" s="141" t="s">
        <v>1578</v>
      </c>
      <c r="I285" s="141" t="s">
        <v>1579</v>
      </c>
      <c r="J285" s="136"/>
    </row>
    <row r="286" spans="1:10" s="31" customFormat="1" ht="54" x14ac:dyDescent="0.3">
      <c r="A286" s="391">
        <v>21</v>
      </c>
      <c r="B286" s="1310"/>
      <c r="C286" s="1310"/>
      <c r="D286" s="1310"/>
      <c r="E286" s="127" t="s">
        <v>1447</v>
      </c>
      <c r="F286" s="127">
        <v>1</v>
      </c>
      <c r="G286" s="127"/>
      <c r="H286" s="179">
        <v>0</v>
      </c>
      <c r="I286" s="179">
        <v>0</v>
      </c>
      <c r="J286" s="136"/>
    </row>
    <row r="287" spans="1:10" s="31" customFormat="1" ht="81.599999999999994" customHeight="1" x14ac:dyDescent="0.3">
      <c r="A287" s="391">
        <v>21</v>
      </c>
      <c r="B287" s="1310"/>
      <c r="C287" s="1310"/>
      <c r="D287" s="1310"/>
      <c r="E287" s="127" t="s">
        <v>1448</v>
      </c>
      <c r="F287" s="127">
        <v>1</v>
      </c>
      <c r="G287" s="127"/>
      <c r="H287" s="139">
        <v>0</v>
      </c>
      <c r="I287" s="139">
        <v>0</v>
      </c>
      <c r="J287" s="136"/>
    </row>
    <row r="288" spans="1:10" s="31" customFormat="1" ht="36" x14ac:dyDescent="0.3">
      <c r="A288" s="391">
        <v>21</v>
      </c>
      <c r="B288" s="1310"/>
      <c r="C288" s="1310"/>
      <c r="D288" s="1310"/>
      <c r="E288" s="127" t="s">
        <v>1449</v>
      </c>
      <c r="F288" s="127">
        <v>1</v>
      </c>
      <c r="G288" s="127"/>
      <c r="H288" s="827">
        <v>0</v>
      </c>
      <c r="I288" s="827">
        <v>0</v>
      </c>
      <c r="J288" s="136"/>
    </row>
    <row r="289" spans="1:10" s="31" customFormat="1" ht="81" customHeight="1" x14ac:dyDescent="0.3">
      <c r="A289" s="391">
        <v>21</v>
      </c>
      <c r="B289" s="1310"/>
      <c r="C289" s="1310"/>
      <c r="D289" s="1310"/>
      <c r="E289" s="127" t="s">
        <v>1450</v>
      </c>
      <c r="F289" s="127">
        <v>1</v>
      </c>
      <c r="G289" s="127"/>
      <c r="H289" s="139">
        <v>0</v>
      </c>
      <c r="I289" s="139">
        <v>0</v>
      </c>
      <c r="J289" s="136"/>
    </row>
    <row r="290" spans="1:10" s="31" customFormat="1" ht="81" customHeight="1" x14ac:dyDescent="0.3">
      <c r="A290" s="391">
        <v>21</v>
      </c>
      <c r="B290" s="1310" t="s">
        <v>468</v>
      </c>
      <c r="C290" s="1310" t="s">
        <v>1441</v>
      </c>
      <c r="D290" s="1310" t="s">
        <v>1455</v>
      </c>
      <c r="E290" s="127" t="s">
        <v>1456</v>
      </c>
      <c r="F290" s="127"/>
      <c r="G290" s="127"/>
      <c r="H290" s="141" t="s">
        <v>1580</v>
      </c>
      <c r="I290" s="141" t="s">
        <v>1581</v>
      </c>
      <c r="J290" s="136"/>
    </row>
    <row r="291" spans="1:10" s="31" customFormat="1" ht="59.55" customHeight="1" x14ac:dyDescent="0.3">
      <c r="A291" s="391">
        <v>21</v>
      </c>
      <c r="B291" s="1310"/>
      <c r="C291" s="1310"/>
      <c r="D291" s="1310"/>
      <c r="E291" s="127" t="s">
        <v>1447</v>
      </c>
      <c r="F291" s="127">
        <v>1</v>
      </c>
      <c r="G291" s="127"/>
      <c r="H291" s="179">
        <v>0</v>
      </c>
      <c r="I291" s="179">
        <v>0</v>
      </c>
      <c r="J291" s="136"/>
    </row>
    <row r="292" spans="1:10" s="31" customFormat="1" ht="79.05" customHeight="1" x14ac:dyDescent="0.3">
      <c r="A292" s="391">
        <v>21</v>
      </c>
      <c r="B292" s="1310"/>
      <c r="C292" s="1310"/>
      <c r="D292" s="1310"/>
      <c r="E292" s="127" t="s">
        <v>1448</v>
      </c>
      <c r="F292" s="127">
        <v>1</v>
      </c>
      <c r="G292" s="127"/>
      <c r="H292" s="139">
        <v>0</v>
      </c>
      <c r="I292" s="139">
        <v>0</v>
      </c>
      <c r="J292" s="136"/>
    </row>
    <row r="293" spans="1:10" s="31" customFormat="1" ht="38.25" customHeight="1" x14ac:dyDescent="0.3">
      <c r="A293" s="391">
        <v>21</v>
      </c>
      <c r="B293" s="1310"/>
      <c r="C293" s="1310"/>
      <c r="D293" s="1310"/>
      <c r="E293" s="127" t="s">
        <v>1449</v>
      </c>
      <c r="F293" s="127">
        <v>1</v>
      </c>
      <c r="G293" s="127"/>
      <c r="H293" s="827">
        <v>0</v>
      </c>
      <c r="I293" s="827">
        <v>0</v>
      </c>
      <c r="J293" s="136"/>
    </row>
    <row r="294" spans="1:10" s="31" customFormat="1" ht="60.75" customHeight="1" x14ac:dyDescent="0.3">
      <c r="A294" s="391">
        <v>21</v>
      </c>
      <c r="B294" s="1310"/>
      <c r="C294" s="1310"/>
      <c r="D294" s="1310"/>
      <c r="E294" s="127" t="s">
        <v>1450</v>
      </c>
      <c r="F294" s="127">
        <v>1</v>
      </c>
      <c r="G294" s="127"/>
      <c r="H294" s="139">
        <v>0</v>
      </c>
      <c r="I294" s="139">
        <v>0</v>
      </c>
      <c r="J294" s="136"/>
    </row>
    <row r="295" spans="1:10" s="31" customFormat="1" ht="62.25" customHeight="1" x14ac:dyDescent="0.3">
      <c r="A295" s="391">
        <v>21</v>
      </c>
      <c r="B295" s="127" t="s">
        <v>468</v>
      </c>
      <c r="C295" s="127" t="s">
        <v>1441</v>
      </c>
      <c r="D295" s="127" t="s">
        <v>1444</v>
      </c>
      <c r="E295" s="127" t="s">
        <v>1444</v>
      </c>
      <c r="F295" s="127">
        <v>1</v>
      </c>
      <c r="G295" s="127"/>
      <c r="H295" s="1316" t="s">
        <v>2784</v>
      </c>
      <c r="I295" s="1316"/>
      <c r="J295" s="1317"/>
    </row>
    <row r="296" spans="1:10" s="31" customFormat="1" ht="100.05" customHeight="1" x14ac:dyDescent="0.3">
      <c r="A296" s="391">
        <v>21</v>
      </c>
      <c r="B296" s="1310" t="s">
        <v>468</v>
      </c>
      <c r="C296" s="1310" t="s">
        <v>315</v>
      </c>
      <c r="D296" s="1310" t="s">
        <v>315</v>
      </c>
      <c r="E296" s="127" t="s">
        <v>315</v>
      </c>
      <c r="F296" s="127">
        <v>1</v>
      </c>
      <c r="G296" s="127"/>
      <c r="H296" s="1316" t="s">
        <v>787</v>
      </c>
      <c r="I296" s="1316"/>
      <c r="J296" s="1317"/>
    </row>
    <row r="297" spans="1:10" s="31" customFormat="1" ht="41.1" customHeight="1" x14ac:dyDescent="0.3">
      <c r="A297" s="391">
        <v>21</v>
      </c>
      <c r="B297" s="1310"/>
      <c r="C297" s="1310"/>
      <c r="D297" s="1310"/>
      <c r="E297" s="127" t="s">
        <v>506</v>
      </c>
      <c r="F297" s="127">
        <v>1</v>
      </c>
      <c r="G297" s="127"/>
      <c r="H297" s="140">
        <v>0</v>
      </c>
      <c r="I297" s="140">
        <v>0</v>
      </c>
      <c r="J297" s="142">
        <v>0</v>
      </c>
    </row>
    <row r="298" spans="1:10" s="31" customFormat="1" ht="41.1" customHeight="1" x14ac:dyDescent="0.3">
      <c r="A298" s="391">
        <v>21</v>
      </c>
      <c r="B298" s="1310"/>
      <c r="C298" s="1310"/>
      <c r="D298" s="1310"/>
      <c r="E298" s="127" t="s">
        <v>1582</v>
      </c>
      <c r="F298" s="127">
        <v>1</v>
      </c>
      <c r="G298" s="127"/>
      <c r="H298" s="140">
        <v>0</v>
      </c>
      <c r="I298" s="140">
        <v>0</v>
      </c>
      <c r="J298" s="142">
        <v>0</v>
      </c>
    </row>
    <row r="299" spans="1:10" s="31" customFormat="1" ht="41.1" customHeight="1" x14ac:dyDescent="0.3">
      <c r="A299" s="391">
        <v>21</v>
      </c>
      <c r="B299" s="1310"/>
      <c r="C299" s="1310"/>
      <c r="D299" s="1310"/>
      <c r="E299" s="127" t="s">
        <v>1583</v>
      </c>
      <c r="F299" s="127">
        <v>1</v>
      </c>
      <c r="G299" s="127"/>
      <c r="H299" s="140">
        <v>0</v>
      </c>
      <c r="I299" s="140">
        <v>0</v>
      </c>
      <c r="J299" s="142">
        <v>0</v>
      </c>
    </row>
    <row r="300" spans="1:10" s="31" customFormat="1" ht="25.5" customHeight="1" x14ac:dyDescent="0.3">
      <c r="A300" s="391">
        <v>21</v>
      </c>
      <c r="B300" s="1310"/>
      <c r="C300" s="1310"/>
      <c r="D300" s="1310"/>
      <c r="E300" s="127" t="s">
        <v>508</v>
      </c>
      <c r="F300" s="127">
        <v>1</v>
      </c>
      <c r="G300" s="127"/>
      <c r="H300" s="140">
        <v>0</v>
      </c>
      <c r="I300" s="140">
        <v>0</v>
      </c>
      <c r="J300" s="142">
        <v>0</v>
      </c>
    </row>
    <row r="301" spans="1:10" s="31" customFormat="1" ht="25.5" customHeight="1" x14ac:dyDescent="0.3">
      <c r="A301" s="391">
        <v>21</v>
      </c>
      <c r="B301" s="1310"/>
      <c r="C301" s="1310"/>
      <c r="D301" s="1310"/>
      <c r="E301" s="127" t="s">
        <v>509</v>
      </c>
      <c r="F301" s="127">
        <v>1</v>
      </c>
      <c r="G301" s="127"/>
      <c r="H301" s="140">
        <v>0</v>
      </c>
      <c r="I301" s="140">
        <v>0</v>
      </c>
      <c r="J301" s="142">
        <v>0</v>
      </c>
    </row>
    <row r="302" spans="1:10" s="31" customFormat="1" ht="18" x14ac:dyDescent="0.3">
      <c r="A302" s="391">
        <v>21</v>
      </c>
      <c r="B302" s="1310"/>
      <c r="C302" s="1310"/>
      <c r="D302" s="1310"/>
      <c r="E302" s="127" t="s">
        <v>373</v>
      </c>
      <c r="F302" s="127">
        <v>1</v>
      </c>
      <c r="G302" s="127"/>
      <c r="H302" s="140">
        <v>0</v>
      </c>
      <c r="I302" s="140">
        <v>0</v>
      </c>
      <c r="J302" s="142">
        <v>0</v>
      </c>
    </row>
    <row r="303" spans="1:10" s="31" customFormat="1" ht="96.6" customHeight="1" x14ac:dyDescent="0.3">
      <c r="A303" s="391">
        <v>21</v>
      </c>
      <c r="B303" s="1310" t="s">
        <v>468</v>
      </c>
      <c r="C303" s="1310" t="s">
        <v>1458</v>
      </c>
      <c r="D303" s="1310" t="s">
        <v>1458</v>
      </c>
      <c r="E303" s="127" t="s">
        <v>1458</v>
      </c>
      <c r="F303" s="127">
        <v>1</v>
      </c>
      <c r="G303" s="127"/>
      <c r="H303" s="1392" t="s">
        <v>3132</v>
      </c>
      <c r="I303" s="1392"/>
      <c r="J303" s="1393"/>
    </row>
    <row r="304" spans="1:10" s="31" customFormat="1" ht="143.55000000000001" customHeight="1" x14ac:dyDescent="0.3">
      <c r="A304" s="391">
        <v>21</v>
      </c>
      <c r="B304" s="1310"/>
      <c r="C304" s="1310"/>
      <c r="D304" s="1310"/>
      <c r="E304" s="127" t="s">
        <v>1458</v>
      </c>
      <c r="F304" s="127">
        <v>1</v>
      </c>
      <c r="G304" s="127"/>
      <c r="H304" s="1397" t="s">
        <v>2949</v>
      </c>
      <c r="I304" s="1397"/>
      <c r="J304" s="1398"/>
    </row>
    <row r="305" spans="1:10" s="31" customFormat="1" ht="77.099999999999994" customHeight="1" thickBot="1" x14ac:dyDescent="0.35">
      <c r="A305" s="391">
        <v>21</v>
      </c>
      <c r="B305" s="1312"/>
      <c r="C305" s="1312"/>
      <c r="D305" s="1312"/>
      <c r="E305" s="144" t="s">
        <v>1458</v>
      </c>
      <c r="F305" s="144">
        <v>1</v>
      </c>
      <c r="G305" s="144"/>
      <c r="H305" s="1399" t="s">
        <v>1466</v>
      </c>
      <c r="I305" s="1399"/>
      <c r="J305" s="1400"/>
    </row>
    <row r="306" spans="1:10" s="31" customFormat="1" ht="81" customHeight="1" thickTop="1" x14ac:dyDescent="0.3">
      <c r="A306" s="391">
        <v>22</v>
      </c>
      <c r="B306" s="1401" t="s">
        <v>788</v>
      </c>
      <c r="C306" s="1401" t="s">
        <v>788</v>
      </c>
      <c r="D306" s="1401" t="s">
        <v>788</v>
      </c>
      <c r="E306" s="150" t="s">
        <v>1553</v>
      </c>
      <c r="F306" s="150">
        <v>1</v>
      </c>
      <c r="G306" s="150"/>
      <c r="H306" s="180">
        <v>0</v>
      </c>
      <c r="I306" s="180">
        <v>0</v>
      </c>
      <c r="J306" s="156"/>
    </row>
    <row r="307" spans="1:10" s="31" customFormat="1" ht="66.599999999999994" customHeight="1" x14ac:dyDescent="0.3">
      <c r="A307" s="391">
        <v>22</v>
      </c>
      <c r="B307" s="1310"/>
      <c r="C307" s="1310"/>
      <c r="D307" s="1310"/>
      <c r="E307" s="127" t="s">
        <v>791</v>
      </c>
      <c r="F307" s="127">
        <v>1</v>
      </c>
      <c r="G307" s="128"/>
      <c r="H307" s="1310" t="s">
        <v>792</v>
      </c>
      <c r="I307" s="1310"/>
      <c r="J307" s="1315"/>
    </row>
    <row r="308" spans="1:10" s="31" customFormat="1" ht="25.5" customHeight="1" x14ac:dyDescent="0.3">
      <c r="A308" s="391">
        <v>22</v>
      </c>
      <c r="B308" s="1310"/>
      <c r="C308" s="1310"/>
      <c r="D308" s="1310"/>
      <c r="E308" s="127" t="s">
        <v>793</v>
      </c>
      <c r="F308" s="127">
        <v>1</v>
      </c>
      <c r="G308" s="128"/>
      <c r="H308" s="179">
        <v>0</v>
      </c>
      <c r="I308" s="179">
        <v>0</v>
      </c>
      <c r="J308" s="136"/>
    </row>
    <row r="309" spans="1:10" s="31" customFormat="1" ht="25.5" customHeight="1" x14ac:dyDescent="0.3">
      <c r="A309" s="391">
        <v>22</v>
      </c>
      <c r="B309" s="1310"/>
      <c r="C309" s="1310"/>
      <c r="D309" s="1310"/>
      <c r="E309" s="127" t="s">
        <v>794</v>
      </c>
      <c r="F309" s="127">
        <v>1</v>
      </c>
      <c r="G309" s="128"/>
      <c r="H309" s="179">
        <v>0</v>
      </c>
      <c r="I309" s="179">
        <v>0</v>
      </c>
      <c r="J309" s="136"/>
    </row>
    <row r="310" spans="1:10" s="31" customFormat="1" ht="25.5" customHeight="1" x14ac:dyDescent="0.3">
      <c r="A310" s="391">
        <v>22</v>
      </c>
      <c r="B310" s="1310"/>
      <c r="C310" s="1310"/>
      <c r="D310" s="1310"/>
      <c r="E310" s="127" t="s">
        <v>795</v>
      </c>
      <c r="F310" s="127">
        <v>1</v>
      </c>
      <c r="G310" s="128"/>
      <c r="H310" s="179">
        <v>0</v>
      </c>
      <c r="I310" s="179">
        <v>0</v>
      </c>
      <c r="J310" s="136"/>
    </row>
    <row r="311" spans="1:10" s="31" customFormat="1" ht="25.5" customHeight="1" thickBot="1" x14ac:dyDescent="0.35">
      <c r="A311" s="391">
        <v>22</v>
      </c>
      <c r="B311" s="1312"/>
      <c r="C311" s="1312"/>
      <c r="D311" s="1312"/>
      <c r="E311" s="144" t="s">
        <v>788</v>
      </c>
      <c r="F311" s="144">
        <v>1</v>
      </c>
      <c r="G311" s="145"/>
      <c r="H311" s="1312" t="s">
        <v>1257</v>
      </c>
      <c r="I311" s="1312"/>
      <c r="J311" s="1396"/>
    </row>
    <row r="312" spans="1:10" s="31" customFormat="1" ht="100.05" customHeight="1" thickTop="1" x14ac:dyDescent="0.3">
      <c r="A312" s="391">
        <v>23</v>
      </c>
      <c r="B312" s="1401" t="s">
        <v>316</v>
      </c>
      <c r="C312" s="1401" t="s">
        <v>316</v>
      </c>
      <c r="D312" s="1401" t="s">
        <v>316</v>
      </c>
      <c r="E312" s="150" t="s">
        <v>1554</v>
      </c>
      <c r="F312" s="150">
        <v>1</v>
      </c>
      <c r="G312" s="151"/>
      <c r="H312" s="180">
        <v>0</v>
      </c>
      <c r="I312" s="180">
        <v>0</v>
      </c>
      <c r="J312" s="156"/>
    </row>
    <row r="313" spans="1:10" s="47" customFormat="1" ht="76.5" customHeight="1" x14ac:dyDescent="0.3">
      <c r="A313" s="391">
        <v>23</v>
      </c>
      <c r="B313" s="1310"/>
      <c r="C313" s="1310"/>
      <c r="D313" s="1310"/>
      <c r="E313" s="127" t="s">
        <v>797</v>
      </c>
      <c r="F313" s="127">
        <v>1</v>
      </c>
      <c r="G313" s="127"/>
      <c r="H313" s="1310" t="s">
        <v>798</v>
      </c>
      <c r="I313" s="1310"/>
      <c r="J313" s="1315"/>
    </row>
    <row r="314" spans="1:10" s="31" customFormat="1" ht="25.5" customHeight="1" x14ac:dyDescent="0.3">
      <c r="A314" s="391">
        <v>23</v>
      </c>
      <c r="B314" s="1310"/>
      <c r="C314" s="1310"/>
      <c r="D314" s="1310"/>
      <c r="E314" s="128" t="s">
        <v>800</v>
      </c>
      <c r="F314" s="127">
        <v>1</v>
      </c>
      <c r="G314" s="128"/>
      <c r="H314" s="179">
        <v>0</v>
      </c>
      <c r="I314" s="179">
        <v>0</v>
      </c>
      <c r="J314" s="136"/>
    </row>
    <row r="315" spans="1:10" s="31" customFormat="1" ht="25.5" customHeight="1" x14ac:dyDescent="0.3">
      <c r="A315" s="391">
        <v>23</v>
      </c>
      <c r="B315" s="1310"/>
      <c r="C315" s="1310"/>
      <c r="D315" s="1310"/>
      <c r="E315" s="128" t="s">
        <v>801</v>
      </c>
      <c r="F315" s="127">
        <v>1</v>
      </c>
      <c r="G315" s="128"/>
      <c r="H315" s="179">
        <v>0</v>
      </c>
      <c r="I315" s="179">
        <v>0</v>
      </c>
      <c r="J315" s="136"/>
    </row>
    <row r="316" spans="1:10" s="31" customFormat="1" ht="25.5" customHeight="1" x14ac:dyDescent="0.3">
      <c r="A316" s="391">
        <v>23</v>
      </c>
      <c r="B316" s="1310"/>
      <c r="C316" s="1310"/>
      <c r="D316" s="1310"/>
      <c r="E316" s="128" t="s">
        <v>802</v>
      </c>
      <c r="F316" s="127">
        <v>1</v>
      </c>
      <c r="G316" s="128"/>
      <c r="H316" s="179">
        <v>0</v>
      </c>
      <c r="I316" s="179">
        <v>0</v>
      </c>
      <c r="J316" s="136"/>
    </row>
    <row r="317" spans="1:10" s="47" customFormat="1" ht="73.5" customHeight="1" thickBot="1" x14ac:dyDescent="0.35">
      <c r="A317" s="391">
        <v>23</v>
      </c>
      <c r="B317" s="1312"/>
      <c r="C317" s="1312"/>
      <c r="D317" s="1312"/>
      <c r="E317" s="144" t="s">
        <v>316</v>
      </c>
      <c r="F317" s="144">
        <v>1</v>
      </c>
      <c r="G317" s="144"/>
      <c r="H317" s="1312" t="s">
        <v>1257</v>
      </c>
      <c r="I317" s="1312"/>
      <c r="J317" s="1396"/>
    </row>
    <row r="318" spans="1:10" s="31" customFormat="1" ht="85.5" customHeight="1" thickTop="1" x14ac:dyDescent="0.3">
      <c r="A318" s="391">
        <v>24</v>
      </c>
      <c r="B318" s="1401" t="s">
        <v>317</v>
      </c>
      <c r="C318" s="1403" t="s">
        <v>317</v>
      </c>
      <c r="D318" s="1403" t="s">
        <v>317</v>
      </c>
      <c r="E318" s="151" t="s">
        <v>317</v>
      </c>
      <c r="F318" s="150">
        <v>1</v>
      </c>
      <c r="G318" s="151"/>
      <c r="H318" s="1401" t="s">
        <v>1303</v>
      </c>
      <c r="I318" s="1401"/>
      <c r="J318" s="1402"/>
    </row>
    <row r="319" spans="1:10" s="31" customFormat="1" ht="62.1" customHeight="1" x14ac:dyDescent="0.3">
      <c r="A319" s="391">
        <v>24</v>
      </c>
      <c r="B319" s="1310"/>
      <c r="C319" s="1404"/>
      <c r="D319" s="1404"/>
      <c r="E319" s="128" t="s">
        <v>317</v>
      </c>
      <c r="F319" s="127">
        <v>1</v>
      </c>
      <c r="G319" s="128"/>
      <c r="H319" s="1310" t="s">
        <v>1304</v>
      </c>
      <c r="I319" s="1310"/>
      <c r="J319" s="1315"/>
    </row>
    <row r="320" spans="1:10" s="31" customFormat="1" ht="169.5" customHeight="1" x14ac:dyDescent="0.3">
      <c r="A320" s="391">
        <v>24</v>
      </c>
      <c r="B320" s="1310"/>
      <c r="C320" s="1404"/>
      <c r="D320" s="1404"/>
      <c r="E320" s="128" t="s">
        <v>317</v>
      </c>
      <c r="F320" s="127">
        <v>1</v>
      </c>
      <c r="G320" s="128"/>
      <c r="H320" s="1310" t="s">
        <v>3180</v>
      </c>
      <c r="I320" s="1310"/>
      <c r="J320" s="1315"/>
    </row>
    <row r="321" spans="1:10" s="31" customFormat="1" ht="75.45" customHeight="1" x14ac:dyDescent="0.3">
      <c r="A321" s="391">
        <v>24</v>
      </c>
      <c r="B321" s="1310"/>
      <c r="C321" s="1404"/>
      <c r="D321" s="1404"/>
      <c r="E321" s="128" t="s">
        <v>317</v>
      </c>
      <c r="F321" s="127">
        <v>1</v>
      </c>
      <c r="G321" s="128"/>
      <c r="H321" s="1310" t="s">
        <v>2228</v>
      </c>
      <c r="I321" s="1310"/>
      <c r="J321" s="1315"/>
    </row>
    <row r="322" spans="1:10" s="31" customFormat="1" ht="409.5" customHeight="1" thickBot="1" x14ac:dyDescent="0.35">
      <c r="A322" s="391">
        <v>24</v>
      </c>
      <c r="B322" s="1312"/>
      <c r="C322" s="1405"/>
      <c r="D322" s="1405"/>
      <c r="E322" s="145" t="s">
        <v>317</v>
      </c>
      <c r="F322" s="144">
        <v>1</v>
      </c>
      <c r="G322" s="145"/>
      <c r="H322" s="1365" t="s">
        <v>2846</v>
      </c>
      <c r="I322" s="1365"/>
      <c r="J322" s="1366"/>
    </row>
    <row r="323" spans="1:10" ht="14.4" thickTop="1" x14ac:dyDescent="0.3"/>
  </sheetData>
  <autoFilter ref="A1:J1" xr:uid="{00000000-0009-0000-0000-00000B000000}"/>
  <mergeCells count="218">
    <mergeCell ref="H102:J102"/>
    <mergeCell ref="D103:D107"/>
    <mergeCell ref="D108:D112"/>
    <mergeCell ref="D129:D132"/>
    <mergeCell ref="C2:C16"/>
    <mergeCell ref="B2:B16"/>
    <mergeCell ref="D17:D22"/>
    <mergeCell ref="C17:C22"/>
    <mergeCell ref="B17:B22"/>
    <mergeCell ref="D23:D25"/>
    <mergeCell ref="C23:C25"/>
    <mergeCell ref="B23:B25"/>
    <mergeCell ref="H40:J40"/>
    <mergeCell ref="H39:J39"/>
    <mergeCell ref="H30:J30"/>
    <mergeCell ref="D2:D16"/>
    <mergeCell ref="D26:D27"/>
    <mergeCell ref="D35:D36"/>
    <mergeCell ref="C35:C36"/>
    <mergeCell ref="B35:B36"/>
    <mergeCell ref="D37:D40"/>
    <mergeCell ref="C37:C40"/>
    <mergeCell ref="B37:B40"/>
    <mergeCell ref="H38:J38"/>
    <mergeCell ref="H35:J35"/>
    <mergeCell ref="H36:J36"/>
    <mergeCell ref="C26:C27"/>
    <mergeCell ref="B26:B27"/>
    <mergeCell ref="D28:D30"/>
    <mergeCell ref="C28:C30"/>
    <mergeCell ref="B28:B30"/>
    <mergeCell ref="D31:D34"/>
    <mergeCell ref="C31:C34"/>
    <mergeCell ref="B31:B34"/>
    <mergeCell ref="B149:B152"/>
    <mergeCell ref="B153:B156"/>
    <mergeCell ref="B46:B90"/>
    <mergeCell ref="C100:C142"/>
    <mergeCell ref="B100:B142"/>
    <mergeCell ref="D147:D150"/>
    <mergeCell ref="D151:D154"/>
    <mergeCell ref="B146:B148"/>
    <mergeCell ref="D47:D56"/>
    <mergeCell ref="D57:D66"/>
    <mergeCell ref="D67:D72"/>
    <mergeCell ref="D73:D78"/>
    <mergeCell ref="D79:D88"/>
    <mergeCell ref="C46:C98"/>
    <mergeCell ref="D89:D99"/>
    <mergeCell ref="D100:D101"/>
    <mergeCell ref="B177:B179"/>
    <mergeCell ref="D208:D213"/>
    <mergeCell ref="C208:C213"/>
    <mergeCell ref="B208:B213"/>
    <mergeCell ref="B157:B162"/>
    <mergeCell ref="D163:D176"/>
    <mergeCell ref="C163:C176"/>
    <mergeCell ref="B163:B176"/>
    <mergeCell ref="D155:D158"/>
    <mergeCell ref="D177:D178"/>
    <mergeCell ref="C177:C178"/>
    <mergeCell ref="D222:D223"/>
    <mergeCell ref="C222:C223"/>
    <mergeCell ref="B222:B223"/>
    <mergeCell ref="D224:D231"/>
    <mergeCell ref="C224:C231"/>
    <mergeCell ref="B224:B231"/>
    <mergeCell ref="D214:D215"/>
    <mergeCell ref="C214:C215"/>
    <mergeCell ref="B214:B215"/>
    <mergeCell ref="D216:D220"/>
    <mergeCell ref="C216:C220"/>
    <mergeCell ref="B216:B220"/>
    <mergeCell ref="D245:D253"/>
    <mergeCell ref="C245:C253"/>
    <mergeCell ref="B245:B253"/>
    <mergeCell ref="D256:D260"/>
    <mergeCell ref="C256:C260"/>
    <mergeCell ref="B256:B260"/>
    <mergeCell ref="D232:D236"/>
    <mergeCell ref="C232:C236"/>
    <mergeCell ref="B232:B236"/>
    <mergeCell ref="D238:D244"/>
    <mergeCell ref="C238:C244"/>
    <mergeCell ref="B238:B244"/>
    <mergeCell ref="D270:D271"/>
    <mergeCell ref="C270:C271"/>
    <mergeCell ref="B270:B271"/>
    <mergeCell ref="D272:D274"/>
    <mergeCell ref="C272:C274"/>
    <mergeCell ref="B272:B274"/>
    <mergeCell ref="D261:D264"/>
    <mergeCell ref="C261:C264"/>
    <mergeCell ref="B261:B264"/>
    <mergeCell ref="D265:D269"/>
    <mergeCell ref="C265:C269"/>
    <mergeCell ref="B265:B269"/>
    <mergeCell ref="D290:D294"/>
    <mergeCell ref="C290:C294"/>
    <mergeCell ref="B290:B294"/>
    <mergeCell ref="D296:D302"/>
    <mergeCell ref="C296:C302"/>
    <mergeCell ref="B296:B302"/>
    <mergeCell ref="D275:D279"/>
    <mergeCell ref="C275:C279"/>
    <mergeCell ref="B275:B279"/>
    <mergeCell ref="D280:D284"/>
    <mergeCell ref="D285:D289"/>
    <mergeCell ref="C280:C284"/>
    <mergeCell ref="B280:B284"/>
    <mergeCell ref="C285:C289"/>
    <mergeCell ref="B285:B289"/>
    <mergeCell ref="D312:D317"/>
    <mergeCell ref="C312:C317"/>
    <mergeCell ref="B312:B317"/>
    <mergeCell ref="D318:D322"/>
    <mergeCell ref="C318:C322"/>
    <mergeCell ref="B318:B322"/>
    <mergeCell ref="D303:D305"/>
    <mergeCell ref="C303:C305"/>
    <mergeCell ref="B303:B305"/>
    <mergeCell ref="D306:D311"/>
    <mergeCell ref="C306:C311"/>
    <mergeCell ref="B306:B311"/>
    <mergeCell ref="H295:J295"/>
    <mergeCell ref="H296:J296"/>
    <mergeCell ref="H272:J272"/>
    <mergeCell ref="H273:J273"/>
    <mergeCell ref="H274:J274"/>
    <mergeCell ref="H253:J253"/>
    <mergeCell ref="H254:J254"/>
    <mergeCell ref="H255:J255"/>
    <mergeCell ref="H322:J322"/>
    <mergeCell ref="H313:J313"/>
    <mergeCell ref="H311:J311"/>
    <mergeCell ref="H307:J307"/>
    <mergeCell ref="H303:J303"/>
    <mergeCell ref="H304:J304"/>
    <mergeCell ref="H305:J305"/>
    <mergeCell ref="H317:J317"/>
    <mergeCell ref="H318:J318"/>
    <mergeCell ref="H319:J319"/>
    <mergeCell ref="H320:J320"/>
    <mergeCell ref="H321:J321"/>
    <mergeCell ref="H243:J243"/>
    <mergeCell ref="H244:J244"/>
    <mergeCell ref="H229:J229"/>
    <mergeCell ref="H230:J230"/>
    <mergeCell ref="H231:J231"/>
    <mergeCell ref="H217:J217"/>
    <mergeCell ref="H218:J218"/>
    <mergeCell ref="H220:J220"/>
    <mergeCell ref="H222:J222"/>
    <mergeCell ref="H223:J223"/>
    <mergeCell ref="H160:J160"/>
    <mergeCell ref="H161:J161"/>
    <mergeCell ref="H162:J162"/>
    <mergeCell ref="H214:J214"/>
    <mergeCell ref="H215:J215"/>
    <mergeCell ref="H216:J216"/>
    <mergeCell ref="H191:J191"/>
    <mergeCell ref="H186:J186"/>
    <mergeCell ref="H177:J177"/>
    <mergeCell ref="H178:J178"/>
    <mergeCell ref="H179:J179"/>
    <mergeCell ref="H208:J208"/>
    <mergeCell ref="H209:J209"/>
    <mergeCell ref="H210:J210"/>
    <mergeCell ref="H211:J211"/>
    <mergeCell ref="H212:J212"/>
    <mergeCell ref="H213:J213"/>
    <mergeCell ref="H192:J192"/>
    <mergeCell ref="H154:J154"/>
    <mergeCell ref="H143:J143"/>
    <mergeCell ref="H146:J146"/>
    <mergeCell ref="H147:J147"/>
    <mergeCell ref="H157:J157"/>
    <mergeCell ref="H158:J158"/>
    <mergeCell ref="H155:J155"/>
    <mergeCell ref="H156:J156"/>
    <mergeCell ref="H159:J159"/>
    <mergeCell ref="H108:J108"/>
    <mergeCell ref="H113:J113"/>
    <mergeCell ref="H114:J114"/>
    <mergeCell ref="H115:J115"/>
    <mergeCell ref="H116:J116"/>
    <mergeCell ref="H149:J149"/>
    <mergeCell ref="H150:J150"/>
    <mergeCell ref="H153:J153"/>
    <mergeCell ref="H144:J144"/>
    <mergeCell ref="H145:J145"/>
    <mergeCell ref="H148:J148"/>
    <mergeCell ref="H151:J151"/>
    <mergeCell ref="H152:J152"/>
    <mergeCell ref="H101:J101"/>
    <mergeCell ref="H37:J37"/>
    <mergeCell ref="H2:J2"/>
    <mergeCell ref="H23:J23"/>
    <mergeCell ref="H24:J24"/>
    <mergeCell ref="H25:J25"/>
    <mergeCell ref="H26:J26"/>
    <mergeCell ref="H27:J27"/>
    <mergeCell ref="H17:J17"/>
    <mergeCell ref="H18:J18"/>
    <mergeCell ref="H79:J79"/>
    <mergeCell ref="H88:J88"/>
    <mergeCell ref="H89:J89"/>
    <mergeCell ref="H90:J90"/>
    <mergeCell ref="H99:J99"/>
    <mergeCell ref="H100:J100"/>
    <mergeCell ref="H41:J41"/>
    <mergeCell ref="H42:J42"/>
    <mergeCell ref="H43:J43"/>
    <mergeCell ref="H44:J44"/>
    <mergeCell ref="H45:J45"/>
    <mergeCell ref="H46:J46"/>
    <mergeCell ref="H33:J33"/>
    <mergeCell ref="H34:J34"/>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'Guidance Notes'!$V$1:$V$2</xm:f>
          </x14:formula1>
          <xm:sqref>F2:F322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K201"/>
  <sheetViews>
    <sheetView topLeftCell="A200" zoomScale="70" zoomScaleNormal="70" workbookViewId="0">
      <selection activeCell="D123" sqref="D123:D139"/>
    </sheetView>
  </sheetViews>
  <sheetFormatPr defaultRowHeight="13.8" x14ac:dyDescent="0.3"/>
  <cols>
    <col min="2" max="2" width="25.33203125" customWidth="1"/>
    <col min="3" max="4" width="39.5546875" bestFit="1" customWidth="1"/>
    <col min="5" max="5" width="35.109375" bestFit="1" customWidth="1"/>
    <col min="8" max="8" width="19.44140625" customWidth="1"/>
    <col min="9" max="9" width="21.44140625" customWidth="1"/>
    <col min="10" max="10" width="30.88671875" customWidth="1"/>
    <col min="11" max="11" width="11" customWidth="1"/>
  </cols>
  <sheetData>
    <row r="1" spans="1:11" s="400" customFormat="1" ht="63.6" thickTop="1" thickBot="1" x14ac:dyDescent="0.35">
      <c r="A1" s="394"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1" s="31" customFormat="1" ht="38.25" customHeight="1" thickTop="1" x14ac:dyDescent="0.3">
      <c r="A2" s="392">
        <v>25</v>
      </c>
      <c r="B2" s="1409" t="s">
        <v>241</v>
      </c>
      <c r="C2" s="1360" t="s">
        <v>1305</v>
      </c>
      <c r="D2" s="1360" t="s">
        <v>803</v>
      </c>
      <c r="E2" s="150" t="s">
        <v>2762</v>
      </c>
      <c r="F2" s="150">
        <v>1</v>
      </c>
      <c r="G2" s="151"/>
      <c r="H2" s="829">
        <v>0</v>
      </c>
      <c r="I2" s="832">
        <v>0</v>
      </c>
      <c r="J2" s="156"/>
    </row>
    <row r="3" spans="1:11" s="31" customFormat="1" ht="18" x14ac:dyDescent="0.3">
      <c r="A3" s="392">
        <v>25</v>
      </c>
      <c r="B3" s="1371"/>
      <c r="C3" s="1311"/>
      <c r="D3" s="1311"/>
      <c r="E3" s="127" t="s">
        <v>807</v>
      </c>
      <c r="F3" s="127">
        <v>1</v>
      </c>
      <c r="G3" s="128"/>
      <c r="H3" s="830">
        <v>0</v>
      </c>
      <c r="I3" s="833">
        <v>0</v>
      </c>
      <c r="J3" s="136"/>
    </row>
    <row r="4" spans="1:11" s="31" customFormat="1" ht="54" x14ac:dyDescent="0.3">
      <c r="A4" s="392">
        <v>25</v>
      </c>
      <c r="B4" s="1371"/>
      <c r="C4" s="1311"/>
      <c r="D4" s="1311"/>
      <c r="E4" s="127" t="s">
        <v>2953</v>
      </c>
      <c r="F4" s="127">
        <v>1</v>
      </c>
      <c r="G4" s="128"/>
      <c r="H4" s="830">
        <v>0</v>
      </c>
      <c r="I4" s="833">
        <v>0</v>
      </c>
      <c r="J4" s="136"/>
    </row>
    <row r="5" spans="1:11" s="31" customFormat="1" ht="36" x14ac:dyDescent="0.3">
      <c r="A5" s="392">
        <v>25</v>
      </c>
      <c r="B5" s="1371"/>
      <c r="C5" s="1311"/>
      <c r="D5" s="1311"/>
      <c r="E5" s="127" t="s">
        <v>808</v>
      </c>
      <c r="F5" s="127">
        <v>1</v>
      </c>
      <c r="G5" s="128"/>
      <c r="H5" s="830">
        <v>0</v>
      </c>
      <c r="I5" s="833">
        <v>0</v>
      </c>
      <c r="J5" s="136"/>
      <c r="K5" s="75"/>
    </row>
    <row r="6" spans="1:11" s="31" customFormat="1" ht="36" x14ac:dyDescent="0.3">
      <c r="A6" s="392">
        <v>25</v>
      </c>
      <c r="B6" s="1371"/>
      <c r="C6" s="1311"/>
      <c r="D6" s="1311"/>
      <c r="E6" s="127" t="s">
        <v>809</v>
      </c>
      <c r="F6" s="127">
        <v>1</v>
      </c>
      <c r="G6" s="128"/>
      <c r="H6" s="830">
        <v>0</v>
      </c>
      <c r="I6" s="833">
        <v>0</v>
      </c>
      <c r="J6" s="136"/>
    </row>
    <row r="7" spans="1:11" s="47" customFormat="1" ht="114" customHeight="1" x14ac:dyDescent="0.3">
      <c r="A7" s="392">
        <v>25</v>
      </c>
      <c r="B7" s="1371"/>
      <c r="C7" s="1311"/>
      <c r="D7" s="1311"/>
      <c r="E7" s="127" t="s">
        <v>814</v>
      </c>
      <c r="F7" s="127">
        <v>1</v>
      </c>
      <c r="G7" s="127"/>
      <c r="H7" s="830">
        <v>0</v>
      </c>
      <c r="I7" s="833">
        <v>0</v>
      </c>
      <c r="J7" s="136"/>
    </row>
    <row r="8" spans="1:11" s="47" customFormat="1" ht="36" x14ac:dyDescent="0.3">
      <c r="A8" s="392">
        <v>25</v>
      </c>
      <c r="B8" s="1371"/>
      <c r="C8" s="1311"/>
      <c r="D8" s="1311"/>
      <c r="E8" s="127" t="s">
        <v>813</v>
      </c>
      <c r="F8" s="127">
        <v>1</v>
      </c>
      <c r="G8" s="127"/>
      <c r="H8" s="830">
        <v>0</v>
      </c>
      <c r="I8" s="833">
        <v>0</v>
      </c>
      <c r="J8" s="136"/>
    </row>
    <row r="9" spans="1:11" s="47" customFormat="1" ht="18" x14ac:dyDescent="0.3">
      <c r="A9" s="1045"/>
      <c r="B9" s="1371"/>
      <c r="C9" s="1311"/>
      <c r="D9" s="1311"/>
      <c r="E9" s="1045" t="s">
        <v>2760</v>
      </c>
      <c r="F9" s="1045">
        <v>1</v>
      </c>
      <c r="G9" s="1045"/>
      <c r="H9" s="830">
        <v>0</v>
      </c>
      <c r="I9" s="833">
        <v>0</v>
      </c>
      <c r="J9" s="136"/>
    </row>
    <row r="10" spans="1:11" s="47" customFormat="1" ht="18" x14ac:dyDescent="0.3">
      <c r="A10" s="1045"/>
      <c r="B10" s="1371"/>
      <c r="C10" s="1311"/>
      <c r="D10" s="1311"/>
      <c r="E10" s="1045" t="s">
        <v>2738</v>
      </c>
      <c r="F10" s="1045">
        <v>1</v>
      </c>
      <c r="G10" s="1045"/>
      <c r="H10" s="830">
        <v>0</v>
      </c>
      <c r="I10" s="833">
        <v>0</v>
      </c>
      <c r="J10" s="136"/>
    </row>
    <row r="11" spans="1:11" s="47" customFormat="1" ht="18" x14ac:dyDescent="0.3">
      <c r="A11" s="1045"/>
      <c r="B11" s="1371"/>
      <c r="C11" s="1311"/>
      <c r="D11" s="1311"/>
      <c r="E11" s="1045" t="s">
        <v>2364</v>
      </c>
      <c r="F11" s="1045">
        <v>1</v>
      </c>
      <c r="G11" s="1045"/>
      <c r="H11" s="830">
        <v>0</v>
      </c>
      <c r="I11" s="833">
        <v>0</v>
      </c>
      <c r="J11" s="136"/>
    </row>
    <row r="12" spans="1:11" s="47" customFormat="1" ht="18" x14ac:dyDescent="0.3">
      <c r="A12" s="1045"/>
      <c r="B12" s="1372"/>
      <c r="C12" s="1307"/>
      <c r="D12" s="1307"/>
      <c r="E12" s="1045" t="s">
        <v>2761</v>
      </c>
      <c r="F12" s="1045">
        <v>1</v>
      </c>
      <c r="G12" s="1045"/>
      <c r="H12" s="830">
        <v>0</v>
      </c>
      <c r="I12" s="833">
        <v>0</v>
      </c>
      <c r="J12" s="136"/>
    </row>
    <row r="13" spans="1:11" s="47" customFormat="1" ht="139.5" customHeight="1" x14ac:dyDescent="0.3">
      <c r="A13" s="392">
        <v>25</v>
      </c>
      <c r="B13" s="1310" t="s">
        <v>241</v>
      </c>
      <c r="C13" s="1310" t="s">
        <v>1305</v>
      </c>
      <c r="D13" s="1310" t="s">
        <v>816</v>
      </c>
      <c r="E13" s="127" t="s">
        <v>817</v>
      </c>
      <c r="F13" s="127">
        <v>1</v>
      </c>
      <c r="G13" s="127"/>
      <c r="H13" s="830">
        <v>0</v>
      </c>
      <c r="I13" s="833">
        <v>0</v>
      </c>
      <c r="J13" s="136"/>
    </row>
    <row r="14" spans="1:11" s="47" customFormat="1" ht="141.6" customHeight="1" x14ac:dyDescent="0.3">
      <c r="A14" s="392">
        <v>25</v>
      </c>
      <c r="B14" s="1310"/>
      <c r="C14" s="1310"/>
      <c r="D14" s="1310"/>
      <c r="E14" s="127" t="s">
        <v>818</v>
      </c>
      <c r="F14" s="127">
        <v>1</v>
      </c>
      <c r="G14" s="127"/>
      <c r="H14" s="830">
        <v>0</v>
      </c>
      <c r="I14" s="833">
        <v>0</v>
      </c>
      <c r="J14" s="136"/>
    </row>
    <row r="15" spans="1:11" s="47" customFormat="1" ht="54" x14ac:dyDescent="0.3">
      <c r="A15" s="392">
        <v>25</v>
      </c>
      <c r="B15" s="1310"/>
      <c r="C15" s="1310"/>
      <c r="D15" s="1310"/>
      <c r="E15" s="127" t="s">
        <v>51</v>
      </c>
      <c r="F15" s="127">
        <v>1</v>
      </c>
      <c r="G15" s="127"/>
      <c r="H15" s="830">
        <v>0</v>
      </c>
      <c r="I15" s="833">
        <v>0</v>
      </c>
      <c r="J15" s="136"/>
    </row>
    <row r="16" spans="1:11" s="31" customFormat="1" ht="18" x14ac:dyDescent="0.3">
      <c r="A16" s="392">
        <v>25</v>
      </c>
      <c r="B16" s="127" t="s">
        <v>241</v>
      </c>
      <c r="C16" s="127" t="s">
        <v>1305</v>
      </c>
      <c r="D16" s="128" t="s">
        <v>1307</v>
      </c>
      <c r="E16" s="128" t="s">
        <v>1307</v>
      </c>
      <c r="F16" s="127">
        <v>1</v>
      </c>
      <c r="G16" s="128"/>
      <c r="H16" s="830">
        <v>0</v>
      </c>
      <c r="I16" s="833">
        <v>0</v>
      </c>
      <c r="J16" s="143"/>
    </row>
    <row r="17" spans="1:10" s="31" customFormat="1" ht="18" x14ac:dyDescent="0.3">
      <c r="A17" s="392">
        <v>25</v>
      </c>
      <c r="B17" s="127" t="s">
        <v>241</v>
      </c>
      <c r="C17" s="127" t="s">
        <v>1305</v>
      </c>
      <c r="D17" s="128" t="s">
        <v>1306</v>
      </c>
      <c r="E17" s="128" t="s">
        <v>1306</v>
      </c>
      <c r="F17" s="127">
        <v>1</v>
      </c>
      <c r="G17" s="128"/>
      <c r="H17" s="830">
        <v>0</v>
      </c>
      <c r="I17" s="833">
        <v>0</v>
      </c>
      <c r="J17" s="143"/>
    </row>
    <row r="18" spans="1:10" s="47" customFormat="1" ht="36" x14ac:dyDescent="0.3">
      <c r="A18" s="392">
        <v>26</v>
      </c>
      <c r="B18" s="1310" t="s">
        <v>241</v>
      </c>
      <c r="C18" s="1310" t="s">
        <v>1308</v>
      </c>
      <c r="D18" s="1310" t="s">
        <v>540</v>
      </c>
      <c r="E18" s="127" t="s">
        <v>541</v>
      </c>
      <c r="F18" s="127">
        <v>1</v>
      </c>
      <c r="G18" s="127"/>
      <c r="H18" s="830">
        <v>0</v>
      </c>
      <c r="I18" s="833">
        <v>0</v>
      </c>
      <c r="J18" s="143"/>
    </row>
    <row r="19" spans="1:10" s="47" customFormat="1" ht="54" x14ac:dyDescent="0.3">
      <c r="A19" s="392">
        <v>25</v>
      </c>
      <c r="B19" s="1310"/>
      <c r="C19" s="1310"/>
      <c r="D19" s="1310"/>
      <c r="E19" s="127" t="s">
        <v>1309</v>
      </c>
      <c r="F19" s="127">
        <v>1</v>
      </c>
      <c r="G19" s="127"/>
      <c r="H19" s="830">
        <v>0</v>
      </c>
      <c r="I19" s="833">
        <v>0</v>
      </c>
      <c r="J19" s="143"/>
    </row>
    <row r="20" spans="1:10" s="47" customFormat="1" ht="36" x14ac:dyDescent="0.3">
      <c r="A20" s="392">
        <v>25</v>
      </c>
      <c r="B20" s="1310"/>
      <c r="C20" s="1310"/>
      <c r="D20" s="1310"/>
      <c r="E20" s="127" t="s">
        <v>543</v>
      </c>
      <c r="F20" s="127">
        <v>1</v>
      </c>
      <c r="G20" s="127"/>
      <c r="H20" s="830">
        <v>0</v>
      </c>
      <c r="I20" s="833">
        <v>0</v>
      </c>
      <c r="J20" s="143"/>
    </row>
    <row r="21" spans="1:10" s="47" customFormat="1" ht="36" x14ac:dyDescent="0.3">
      <c r="A21" s="392">
        <v>25</v>
      </c>
      <c r="B21" s="1310"/>
      <c r="C21" s="1310"/>
      <c r="D21" s="1310"/>
      <c r="E21" s="127" t="s">
        <v>544</v>
      </c>
      <c r="F21" s="127">
        <v>1</v>
      </c>
      <c r="G21" s="127"/>
      <c r="H21" s="830">
        <v>0</v>
      </c>
      <c r="I21" s="833">
        <v>0</v>
      </c>
      <c r="J21" s="143"/>
    </row>
    <row r="22" spans="1:10" s="47" customFormat="1" ht="36" x14ac:dyDescent="0.3">
      <c r="A22" s="392">
        <v>25</v>
      </c>
      <c r="B22" s="1310"/>
      <c r="C22" s="1310"/>
      <c r="D22" s="1310"/>
      <c r="E22" s="127" t="s">
        <v>1310</v>
      </c>
      <c r="F22" s="127">
        <v>1</v>
      </c>
      <c r="G22" s="127"/>
      <c r="H22" s="830">
        <v>0</v>
      </c>
      <c r="I22" s="833">
        <v>0</v>
      </c>
      <c r="J22" s="143"/>
    </row>
    <row r="23" spans="1:10" s="47" customFormat="1" ht="36" x14ac:dyDescent="0.3">
      <c r="A23" s="392">
        <v>25</v>
      </c>
      <c r="B23" s="1310"/>
      <c r="C23" s="1310"/>
      <c r="D23" s="1310"/>
      <c r="E23" s="127" t="s">
        <v>546</v>
      </c>
      <c r="F23" s="127">
        <v>1</v>
      </c>
      <c r="G23" s="127"/>
      <c r="H23" s="830">
        <v>0</v>
      </c>
      <c r="I23" s="833">
        <v>0</v>
      </c>
      <c r="J23" s="143"/>
    </row>
    <row r="24" spans="1:10" s="47" customFormat="1" ht="36" x14ac:dyDescent="0.3">
      <c r="A24" s="392">
        <v>25</v>
      </c>
      <c r="B24" s="1310"/>
      <c r="C24" s="1310"/>
      <c r="D24" s="1310"/>
      <c r="E24" s="127" t="s">
        <v>547</v>
      </c>
      <c r="F24" s="127">
        <v>1</v>
      </c>
      <c r="G24" s="127"/>
      <c r="H24" s="830">
        <v>0</v>
      </c>
      <c r="I24" s="833">
        <v>0</v>
      </c>
      <c r="J24" s="143"/>
    </row>
    <row r="25" spans="1:10" s="47" customFormat="1" ht="36" x14ac:dyDescent="0.3">
      <c r="A25" s="392">
        <v>25</v>
      </c>
      <c r="B25" s="1310"/>
      <c r="C25" s="1310"/>
      <c r="D25" s="1310"/>
      <c r="E25" s="127" t="s">
        <v>548</v>
      </c>
      <c r="F25" s="127">
        <v>1</v>
      </c>
      <c r="G25" s="127"/>
      <c r="H25" s="830">
        <v>0</v>
      </c>
      <c r="I25" s="833">
        <v>0</v>
      </c>
      <c r="J25" s="143"/>
    </row>
    <row r="26" spans="1:10" s="47" customFormat="1" ht="135.75" customHeight="1" x14ac:dyDescent="0.3">
      <c r="A26" s="392">
        <v>25</v>
      </c>
      <c r="B26" s="1310" t="s">
        <v>241</v>
      </c>
      <c r="C26" s="1310" t="s">
        <v>382</v>
      </c>
      <c r="D26" s="1310" t="s">
        <v>382</v>
      </c>
      <c r="E26" s="127" t="s">
        <v>382</v>
      </c>
      <c r="F26" s="127">
        <v>1</v>
      </c>
      <c r="G26" s="127"/>
      <c r="H26" s="1310" t="s">
        <v>52</v>
      </c>
      <c r="I26" s="1310"/>
      <c r="J26" s="1315"/>
    </row>
    <row r="27" spans="1:10" s="47" customFormat="1" ht="61.05" customHeight="1" x14ac:dyDescent="0.3">
      <c r="A27" s="392">
        <v>25</v>
      </c>
      <c r="B27" s="1310"/>
      <c r="C27" s="1310"/>
      <c r="D27" s="1310"/>
      <c r="E27" s="127" t="s">
        <v>54</v>
      </c>
      <c r="F27" s="127">
        <v>1</v>
      </c>
      <c r="G27" s="127"/>
      <c r="H27" s="830">
        <v>0</v>
      </c>
      <c r="I27" s="179">
        <v>0</v>
      </c>
      <c r="J27" s="143"/>
    </row>
    <row r="28" spans="1:10" s="31" customFormat="1" ht="36" x14ac:dyDescent="0.3">
      <c r="A28" s="392">
        <v>25</v>
      </c>
      <c r="B28" s="1310" t="s">
        <v>241</v>
      </c>
      <c r="C28" s="1310" t="s">
        <v>1311</v>
      </c>
      <c r="D28" s="1310" t="s">
        <v>1312</v>
      </c>
      <c r="E28" s="127" t="s">
        <v>551</v>
      </c>
      <c r="F28" s="127">
        <v>1</v>
      </c>
      <c r="G28" s="128"/>
      <c r="H28" s="830">
        <v>0</v>
      </c>
      <c r="I28" s="179">
        <v>0</v>
      </c>
      <c r="J28" s="143"/>
    </row>
    <row r="29" spans="1:10" s="31" customFormat="1" ht="36" x14ac:dyDescent="0.3">
      <c r="A29" s="392">
        <v>25</v>
      </c>
      <c r="B29" s="1310"/>
      <c r="C29" s="1310"/>
      <c r="D29" s="1310"/>
      <c r="E29" s="127" t="s">
        <v>552</v>
      </c>
      <c r="F29" s="127">
        <v>1</v>
      </c>
      <c r="G29" s="128"/>
      <c r="H29" s="830">
        <v>0</v>
      </c>
      <c r="I29" s="179">
        <v>0</v>
      </c>
      <c r="J29" s="143"/>
    </row>
    <row r="30" spans="1:10" s="31" customFormat="1" ht="97.05" customHeight="1" x14ac:dyDescent="0.3">
      <c r="A30" s="392">
        <v>25</v>
      </c>
      <c r="B30" s="1310"/>
      <c r="C30" s="1310"/>
      <c r="D30" s="1310"/>
      <c r="E30" s="127" t="s">
        <v>2836</v>
      </c>
      <c r="F30" s="127">
        <v>1</v>
      </c>
      <c r="G30" s="128"/>
      <c r="H30" s="830">
        <v>0</v>
      </c>
      <c r="I30" s="179">
        <v>0</v>
      </c>
      <c r="J30" s="143"/>
    </row>
    <row r="31" spans="1:10" s="31" customFormat="1" ht="36" x14ac:dyDescent="0.3">
      <c r="A31" s="392">
        <v>25</v>
      </c>
      <c r="B31" s="1310"/>
      <c r="C31" s="1310"/>
      <c r="D31" s="1310"/>
      <c r="E31" s="127" t="s">
        <v>553</v>
      </c>
      <c r="F31" s="127">
        <v>1</v>
      </c>
      <c r="G31" s="128"/>
      <c r="H31" s="830">
        <v>0</v>
      </c>
      <c r="I31" s="833">
        <v>0</v>
      </c>
      <c r="J31" s="143"/>
    </row>
    <row r="32" spans="1:10" s="31" customFormat="1" ht="36.6" thickBot="1" x14ac:dyDescent="0.35">
      <c r="A32" s="392">
        <v>25</v>
      </c>
      <c r="B32" s="1312"/>
      <c r="C32" s="1312"/>
      <c r="D32" s="1312"/>
      <c r="E32" s="144" t="s">
        <v>1313</v>
      </c>
      <c r="F32" s="144">
        <v>1</v>
      </c>
      <c r="G32" s="145"/>
      <c r="H32" s="831">
        <v>0</v>
      </c>
      <c r="I32" s="181">
        <v>0</v>
      </c>
      <c r="J32" s="157"/>
    </row>
    <row r="33" spans="1:10" s="31" customFormat="1" ht="65.55" customHeight="1" thickTop="1" x14ac:dyDescent="0.3">
      <c r="A33" s="391">
        <v>26</v>
      </c>
      <c r="B33" s="1401" t="s">
        <v>420</v>
      </c>
      <c r="C33" s="1401" t="s">
        <v>421</v>
      </c>
      <c r="D33" s="1401" t="s">
        <v>421</v>
      </c>
      <c r="E33" s="150" t="s">
        <v>421</v>
      </c>
      <c r="F33" s="150">
        <v>1</v>
      </c>
      <c r="G33" s="151"/>
      <c r="H33" s="1401" t="s">
        <v>821</v>
      </c>
      <c r="I33" s="1401"/>
      <c r="J33" s="1402"/>
    </row>
    <row r="34" spans="1:10" s="31" customFormat="1" ht="195" customHeight="1" x14ac:dyDescent="0.3">
      <c r="A34" s="391">
        <v>26</v>
      </c>
      <c r="B34" s="1310"/>
      <c r="C34" s="1310"/>
      <c r="D34" s="1310"/>
      <c r="E34" s="127" t="s">
        <v>421</v>
      </c>
      <c r="F34" s="127">
        <v>1</v>
      </c>
      <c r="G34" s="128"/>
      <c r="H34" s="1310" t="s">
        <v>822</v>
      </c>
      <c r="I34" s="1310"/>
      <c r="J34" s="1315"/>
    </row>
    <row r="35" spans="1:10" s="31" customFormat="1" ht="190.95" customHeight="1" x14ac:dyDescent="0.3">
      <c r="A35" s="391">
        <v>26</v>
      </c>
      <c r="B35" s="1310" t="s">
        <v>420</v>
      </c>
      <c r="C35" s="1310" t="s">
        <v>320</v>
      </c>
      <c r="D35" s="1310" t="s">
        <v>320</v>
      </c>
      <c r="E35" s="127" t="s">
        <v>320</v>
      </c>
      <c r="F35" s="127">
        <v>1</v>
      </c>
      <c r="G35" s="128"/>
      <c r="H35" s="1310" t="s">
        <v>823</v>
      </c>
      <c r="I35" s="1310"/>
      <c r="J35" s="1315"/>
    </row>
    <row r="36" spans="1:10" s="31" customFormat="1" ht="154.94999999999999" customHeight="1" x14ac:dyDescent="0.3">
      <c r="A36" s="391">
        <v>26</v>
      </c>
      <c r="B36" s="1310"/>
      <c r="C36" s="1310"/>
      <c r="D36" s="1310"/>
      <c r="E36" s="127" t="s">
        <v>320</v>
      </c>
      <c r="F36" s="127">
        <v>1</v>
      </c>
      <c r="G36" s="128"/>
      <c r="H36" s="1310" t="s">
        <v>871</v>
      </c>
      <c r="I36" s="1310"/>
      <c r="J36" s="1315"/>
    </row>
    <row r="37" spans="1:10" s="31" customFormat="1" ht="36" x14ac:dyDescent="0.3">
      <c r="A37" s="391">
        <v>26</v>
      </c>
      <c r="B37" s="1310"/>
      <c r="C37" s="1310"/>
      <c r="D37" s="1310"/>
      <c r="E37" s="127" t="s">
        <v>1317</v>
      </c>
      <c r="F37" s="127">
        <v>1</v>
      </c>
      <c r="G37" s="128"/>
      <c r="H37" s="166">
        <v>0</v>
      </c>
      <c r="I37" s="166">
        <v>0</v>
      </c>
      <c r="J37" s="177">
        <v>0</v>
      </c>
    </row>
    <row r="38" spans="1:10" s="31" customFormat="1" ht="118.05" customHeight="1" x14ac:dyDescent="0.3">
      <c r="A38" s="391">
        <v>26</v>
      </c>
      <c r="B38" s="1310" t="s">
        <v>420</v>
      </c>
      <c r="C38" s="1310" t="s">
        <v>423</v>
      </c>
      <c r="D38" s="1310" t="s">
        <v>423</v>
      </c>
      <c r="E38" s="127" t="s">
        <v>423</v>
      </c>
      <c r="F38" s="127">
        <v>1</v>
      </c>
      <c r="G38" s="128"/>
      <c r="H38" s="1310" t="s">
        <v>531</v>
      </c>
      <c r="I38" s="1310"/>
      <c r="J38" s="1315"/>
    </row>
    <row r="39" spans="1:10" s="31" customFormat="1" ht="18" x14ac:dyDescent="0.3">
      <c r="A39" s="391">
        <v>26</v>
      </c>
      <c r="B39" s="1310"/>
      <c r="C39" s="1310"/>
      <c r="D39" s="1310"/>
      <c r="E39" s="127" t="s">
        <v>872</v>
      </c>
      <c r="F39" s="127">
        <v>1</v>
      </c>
      <c r="G39" s="128"/>
      <c r="H39" s="166">
        <v>0</v>
      </c>
      <c r="I39" s="166">
        <v>0</v>
      </c>
      <c r="J39" s="177">
        <v>0</v>
      </c>
    </row>
    <row r="40" spans="1:10" s="31" customFormat="1" ht="18" x14ac:dyDescent="0.3">
      <c r="A40" s="391">
        <v>26</v>
      </c>
      <c r="B40" s="1310"/>
      <c r="C40" s="1310"/>
      <c r="D40" s="1310"/>
      <c r="E40" s="127" t="s">
        <v>873</v>
      </c>
      <c r="F40" s="127">
        <v>1</v>
      </c>
      <c r="G40" s="128"/>
      <c r="H40" s="166">
        <v>0</v>
      </c>
      <c r="I40" s="166">
        <v>0</v>
      </c>
      <c r="J40" s="177">
        <v>0</v>
      </c>
    </row>
    <row r="41" spans="1:10" s="31" customFormat="1" ht="18" x14ac:dyDescent="0.3">
      <c r="A41" s="391">
        <v>26</v>
      </c>
      <c r="B41" s="1310"/>
      <c r="C41" s="1310"/>
      <c r="D41" s="1310"/>
      <c r="E41" s="127" t="s">
        <v>874</v>
      </c>
      <c r="F41" s="127">
        <v>1</v>
      </c>
      <c r="G41" s="128"/>
      <c r="H41" s="166">
        <v>0</v>
      </c>
      <c r="I41" s="166">
        <v>0</v>
      </c>
      <c r="J41" s="177">
        <v>0</v>
      </c>
    </row>
    <row r="42" spans="1:10" s="31" customFormat="1" ht="54" x14ac:dyDescent="0.3">
      <c r="A42" s="391">
        <v>26</v>
      </c>
      <c r="B42" s="1310"/>
      <c r="C42" s="1310"/>
      <c r="D42" s="1310"/>
      <c r="E42" s="127" t="s">
        <v>1319</v>
      </c>
      <c r="F42" s="127">
        <v>1</v>
      </c>
      <c r="G42" s="128"/>
      <c r="H42" s="830">
        <v>0</v>
      </c>
      <c r="I42" s="833">
        <v>0</v>
      </c>
      <c r="J42" s="177">
        <v>0</v>
      </c>
    </row>
    <row r="43" spans="1:10" s="31" customFormat="1" ht="113.55" customHeight="1" x14ac:dyDescent="0.3">
      <c r="A43" s="391">
        <v>26</v>
      </c>
      <c r="B43" s="1310" t="s">
        <v>420</v>
      </c>
      <c r="C43" s="1310" t="s">
        <v>321</v>
      </c>
      <c r="D43" s="1310" t="s">
        <v>321</v>
      </c>
      <c r="E43" s="127" t="s">
        <v>321</v>
      </c>
      <c r="F43" s="127">
        <v>1</v>
      </c>
      <c r="G43" s="128"/>
      <c r="H43" s="1310" t="s">
        <v>531</v>
      </c>
      <c r="I43" s="1310"/>
      <c r="J43" s="1315"/>
    </row>
    <row r="44" spans="1:10" s="31" customFormat="1" ht="54" x14ac:dyDescent="0.3">
      <c r="A44" s="391">
        <v>26</v>
      </c>
      <c r="B44" s="1310"/>
      <c r="C44" s="1310"/>
      <c r="D44" s="1310"/>
      <c r="E44" s="127" t="s">
        <v>1320</v>
      </c>
      <c r="F44" s="127">
        <v>1</v>
      </c>
      <c r="G44" s="128"/>
      <c r="H44" s="830">
        <v>0</v>
      </c>
      <c r="I44" s="166">
        <v>0</v>
      </c>
      <c r="J44" s="177">
        <v>0</v>
      </c>
    </row>
    <row r="45" spans="1:10" s="31" customFormat="1" ht="18" x14ac:dyDescent="0.3">
      <c r="A45" s="391">
        <v>26</v>
      </c>
      <c r="B45" s="1310"/>
      <c r="C45" s="1310"/>
      <c r="D45" s="1310"/>
      <c r="E45" s="127" t="s">
        <v>872</v>
      </c>
      <c r="F45" s="127">
        <v>1</v>
      </c>
      <c r="G45" s="128"/>
      <c r="H45" s="830">
        <v>0</v>
      </c>
      <c r="I45" s="166">
        <v>0</v>
      </c>
      <c r="J45" s="177">
        <v>0</v>
      </c>
    </row>
    <row r="46" spans="1:10" s="31" customFormat="1" ht="18" x14ac:dyDescent="0.3">
      <c r="A46" s="391">
        <v>26</v>
      </c>
      <c r="B46" s="1310"/>
      <c r="C46" s="1310"/>
      <c r="D46" s="1310"/>
      <c r="E46" s="127" t="s">
        <v>873</v>
      </c>
      <c r="F46" s="127">
        <v>1</v>
      </c>
      <c r="G46" s="128"/>
      <c r="H46" s="830">
        <v>0</v>
      </c>
      <c r="I46" s="166">
        <v>0</v>
      </c>
      <c r="J46" s="177">
        <v>0</v>
      </c>
    </row>
    <row r="47" spans="1:10" s="31" customFormat="1" ht="18.600000000000001" thickBot="1" x14ac:dyDescent="0.35">
      <c r="A47" s="391">
        <v>26</v>
      </c>
      <c r="B47" s="1310"/>
      <c r="C47" s="1310"/>
      <c r="D47" s="1310"/>
      <c r="E47" s="127" t="s">
        <v>874</v>
      </c>
      <c r="F47" s="127">
        <v>1</v>
      </c>
      <c r="G47" s="128"/>
      <c r="H47" s="830">
        <v>0</v>
      </c>
      <c r="I47" s="166">
        <v>0</v>
      </c>
      <c r="J47" s="177">
        <v>0</v>
      </c>
    </row>
    <row r="48" spans="1:10" s="31" customFormat="1" ht="281.25" customHeight="1" thickTop="1" x14ac:dyDescent="0.3">
      <c r="A48" s="391">
        <v>26</v>
      </c>
      <c r="B48" s="1401" t="s">
        <v>420</v>
      </c>
      <c r="C48" s="1310" t="s">
        <v>875</v>
      </c>
      <c r="D48" s="1310" t="s">
        <v>875</v>
      </c>
      <c r="E48" s="127" t="s">
        <v>1320</v>
      </c>
      <c r="F48" s="127">
        <v>1</v>
      </c>
      <c r="G48" s="128"/>
      <c r="H48" s="830">
        <v>0</v>
      </c>
      <c r="I48" s="166">
        <v>0</v>
      </c>
      <c r="J48" s="136"/>
    </row>
    <row r="49" spans="1:10" s="31" customFormat="1" ht="78" customHeight="1" x14ac:dyDescent="0.3">
      <c r="A49" s="391">
        <v>26</v>
      </c>
      <c r="B49" s="1310"/>
      <c r="C49" s="1310"/>
      <c r="D49" s="1310"/>
      <c r="E49" s="127" t="s">
        <v>875</v>
      </c>
      <c r="F49" s="127">
        <v>1</v>
      </c>
      <c r="G49" s="128"/>
      <c r="H49" s="1310" t="s">
        <v>876</v>
      </c>
      <c r="I49" s="1310"/>
      <c r="J49" s="1315"/>
    </row>
    <row r="50" spans="1:10" s="31" customFormat="1" ht="135" customHeight="1" thickBot="1" x14ac:dyDescent="0.35">
      <c r="A50" s="391">
        <v>26</v>
      </c>
      <c r="B50" s="1433" t="s">
        <v>420</v>
      </c>
      <c r="C50" s="144" t="s">
        <v>426</v>
      </c>
      <c r="D50" s="144" t="s">
        <v>426</v>
      </c>
      <c r="E50" s="144" t="s">
        <v>426</v>
      </c>
      <c r="F50" s="144">
        <v>1</v>
      </c>
      <c r="G50" s="145"/>
      <c r="H50" s="1312" t="s">
        <v>877</v>
      </c>
      <c r="I50" s="1312"/>
      <c r="J50" s="1396"/>
    </row>
    <row r="51" spans="1:10" s="31" customFormat="1" ht="18.600000000000001" thickTop="1" x14ac:dyDescent="0.3">
      <c r="A51" s="391">
        <v>26</v>
      </c>
      <c r="B51" s="1371"/>
      <c r="C51" s="1359" t="s">
        <v>1612</v>
      </c>
      <c r="D51" s="1409" t="s">
        <v>1612</v>
      </c>
      <c r="E51" s="158" t="s">
        <v>1612</v>
      </c>
      <c r="F51" s="158">
        <v>1</v>
      </c>
      <c r="G51" s="159"/>
      <c r="H51" s="1420" t="s">
        <v>1500</v>
      </c>
      <c r="I51" s="1421"/>
      <c r="J51" s="1422"/>
    </row>
    <row r="52" spans="1:10" s="31" customFormat="1" ht="18" x14ac:dyDescent="0.3">
      <c r="A52" s="391">
        <v>26</v>
      </c>
      <c r="B52" s="1371"/>
      <c r="C52" s="1358"/>
      <c r="D52" s="1371"/>
      <c r="E52" s="158" t="s">
        <v>1614</v>
      </c>
      <c r="F52" s="158">
        <v>1</v>
      </c>
      <c r="G52" s="159"/>
      <c r="H52" s="830">
        <v>0</v>
      </c>
      <c r="I52" s="166">
        <v>0</v>
      </c>
      <c r="J52" s="136"/>
    </row>
    <row r="53" spans="1:10" s="31" customFormat="1" ht="18" x14ac:dyDescent="0.3">
      <c r="A53" s="391">
        <v>26</v>
      </c>
      <c r="B53" s="1371"/>
      <c r="C53" s="1358"/>
      <c r="D53" s="1371"/>
      <c r="E53" s="158" t="s">
        <v>207</v>
      </c>
      <c r="F53" s="158">
        <v>1</v>
      </c>
      <c r="G53" s="159"/>
      <c r="H53" s="830">
        <v>0</v>
      </c>
      <c r="I53" s="166">
        <v>0</v>
      </c>
      <c r="J53" s="136"/>
    </row>
    <row r="54" spans="1:10" s="31" customFormat="1" ht="36" x14ac:dyDescent="0.3">
      <c r="A54" s="391">
        <v>26</v>
      </c>
      <c r="B54" s="1371"/>
      <c r="C54" s="1358"/>
      <c r="D54" s="1371"/>
      <c r="E54" s="158" t="s">
        <v>1316</v>
      </c>
      <c r="F54" s="158">
        <v>1</v>
      </c>
      <c r="G54" s="159"/>
      <c r="H54" s="830">
        <v>0</v>
      </c>
      <c r="I54" s="166">
        <v>0</v>
      </c>
      <c r="J54" s="136"/>
    </row>
    <row r="55" spans="1:10" s="31" customFormat="1" ht="36" x14ac:dyDescent="0.3">
      <c r="A55" s="391">
        <v>26</v>
      </c>
      <c r="B55" s="1371"/>
      <c r="C55" s="1358"/>
      <c r="D55" s="1371"/>
      <c r="E55" s="158" t="s">
        <v>1317</v>
      </c>
      <c r="F55" s="158">
        <v>1</v>
      </c>
      <c r="G55" s="159"/>
      <c r="H55" s="830">
        <v>0</v>
      </c>
      <c r="I55" s="166">
        <v>0</v>
      </c>
      <c r="J55" s="136"/>
    </row>
    <row r="56" spans="1:10" s="31" customFormat="1" ht="18" x14ac:dyDescent="0.3">
      <c r="A56" s="391">
        <v>26</v>
      </c>
      <c r="B56" s="1371"/>
      <c r="C56" s="1358"/>
      <c r="D56" s="1371"/>
      <c r="E56" s="158" t="s">
        <v>208</v>
      </c>
      <c r="F56" s="158">
        <v>1</v>
      </c>
      <c r="G56" s="159"/>
      <c r="H56" s="830">
        <v>0</v>
      </c>
      <c r="I56" s="166">
        <v>0</v>
      </c>
      <c r="J56" s="136"/>
    </row>
    <row r="57" spans="1:10" s="31" customFormat="1" ht="36" x14ac:dyDescent="0.3">
      <c r="A57" s="391">
        <v>26</v>
      </c>
      <c r="B57" s="1371"/>
      <c r="C57" s="1358"/>
      <c r="D57" s="1371"/>
      <c r="E57" s="158" t="s">
        <v>1328</v>
      </c>
      <c r="F57" s="158">
        <v>1</v>
      </c>
      <c r="G57" s="159"/>
      <c r="H57" s="830">
        <v>0</v>
      </c>
      <c r="I57" s="166">
        <v>0</v>
      </c>
      <c r="J57" s="136"/>
    </row>
    <row r="58" spans="1:10" s="31" customFormat="1" ht="36" x14ac:dyDescent="0.3">
      <c r="A58" s="391">
        <v>26</v>
      </c>
      <c r="B58" s="1371"/>
      <c r="C58" s="1358"/>
      <c r="D58" s="1371"/>
      <c r="E58" s="158" t="s">
        <v>1323</v>
      </c>
      <c r="F58" s="158">
        <v>1</v>
      </c>
      <c r="G58" s="159"/>
      <c r="H58" s="830">
        <v>0</v>
      </c>
      <c r="I58" s="166">
        <v>0</v>
      </c>
      <c r="J58" s="136"/>
    </row>
    <row r="59" spans="1:10" s="31" customFormat="1" ht="54" x14ac:dyDescent="0.3">
      <c r="A59" s="391">
        <v>26</v>
      </c>
      <c r="B59" s="1371"/>
      <c r="C59" s="1358"/>
      <c r="D59" s="1371"/>
      <c r="E59" s="158" t="s">
        <v>566</v>
      </c>
      <c r="F59" s="158">
        <v>1</v>
      </c>
      <c r="G59" s="159"/>
      <c r="H59" s="830">
        <v>0</v>
      </c>
      <c r="I59" s="166">
        <v>0</v>
      </c>
      <c r="J59" s="136"/>
    </row>
    <row r="60" spans="1:10" s="31" customFormat="1" ht="36" x14ac:dyDescent="0.3">
      <c r="A60" s="391">
        <v>26</v>
      </c>
      <c r="B60" s="1371"/>
      <c r="C60" s="1358"/>
      <c r="D60" s="1371"/>
      <c r="E60" s="158" t="s">
        <v>1615</v>
      </c>
      <c r="F60" s="158">
        <v>1</v>
      </c>
      <c r="G60" s="159"/>
      <c r="H60" s="830">
        <v>0</v>
      </c>
      <c r="I60" s="166">
        <v>0</v>
      </c>
      <c r="J60" s="136"/>
    </row>
    <row r="61" spans="1:10" s="31" customFormat="1" ht="54" x14ac:dyDescent="0.3">
      <c r="A61" s="391">
        <v>26</v>
      </c>
      <c r="B61" s="1371"/>
      <c r="C61" s="1358"/>
      <c r="D61" s="1371"/>
      <c r="E61" s="158" t="s">
        <v>1324</v>
      </c>
      <c r="F61" s="158">
        <v>1</v>
      </c>
      <c r="G61" s="159"/>
      <c r="H61" s="830">
        <v>0</v>
      </c>
      <c r="I61" s="166">
        <v>0</v>
      </c>
      <c r="J61" s="136"/>
    </row>
    <row r="62" spans="1:10" s="31" customFormat="1" ht="36" x14ac:dyDescent="0.3">
      <c r="A62" s="391">
        <v>26</v>
      </c>
      <c r="B62" s="1371"/>
      <c r="C62" s="1358"/>
      <c r="D62" s="1371"/>
      <c r="E62" s="158" t="s">
        <v>1325</v>
      </c>
      <c r="F62" s="158">
        <v>1</v>
      </c>
      <c r="G62" s="159"/>
      <c r="H62" s="830">
        <v>0</v>
      </c>
      <c r="I62" s="166">
        <v>0</v>
      </c>
      <c r="J62" s="136"/>
    </row>
    <row r="63" spans="1:10" s="31" customFormat="1" ht="36" x14ac:dyDescent="0.3">
      <c r="A63" s="391">
        <v>26</v>
      </c>
      <c r="B63" s="1371"/>
      <c r="C63" s="1358"/>
      <c r="D63" s="1371"/>
      <c r="E63" s="158" t="s">
        <v>1326</v>
      </c>
      <c r="F63" s="158">
        <v>1</v>
      </c>
      <c r="G63" s="159"/>
      <c r="H63" s="830">
        <v>0</v>
      </c>
      <c r="I63" s="166">
        <v>0</v>
      </c>
      <c r="J63" s="136"/>
    </row>
    <row r="64" spans="1:10" s="31" customFormat="1" ht="36" x14ac:dyDescent="0.3">
      <c r="A64" s="391">
        <v>26</v>
      </c>
      <c r="B64" s="1371"/>
      <c r="C64" s="1358"/>
      <c r="D64" s="1371"/>
      <c r="E64" s="158" t="s">
        <v>196</v>
      </c>
      <c r="F64" s="158">
        <v>1</v>
      </c>
      <c r="G64" s="159"/>
      <c r="H64" s="830">
        <v>0</v>
      </c>
      <c r="I64" s="166">
        <v>0</v>
      </c>
      <c r="J64" s="136"/>
    </row>
    <row r="65" spans="1:10" s="31" customFormat="1" ht="90" x14ac:dyDescent="0.3">
      <c r="A65" s="391">
        <v>26</v>
      </c>
      <c r="B65" s="1371"/>
      <c r="C65" s="1358"/>
      <c r="D65" s="1371"/>
      <c r="E65" s="158" t="s">
        <v>568</v>
      </c>
      <c r="F65" s="158">
        <v>1</v>
      </c>
      <c r="G65" s="159"/>
      <c r="H65" s="830">
        <v>0</v>
      </c>
      <c r="I65" s="166">
        <v>0</v>
      </c>
      <c r="J65" s="136"/>
    </row>
    <row r="66" spans="1:10" s="31" customFormat="1" ht="18" x14ac:dyDescent="0.3">
      <c r="A66" s="391">
        <v>26</v>
      </c>
      <c r="B66" s="1371"/>
      <c r="C66" s="1358"/>
      <c r="D66" s="1371"/>
      <c r="E66" s="158" t="s">
        <v>1616</v>
      </c>
      <c r="F66" s="158">
        <v>1</v>
      </c>
      <c r="G66" s="159"/>
      <c r="H66" s="830">
        <v>0</v>
      </c>
      <c r="I66" s="166">
        <v>0</v>
      </c>
      <c r="J66" s="136"/>
    </row>
    <row r="67" spans="1:10" s="31" customFormat="1" ht="18" x14ac:dyDescent="0.3">
      <c r="A67" s="391">
        <v>26</v>
      </c>
      <c r="B67" s="1371"/>
      <c r="C67" s="1358"/>
      <c r="D67" s="1371"/>
      <c r="E67" s="158" t="s">
        <v>1617</v>
      </c>
      <c r="F67" s="158">
        <v>1</v>
      </c>
      <c r="G67" s="159"/>
      <c r="H67" s="830">
        <v>0</v>
      </c>
      <c r="I67" s="166">
        <v>0</v>
      </c>
      <c r="J67" s="136"/>
    </row>
    <row r="68" spans="1:10" s="31" customFormat="1" ht="72" x14ac:dyDescent="0.3">
      <c r="A68" s="391">
        <v>26</v>
      </c>
      <c r="B68" s="1371"/>
      <c r="C68" s="1358"/>
      <c r="D68" s="1371"/>
      <c r="E68" s="158" t="s">
        <v>1330</v>
      </c>
      <c r="F68" s="158">
        <v>1</v>
      </c>
      <c r="G68" s="159"/>
      <c r="H68" s="830">
        <v>0</v>
      </c>
      <c r="I68" s="166">
        <v>0</v>
      </c>
      <c r="J68" s="136"/>
    </row>
    <row r="69" spans="1:10" s="31" customFormat="1" ht="18.600000000000001" thickBot="1" x14ac:dyDescent="0.35">
      <c r="A69" s="391">
        <v>26</v>
      </c>
      <c r="B69" s="1410"/>
      <c r="C69" s="1367"/>
      <c r="D69" s="1410"/>
      <c r="E69" s="158" t="s">
        <v>1612</v>
      </c>
      <c r="F69" s="158">
        <v>1</v>
      </c>
      <c r="G69" s="159"/>
      <c r="H69" s="1424" t="s">
        <v>1500</v>
      </c>
      <c r="I69" s="1425"/>
      <c r="J69" s="1426"/>
    </row>
    <row r="70" spans="1:10" s="31" customFormat="1" ht="98.1" customHeight="1" thickTop="1" x14ac:dyDescent="0.3">
      <c r="A70" s="391">
        <v>27</v>
      </c>
      <c r="B70" s="1401" t="s">
        <v>1327</v>
      </c>
      <c r="C70" s="1401" t="s">
        <v>428</v>
      </c>
      <c r="D70" s="1401" t="s">
        <v>428</v>
      </c>
      <c r="E70" s="150" t="s">
        <v>428</v>
      </c>
      <c r="F70" s="150">
        <v>1</v>
      </c>
      <c r="G70" s="151"/>
      <c r="H70" s="1401" t="s">
        <v>878</v>
      </c>
      <c r="I70" s="1401"/>
      <c r="J70" s="1402"/>
    </row>
    <row r="71" spans="1:10" s="31" customFormat="1" ht="123" customHeight="1" x14ac:dyDescent="0.3">
      <c r="A71" s="391">
        <v>27</v>
      </c>
      <c r="B71" s="1310"/>
      <c r="C71" s="1310"/>
      <c r="D71" s="1310"/>
      <c r="E71" s="127" t="s">
        <v>428</v>
      </c>
      <c r="F71" s="127">
        <v>1</v>
      </c>
      <c r="G71" s="128"/>
      <c r="H71" s="1310" t="s">
        <v>2580</v>
      </c>
      <c r="I71" s="1310"/>
      <c r="J71" s="1315"/>
    </row>
    <row r="72" spans="1:10" s="31" customFormat="1" ht="63.6" customHeight="1" x14ac:dyDescent="0.3">
      <c r="A72" s="391">
        <v>27</v>
      </c>
      <c r="B72" s="1310"/>
      <c r="C72" s="1310"/>
      <c r="D72" s="1310"/>
      <c r="E72" s="127" t="s">
        <v>428</v>
      </c>
      <c r="F72" s="127">
        <v>1</v>
      </c>
      <c r="G72" s="128"/>
      <c r="H72" s="1310" t="s">
        <v>880</v>
      </c>
      <c r="I72" s="1310"/>
      <c r="J72" s="1315"/>
    </row>
    <row r="73" spans="1:10" s="31" customFormat="1" ht="74.55" customHeight="1" x14ac:dyDescent="0.3">
      <c r="A73" s="391">
        <v>27</v>
      </c>
      <c r="B73" s="1310"/>
      <c r="C73" s="1310"/>
      <c r="D73" s="1310"/>
      <c r="E73" s="127" t="s">
        <v>428</v>
      </c>
      <c r="F73" s="127">
        <v>1</v>
      </c>
      <c r="G73" s="128"/>
      <c r="H73" s="1310" t="s">
        <v>881</v>
      </c>
      <c r="I73" s="1310"/>
      <c r="J73" s="1315"/>
    </row>
    <row r="74" spans="1:10" s="31" customFormat="1" ht="18" x14ac:dyDescent="0.3">
      <c r="A74" s="391">
        <v>27</v>
      </c>
      <c r="B74" s="1310"/>
      <c r="C74" s="1310"/>
      <c r="D74" s="1310"/>
      <c r="E74" s="127" t="s">
        <v>428</v>
      </c>
      <c r="F74" s="127">
        <v>1</v>
      </c>
      <c r="G74" s="128"/>
      <c r="H74" s="1310" t="s">
        <v>1257</v>
      </c>
      <c r="I74" s="1310"/>
      <c r="J74" s="1315"/>
    </row>
    <row r="75" spans="1:10" s="31" customFormat="1" ht="18" x14ac:dyDescent="0.3">
      <c r="A75" s="391">
        <v>27</v>
      </c>
      <c r="B75" s="1310"/>
      <c r="C75" s="1310"/>
      <c r="D75" s="1310"/>
      <c r="E75" s="127" t="s">
        <v>1315</v>
      </c>
      <c r="F75" s="127">
        <v>1</v>
      </c>
      <c r="G75" s="128"/>
      <c r="H75" s="830">
        <v>0</v>
      </c>
      <c r="I75" s="169">
        <v>0</v>
      </c>
      <c r="J75" s="177">
        <v>0</v>
      </c>
    </row>
    <row r="76" spans="1:10" s="31" customFormat="1" ht="315" customHeight="1" x14ac:dyDescent="0.3">
      <c r="A76" s="1406">
        <v>27</v>
      </c>
      <c r="B76" s="1306" t="s">
        <v>1327</v>
      </c>
      <c r="C76" s="1306" t="s">
        <v>429</v>
      </c>
      <c r="D76" s="1306" t="s">
        <v>429</v>
      </c>
      <c r="E76" s="1031" t="s">
        <v>429</v>
      </c>
      <c r="F76" s="127">
        <v>1</v>
      </c>
      <c r="G76" s="128"/>
      <c r="H76" s="1430" t="s">
        <v>2851</v>
      </c>
      <c r="I76" s="1431"/>
      <c r="J76" s="1432"/>
    </row>
    <row r="77" spans="1:10" s="31" customFormat="1" ht="207" customHeight="1" x14ac:dyDescent="0.3">
      <c r="A77" s="1407"/>
      <c r="B77" s="1408"/>
      <c r="C77" s="1408"/>
      <c r="D77" s="1408"/>
      <c r="E77" s="1045" t="s">
        <v>2774</v>
      </c>
      <c r="F77" s="1045">
        <v>1</v>
      </c>
      <c r="G77" s="1054"/>
      <c r="H77" s="830">
        <v>0</v>
      </c>
      <c r="I77" s="1244">
        <v>0</v>
      </c>
      <c r="J77" s="1245">
        <v>0</v>
      </c>
    </row>
    <row r="78" spans="1:10" s="31" customFormat="1" ht="81.599999999999994" customHeight="1" x14ac:dyDescent="0.3">
      <c r="A78" s="391">
        <v>27</v>
      </c>
      <c r="B78" s="1310" t="s">
        <v>1327</v>
      </c>
      <c r="C78" s="1310" t="s">
        <v>210</v>
      </c>
      <c r="D78" s="1310" t="s">
        <v>210</v>
      </c>
      <c r="E78" s="127" t="s">
        <v>210</v>
      </c>
      <c r="F78" s="127">
        <v>1</v>
      </c>
      <c r="G78" s="128"/>
      <c r="H78" s="1310" t="s">
        <v>882</v>
      </c>
      <c r="I78" s="1310"/>
      <c r="J78" s="1315"/>
    </row>
    <row r="79" spans="1:10" s="31" customFormat="1" ht="81.599999999999994" customHeight="1" x14ac:dyDescent="0.3">
      <c r="A79" s="391">
        <v>27</v>
      </c>
      <c r="B79" s="1310"/>
      <c r="C79" s="1310"/>
      <c r="D79" s="1310"/>
      <c r="E79" s="127" t="s">
        <v>210</v>
      </c>
      <c r="F79" s="127">
        <v>1</v>
      </c>
      <c r="G79" s="128"/>
      <c r="H79" s="1325" t="s">
        <v>1332</v>
      </c>
      <c r="I79" s="1325"/>
      <c r="J79" s="1326"/>
    </row>
    <row r="80" spans="1:10" s="31" customFormat="1" ht="81.599999999999994" customHeight="1" x14ac:dyDescent="0.3">
      <c r="A80" s="391">
        <v>27</v>
      </c>
      <c r="B80" s="1310"/>
      <c r="C80" s="1310"/>
      <c r="D80" s="1310"/>
      <c r="E80" s="127" t="s">
        <v>210</v>
      </c>
      <c r="F80" s="127">
        <v>1</v>
      </c>
      <c r="G80" s="128"/>
      <c r="H80" s="1310" t="s">
        <v>883</v>
      </c>
      <c r="I80" s="1310"/>
      <c r="J80" s="1315"/>
    </row>
    <row r="81" spans="1:10" s="31" customFormat="1" ht="188.55" customHeight="1" x14ac:dyDescent="0.3">
      <c r="A81" s="391">
        <v>27</v>
      </c>
      <c r="B81" s="1310"/>
      <c r="C81" s="1310"/>
      <c r="D81" s="1310"/>
      <c r="E81" s="127" t="s">
        <v>210</v>
      </c>
      <c r="F81" s="127">
        <v>1</v>
      </c>
      <c r="G81" s="128"/>
      <c r="H81" s="1310" t="s">
        <v>1948</v>
      </c>
      <c r="I81" s="1310"/>
      <c r="J81" s="1315"/>
    </row>
    <row r="82" spans="1:10" s="31" customFormat="1" ht="18" x14ac:dyDescent="0.3">
      <c r="A82" s="391">
        <v>27</v>
      </c>
      <c r="B82" s="1310"/>
      <c r="C82" s="1310"/>
      <c r="D82" s="1310"/>
      <c r="E82" s="127" t="s">
        <v>1315</v>
      </c>
      <c r="F82" s="127">
        <v>1</v>
      </c>
      <c r="G82" s="128"/>
      <c r="H82" s="830">
        <v>0</v>
      </c>
      <c r="I82" s="169">
        <v>0</v>
      </c>
      <c r="J82" s="136">
        <v>0</v>
      </c>
    </row>
    <row r="83" spans="1:10" s="31" customFormat="1" ht="36" x14ac:dyDescent="0.3">
      <c r="A83" s="391">
        <v>27</v>
      </c>
      <c r="B83" s="1310" t="s">
        <v>1327</v>
      </c>
      <c r="C83" s="1310" t="s">
        <v>431</v>
      </c>
      <c r="D83" s="1310" t="s">
        <v>431</v>
      </c>
      <c r="E83" s="127" t="s">
        <v>431</v>
      </c>
      <c r="F83" s="127">
        <v>1</v>
      </c>
      <c r="G83" s="128"/>
      <c r="H83" s="1310" t="s">
        <v>2777</v>
      </c>
      <c r="I83" s="1310"/>
      <c r="J83" s="1315"/>
    </row>
    <row r="84" spans="1:10" s="47" customFormat="1" ht="18" x14ac:dyDescent="0.3">
      <c r="A84" s="391">
        <v>27</v>
      </c>
      <c r="B84" s="1310"/>
      <c r="C84" s="1310"/>
      <c r="D84" s="1310"/>
      <c r="E84" s="127" t="s">
        <v>1333</v>
      </c>
      <c r="F84" s="127">
        <v>1</v>
      </c>
      <c r="G84" s="127"/>
      <c r="H84" s="1244"/>
      <c r="I84" s="169">
        <v>0</v>
      </c>
      <c r="J84" s="170">
        <v>0</v>
      </c>
    </row>
    <row r="85" spans="1:10" s="31" customFormat="1" ht="38.25" customHeight="1" x14ac:dyDescent="0.3">
      <c r="A85" s="391">
        <v>27</v>
      </c>
      <c r="B85" s="1310" t="s">
        <v>1327</v>
      </c>
      <c r="C85" s="1310" t="s">
        <v>2769</v>
      </c>
      <c r="D85" s="1310" t="s">
        <v>2769</v>
      </c>
      <c r="E85" s="127" t="s">
        <v>2769</v>
      </c>
      <c r="F85" s="127">
        <v>1</v>
      </c>
      <c r="G85" s="128"/>
      <c r="H85" s="1310" t="s">
        <v>2777</v>
      </c>
      <c r="I85" s="1310"/>
      <c r="J85" s="1315"/>
    </row>
    <row r="86" spans="1:10" s="31" customFormat="1" ht="38.25" customHeight="1" x14ac:dyDescent="0.3">
      <c r="A86" s="1054">
        <v>27</v>
      </c>
      <c r="B86" s="1296"/>
      <c r="C86" s="1296"/>
      <c r="D86" s="1296"/>
      <c r="E86" s="1045" t="s">
        <v>2773</v>
      </c>
      <c r="F86" s="127">
        <v>1</v>
      </c>
      <c r="G86" s="1054"/>
      <c r="H86" s="169">
        <v>0</v>
      </c>
      <c r="I86" s="1244"/>
      <c r="J86" s="1246">
        <v>0</v>
      </c>
    </row>
    <row r="87" spans="1:10" s="47" customFormat="1" ht="18" x14ac:dyDescent="0.3">
      <c r="A87" s="391">
        <v>27</v>
      </c>
      <c r="B87" s="1310"/>
      <c r="C87" s="1310"/>
      <c r="D87" s="1310"/>
      <c r="E87" s="127" t="s">
        <v>1333</v>
      </c>
      <c r="F87" s="127">
        <v>1</v>
      </c>
      <c r="G87" s="127"/>
      <c r="H87" s="169">
        <v>0</v>
      </c>
      <c r="I87" s="1244"/>
      <c r="J87" s="1246">
        <v>0</v>
      </c>
    </row>
    <row r="88" spans="1:10" s="47" customFormat="1" ht="193.05" customHeight="1" x14ac:dyDescent="0.3">
      <c r="A88" s="1054">
        <v>27</v>
      </c>
      <c r="B88" s="1310" t="s">
        <v>1327</v>
      </c>
      <c r="C88" s="1306" t="s">
        <v>432</v>
      </c>
      <c r="D88" s="1306" t="s">
        <v>432</v>
      </c>
      <c r="E88" s="1045" t="s">
        <v>432</v>
      </c>
      <c r="F88" s="1045">
        <v>1</v>
      </c>
      <c r="G88" s="1045"/>
      <c r="H88" s="1336" t="s">
        <v>2954</v>
      </c>
      <c r="I88" s="1337"/>
      <c r="J88" s="1338"/>
    </row>
    <row r="89" spans="1:10" s="47" customFormat="1" ht="192" customHeight="1" x14ac:dyDescent="0.3">
      <c r="A89" s="1054">
        <v>27</v>
      </c>
      <c r="B89" s="1310"/>
      <c r="C89" s="1307"/>
      <c r="D89" s="1307"/>
      <c r="E89" s="1045" t="s">
        <v>432</v>
      </c>
      <c r="F89" s="1045">
        <v>1</v>
      </c>
      <c r="G89" s="1045"/>
      <c r="H89" s="1336" t="s">
        <v>2581</v>
      </c>
      <c r="I89" s="1337"/>
      <c r="J89" s="1338"/>
    </row>
    <row r="90" spans="1:10" s="31" customFormat="1" ht="159.6" customHeight="1" x14ac:dyDescent="0.3">
      <c r="A90" s="391">
        <v>27</v>
      </c>
      <c r="B90" s="1310" t="s">
        <v>1327</v>
      </c>
      <c r="C90" s="1310" t="s">
        <v>326</v>
      </c>
      <c r="D90" s="1310" t="s">
        <v>326</v>
      </c>
      <c r="E90" s="127" t="s">
        <v>326</v>
      </c>
      <c r="F90" s="127">
        <v>1</v>
      </c>
      <c r="G90" s="128"/>
      <c r="H90" s="1310" t="s">
        <v>2582</v>
      </c>
      <c r="I90" s="1310"/>
      <c r="J90" s="1315"/>
    </row>
    <row r="91" spans="1:10" s="31" customFormat="1" ht="18" x14ac:dyDescent="0.3">
      <c r="A91" s="391">
        <v>27</v>
      </c>
      <c r="B91" s="1310"/>
      <c r="C91" s="1310"/>
      <c r="D91" s="1310"/>
      <c r="E91" s="127" t="s">
        <v>1315</v>
      </c>
      <c r="F91" s="127">
        <v>1</v>
      </c>
      <c r="G91" s="128"/>
      <c r="H91" s="830">
        <v>0</v>
      </c>
      <c r="I91" s="169">
        <v>0</v>
      </c>
      <c r="J91" s="170">
        <v>0</v>
      </c>
    </row>
    <row r="92" spans="1:10" s="31" customFormat="1" ht="159.6" customHeight="1" x14ac:dyDescent="0.3">
      <c r="A92" s="391">
        <v>27</v>
      </c>
      <c r="B92" s="127" t="s">
        <v>1327</v>
      </c>
      <c r="C92" s="127" t="s">
        <v>434</v>
      </c>
      <c r="D92" s="127" t="s">
        <v>434</v>
      </c>
      <c r="E92" s="127" t="s">
        <v>434</v>
      </c>
      <c r="F92" s="127">
        <v>1</v>
      </c>
      <c r="G92" s="128"/>
      <c r="H92" s="1310" t="s">
        <v>1336</v>
      </c>
      <c r="I92" s="1310"/>
      <c r="J92" s="1315"/>
    </row>
    <row r="93" spans="1:10" s="31" customFormat="1" ht="132.44999999999999" customHeight="1" x14ac:dyDescent="0.3">
      <c r="A93" s="391">
        <v>27</v>
      </c>
      <c r="B93" s="1310" t="s">
        <v>1327</v>
      </c>
      <c r="C93" s="1310" t="s">
        <v>327</v>
      </c>
      <c r="D93" s="1310" t="s">
        <v>327</v>
      </c>
      <c r="E93" s="127" t="s">
        <v>327</v>
      </c>
      <c r="F93" s="127">
        <v>1</v>
      </c>
      <c r="G93" s="128"/>
      <c r="H93" s="1310" t="s">
        <v>2864</v>
      </c>
      <c r="I93" s="1310"/>
      <c r="J93" s="1315"/>
    </row>
    <row r="94" spans="1:10" s="31" customFormat="1" ht="73.95" customHeight="1" x14ac:dyDescent="0.3">
      <c r="A94" s="391">
        <v>27</v>
      </c>
      <c r="B94" s="1310"/>
      <c r="C94" s="1310"/>
      <c r="D94" s="1310"/>
      <c r="E94" s="127" t="s">
        <v>327</v>
      </c>
      <c r="F94" s="127">
        <v>1</v>
      </c>
      <c r="G94" s="128"/>
      <c r="H94" s="1310" t="s">
        <v>885</v>
      </c>
      <c r="I94" s="1310"/>
      <c r="J94" s="1315"/>
    </row>
    <row r="95" spans="1:10" s="31" customFormat="1" ht="18" x14ac:dyDescent="0.3">
      <c r="A95" s="391">
        <v>27</v>
      </c>
      <c r="B95" s="1310"/>
      <c r="C95" s="1310"/>
      <c r="D95" s="1310"/>
      <c r="E95" s="127" t="s">
        <v>1315</v>
      </c>
      <c r="F95" s="127">
        <v>1</v>
      </c>
      <c r="G95" s="128"/>
      <c r="H95" s="169">
        <v>0</v>
      </c>
      <c r="I95" s="169">
        <v>0</v>
      </c>
      <c r="J95" s="170">
        <v>0</v>
      </c>
    </row>
    <row r="96" spans="1:10" s="31" customFormat="1" ht="109.5" customHeight="1" x14ac:dyDescent="0.3">
      <c r="A96" s="391">
        <v>27</v>
      </c>
      <c r="B96" s="1310" t="s">
        <v>1327</v>
      </c>
      <c r="C96" s="1310" t="s">
        <v>328</v>
      </c>
      <c r="D96" s="1310" t="s">
        <v>328</v>
      </c>
      <c r="E96" s="127" t="s">
        <v>328</v>
      </c>
      <c r="F96" s="127">
        <v>1</v>
      </c>
      <c r="G96" s="128"/>
      <c r="H96" s="1310" t="s">
        <v>886</v>
      </c>
      <c r="I96" s="1310"/>
      <c r="J96" s="1315"/>
    </row>
    <row r="97" spans="1:10" s="31" customFormat="1" ht="78" customHeight="1" x14ac:dyDescent="0.3">
      <c r="A97" s="391">
        <v>27</v>
      </c>
      <c r="B97" s="1310"/>
      <c r="C97" s="1310"/>
      <c r="D97" s="1310"/>
      <c r="E97" s="127" t="s">
        <v>328</v>
      </c>
      <c r="F97" s="127">
        <v>1</v>
      </c>
      <c r="G97" s="128"/>
      <c r="H97" s="1310" t="s">
        <v>1726</v>
      </c>
      <c r="I97" s="1310"/>
      <c r="J97" s="1315"/>
    </row>
    <row r="98" spans="1:10" s="31" customFormat="1" ht="84.6" customHeight="1" thickBot="1" x14ac:dyDescent="0.35">
      <c r="A98" s="391">
        <v>27</v>
      </c>
      <c r="B98" s="1312"/>
      <c r="C98" s="1312"/>
      <c r="D98" s="1312"/>
      <c r="E98" s="144" t="s">
        <v>328</v>
      </c>
      <c r="F98" s="144">
        <v>1</v>
      </c>
      <c r="G98" s="145"/>
      <c r="H98" s="1312" t="s">
        <v>887</v>
      </c>
      <c r="I98" s="1312"/>
      <c r="J98" s="1396"/>
    </row>
    <row r="99" spans="1:10" s="31" customFormat="1" ht="36.6" thickTop="1" x14ac:dyDescent="0.3">
      <c r="A99" s="1054"/>
      <c r="B99" s="1409" t="s">
        <v>2695</v>
      </c>
      <c r="C99" s="1409" t="s">
        <v>2697</v>
      </c>
      <c r="D99" s="158" t="s">
        <v>2695</v>
      </c>
      <c r="E99" s="158" t="s">
        <v>2695</v>
      </c>
      <c r="F99" s="158">
        <v>1</v>
      </c>
      <c r="G99" s="159"/>
      <c r="H99" s="1412" t="s">
        <v>2696</v>
      </c>
      <c r="I99" s="1413"/>
      <c r="J99" s="1414"/>
    </row>
    <row r="100" spans="1:10" s="31" customFormat="1" ht="36" x14ac:dyDescent="0.3">
      <c r="A100" s="1054"/>
      <c r="B100" s="1371"/>
      <c r="C100" s="1371"/>
      <c r="D100" s="1371" t="s">
        <v>3045</v>
      </c>
      <c r="E100" s="158" t="s">
        <v>2747</v>
      </c>
      <c r="F100" s="158"/>
      <c r="G100" s="159"/>
      <c r="H100" s="830">
        <v>0</v>
      </c>
      <c r="I100" s="1228">
        <v>0</v>
      </c>
      <c r="J100" s="1227">
        <v>0</v>
      </c>
    </row>
    <row r="101" spans="1:10" s="31" customFormat="1" ht="56.25" customHeight="1" x14ac:dyDescent="0.3">
      <c r="A101" s="1054"/>
      <c r="B101" s="1371"/>
      <c r="C101" s="1371"/>
      <c r="D101" s="1371"/>
      <c r="E101" s="158" t="s">
        <v>2698</v>
      </c>
      <c r="F101" s="158"/>
      <c r="G101" s="159"/>
      <c r="H101" s="830">
        <v>0</v>
      </c>
      <c r="I101" s="1228">
        <v>0</v>
      </c>
      <c r="J101" s="1227">
        <v>0</v>
      </c>
    </row>
    <row r="102" spans="1:10" s="31" customFormat="1" ht="56.25" customHeight="1" x14ac:dyDescent="0.3">
      <c r="A102" s="1054"/>
      <c r="B102" s="1371"/>
      <c r="C102" s="1371"/>
      <c r="D102" s="1371"/>
      <c r="E102" s="158" t="s">
        <v>2748</v>
      </c>
      <c r="F102" s="158"/>
      <c r="G102" s="159"/>
      <c r="H102" s="830">
        <v>0</v>
      </c>
      <c r="I102" s="1228">
        <v>0</v>
      </c>
      <c r="J102" s="1227">
        <v>0</v>
      </c>
    </row>
    <row r="103" spans="1:10" s="31" customFormat="1" ht="36" x14ac:dyDescent="0.3">
      <c r="A103" s="1054"/>
      <c r="B103" s="1371"/>
      <c r="C103" s="1371"/>
      <c r="D103" s="1371"/>
      <c r="E103" s="158" t="s">
        <v>2699</v>
      </c>
      <c r="F103" s="158"/>
      <c r="G103" s="159"/>
      <c r="H103" s="830">
        <v>0</v>
      </c>
      <c r="I103" s="1228">
        <v>0</v>
      </c>
      <c r="J103" s="1227">
        <v>0</v>
      </c>
    </row>
    <row r="104" spans="1:10" s="31" customFormat="1" ht="36" x14ac:dyDescent="0.3">
      <c r="A104" s="1054"/>
      <c r="B104" s="1371"/>
      <c r="C104" s="1371"/>
      <c r="D104" s="1371"/>
      <c r="E104" s="158" t="s">
        <v>2700</v>
      </c>
      <c r="F104" s="158"/>
      <c r="G104" s="159"/>
      <c r="H104" s="830">
        <v>0</v>
      </c>
      <c r="I104" s="1228">
        <v>0</v>
      </c>
      <c r="J104" s="1227">
        <v>0</v>
      </c>
    </row>
    <row r="105" spans="1:10" s="31" customFormat="1" ht="54" x14ac:dyDescent="0.3">
      <c r="A105" s="1054"/>
      <c r="B105" s="1371"/>
      <c r="C105" s="1371"/>
      <c r="D105" s="1371"/>
      <c r="E105" s="158" t="s">
        <v>2701</v>
      </c>
      <c r="F105" s="158"/>
      <c r="G105" s="159"/>
      <c r="H105" s="830">
        <v>0</v>
      </c>
      <c r="I105" s="1228">
        <v>0</v>
      </c>
      <c r="J105" s="1227">
        <v>0</v>
      </c>
    </row>
    <row r="106" spans="1:10" s="31" customFormat="1" ht="54" x14ac:dyDescent="0.3">
      <c r="A106" s="1054"/>
      <c r="B106" s="1371"/>
      <c r="C106" s="1371"/>
      <c r="D106" s="1371"/>
      <c r="E106" s="158" t="s">
        <v>2702</v>
      </c>
      <c r="F106" s="158"/>
      <c r="G106" s="159"/>
      <c r="H106" s="830">
        <v>0</v>
      </c>
      <c r="I106" s="1228">
        <v>0</v>
      </c>
      <c r="J106" s="1227">
        <v>0</v>
      </c>
    </row>
    <row r="107" spans="1:10" s="31" customFormat="1" ht="54" x14ac:dyDescent="0.3">
      <c r="A107" s="1054"/>
      <c r="B107" s="1371"/>
      <c r="C107" s="1371"/>
      <c r="D107" s="1371"/>
      <c r="E107" s="158" t="s">
        <v>2703</v>
      </c>
      <c r="F107" s="158"/>
      <c r="G107" s="159"/>
      <c r="H107" s="830">
        <v>0</v>
      </c>
      <c r="I107" s="1228">
        <v>0</v>
      </c>
      <c r="J107" s="1227">
        <v>0</v>
      </c>
    </row>
    <row r="108" spans="1:10" s="31" customFormat="1" ht="36" x14ac:dyDescent="0.3">
      <c r="A108" s="1054"/>
      <c r="B108" s="1371"/>
      <c r="C108" s="1371"/>
      <c r="D108" s="1371"/>
      <c r="E108" s="158" t="s">
        <v>2704</v>
      </c>
      <c r="F108" s="158"/>
      <c r="G108" s="159"/>
      <c r="H108" s="830">
        <v>0</v>
      </c>
      <c r="I108" s="1228">
        <v>0</v>
      </c>
      <c r="J108" s="1227">
        <v>0</v>
      </c>
    </row>
    <row r="109" spans="1:10" s="31" customFormat="1" ht="72" x14ac:dyDescent="0.3">
      <c r="A109" s="1054"/>
      <c r="B109" s="1371"/>
      <c r="C109" s="1371"/>
      <c r="D109" s="158" t="s">
        <v>3184</v>
      </c>
      <c r="E109" s="158" t="s">
        <v>2705</v>
      </c>
      <c r="F109" s="158"/>
      <c r="G109" s="159"/>
      <c r="H109" s="830">
        <v>0</v>
      </c>
      <c r="I109" s="1228">
        <v>0</v>
      </c>
      <c r="J109" s="1227">
        <v>0</v>
      </c>
    </row>
    <row r="110" spans="1:10" s="31" customFormat="1" ht="18" x14ac:dyDescent="0.3">
      <c r="A110" s="1054"/>
      <c r="B110" s="1371"/>
      <c r="C110" s="1371"/>
      <c r="D110" s="1311" t="s">
        <v>3049</v>
      </c>
      <c r="E110" s="158" t="s">
        <v>2714</v>
      </c>
      <c r="F110" s="158"/>
      <c r="G110" s="159"/>
      <c r="H110" s="830">
        <v>0</v>
      </c>
      <c r="I110" s="1228">
        <v>0</v>
      </c>
      <c r="J110" s="1227">
        <v>0</v>
      </c>
    </row>
    <row r="111" spans="1:10" s="31" customFormat="1" ht="18" x14ac:dyDescent="0.3">
      <c r="A111" s="1054"/>
      <c r="B111" s="1371"/>
      <c r="C111" s="1371"/>
      <c r="D111" s="1311"/>
      <c r="E111" s="158" t="s">
        <v>2715</v>
      </c>
      <c r="F111" s="158"/>
      <c r="G111" s="159"/>
      <c r="H111" s="830">
        <v>0</v>
      </c>
      <c r="I111" s="1228">
        <v>0</v>
      </c>
      <c r="J111" s="1227">
        <v>0</v>
      </c>
    </row>
    <row r="112" spans="1:10" s="31" customFormat="1" ht="36" x14ac:dyDescent="0.3">
      <c r="A112" s="1054"/>
      <c r="B112" s="1371"/>
      <c r="C112" s="1371"/>
      <c r="D112" s="1311"/>
      <c r="E112" s="158" t="s">
        <v>2716</v>
      </c>
      <c r="F112" s="158"/>
      <c r="G112" s="159"/>
      <c r="H112" s="830">
        <v>0</v>
      </c>
      <c r="I112" s="1228">
        <v>0</v>
      </c>
      <c r="J112" s="1227">
        <v>0</v>
      </c>
    </row>
    <row r="113" spans="1:10" s="31" customFormat="1" ht="18" x14ac:dyDescent="0.3">
      <c r="A113" s="1054"/>
      <c r="B113" s="1371"/>
      <c r="C113" s="1371"/>
      <c r="D113" s="1311"/>
      <c r="E113" s="158" t="s">
        <v>2717</v>
      </c>
      <c r="F113" s="158"/>
      <c r="G113" s="159"/>
      <c r="H113" s="830">
        <v>0</v>
      </c>
      <c r="I113" s="1228">
        <v>0</v>
      </c>
      <c r="J113" s="1227">
        <v>0</v>
      </c>
    </row>
    <row r="114" spans="1:10" s="31" customFormat="1" ht="36" x14ac:dyDescent="0.3">
      <c r="A114" s="1054"/>
      <c r="B114" s="1371"/>
      <c r="C114" s="1371"/>
      <c r="D114" s="1311"/>
      <c r="E114" s="158" t="s">
        <v>2759</v>
      </c>
      <c r="F114" s="158"/>
      <c r="G114" s="159"/>
      <c r="H114" s="830">
        <v>0</v>
      </c>
      <c r="I114" s="1228">
        <v>0</v>
      </c>
      <c r="J114" s="1227">
        <v>0</v>
      </c>
    </row>
    <row r="115" spans="1:10" s="31" customFormat="1" ht="36" x14ac:dyDescent="0.3">
      <c r="A115" s="1054"/>
      <c r="B115" s="1371"/>
      <c r="C115" s="1371"/>
      <c r="D115" s="1311"/>
      <c r="E115" s="158" t="s">
        <v>2720</v>
      </c>
      <c r="F115" s="158"/>
      <c r="G115" s="159"/>
      <c r="H115" s="830">
        <v>0</v>
      </c>
      <c r="I115" s="1228">
        <v>0</v>
      </c>
      <c r="J115" s="1227">
        <v>0</v>
      </c>
    </row>
    <row r="116" spans="1:10" s="31" customFormat="1" ht="36" x14ac:dyDescent="0.3">
      <c r="A116" s="1054"/>
      <c r="B116" s="1371"/>
      <c r="C116" s="1371"/>
      <c r="D116" s="1311"/>
      <c r="E116" s="158" t="s">
        <v>2718</v>
      </c>
      <c r="F116" s="158"/>
      <c r="G116" s="159"/>
      <c r="H116" s="830">
        <v>0</v>
      </c>
      <c r="I116" s="1228">
        <v>0</v>
      </c>
      <c r="J116" s="1227">
        <v>0</v>
      </c>
    </row>
    <row r="117" spans="1:10" s="31" customFormat="1" ht="36" x14ac:dyDescent="0.3">
      <c r="A117" s="1054"/>
      <c r="B117" s="1371"/>
      <c r="C117" s="1371"/>
      <c r="D117" s="1311"/>
      <c r="E117" s="158" t="s">
        <v>2719</v>
      </c>
      <c r="F117" s="158"/>
      <c r="G117" s="159"/>
      <c r="H117" s="830">
        <v>0</v>
      </c>
      <c r="I117" s="1228">
        <v>0</v>
      </c>
      <c r="J117" s="1227">
        <v>0</v>
      </c>
    </row>
    <row r="118" spans="1:10" s="31" customFormat="1" ht="36" x14ac:dyDescent="0.3">
      <c r="A118" s="1054"/>
      <c r="B118" s="1371"/>
      <c r="C118" s="1371"/>
      <c r="D118" s="1311"/>
      <c r="E118" s="158" t="s">
        <v>2758</v>
      </c>
      <c r="F118" s="158"/>
      <c r="G118" s="159"/>
      <c r="H118" s="830">
        <v>0</v>
      </c>
      <c r="I118" s="1228">
        <v>0</v>
      </c>
      <c r="J118" s="1227">
        <v>0</v>
      </c>
    </row>
    <row r="119" spans="1:10" s="31" customFormat="1" ht="36" x14ac:dyDescent="0.3">
      <c r="A119" s="1054"/>
      <c r="B119" s="1371"/>
      <c r="C119" s="1371"/>
      <c r="D119" s="1311"/>
      <c r="E119" s="158" t="s">
        <v>2721</v>
      </c>
      <c r="F119" s="158"/>
      <c r="G119" s="159"/>
      <c r="H119" s="830">
        <v>0</v>
      </c>
      <c r="I119" s="1228">
        <v>0</v>
      </c>
      <c r="J119" s="1227">
        <v>0</v>
      </c>
    </row>
    <row r="120" spans="1:10" s="31" customFormat="1" ht="36" x14ac:dyDescent="0.3">
      <c r="A120" s="1054"/>
      <c r="B120" s="1371"/>
      <c r="C120" s="1371"/>
      <c r="D120" s="1311"/>
      <c r="E120" s="158" t="s">
        <v>2722</v>
      </c>
      <c r="F120" s="158"/>
      <c r="G120" s="159"/>
      <c r="H120" s="830">
        <v>0</v>
      </c>
      <c r="I120" s="1228">
        <v>0</v>
      </c>
      <c r="J120" s="1227">
        <v>0</v>
      </c>
    </row>
    <row r="121" spans="1:10" s="31" customFormat="1" ht="18" x14ac:dyDescent="0.3">
      <c r="A121" s="1054"/>
      <c r="B121" s="1371"/>
      <c r="C121" s="1371"/>
      <c r="D121" s="1311"/>
      <c r="E121" s="158" t="s">
        <v>2723</v>
      </c>
      <c r="F121" s="158"/>
      <c r="G121" s="159"/>
      <c r="H121" s="830">
        <v>0</v>
      </c>
      <c r="I121" s="1228">
        <v>0</v>
      </c>
      <c r="J121" s="1227">
        <v>0</v>
      </c>
    </row>
    <row r="122" spans="1:10" s="31" customFormat="1" ht="36" x14ac:dyDescent="0.3">
      <c r="A122" s="1054"/>
      <c r="B122" s="1371"/>
      <c r="C122" s="1371"/>
      <c r="D122" s="1311"/>
      <c r="E122" s="158" t="s">
        <v>2724</v>
      </c>
      <c r="F122" s="158"/>
      <c r="G122" s="159"/>
      <c r="H122" s="830">
        <v>0</v>
      </c>
      <c r="I122" s="1228">
        <v>0</v>
      </c>
      <c r="J122" s="1227">
        <v>0</v>
      </c>
    </row>
    <row r="123" spans="1:10" s="31" customFormat="1" ht="54" x14ac:dyDescent="0.3">
      <c r="A123" s="1054"/>
      <c r="B123" s="1371"/>
      <c r="C123" s="1371"/>
      <c r="D123" s="1311" t="s">
        <v>3185</v>
      </c>
      <c r="E123" s="158" t="s">
        <v>2706</v>
      </c>
      <c r="F123" s="158"/>
      <c r="G123" s="159"/>
      <c r="H123" s="830">
        <v>0</v>
      </c>
      <c r="I123" s="1228">
        <v>0</v>
      </c>
      <c r="J123" s="1227">
        <v>0</v>
      </c>
    </row>
    <row r="124" spans="1:10" s="31" customFormat="1" ht="82.5" customHeight="1" x14ac:dyDescent="0.3">
      <c r="A124" s="1054"/>
      <c r="B124" s="1371"/>
      <c r="C124" s="1371"/>
      <c r="D124" s="1311"/>
      <c r="E124" s="158" t="s">
        <v>2749</v>
      </c>
      <c r="F124" s="158"/>
      <c r="G124" s="159"/>
      <c r="H124" s="830">
        <v>0</v>
      </c>
      <c r="I124" s="1228">
        <v>0</v>
      </c>
      <c r="J124" s="1227">
        <v>0</v>
      </c>
    </row>
    <row r="125" spans="1:10" s="31" customFormat="1" ht="36" x14ac:dyDescent="0.3">
      <c r="A125" s="1054"/>
      <c r="B125" s="1371"/>
      <c r="C125" s="1371"/>
      <c r="D125" s="1311"/>
      <c r="E125" s="158" t="s">
        <v>2979</v>
      </c>
      <c r="F125" s="158"/>
      <c r="G125" s="159"/>
      <c r="H125" s="830">
        <v>0</v>
      </c>
      <c r="I125" s="1228">
        <v>0</v>
      </c>
      <c r="J125" s="1227">
        <v>0</v>
      </c>
    </row>
    <row r="126" spans="1:10" s="31" customFormat="1" ht="36" x14ac:dyDescent="0.3">
      <c r="A126" s="1054"/>
      <c r="B126" s="1371"/>
      <c r="C126" s="1371"/>
      <c r="D126" s="1311"/>
      <c r="E126" s="158" t="s">
        <v>2980</v>
      </c>
      <c r="F126" s="158"/>
      <c r="G126" s="159"/>
      <c r="H126" s="830">
        <v>0</v>
      </c>
      <c r="I126" s="1228">
        <v>0</v>
      </c>
      <c r="J126" s="1227">
        <v>0</v>
      </c>
    </row>
    <row r="127" spans="1:10" s="31" customFormat="1" ht="36" x14ac:dyDescent="0.3">
      <c r="A127" s="1054"/>
      <c r="B127" s="1371"/>
      <c r="C127" s="1371"/>
      <c r="D127" s="1311"/>
      <c r="E127" s="158" t="s">
        <v>2981</v>
      </c>
      <c r="F127" s="158"/>
      <c r="G127" s="159"/>
      <c r="H127" s="830">
        <v>0</v>
      </c>
      <c r="I127" s="1228">
        <v>0</v>
      </c>
      <c r="J127" s="1227">
        <v>0</v>
      </c>
    </row>
    <row r="128" spans="1:10" s="31" customFormat="1" ht="36" x14ac:dyDescent="0.3">
      <c r="A128" s="1054"/>
      <c r="B128" s="1371"/>
      <c r="C128" s="1371"/>
      <c r="D128" s="1311"/>
      <c r="E128" s="158" t="s">
        <v>2982</v>
      </c>
      <c r="F128" s="158"/>
      <c r="G128" s="159"/>
      <c r="H128" s="830">
        <v>0</v>
      </c>
      <c r="I128" s="1228">
        <v>0</v>
      </c>
      <c r="J128" s="1227">
        <v>0</v>
      </c>
    </row>
    <row r="129" spans="1:10" s="31" customFormat="1" ht="36" x14ac:dyDescent="0.3">
      <c r="A129" s="1054"/>
      <c r="B129" s="1371"/>
      <c r="C129" s="1371"/>
      <c r="D129" s="1311"/>
      <c r="E129" s="158" t="s">
        <v>2983</v>
      </c>
      <c r="F129" s="158"/>
      <c r="G129" s="159"/>
      <c r="H129" s="830">
        <v>0</v>
      </c>
      <c r="I129" s="1228">
        <v>0</v>
      </c>
      <c r="J129" s="1227">
        <v>0</v>
      </c>
    </row>
    <row r="130" spans="1:10" s="31" customFormat="1" ht="36" x14ac:dyDescent="0.3">
      <c r="A130" s="1054"/>
      <c r="B130" s="1371"/>
      <c r="C130" s="1371"/>
      <c r="D130" s="1311"/>
      <c r="E130" s="158" t="s">
        <v>2984</v>
      </c>
      <c r="F130" s="158"/>
      <c r="G130" s="159"/>
      <c r="H130" s="830">
        <v>0</v>
      </c>
      <c r="I130" s="1228">
        <v>0</v>
      </c>
      <c r="J130" s="1227">
        <v>0</v>
      </c>
    </row>
    <row r="131" spans="1:10" s="31" customFormat="1" ht="36" x14ac:dyDescent="0.3">
      <c r="A131" s="1054"/>
      <c r="B131" s="1371"/>
      <c r="C131" s="1371"/>
      <c r="D131" s="1311"/>
      <c r="E131" s="158" t="s">
        <v>2985</v>
      </c>
      <c r="F131" s="158"/>
      <c r="G131" s="159"/>
      <c r="H131" s="830">
        <v>0</v>
      </c>
      <c r="I131" s="1228">
        <v>0</v>
      </c>
      <c r="J131" s="1227">
        <v>0</v>
      </c>
    </row>
    <row r="132" spans="1:10" s="31" customFormat="1" ht="36" x14ac:dyDescent="0.3">
      <c r="A132" s="1054"/>
      <c r="B132" s="1371"/>
      <c r="C132" s="1371"/>
      <c r="D132" s="1311"/>
      <c r="E132" s="158" t="s">
        <v>2986</v>
      </c>
      <c r="F132" s="158"/>
      <c r="G132" s="159"/>
      <c r="H132" s="830">
        <v>0</v>
      </c>
      <c r="I132" s="1228">
        <v>0</v>
      </c>
      <c r="J132" s="1227">
        <v>0</v>
      </c>
    </row>
    <row r="133" spans="1:10" s="31" customFormat="1" ht="36" x14ac:dyDescent="0.3">
      <c r="A133" s="1054"/>
      <c r="B133" s="1371"/>
      <c r="C133" s="1371"/>
      <c r="D133" s="1311"/>
      <c r="E133" s="158" t="s">
        <v>2707</v>
      </c>
      <c r="F133" s="158"/>
      <c r="G133" s="159"/>
      <c r="H133" s="830">
        <v>0</v>
      </c>
      <c r="I133" s="1228">
        <v>0</v>
      </c>
      <c r="J133" s="1227">
        <v>0</v>
      </c>
    </row>
    <row r="134" spans="1:10" s="31" customFormat="1" ht="118.05" customHeight="1" x14ac:dyDescent="0.3">
      <c r="A134" s="1054"/>
      <c r="B134" s="1371"/>
      <c r="C134" s="1371"/>
      <c r="D134" s="1311"/>
      <c r="E134" s="158" t="s">
        <v>2708</v>
      </c>
      <c r="F134" s="158"/>
      <c r="G134" s="159"/>
      <c r="H134" s="830">
        <v>0</v>
      </c>
      <c r="I134" s="1228">
        <v>0</v>
      </c>
      <c r="J134" s="1227">
        <v>0</v>
      </c>
    </row>
    <row r="135" spans="1:10" s="31" customFormat="1" ht="36" x14ac:dyDescent="0.3">
      <c r="A135" s="1054"/>
      <c r="B135" s="1371"/>
      <c r="C135" s="1371"/>
      <c r="D135" s="1311"/>
      <c r="E135" s="158" t="s">
        <v>2709</v>
      </c>
      <c r="F135" s="158"/>
      <c r="G135" s="159"/>
      <c r="H135" s="830">
        <v>0</v>
      </c>
      <c r="I135" s="1228">
        <v>0</v>
      </c>
      <c r="J135" s="1227">
        <v>0</v>
      </c>
    </row>
    <row r="136" spans="1:10" s="31" customFormat="1" ht="36" x14ac:dyDescent="0.3">
      <c r="A136" s="1054"/>
      <c r="B136" s="1371"/>
      <c r="C136" s="1371"/>
      <c r="D136" s="1311"/>
      <c r="E136" s="158" t="s">
        <v>2710</v>
      </c>
      <c r="F136" s="158"/>
      <c r="G136" s="159"/>
      <c r="H136" s="830">
        <v>0</v>
      </c>
      <c r="I136" s="1228">
        <v>0</v>
      </c>
      <c r="J136" s="1227">
        <v>0</v>
      </c>
    </row>
    <row r="137" spans="1:10" s="31" customFormat="1" ht="54" x14ac:dyDescent="0.3">
      <c r="A137" s="1054"/>
      <c r="B137" s="1371"/>
      <c r="C137" s="1371"/>
      <c r="D137" s="1311"/>
      <c r="E137" s="158" t="s">
        <v>2711</v>
      </c>
      <c r="F137" s="158"/>
      <c r="G137" s="159"/>
      <c r="H137" s="830">
        <v>0</v>
      </c>
      <c r="I137" s="1228">
        <v>0</v>
      </c>
      <c r="J137" s="1227">
        <v>0</v>
      </c>
    </row>
    <row r="138" spans="1:10" s="31" customFormat="1" ht="54" x14ac:dyDescent="0.3">
      <c r="A138" s="1054"/>
      <c r="B138" s="1371"/>
      <c r="C138" s="1371"/>
      <c r="D138" s="1311"/>
      <c r="E138" s="158" t="s">
        <v>2712</v>
      </c>
      <c r="F138" s="158"/>
      <c r="G138" s="159"/>
      <c r="H138" s="830">
        <v>0</v>
      </c>
      <c r="I138" s="1228">
        <v>0</v>
      </c>
      <c r="J138" s="1227">
        <v>0</v>
      </c>
    </row>
    <row r="139" spans="1:10" s="31" customFormat="1" ht="108" customHeight="1" thickBot="1" x14ac:dyDescent="0.35">
      <c r="A139" s="1054"/>
      <c r="B139" s="1410"/>
      <c r="C139" s="1410"/>
      <c r="D139" s="1411"/>
      <c r="E139" s="158" t="s">
        <v>2695</v>
      </c>
      <c r="F139" s="158">
        <v>1</v>
      </c>
      <c r="G139" s="159"/>
      <c r="H139" s="1415" t="s">
        <v>2713</v>
      </c>
      <c r="I139" s="1416"/>
      <c r="J139" s="1417"/>
    </row>
    <row r="140" spans="1:10" s="47" customFormat="1" ht="76.05" customHeight="1" thickTop="1" x14ac:dyDescent="0.3">
      <c r="A140" s="392">
        <v>28</v>
      </c>
      <c r="B140" s="150" t="s">
        <v>329</v>
      </c>
      <c r="C140" s="150" t="s">
        <v>329</v>
      </c>
      <c r="D140" s="1401" t="s">
        <v>329</v>
      </c>
      <c r="E140" s="150" t="s">
        <v>329</v>
      </c>
      <c r="F140" s="150">
        <v>1</v>
      </c>
      <c r="G140" s="150"/>
      <c r="H140" s="1401" t="s">
        <v>2785</v>
      </c>
      <c r="I140" s="1401"/>
      <c r="J140" s="1402"/>
    </row>
    <row r="141" spans="1:10" s="31" customFormat="1" ht="62.1" customHeight="1" x14ac:dyDescent="0.3">
      <c r="A141" s="391">
        <v>28</v>
      </c>
      <c r="B141" s="127" t="s">
        <v>329</v>
      </c>
      <c r="C141" s="127"/>
      <c r="D141" s="1310"/>
      <c r="E141" s="127" t="s">
        <v>329</v>
      </c>
      <c r="F141" s="1045">
        <v>1</v>
      </c>
      <c r="G141" s="128"/>
      <c r="H141" s="1310" t="s">
        <v>511</v>
      </c>
      <c r="I141" s="1310"/>
      <c r="J141" s="1315"/>
    </row>
    <row r="142" spans="1:10" s="31" customFormat="1" ht="42" customHeight="1" x14ac:dyDescent="0.3">
      <c r="A142" s="391">
        <v>28</v>
      </c>
      <c r="B142" s="127" t="s">
        <v>329</v>
      </c>
      <c r="C142" s="127"/>
      <c r="D142" s="1310"/>
      <c r="E142" s="127" t="s">
        <v>329</v>
      </c>
      <c r="F142" s="146">
        <v>1</v>
      </c>
      <c r="G142" s="128"/>
      <c r="H142" s="1310" t="s">
        <v>512</v>
      </c>
      <c r="I142" s="1310"/>
      <c r="J142" s="1315"/>
    </row>
    <row r="143" spans="1:10" s="31" customFormat="1" ht="62.1" customHeight="1" x14ac:dyDescent="0.3">
      <c r="A143" s="391">
        <v>28</v>
      </c>
      <c r="B143" s="127" t="s">
        <v>329</v>
      </c>
      <c r="C143" s="127"/>
      <c r="D143" s="1310"/>
      <c r="E143" s="127" t="s">
        <v>329</v>
      </c>
      <c r="F143" s="127">
        <v>1</v>
      </c>
      <c r="G143" s="128"/>
      <c r="H143" s="1325" t="s">
        <v>1337</v>
      </c>
      <c r="I143" s="1325"/>
      <c r="J143" s="1326"/>
    </row>
    <row r="144" spans="1:10" s="31" customFormat="1" ht="45.6" customHeight="1" x14ac:dyDescent="0.3">
      <c r="A144" s="391">
        <v>28</v>
      </c>
      <c r="B144" s="127" t="s">
        <v>329</v>
      </c>
      <c r="C144" s="127"/>
      <c r="D144" s="1310"/>
      <c r="E144" s="127" t="s">
        <v>329</v>
      </c>
      <c r="F144" s="127">
        <v>1</v>
      </c>
      <c r="G144" s="128"/>
      <c r="H144" s="1325" t="s">
        <v>1338</v>
      </c>
      <c r="I144" s="1325"/>
      <c r="J144" s="1326"/>
    </row>
    <row r="145" spans="1:10" s="31" customFormat="1" ht="36" x14ac:dyDescent="0.3">
      <c r="A145" s="391">
        <v>28</v>
      </c>
      <c r="B145" s="127" t="s">
        <v>329</v>
      </c>
      <c r="C145" s="127"/>
      <c r="D145" s="1310"/>
      <c r="E145" s="127" t="s">
        <v>329</v>
      </c>
      <c r="F145" s="127">
        <v>1</v>
      </c>
      <c r="G145" s="128"/>
      <c r="H145" s="1310" t="s">
        <v>1257</v>
      </c>
      <c r="I145" s="1310"/>
      <c r="J145" s="1315"/>
    </row>
    <row r="146" spans="1:10" s="31" customFormat="1" ht="45.6" customHeight="1" x14ac:dyDescent="0.3">
      <c r="A146" s="391">
        <v>28</v>
      </c>
      <c r="B146" s="127" t="s">
        <v>329</v>
      </c>
      <c r="C146" s="127"/>
      <c r="D146" s="1310"/>
      <c r="E146" s="127" t="s">
        <v>329</v>
      </c>
      <c r="F146" s="127">
        <v>1</v>
      </c>
      <c r="G146" s="128"/>
      <c r="H146" s="1310" t="s">
        <v>513</v>
      </c>
      <c r="I146" s="1310"/>
      <c r="J146" s="1315"/>
    </row>
    <row r="147" spans="1:10" s="31" customFormat="1" ht="60" customHeight="1" x14ac:dyDescent="0.3">
      <c r="A147" s="391">
        <v>28</v>
      </c>
      <c r="B147" s="127" t="s">
        <v>329</v>
      </c>
      <c r="C147" s="127"/>
      <c r="D147" s="1310"/>
      <c r="E147" s="127" t="s">
        <v>329</v>
      </c>
      <c r="F147" s="127">
        <v>1</v>
      </c>
      <c r="G147" s="128"/>
      <c r="H147" s="1325" t="s">
        <v>1339</v>
      </c>
      <c r="I147" s="1325"/>
      <c r="J147" s="1326"/>
    </row>
    <row r="148" spans="1:10" s="31" customFormat="1" ht="45" customHeight="1" x14ac:dyDescent="0.3">
      <c r="A148" s="391">
        <v>28</v>
      </c>
      <c r="B148" s="127" t="s">
        <v>329</v>
      </c>
      <c r="C148" s="127"/>
      <c r="D148" s="1310"/>
      <c r="E148" s="127" t="s">
        <v>329</v>
      </c>
      <c r="F148" s="127">
        <v>1</v>
      </c>
      <c r="G148" s="128"/>
      <c r="H148" s="1325" t="s">
        <v>1340</v>
      </c>
      <c r="I148" s="1325"/>
      <c r="J148" s="1326"/>
    </row>
    <row r="149" spans="1:10" s="31" customFormat="1" ht="36" x14ac:dyDescent="0.3">
      <c r="A149" s="391">
        <v>28</v>
      </c>
      <c r="B149" s="127" t="s">
        <v>329</v>
      </c>
      <c r="C149" s="127"/>
      <c r="D149" s="1310"/>
      <c r="E149" s="127" t="s">
        <v>329</v>
      </c>
      <c r="F149" s="127">
        <v>1</v>
      </c>
      <c r="G149" s="128"/>
      <c r="H149" s="1325" t="s">
        <v>1341</v>
      </c>
      <c r="I149" s="1325"/>
      <c r="J149" s="1326"/>
    </row>
    <row r="150" spans="1:10" s="31" customFormat="1" ht="36" x14ac:dyDescent="0.3">
      <c r="A150" s="391">
        <v>28</v>
      </c>
      <c r="B150" s="127" t="s">
        <v>329</v>
      </c>
      <c r="C150" s="127"/>
      <c r="D150" s="1310"/>
      <c r="E150" s="127" t="s">
        <v>329</v>
      </c>
      <c r="F150" s="127">
        <v>1</v>
      </c>
      <c r="G150" s="128"/>
      <c r="H150" s="1310" t="s">
        <v>1257</v>
      </c>
      <c r="I150" s="1310"/>
      <c r="J150" s="1315"/>
    </row>
    <row r="151" spans="1:10" s="31" customFormat="1" ht="61.5" customHeight="1" x14ac:dyDescent="0.3">
      <c r="A151" s="391">
        <v>28</v>
      </c>
      <c r="B151" s="127" t="s">
        <v>329</v>
      </c>
      <c r="C151" s="127"/>
      <c r="D151" s="1310"/>
      <c r="E151" s="127" t="s">
        <v>329</v>
      </c>
      <c r="F151" s="127">
        <v>1</v>
      </c>
      <c r="G151" s="128"/>
      <c r="H151" s="1310" t="s">
        <v>936</v>
      </c>
      <c r="I151" s="1310"/>
      <c r="J151" s="1315"/>
    </row>
    <row r="152" spans="1:10" s="31" customFormat="1" ht="36" x14ac:dyDescent="0.3">
      <c r="A152" s="391">
        <v>28</v>
      </c>
      <c r="B152" s="127" t="s">
        <v>329</v>
      </c>
      <c r="C152" s="127"/>
      <c r="D152" s="1310"/>
      <c r="E152" s="127" t="s">
        <v>329</v>
      </c>
      <c r="F152" s="127">
        <v>1</v>
      </c>
      <c r="G152" s="128"/>
      <c r="H152" s="1310" t="s">
        <v>1257</v>
      </c>
      <c r="I152" s="1310"/>
      <c r="J152" s="1315"/>
    </row>
    <row r="153" spans="1:10" s="31" customFormat="1" ht="25.5" customHeight="1" x14ac:dyDescent="0.3">
      <c r="A153" s="391">
        <v>28</v>
      </c>
      <c r="B153" s="1310" t="s">
        <v>329</v>
      </c>
      <c r="C153" s="127" t="s">
        <v>939</v>
      </c>
      <c r="D153" s="1310" t="s">
        <v>939</v>
      </c>
      <c r="E153" s="127" t="s">
        <v>937</v>
      </c>
      <c r="F153" s="127">
        <v>1</v>
      </c>
      <c r="G153" s="128"/>
      <c r="H153" s="169">
        <v>0</v>
      </c>
      <c r="I153" s="169">
        <v>0</v>
      </c>
      <c r="J153" s="170">
        <v>0</v>
      </c>
    </row>
    <row r="154" spans="1:10" s="31" customFormat="1" ht="25.5" customHeight="1" x14ac:dyDescent="0.3">
      <c r="A154" s="391">
        <v>28</v>
      </c>
      <c r="B154" s="1310"/>
      <c r="C154" s="127"/>
      <c r="D154" s="1310"/>
      <c r="E154" s="127" t="s">
        <v>938</v>
      </c>
      <c r="F154" s="127">
        <v>1</v>
      </c>
      <c r="G154" s="128"/>
      <c r="H154" s="169">
        <v>0</v>
      </c>
      <c r="I154" s="169">
        <v>0</v>
      </c>
      <c r="J154" s="170">
        <v>0</v>
      </c>
    </row>
    <row r="155" spans="1:10" s="31" customFormat="1" ht="25.5" customHeight="1" x14ac:dyDescent="0.3">
      <c r="A155" s="391">
        <v>28</v>
      </c>
      <c r="B155" s="1310" t="s">
        <v>329</v>
      </c>
      <c r="C155" s="127" t="s">
        <v>940</v>
      </c>
      <c r="D155" s="1310" t="s">
        <v>940</v>
      </c>
      <c r="E155" s="127" t="s">
        <v>937</v>
      </c>
      <c r="F155" s="127">
        <v>1</v>
      </c>
      <c r="G155" s="128"/>
      <c r="H155" s="169">
        <v>0</v>
      </c>
      <c r="I155" s="169">
        <v>0</v>
      </c>
      <c r="J155" s="170">
        <v>0</v>
      </c>
    </row>
    <row r="156" spans="1:10" s="31" customFormat="1" ht="25.5" customHeight="1" x14ac:dyDescent="0.3">
      <c r="A156" s="391">
        <v>28</v>
      </c>
      <c r="B156" s="1310"/>
      <c r="C156" s="127"/>
      <c r="D156" s="1310"/>
      <c r="E156" s="127" t="s">
        <v>938</v>
      </c>
      <c r="F156" s="127">
        <v>1</v>
      </c>
      <c r="G156" s="128"/>
      <c r="H156" s="169">
        <v>0</v>
      </c>
      <c r="I156" s="169">
        <v>0</v>
      </c>
      <c r="J156" s="170">
        <v>0</v>
      </c>
    </row>
    <row r="157" spans="1:10" s="31" customFormat="1" ht="25.5" customHeight="1" x14ac:dyDescent="0.3">
      <c r="A157" s="391">
        <v>28</v>
      </c>
      <c r="B157" s="1310" t="s">
        <v>329</v>
      </c>
      <c r="C157" s="127" t="s">
        <v>941</v>
      </c>
      <c r="D157" s="1310" t="s">
        <v>941</v>
      </c>
      <c r="E157" s="127" t="s">
        <v>937</v>
      </c>
      <c r="F157" s="127">
        <v>1</v>
      </c>
      <c r="G157" s="128"/>
      <c r="H157" s="169">
        <v>0</v>
      </c>
      <c r="I157" s="169">
        <v>0</v>
      </c>
      <c r="J157" s="170">
        <v>0</v>
      </c>
    </row>
    <row r="158" spans="1:10" s="31" customFormat="1" ht="18" x14ac:dyDescent="0.3">
      <c r="A158" s="391">
        <v>28</v>
      </c>
      <c r="B158" s="1310"/>
      <c r="C158" s="127"/>
      <c r="D158" s="1310"/>
      <c r="E158" s="127" t="s">
        <v>938</v>
      </c>
      <c r="F158" s="127">
        <v>1</v>
      </c>
      <c r="G158" s="128"/>
      <c r="H158" s="169">
        <v>0</v>
      </c>
      <c r="I158" s="169">
        <v>0</v>
      </c>
      <c r="J158" s="170">
        <v>0</v>
      </c>
    </row>
    <row r="159" spans="1:10" s="31" customFormat="1" ht="25.5" customHeight="1" x14ac:dyDescent="0.3">
      <c r="A159" s="391">
        <v>28</v>
      </c>
      <c r="B159" s="1310" t="s">
        <v>329</v>
      </c>
      <c r="C159" s="127" t="s">
        <v>942</v>
      </c>
      <c r="D159" s="1310" t="s">
        <v>942</v>
      </c>
      <c r="E159" s="127" t="s">
        <v>937</v>
      </c>
      <c r="F159" s="127">
        <v>1</v>
      </c>
      <c r="G159" s="128"/>
      <c r="H159" s="169">
        <v>0</v>
      </c>
      <c r="I159" s="169">
        <v>0</v>
      </c>
      <c r="J159" s="170">
        <v>0</v>
      </c>
    </row>
    <row r="160" spans="1:10" s="31" customFormat="1" ht="25.5" customHeight="1" thickBot="1" x14ac:dyDescent="0.35">
      <c r="A160" s="391">
        <v>28</v>
      </c>
      <c r="B160" s="1312"/>
      <c r="C160" s="144"/>
      <c r="D160" s="1312"/>
      <c r="E160" s="144" t="s">
        <v>938</v>
      </c>
      <c r="F160" s="144">
        <v>1</v>
      </c>
      <c r="G160" s="145"/>
      <c r="H160" s="171">
        <v>0</v>
      </c>
      <c r="I160" s="171">
        <v>0</v>
      </c>
      <c r="J160" s="182">
        <v>0</v>
      </c>
    </row>
    <row r="161" spans="1:10" s="31" customFormat="1" ht="205.05" customHeight="1" thickTop="1" x14ac:dyDescent="0.3">
      <c r="A161" s="391">
        <v>29</v>
      </c>
      <c r="B161" s="1403" t="s">
        <v>330</v>
      </c>
      <c r="C161" s="151" t="s">
        <v>330</v>
      </c>
      <c r="D161" s="1403" t="s">
        <v>330</v>
      </c>
      <c r="E161" s="151" t="s">
        <v>330</v>
      </c>
      <c r="F161" s="127">
        <v>1</v>
      </c>
      <c r="G161" s="151"/>
      <c r="H161" s="1401" t="s">
        <v>3133</v>
      </c>
      <c r="I161" s="1401"/>
      <c r="J161" s="1402"/>
    </row>
    <row r="162" spans="1:10" s="31" customFormat="1" ht="18" x14ac:dyDescent="0.3">
      <c r="A162" s="391">
        <v>29</v>
      </c>
      <c r="B162" s="1404"/>
      <c r="C162" s="128"/>
      <c r="D162" s="1404"/>
      <c r="E162" s="128" t="s">
        <v>330</v>
      </c>
      <c r="F162" s="127">
        <v>1</v>
      </c>
      <c r="G162" s="128"/>
      <c r="H162" s="1310" t="s">
        <v>1257</v>
      </c>
      <c r="I162" s="1310"/>
      <c r="J162" s="1315"/>
    </row>
    <row r="163" spans="1:10" s="31" customFormat="1" ht="18" x14ac:dyDescent="0.3">
      <c r="A163" s="391">
        <v>29</v>
      </c>
      <c r="B163" s="1404"/>
      <c r="C163" s="128"/>
      <c r="D163" s="1404"/>
      <c r="E163" s="128" t="s">
        <v>330</v>
      </c>
      <c r="F163" s="127">
        <v>1</v>
      </c>
      <c r="G163" s="128"/>
      <c r="H163" s="1310" t="s">
        <v>1257</v>
      </c>
      <c r="I163" s="1310"/>
      <c r="J163" s="1315"/>
    </row>
    <row r="164" spans="1:10" s="31" customFormat="1" ht="18.600000000000001" thickBot="1" x14ac:dyDescent="0.35">
      <c r="A164" s="391">
        <v>29</v>
      </c>
      <c r="B164" s="1405"/>
      <c r="C164" s="145"/>
      <c r="D164" s="1405"/>
      <c r="E164" s="145" t="s">
        <v>330</v>
      </c>
      <c r="F164" s="1031">
        <v>1</v>
      </c>
      <c r="G164" s="145"/>
      <c r="H164" s="1312" t="s">
        <v>1257</v>
      </c>
      <c r="I164" s="1312"/>
      <c r="J164" s="1396"/>
    </row>
    <row r="165" spans="1:10" s="47" customFormat="1" ht="69" customHeight="1" thickTop="1" x14ac:dyDescent="0.3">
      <c r="A165" s="413">
        <v>30</v>
      </c>
      <c r="B165" s="158" t="s">
        <v>1668</v>
      </c>
      <c r="C165" s="158" t="s">
        <v>1668</v>
      </c>
      <c r="D165" s="158" t="s">
        <v>1668</v>
      </c>
      <c r="E165" s="158" t="s">
        <v>1668</v>
      </c>
      <c r="F165" s="834">
        <v>1</v>
      </c>
      <c r="G165" s="158"/>
      <c r="H165" s="1420" t="s">
        <v>2218</v>
      </c>
      <c r="I165" s="1421"/>
      <c r="J165" s="1422"/>
    </row>
    <row r="166" spans="1:10" s="47" customFormat="1" ht="294" customHeight="1" x14ac:dyDescent="0.3">
      <c r="A166" s="413">
        <v>30</v>
      </c>
      <c r="B166" s="158" t="s">
        <v>1668</v>
      </c>
      <c r="C166" s="158" t="s">
        <v>1668</v>
      </c>
      <c r="D166" s="158" t="s">
        <v>1668</v>
      </c>
      <c r="E166" s="158" t="s">
        <v>1668</v>
      </c>
      <c r="F166" s="158">
        <v>1</v>
      </c>
      <c r="G166" s="158"/>
      <c r="H166" s="1415" t="s">
        <v>3134</v>
      </c>
      <c r="I166" s="1416"/>
      <c r="J166" s="1417"/>
    </row>
    <row r="167" spans="1:10" s="47" customFormat="1" ht="121.05" customHeight="1" x14ac:dyDescent="0.3">
      <c r="A167" s="413">
        <v>30</v>
      </c>
      <c r="B167" s="158" t="s">
        <v>1668</v>
      </c>
      <c r="C167" s="158" t="s">
        <v>1668</v>
      </c>
      <c r="D167" s="158" t="s">
        <v>1668</v>
      </c>
      <c r="E167" s="158" t="s">
        <v>1668</v>
      </c>
      <c r="F167" s="158">
        <v>1</v>
      </c>
      <c r="G167" s="158"/>
      <c r="H167" s="1415" t="s">
        <v>3135</v>
      </c>
      <c r="I167" s="1416"/>
      <c r="J167" s="1417"/>
    </row>
    <row r="168" spans="1:10" s="47" customFormat="1" ht="56.25" customHeight="1" x14ac:dyDescent="0.3">
      <c r="A168" s="413">
        <v>30</v>
      </c>
      <c r="B168" s="158" t="s">
        <v>1668</v>
      </c>
      <c r="C168" s="158" t="s">
        <v>1668</v>
      </c>
      <c r="D168" s="158" t="s">
        <v>1668</v>
      </c>
      <c r="E168" s="158" t="s">
        <v>1668</v>
      </c>
      <c r="F168" s="158">
        <v>1</v>
      </c>
      <c r="G168" s="158"/>
      <c r="H168" s="1415" t="s">
        <v>3136</v>
      </c>
      <c r="I168" s="1416"/>
      <c r="J168" s="1417"/>
    </row>
    <row r="169" spans="1:10" s="47" customFormat="1" ht="54" x14ac:dyDescent="0.3">
      <c r="A169" s="413">
        <v>30</v>
      </c>
      <c r="B169" s="158" t="s">
        <v>1668</v>
      </c>
      <c r="C169" s="158" t="s">
        <v>1668</v>
      </c>
      <c r="D169" s="158" t="s">
        <v>1668</v>
      </c>
      <c r="E169" s="158" t="s">
        <v>589</v>
      </c>
      <c r="F169" s="158"/>
      <c r="G169" s="158"/>
      <c r="H169" s="1065">
        <v>0</v>
      </c>
      <c r="I169" s="1065">
        <v>0</v>
      </c>
      <c r="J169" s="136"/>
    </row>
    <row r="170" spans="1:10" s="47" customFormat="1" ht="54" x14ac:dyDescent="0.3">
      <c r="A170" s="413">
        <v>30</v>
      </c>
      <c r="B170" s="158" t="s">
        <v>1668</v>
      </c>
      <c r="C170" s="158" t="s">
        <v>1668</v>
      </c>
      <c r="D170" s="158" t="s">
        <v>1668</v>
      </c>
      <c r="E170" s="158" t="s">
        <v>375</v>
      </c>
      <c r="F170" s="158"/>
      <c r="G170" s="158"/>
      <c r="H170" s="1065">
        <v>0</v>
      </c>
      <c r="I170" s="1065">
        <v>0</v>
      </c>
      <c r="J170" s="136"/>
    </row>
    <row r="171" spans="1:10" s="47" customFormat="1" ht="54" x14ac:dyDescent="0.3">
      <c r="A171" s="413">
        <v>30</v>
      </c>
      <c r="B171" s="158" t="s">
        <v>1668</v>
      </c>
      <c r="C171" s="158" t="s">
        <v>1668</v>
      </c>
      <c r="D171" s="158" t="s">
        <v>1668</v>
      </c>
      <c r="E171" s="158" t="s">
        <v>385</v>
      </c>
      <c r="F171" s="158"/>
      <c r="G171" s="158"/>
      <c r="H171" s="1065">
        <v>0</v>
      </c>
      <c r="I171" s="1065">
        <v>0</v>
      </c>
      <c r="J171" s="136"/>
    </row>
    <row r="172" spans="1:10" s="47" customFormat="1" ht="54" x14ac:dyDescent="0.3">
      <c r="A172" s="413">
        <v>30</v>
      </c>
      <c r="B172" s="158" t="s">
        <v>1668</v>
      </c>
      <c r="C172" s="158" t="s">
        <v>1668</v>
      </c>
      <c r="D172" s="158" t="s">
        <v>1668</v>
      </c>
      <c r="E172" s="158" t="s">
        <v>389</v>
      </c>
      <c r="F172" s="158"/>
      <c r="G172" s="158"/>
      <c r="H172" s="1065">
        <v>0</v>
      </c>
      <c r="I172" s="1065">
        <v>0</v>
      </c>
      <c r="J172" s="136"/>
    </row>
    <row r="173" spans="1:10" s="47" customFormat="1" ht="54" x14ac:dyDescent="0.3">
      <c r="A173" s="413">
        <v>30</v>
      </c>
      <c r="B173" s="158" t="s">
        <v>1668</v>
      </c>
      <c r="C173" s="158" t="s">
        <v>1668</v>
      </c>
      <c r="D173" s="158" t="s">
        <v>1668</v>
      </c>
      <c r="E173" s="158" t="s">
        <v>1668</v>
      </c>
      <c r="F173" s="158">
        <v>1</v>
      </c>
      <c r="G173" s="158"/>
      <c r="H173" s="1415" t="s">
        <v>3137</v>
      </c>
      <c r="I173" s="1416"/>
      <c r="J173" s="1417"/>
    </row>
    <row r="174" spans="1:10" s="47" customFormat="1" ht="54" x14ac:dyDescent="0.3">
      <c r="A174" s="413">
        <v>30</v>
      </c>
      <c r="B174" s="158" t="s">
        <v>1668</v>
      </c>
      <c r="C174" s="158" t="s">
        <v>1668</v>
      </c>
      <c r="D174" s="158" t="s">
        <v>1668</v>
      </c>
      <c r="E174" s="158" t="s">
        <v>1652</v>
      </c>
      <c r="F174" s="158"/>
      <c r="G174" s="158"/>
      <c r="H174" s="1065">
        <v>0</v>
      </c>
      <c r="I174" s="1065">
        <v>0</v>
      </c>
      <c r="J174" s="1085"/>
    </row>
    <row r="175" spans="1:10" s="47" customFormat="1" ht="54" x14ac:dyDescent="0.3">
      <c r="A175" s="413">
        <v>30</v>
      </c>
      <c r="B175" s="158" t="s">
        <v>1668</v>
      </c>
      <c r="C175" s="158" t="s">
        <v>1668</v>
      </c>
      <c r="D175" s="158" t="s">
        <v>1668</v>
      </c>
      <c r="E175" s="158" t="s">
        <v>1653</v>
      </c>
      <c r="F175" s="158"/>
      <c r="G175" s="158"/>
      <c r="H175" s="1065">
        <v>0</v>
      </c>
      <c r="I175" s="1065">
        <v>0</v>
      </c>
      <c r="J175" s="136"/>
    </row>
    <row r="176" spans="1:10" s="47" customFormat="1" ht="54" x14ac:dyDescent="0.3">
      <c r="A176" s="413">
        <v>30</v>
      </c>
      <c r="B176" s="158" t="s">
        <v>1668</v>
      </c>
      <c r="C176" s="158" t="s">
        <v>1668</v>
      </c>
      <c r="D176" s="158" t="s">
        <v>1668</v>
      </c>
      <c r="E176" s="158" t="s">
        <v>373</v>
      </c>
      <c r="F176" s="158"/>
      <c r="G176" s="158"/>
      <c r="H176" s="1065">
        <v>0</v>
      </c>
      <c r="I176" s="1065">
        <v>0</v>
      </c>
      <c r="J176" s="136"/>
    </row>
    <row r="177" spans="1:10" s="47" customFormat="1" ht="54" x14ac:dyDescent="0.3">
      <c r="A177" s="413">
        <v>30</v>
      </c>
      <c r="B177" s="158" t="s">
        <v>1668</v>
      </c>
      <c r="C177" s="158" t="s">
        <v>1668</v>
      </c>
      <c r="D177" s="158" t="s">
        <v>1668</v>
      </c>
      <c r="E177" s="158" t="s">
        <v>2088</v>
      </c>
      <c r="F177" s="158"/>
      <c r="G177" s="158"/>
      <c r="H177" s="1065">
        <v>0</v>
      </c>
      <c r="I177" s="1065">
        <v>0</v>
      </c>
      <c r="J177" s="136"/>
    </row>
    <row r="178" spans="1:10" s="47" customFormat="1" ht="54" x14ac:dyDescent="0.3">
      <c r="A178" s="413">
        <v>30</v>
      </c>
      <c r="B178" s="158" t="s">
        <v>1668</v>
      </c>
      <c r="C178" s="158" t="s">
        <v>1668</v>
      </c>
      <c r="D178" s="158" t="s">
        <v>1668</v>
      </c>
      <c r="E178" s="158" t="s">
        <v>1656</v>
      </c>
      <c r="F178" s="158"/>
      <c r="G178" s="158"/>
      <c r="H178" s="1065">
        <v>0</v>
      </c>
      <c r="I178" s="1065">
        <v>0</v>
      </c>
      <c r="J178" s="136"/>
    </row>
    <row r="179" spans="1:10" s="47" customFormat="1" ht="54" x14ac:dyDescent="0.3">
      <c r="A179" s="413">
        <v>30</v>
      </c>
      <c r="B179" s="158" t="s">
        <v>1668</v>
      </c>
      <c r="C179" s="158" t="s">
        <v>1668</v>
      </c>
      <c r="D179" s="158" t="s">
        <v>1668</v>
      </c>
      <c r="E179" s="158" t="s">
        <v>2089</v>
      </c>
      <c r="F179" s="158"/>
      <c r="G179" s="158"/>
      <c r="H179" s="1065">
        <v>0</v>
      </c>
      <c r="I179" s="1065">
        <v>0</v>
      </c>
      <c r="J179" s="136"/>
    </row>
    <row r="180" spans="1:10" s="47" customFormat="1" ht="54" x14ac:dyDescent="0.3">
      <c r="A180" s="413">
        <v>30</v>
      </c>
      <c r="B180" s="158" t="s">
        <v>1668</v>
      </c>
      <c r="C180" s="158" t="s">
        <v>1668</v>
      </c>
      <c r="D180" s="158" t="s">
        <v>1668</v>
      </c>
      <c r="E180" s="158" t="s">
        <v>2090</v>
      </c>
      <c r="F180" s="158"/>
      <c r="G180" s="158"/>
      <c r="H180" s="1065">
        <v>0</v>
      </c>
      <c r="I180" s="1065">
        <v>0</v>
      </c>
      <c r="J180" s="136"/>
    </row>
    <row r="181" spans="1:10" s="47" customFormat="1" ht="54.6" thickBot="1" x14ac:dyDescent="0.35">
      <c r="A181" s="413">
        <v>30</v>
      </c>
      <c r="B181" s="158" t="s">
        <v>1668</v>
      </c>
      <c r="C181" s="158" t="s">
        <v>1668</v>
      </c>
      <c r="D181" s="158" t="s">
        <v>1668</v>
      </c>
      <c r="E181" s="158" t="s">
        <v>1668</v>
      </c>
      <c r="F181" s="158">
        <v>1</v>
      </c>
      <c r="G181" s="158"/>
      <c r="H181" s="1424" t="s">
        <v>1257</v>
      </c>
      <c r="I181" s="1425"/>
      <c r="J181" s="1426"/>
    </row>
    <row r="182" spans="1:10" s="47" customFormat="1" ht="169.5" customHeight="1" thickTop="1" x14ac:dyDescent="0.3">
      <c r="A182" s="392">
        <v>32</v>
      </c>
      <c r="B182" s="1401" t="s">
        <v>331</v>
      </c>
      <c r="C182" s="1401" t="s">
        <v>331</v>
      </c>
      <c r="D182" s="1401" t="s">
        <v>331</v>
      </c>
      <c r="E182" s="150" t="s">
        <v>331</v>
      </c>
      <c r="F182" s="150">
        <v>1</v>
      </c>
      <c r="G182" s="150"/>
      <c r="H182" s="1401" t="s">
        <v>2584</v>
      </c>
      <c r="I182" s="1401"/>
      <c r="J182" s="1402"/>
    </row>
    <row r="183" spans="1:10" s="47" customFormat="1" ht="156" customHeight="1" x14ac:dyDescent="0.3">
      <c r="A183" s="392">
        <v>32</v>
      </c>
      <c r="B183" s="1310"/>
      <c r="C183" s="1310"/>
      <c r="D183" s="1310"/>
      <c r="E183" s="127" t="s">
        <v>331</v>
      </c>
      <c r="F183" s="127">
        <v>1</v>
      </c>
      <c r="G183" s="127"/>
      <c r="H183" s="1310" t="s">
        <v>3138</v>
      </c>
      <c r="I183" s="1310"/>
      <c r="J183" s="1315"/>
    </row>
    <row r="184" spans="1:10" s="31" customFormat="1" ht="397.05" customHeight="1" x14ac:dyDescent="0.3">
      <c r="A184" s="392">
        <v>32</v>
      </c>
      <c r="B184" s="1310"/>
      <c r="C184" s="1310"/>
      <c r="D184" s="1310"/>
      <c r="E184" s="127" t="s">
        <v>331</v>
      </c>
      <c r="F184" s="127">
        <v>1</v>
      </c>
      <c r="G184" s="128"/>
      <c r="H184" s="1310" t="s">
        <v>3139</v>
      </c>
      <c r="I184" s="1310"/>
      <c r="J184" s="1315"/>
    </row>
    <row r="185" spans="1:10" s="47" customFormat="1" ht="367.5" customHeight="1" x14ac:dyDescent="0.3">
      <c r="A185" s="392">
        <v>32</v>
      </c>
      <c r="B185" s="1310"/>
      <c r="C185" s="1310"/>
      <c r="D185" s="1310"/>
      <c r="E185" s="127" t="s">
        <v>331</v>
      </c>
      <c r="F185" s="127">
        <v>1</v>
      </c>
      <c r="G185" s="127"/>
      <c r="H185" s="1418" t="s">
        <v>3140</v>
      </c>
      <c r="I185" s="1418"/>
      <c r="J185" s="1419"/>
    </row>
    <row r="186" spans="1:10" s="47" customFormat="1" ht="101.55" customHeight="1" x14ac:dyDescent="0.3">
      <c r="A186" s="392">
        <v>32</v>
      </c>
      <c r="B186" s="1310"/>
      <c r="C186" s="1310"/>
      <c r="D186" s="1310"/>
      <c r="E186" s="127" t="s">
        <v>331</v>
      </c>
      <c r="F186" s="127">
        <v>1</v>
      </c>
      <c r="G186" s="127"/>
      <c r="H186" s="1310" t="s">
        <v>2585</v>
      </c>
      <c r="I186" s="1310"/>
      <c r="J186" s="1315"/>
    </row>
    <row r="187" spans="1:10" s="47" customFormat="1" ht="18.75" customHeight="1" x14ac:dyDescent="0.3">
      <c r="A187" s="392">
        <v>32</v>
      </c>
      <c r="B187" s="1310"/>
      <c r="C187" s="1310"/>
      <c r="D187" s="1310"/>
      <c r="E187" s="127" t="s">
        <v>331</v>
      </c>
      <c r="F187" s="127">
        <v>1</v>
      </c>
      <c r="G187" s="127"/>
      <c r="H187" s="1310" t="s">
        <v>1500</v>
      </c>
      <c r="I187" s="1310"/>
      <c r="J187" s="1315"/>
    </row>
    <row r="188" spans="1:10" s="47" customFormat="1" ht="18.75" customHeight="1" x14ac:dyDescent="0.3">
      <c r="A188" s="392">
        <v>32</v>
      </c>
      <c r="B188" s="1310"/>
      <c r="C188" s="1310"/>
      <c r="D188" s="1310"/>
      <c r="E188" s="127" t="s">
        <v>331</v>
      </c>
      <c r="F188" s="127">
        <v>1</v>
      </c>
      <c r="G188" s="127"/>
      <c r="H188" s="1310" t="s">
        <v>1500</v>
      </c>
      <c r="I188" s="1310"/>
      <c r="J188" s="1315"/>
    </row>
    <row r="189" spans="1:10" s="47" customFormat="1" ht="18" x14ac:dyDescent="0.3">
      <c r="A189" s="392">
        <v>32</v>
      </c>
      <c r="B189" s="1310"/>
      <c r="C189" s="1310"/>
      <c r="D189" s="1310"/>
      <c r="E189" s="127" t="s">
        <v>331</v>
      </c>
      <c r="F189" s="127">
        <v>1</v>
      </c>
      <c r="G189" s="127"/>
      <c r="H189" s="1310" t="s">
        <v>1500</v>
      </c>
      <c r="I189" s="1310"/>
      <c r="J189" s="1315"/>
    </row>
    <row r="190" spans="1:10" s="47" customFormat="1" ht="18.75" customHeight="1" x14ac:dyDescent="0.3">
      <c r="A190" s="392">
        <v>32</v>
      </c>
      <c r="B190" s="1310"/>
      <c r="C190" s="1310"/>
      <c r="D190" s="1310"/>
      <c r="E190" s="127" t="s">
        <v>331</v>
      </c>
      <c r="F190" s="127">
        <v>1</v>
      </c>
      <c r="G190" s="127"/>
      <c r="H190" s="1310" t="s">
        <v>1500</v>
      </c>
      <c r="I190" s="1310"/>
      <c r="J190" s="1315"/>
    </row>
    <row r="191" spans="1:10" s="47" customFormat="1" ht="18.75" customHeight="1" x14ac:dyDescent="0.3">
      <c r="A191" s="392">
        <v>32</v>
      </c>
      <c r="B191" s="1310"/>
      <c r="C191" s="1310"/>
      <c r="D191" s="1310"/>
      <c r="E191" s="127" t="s">
        <v>331</v>
      </c>
      <c r="F191" s="127">
        <v>1</v>
      </c>
      <c r="G191" s="127"/>
      <c r="H191" s="1310" t="s">
        <v>1500</v>
      </c>
      <c r="I191" s="1310"/>
      <c r="J191" s="1315"/>
    </row>
    <row r="192" spans="1:10" s="47" customFormat="1" ht="18.75" customHeight="1" x14ac:dyDescent="0.3">
      <c r="A192" s="392">
        <v>32</v>
      </c>
      <c r="B192" s="1310"/>
      <c r="C192" s="1310"/>
      <c r="D192" s="1310"/>
      <c r="E192" s="127" t="s">
        <v>331</v>
      </c>
      <c r="F192" s="127">
        <v>1</v>
      </c>
      <c r="G192" s="127"/>
      <c r="H192" s="1310" t="s">
        <v>1500</v>
      </c>
      <c r="I192" s="1310"/>
      <c r="J192" s="1315"/>
    </row>
    <row r="193" spans="1:10" s="47" customFormat="1" ht="18.75" customHeight="1" x14ac:dyDescent="0.3">
      <c r="A193" s="392">
        <v>32</v>
      </c>
      <c r="B193" s="1310"/>
      <c r="C193" s="1310"/>
      <c r="D193" s="1310"/>
      <c r="E193" s="127" t="s">
        <v>331</v>
      </c>
      <c r="F193" s="127">
        <v>1</v>
      </c>
      <c r="G193" s="127"/>
      <c r="H193" s="1310" t="s">
        <v>1500</v>
      </c>
      <c r="I193" s="1310"/>
      <c r="J193" s="1315"/>
    </row>
    <row r="194" spans="1:10" s="47" customFormat="1" ht="18.600000000000001" thickBot="1" x14ac:dyDescent="0.35">
      <c r="A194" s="392">
        <v>32</v>
      </c>
      <c r="B194" s="1312"/>
      <c r="C194" s="1312"/>
      <c r="D194" s="1312"/>
      <c r="E194" s="144" t="s">
        <v>331</v>
      </c>
      <c r="F194" s="127">
        <v>1</v>
      </c>
      <c r="G194" s="144"/>
      <c r="H194" s="1312" t="s">
        <v>1500</v>
      </c>
      <c r="I194" s="1312"/>
      <c r="J194" s="1396"/>
    </row>
    <row r="195" spans="1:10" s="31" customFormat="1" ht="18.600000000000001" thickTop="1" x14ac:dyDescent="0.3">
      <c r="A195" s="391">
        <v>33</v>
      </c>
      <c r="B195" s="1295" t="s">
        <v>1499</v>
      </c>
      <c r="C195" s="1295" t="s">
        <v>1499</v>
      </c>
      <c r="D195" s="1295" t="s">
        <v>1499</v>
      </c>
      <c r="E195" s="146" t="s">
        <v>1499</v>
      </c>
      <c r="F195" s="127">
        <v>1</v>
      </c>
      <c r="G195" s="147"/>
      <c r="H195" s="1295" t="s">
        <v>1500</v>
      </c>
      <c r="I195" s="1295"/>
      <c r="J195" s="1423"/>
    </row>
    <row r="196" spans="1:10" s="31" customFormat="1" ht="18" x14ac:dyDescent="0.3">
      <c r="A196" s="391">
        <v>33</v>
      </c>
      <c r="B196" s="1310"/>
      <c r="C196" s="1310"/>
      <c r="D196" s="1310"/>
      <c r="E196" s="127" t="s">
        <v>1499</v>
      </c>
      <c r="F196" s="127">
        <v>1</v>
      </c>
      <c r="G196" s="128"/>
      <c r="H196" s="1310" t="s">
        <v>1500</v>
      </c>
      <c r="I196" s="1310"/>
      <c r="J196" s="1315"/>
    </row>
    <row r="197" spans="1:10" s="31" customFormat="1" ht="18" x14ac:dyDescent="0.3">
      <c r="A197" s="391">
        <v>33</v>
      </c>
      <c r="B197" s="1310"/>
      <c r="C197" s="1310"/>
      <c r="D197" s="1310"/>
      <c r="E197" s="127" t="s">
        <v>1499</v>
      </c>
      <c r="F197" s="127">
        <v>1</v>
      </c>
      <c r="G197" s="128"/>
      <c r="H197" s="1310" t="s">
        <v>1500</v>
      </c>
      <c r="I197" s="1310"/>
      <c r="J197" s="1315"/>
    </row>
    <row r="198" spans="1:10" s="31" customFormat="1" ht="18" x14ac:dyDescent="0.3">
      <c r="A198" s="391">
        <v>33</v>
      </c>
      <c r="B198" s="1310"/>
      <c r="C198" s="1310"/>
      <c r="D198" s="1310"/>
      <c r="E198" s="127" t="s">
        <v>1499</v>
      </c>
      <c r="F198" s="127">
        <v>1</v>
      </c>
      <c r="G198" s="128"/>
      <c r="H198" s="1310" t="s">
        <v>1500</v>
      </c>
      <c r="I198" s="1310"/>
      <c r="J198" s="1315"/>
    </row>
    <row r="199" spans="1:10" s="31" customFormat="1" ht="18.600000000000001" thickBot="1" x14ac:dyDescent="0.35">
      <c r="A199" s="393">
        <v>33</v>
      </c>
      <c r="B199" s="1312"/>
      <c r="C199" s="1312"/>
      <c r="D199" s="1312"/>
      <c r="E199" s="144" t="s">
        <v>1499</v>
      </c>
      <c r="F199" s="127">
        <v>1</v>
      </c>
      <c r="G199" s="145"/>
      <c r="H199" s="1312" t="s">
        <v>1500</v>
      </c>
      <c r="I199" s="1312"/>
      <c r="J199" s="1396"/>
    </row>
    <row r="200" spans="1:10" s="451" customFormat="1" ht="295.5" customHeight="1" thickBot="1" x14ac:dyDescent="0.4">
      <c r="A200" s="988"/>
      <c r="B200" s="989" t="s">
        <v>2024</v>
      </c>
      <c r="C200" s="989" t="s">
        <v>2024</v>
      </c>
      <c r="D200" s="989" t="s">
        <v>2024</v>
      </c>
      <c r="E200" s="989" t="s">
        <v>2024</v>
      </c>
      <c r="F200" s="990">
        <v>1</v>
      </c>
      <c r="G200" s="988"/>
      <c r="H200" s="1427" t="s">
        <v>3141</v>
      </c>
      <c r="I200" s="1428"/>
      <c r="J200" s="1429"/>
    </row>
    <row r="201" spans="1:10" s="451" customFormat="1" ht="36.6" thickBot="1" x14ac:dyDescent="0.4">
      <c r="A201" s="988"/>
      <c r="B201" s="989" t="s">
        <v>1945</v>
      </c>
      <c r="C201" s="989" t="s">
        <v>1945</v>
      </c>
      <c r="D201" s="989" t="s">
        <v>1945</v>
      </c>
      <c r="E201" s="989" t="s">
        <v>1945</v>
      </c>
      <c r="F201" s="990">
        <v>1</v>
      </c>
      <c r="G201" s="988"/>
      <c r="H201" s="1427" t="s">
        <v>3142</v>
      </c>
      <c r="I201" s="1428"/>
      <c r="J201" s="1429"/>
    </row>
  </sheetData>
  <mergeCells count="160">
    <mergeCell ref="D13:D15"/>
    <mergeCell ref="C13:C15"/>
    <mergeCell ref="B13:B15"/>
    <mergeCell ref="D18:D25"/>
    <mergeCell ref="C18:C25"/>
    <mergeCell ref="B18:B25"/>
    <mergeCell ref="B26:B27"/>
    <mergeCell ref="C28:C32"/>
    <mergeCell ref="B28:B32"/>
    <mergeCell ref="D38:D42"/>
    <mergeCell ref="C38:C42"/>
    <mergeCell ref="B38:B42"/>
    <mergeCell ref="D43:D47"/>
    <mergeCell ref="C43:C47"/>
    <mergeCell ref="B43:B47"/>
    <mergeCell ref="B35:B37"/>
    <mergeCell ref="H26:J26"/>
    <mergeCell ref="H38:J38"/>
    <mergeCell ref="C26:C27"/>
    <mergeCell ref="D26:D27"/>
    <mergeCell ref="H33:J33"/>
    <mergeCell ref="D33:D34"/>
    <mergeCell ref="C33:C34"/>
    <mergeCell ref="D35:D37"/>
    <mergeCell ref="C35:C37"/>
    <mergeCell ref="B33:B34"/>
    <mergeCell ref="D48:D49"/>
    <mergeCell ref="C48:C49"/>
    <mergeCell ref="B48:B49"/>
    <mergeCell ref="D70:D75"/>
    <mergeCell ref="C70:C75"/>
    <mergeCell ref="B70:B75"/>
    <mergeCell ref="D78:D82"/>
    <mergeCell ref="B50:B69"/>
    <mergeCell ref="H69:J69"/>
    <mergeCell ref="C51:C69"/>
    <mergeCell ref="D51:D69"/>
    <mergeCell ref="H201:J201"/>
    <mergeCell ref="H200:J200"/>
    <mergeCell ref="D28:D32"/>
    <mergeCell ref="D90:D91"/>
    <mergeCell ref="C90:C91"/>
    <mergeCell ref="B90:B91"/>
    <mergeCell ref="D93:D95"/>
    <mergeCell ref="C93:C95"/>
    <mergeCell ref="D96:D98"/>
    <mergeCell ref="C96:C98"/>
    <mergeCell ref="B93:B95"/>
    <mergeCell ref="B96:B98"/>
    <mergeCell ref="B153:B154"/>
    <mergeCell ref="B155:B156"/>
    <mergeCell ref="B157:B158"/>
    <mergeCell ref="B159:B160"/>
    <mergeCell ref="D140:D152"/>
    <mergeCell ref="D153:D154"/>
    <mergeCell ref="D155:D156"/>
    <mergeCell ref="H76:J76"/>
    <mergeCell ref="H78:J78"/>
    <mergeCell ref="H79:J79"/>
    <mergeCell ref="H80:J80"/>
    <mergeCell ref="H51:J51"/>
    <mergeCell ref="D157:D158"/>
    <mergeCell ref="H173:J173"/>
    <mergeCell ref="B195:B199"/>
    <mergeCell ref="H161:J161"/>
    <mergeCell ref="H162:J162"/>
    <mergeCell ref="H163:J163"/>
    <mergeCell ref="H164:J164"/>
    <mergeCell ref="H182:J182"/>
    <mergeCell ref="H183:J183"/>
    <mergeCell ref="H184:J184"/>
    <mergeCell ref="D161:D164"/>
    <mergeCell ref="B161:B164"/>
    <mergeCell ref="D182:D194"/>
    <mergeCell ref="C182:C194"/>
    <mergeCell ref="B182:B194"/>
    <mergeCell ref="H197:J197"/>
    <mergeCell ref="H198:J198"/>
    <mergeCell ref="H199:J199"/>
    <mergeCell ref="H193:J193"/>
    <mergeCell ref="H194:J194"/>
    <mergeCell ref="H195:J195"/>
    <mergeCell ref="H196:J196"/>
    <mergeCell ref="H181:J181"/>
    <mergeCell ref="H168:J168"/>
    <mergeCell ref="D195:D199"/>
    <mergeCell ref="C195:C199"/>
    <mergeCell ref="D159:D160"/>
    <mergeCell ref="H191:J191"/>
    <mergeCell ref="H192:J192"/>
    <mergeCell ref="H185:J185"/>
    <mergeCell ref="H187:J187"/>
    <mergeCell ref="H188:J188"/>
    <mergeCell ref="H186:J186"/>
    <mergeCell ref="H190:J190"/>
    <mergeCell ref="H165:J165"/>
    <mergeCell ref="H166:J166"/>
    <mergeCell ref="H167:J167"/>
    <mergeCell ref="H189:J189"/>
    <mergeCell ref="H152:J152"/>
    <mergeCell ref="H144:J144"/>
    <mergeCell ref="H145:J145"/>
    <mergeCell ref="H146:J146"/>
    <mergeCell ref="H90:J90"/>
    <mergeCell ref="H140:J140"/>
    <mergeCell ref="H141:J141"/>
    <mergeCell ref="H142:J142"/>
    <mergeCell ref="H143:J143"/>
    <mergeCell ref="H148:J148"/>
    <mergeCell ref="H149:J149"/>
    <mergeCell ref="H150:J150"/>
    <mergeCell ref="H151:J151"/>
    <mergeCell ref="H92:J92"/>
    <mergeCell ref="H93:J93"/>
    <mergeCell ref="H94:J94"/>
    <mergeCell ref="H99:J99"/>
    <mergeCell ref="H139:J139"/>
    <mergeCell ref="H97:J97"/>
    <mergeCell ref="H98:J98"/>
    <mergeCell ref="H96:J96"/>
    <mergeCell ref="H147:J147"/>
    <mergeCell ref="B2:B12"/>
    <mergeCell ref="C2:C12"/>
    <mergeCell ref="D2:D12"/>
    <mergeCell ref="H88:J88"/>
    <mergeCell ref="H89:J89"/>
    <mergeCell ref="B88:B89"/>
    <mergeCell ref="C88:C89"/>
    <mergeCell ref="D88:D89"/>
    <mergeCell ref="B99:B139"/>
    <mergeCell ref="H83:J83"/>
    <mergeCell ref="H34:J34"/>
    <mergeCell ref="H35:J35"/>
    <mergeCell ref="H36:J36"/>
    <mergeCell ref="H43:J43"/>
    <mergeCell ref="C78:C82"/>
    <mergeCell ref="B78:B82"/>
    <mergeCell ref="H70:J70"/>
    <mergeCell ref="H71:J71"/>
    <mergeCell ref="H72:J72"/>
    <mergeCell ref="H73:J73"/>
    <mergeCell ref="H74:J74"/>
    <mergeCell ref="H81:J81"/>
    <mergeCell ref="H49:J49"/>
    <mergeCell ref="H50:J50"/>
    <mergeCell ref="B85:B87"/>
    <mergeCell ref="C85:C87"/>
    <mergeCell ref="D85:D87"/>
    <mergeCell ref="H85:J85"/>
    <mergeCell ref="A76:A77"/>
    <mergeCell ref="B76:B77"/>
    <mergeCell ref="C76:C77"/>
    <mergeCell ref="D76:D77"/>
    <mergeCell ref="C99:C139"/>
    <mergeCell ref="D110:D122"/>
    <mergeCell ref="D123:D139"/>
    <mergeCell ref="D100:D108"/>
    <mergeCell ref="D83:D84"/>
    <mergeCell ref="C83:C84"/>
    <mergeCell ref="B83:B84"/>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'Guidance Notes'!$V$1:$V$2</xm:f>
          </x14:formula1>
          <xm:sqref>F2:F199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BM277"/>
  <sheetViews>
    <sheetView topLeftCell="C1" zoomScale="85" zoomScaleNormal="85" workbookViewId="0">
      <selection activeCell="H280" sqref="H280"/>
    </sheetView>
  </sheetViews>
  <sheetFormatPr defaultRowHeight="13.8" x14ac:dyDescent="0.3"/>
  <cols>
    <col min="2" max="2" width="17.109375" customWidth="1"/>
    <col min="3" max="3" width="26.6640625" customWidth="1"/>
    <col min="4" max="4" width="28.44140625" customWidth="1"/>
    <col min="5" max="5" width="27.6640625" customWidth="1"/>
    <col min="6" max="6" width="15" customWidth="1"/>
    <col min="8" max="8" width="33.88671875" customWidth="1"/>
    <col min="9" max="9" width="37" customWidth="1"/>
    <col min="10" max="10" width="38" customWidth="1"/>
  </cols>
  <sheetData>
    <row r="1" spans="1:29" s="400" customFormat="1" ht="47.4" thickBot="1" x14ac:dyDescent="0.35">
      <c r="A1" s="444" t="s">
        <v>474</v>
      </c>
      <c r="B1" s="445" t="s">
        <v>440</v>
      </c>
      <c r="C1" s="445" t="s">
        <v>441</v>
      </c>
      <c r="D1" s="445" t="s">
        <v>442</v>
      </c>
      <c r="E1" s="445" t="s">
        <v>443</v>
      </c>
      <c r="F1" s="445" t="s">
        <v>1254</v>
      </c>
      <c r="G1" s="446" t="s">
        <v>1589</v>
      </c>
      <c r="H1" s="447" t="str">
        <f>'Standing Data'!D34</f>
        <v>2025/26</v>
      </c>
      <c r="I1" s="448" t="str">
        <f>'Standing Data'!D52</f>
        <v>2024/25</v>
      </c>
      <c r="J1" s="449" t="str">
        <f>'Standing Data'!D56</f>
        <v>2023/24</v>
      </c>
      <c r="AC1" s="400">
        <v>0</v>
      </c>
    </row>
    <row r="2" spans="1:29" s="400" customFormat="1" ht="33" customHeight="1" x14ac:dyDescent="0.3">
      <c r="A2" s="974" t="s">
        <v>1875</v>
      </c>
      <c r="B2" s="975" t="s">
        <v>907</v>
      </c>
      <c r="C2" s="975" t="s">
        <v>907</v>
      </c>
      <c r="D2" s="976" t="s">
        <v>907</v>
      </c>
      <c r="E2" s="976" t="s">
        <v>907</v>
      </c>
      <c r="F2" s="977">
        <v>1</v>
      </c>
      <c r="G2" s="978"/>
      <c r="H2" s="1477" t="s">
        <v>2023</v>
      </c>
      <c r="I2" s="1478"/>
      <c r="J2" s="1479"/>
    </row>
    <row r="3" spans="1:29" s="400" customFormat="1" ht="16.2" thickBot="1" x14ac:dyDescent="0.35">
      <c r="A3" s="974" t="s">
        <v>1875</v>
      </c>
      <c r="B3" s="975" t="s">
        <v>907</v>
      </c>
      <c r="C3" s="975" t="s">
        <v>907</v>
      </c>
      <c r="D3" s="979" t="s">
        <v>907</v>
      </c>
      <c r="E3" s="979" t="s">
        <v>907</v>
      </c>
      <c r="F3" s="980">
        <v>1</v>
      </c>
      <c r="G3" s="981"/>
      <c r="H3" s="1480" t="s">
        <v>1500</v>
      </c>
      <c r="I3" s="1481"/>
      <c r="J3" s="1482"/>
    </row>
    <row r="4" spans="1:29" s="400" customFormat="1" ht="73.5" customHeight="1" x14ac:dyDescent="0.3">
      <c r="A4" s="440" t="s">
        <v>1876</v>
      </c>
      <c r="B4" s="441" t="s">
        <v>1701</v>
      </c>
      <c r="C4" s="441" t="s">
        <v>1701</v>
      </c>
      <c r="D4" s="441" t="s">
        <v>1701</v>
      </c>
      <c r="E4" s="442" t="str">
        <f>'Standing Data'!D8</f>
        <v>Subsidary 1</v>
      </c>
      <c r="F4" s="146">
        <v>1</v>
      </c>
      <c r="G4" s="443"/>
      <c r="H4" s="1445" t="s">
        <v>1702</v>
      </c>
      <c r="I4" s="1445"/>
      <c r="J4" s="1446"/>
      <c r="AC4" s="400">
        <v>1</v>
      </c>
    </row>
    <row r="5" spans="1:29" s="400" customFormat="1" ht="104.55" customHeight="1" x14ac:dyDescent="0.3">
      <c r="A5" s="437" t="s">
        <v>1876</v>
      </c>
      <c r="B5" s="438" t="s">
        <v>1701</v>
      </c>
      <c r="C5" s="438" t="s">
        <v>1701</v>
      </c>
      <c r="D5" s="438" t="s">
        <v>1701</v>
      </c>
      <c r="E5" s="438" t="str">
        <f>E4</f>
        <v>Subsidary 1</v>
      </c>
      <c r="F5" s="413">
        <v>1</v>
      </c>
      <c r="G5" s="439"/>
      <c r="H5" s="1447" t="s">
        <v>3143</v>
      </c>
      <c r="I5" s="1447"/>
      <c r="J5" s="1448"/>
    </row>
    <row r="6" spans="1:29" s="400" customFormat="1" ht="35.549999999999997" customHeight="1" x14ac:dyDescent="0.3">
      <c r="A6" s="437" t="s">
        <v>1876</v>
      </c>
      <c r="B6" s="438" t="s">
        <v>1701</v>
      </c>
      <c r="C6" s="438" t="s">
        <v>1701</v>
      </c>
      <c r="D6" s="438" t="s">
        <v>1701</v>
      </c>
      <c r="E6" s="438" t="str">
        <f>E4</f>
        <v>Subsidary 1</v>
      </c>
      <c r="F6" s="413">
        <v>1</v>
      </c>
      <c r="G6" s="439"/>
      <c r="H6" s="1447" t="s">
        <v>3144</v>
      </c>
      <c r="I6" s="1447"/>
      <c r="J6" s="1448"/>
    </row>
    <row r="7" spans="1:29" s="400" customFormat="1" ht="31.2" x14ac:dyDescent="0.3">
      <c r="A7" s="437" t="s">
        <v>1876</v>
      </c>
      <c r="B7" s="438" t="s">
        <v>1703</v>
      </c>
      <c r="C7" s="438" t="s">
        <v>1703</v>
      </c>
      <c r="D7" s="438" t="s">
        <v>1703</v>
      </c>
      <c r="E7" s="438" t="s">
        <v>1703</v>
      </c>
      <c r="F7" s="413">
        <v>1</v>
      </c>
      <c r="G7" s="439"/>
      <c r="H7" s="1447" t="s">
        <v>1704</v>
      </c>
      <c r="I7" s="1447"/>
      <c r="J7" s="1448"/>
    </row>
    <row r="8" spans="1:29" s="400" customFormat="1" ht="31.8" thickBot="1" x14ac:dyDescent="0.35">
      <c r="A8" s="737" t="s">
        <v>1876</v>
      </c>
      <c r="B8" s="738" t="s">
        <v>1705</v>
      </c>
      <c r="C8" s="738" t="s">
        <v>1705</v>
      </c>
      <c r="D8" s="738" t="s">
        <v>1705</v>
      </c>
      <c r="E8" s="738" t="s">
        <v>1705</v>
      </c>
      <c r="F8" s="739">
        <v>1</v>
      </c>
      <c r="G8" s="740"/>
      <c r="H8" s="1449" t="s">
        <v>3145</v>
      </c>
      <c r="I8" s="1449"/>
      <c r="J8" s="1450"/>
    </row>
    <row r="9" spans="1:29" s="400" customFormat="1" ht="94.2" thickTop="1" x14ac:dyDescent="0.3">
      <c r="A9" s="741" t="s">
        <v>1877</v>
      </c>
      <c r="B9" s="725" t="s">
        <v>820</v>
      </c>
      <c r="C9" s="725" t="s">
        <v>1153</v>
      </c>
      <c r="D9" s="725" t="s">
        <v>1329</v>
      </c>
      <c r="E9" s="725" t="s">
        <v>1329</v>
      </c>
      <c r="F9" s="150">
        <v>1</v>
      </c>
      <c r="G9" s="742"/>
      <c r="H9" s="727">
        <v>0</v>
      </c>
      <c r="I9" s="727">
        <v>0</v>
      </c>
      <c r="J9" s="728"/>
    </row>
    <row r="10" spans="1:29" s="729" customFormat="1" ht="93.6" x14ac:dyDescent="0.3">
      <c r="A10" s="734" t="s">
        <v>1877</v>
      </c>
      <c r="B10" s="441" t="s">
        <v>820</v>
      </c>
      <c r="C10" s="441" t="s">
        <v>1153</v>
      </c>
      <c r="D10" s="441" t="s">
        <v>568</v>
      </c>
      <c r="E10" s="441" t="s">
        <v>568</v>
      </c>
      <c r="F10" s="441">
        <v>1</v>
      </c>
      <c r="G10" s="734"/>
      <c r="H10" s="735">
        <v>0</v>
      </c>
      <c r="I10" s="735">
        <v>0</v>
      </c>
      <c r="J10" s="736"/>
    </row>
    <row r="11" spans="1:29" s="729" customFormat="1" ht="93.6" x14ac:dyDescent="0.3">
      <c r="A11" s="734" t="s">
        <v>1877</v>
      </c>
      <c r="B11" s="441" t="s">
        <v>820</v>
      </c>
      <c r="C11" s="441" t="s">
        <v>1153</v>
      </c>
      <c r="D11" s="441" t="s">
        <v>1841</v>
      </c>
      <c r="E11" s="441" t="s">
        <v>1841</v>
      </c>
      <c r="F11" s="441">
        <v>1</v>
      </c>
      <c r="G11" s="734"/>
      <c r="H11" s="735"/>
      <c r="I11" s="735"/>
      <c r="J11" s="736"/>
    </row>
    <row r="12" spans="1:29" s="729" customFormat="1" ht="93.6" x14ac:dyDescent="0.3">
      <c r="A12" s="724" t="s">
        <v>1877</v>
      </c>
      <c r="B12" s="730" t="s">
        <v>820</v>
      </c>
      <c r="C12" s="730" t="s">
        <v>1153</v>
      </c>
      <c r="D12" s="730" t="s">
        <v>573</v>
      </c>
      <c r="E12" s="730" t="s">
        <v>573</v>
      </c>
      <c r="F12" s="730">
        <v>1</v>
      </c>
      <c r="G12" s="731"/>
      <c r="H12" s="732">
        <v>0</v>
      </c>
      <c r="I12" s="732">
        <v>0</v>
      </c>
      <c r="J12" s="733"/>
    </row>
    <row r="13" spans="1:29" s="729" customFormat="1" ht="93.6" x14ac:dyDescent="0.3">
      <c r="A13" s="724" t="s">
        <v>1877</v>
      </c>
      <c r="B13" s="730" t="s">
        <v>820</v>
      </c>
      <c r="C13" s="730" t="s">
        <v>1153</v>
      </c>
      <c r="D13" s="730" t="s">
        <v>574</v>
      </c>
      <c r="E13" s="730" t="s">
        <v>574</v>
      </c>
      <c r="F13" s="730">
        <v>1</v>
      </c>
      <c r="G13" s="731"/>
      <c r="H13" s="732">
        <v>0</v>
      </c>
      <c r="I13" s="732">
        <v>0</v>
      </c>
      <c r="J13" s="733"/>
    </row>
    <row r="14" spans="1:29" s="729" customFormat="1" ht="93.6" x14ac:dyDescent="0.3">
      <c r="A14" s="724" t="s">
        <v>1877</v>
      </c>
      <c r="B14" s="730" t="s">
        <v>820</v>
      </c>
      <c r="C14" s="730" t="s">
        <v>1153</v>
      </c>
      <c r="D14" s="730" t="s">
        <v>575</v>
      </c>
      <c r="E14" s="730" t="s">
        <v>575</v>
      </c>
      <c r="F14" s="730">
        <v>1</v>
      </c>
      <c r="G14" s="731"/>
      <c r="H14" s="732">
        <v>0</v>
      </c>
      <c r="I14" s="732">
        <v>0</v>
      </c>
      <c r="J14" s="733"/>
    </row>
    <row r="15" spans="1:29" s="729" customFormat="1" ht="93.6" x14ac:dyDescent="0.3">
      <c r="A15" s="724" t="s">
        <v>1877</v>
      </c>
      <c r="B15" s="730" t="s">
        <v>820</v>
      </c>
      <c r="C15" s="730" t="s">
        <v>1153</v>
      </c>
      <c r="D15" s="730" t="s">
        <v>576</v>
      </c>
      <c r="E15" s="730" t="s">
        <v>576</v>
      </c>
      <c r="F15" s="730">
        <v>1</v>
      </c>
      <c r="G15" s="731"/>
      <c r="H15" s="732">
        <v>0</v>
      </c>
      <c r="I15" s="732">
        <v>0</v>
      </c>
      <c r="J15" s="733"/>
    </row>
    <row r="16" spans="1:29" s="729" customFormat="1" ht="94.2" thickBot="1" x14ac:dyDescent="0.35">
      <c r="A16" s="724" t="s">
        <v>1877</v>
      </c>
      <c r="B16" s="730" t="s">
        <v>820</v>
      </c>
      <c r="C16" s="730" t="s">
        <v>1153</v>
      </c>
      <c r="D16" s="730" t="s">
        <v>578</v>
      </c>
      <c r="E16" s="730" t="s">
        <v>578</v>
      </c>
      <c r="F16" s="730">
        <v>1</v>
      </c>
      <c r="G16" s="731"/>
      <c r="H16" s="732">
        <v>0</v>
      </c>
      <c r="I16" s="732">
        <v>0</v>
      </c>
      <c r="J16" s="733"/>
    </row>
    <row r="17" spans="1:10" s="729" customFormat="1" ht="16.2" thickTop="1" x14ac:dyDescent="0.3">
      <c r="A17" s="724" t="s">
        <v>1878</v>
      </c>
      <c r="B17" s="1451" t="s">
        <v>344</v>
      </c>
      <c r="C17" s="1451" t="s">
        <v>1161</v>
      </c>
      <c r="D17" s="1451" t="s">
        <v>262</v>
      </c>
      <c r="E17" s="725" t="s">
        <v>214</v>
      </c>
      <c r="F17" s="725">
        <v>1</v>
      </c>
      <c r="G17" s="726"/>
      <c r="H17" s="743">
        <v>0</v>
      </c>
      <c r="I17" s="743">
        <v>0</v>
      </c>
      <c r="J17" s="728"/>
    </row>
    <row r="18" spans="1:10" s="729" customFormat="1" ht="31.2" x14ac:dyDescent="0.3">
      <c r="A18" s="724"/>
      <c r="B18" s="1452"/>
      <c r="C18" s="1452"/>
      <c r="D18" s="1452"/>
      <c r="E18" s="730" t="s">
        <v>1162</v>
      </c>
      <c r="F18" s="730">
        <v>1</v>
      </c>
      <c r="G18" s="731"/>
      <c r="H18" s="744">
        <v>0</v>
      </c>
      <c r="I18" s="744">
        <v>0</v>
      </c>
      <c r="J18" s="733"/>
    </row>
    <row r="19" spans="1:10" s="729" customFormat="1" ht="15.6" x14ac:dyDescent="0.3">
      <c r="A19" s="724"/>
      <c r="B19" s="1452"/>
      <c r="C19" s="1452"/>
      <c r="D19" s="1452"/>
      <c r="E19" s="730" t="s">
        <v>1163</v>
      </c>
      <c r="F19" s="730">
        <v>1</v>
      </c>
      <c r="G19" s="731"/>
      <c r="H19" s="744">
        <v>0</v>
      </c>
      <c r="I19" s="744">
        <v>0</v>
      </c>
      <c r="J19" s="733"/>
    </row>
    <row r="20" spans="1:10" s="729" customFormat="1" ht="15.6" x14ac:dyDescent="0.3">
      <c r="A20" s="724"/>
      <c r="B20" s="1452"/>
      <c r="C20" s="1452"/>
      <c r="D20" s="1452"/>
      <c r="E20" s="730" t="s">
        <v>1164</v>
      </c>
      <c r="F20" s="730">
        <v>1</v>
      </c>
      <c r="G20" s="731"/>
      <c r="H20" s="1454" t="s">
        <v>1274</v>
      </c>
      <c r="I20" s="1455"/>
      <c r="J20" s="1456"/>
    </row>
    <row r="21" spans="1:10" s="729" customFormat="1" ht="36" customHeight="1" x14ac:dyDescent="0.3">
      <c r="A21" s="724"/>
      <c r="B21" s="1452"/>
      <c r="C21" s="1452"/>
      <c r="D21" s="1452"/>
      <c r="E21" s="730" t="s">
        <v>1164</v>
      </c>
      <c r="F21" s="730">
        <v>1</v>
      </c>
      <c r="G21" s="731"/>
      <c r="H21" s="1454" t="s">
        <v>3044</v>
      </c>
      <c r="I21" s="1455"/>
      <c r="J21" s="1456"/>
    </row>
    <row r="22" spans="1:10" s="729" customFormat="1" ht="15.6" x14ac:dyDescent="0.3">
      <c r="A22" s="724"/>
      <c r="B22" s="1452"/>
      <c r="C22" s="1452"/>
      <c r="D22" s="1452"/>
      <c r="E22" s="730" t="s">
        <v>1164</v>
      </c>
      <c r="F22" s="730">
        <v>1</v>
      </c>
      <c r="G22" s="731"/>
      <c r="H22" s="1454" t="s">
        <v>1165</v>
      </c>
      <c r="I22" s="1455"/>
      <c r="J22" s="1456"/>
    </row>
    <row r="23" spans="1:10" s="729" customFormat="1" ht="62.4" x14ac:dyDescent="0.3">
      <c r="A23" s="724"/>
      <c r="B23" s="1452"/>
      <c r="C23" s="1452"/>
      <c r="D23" s="1452"/>
      <c r="E23" s="730" t="s">
        <v>1166</v>
      </c>
      <c r="F23" s="730">
        <v>1</v>
      </c>
      <c r="G23" s="731"/>
      <c r="H23" s="744">
        <v>0</v>
      </c>
      <c r="I23" s="744">
        <v>0</v>
      </c>
      <c r="J23" s="733"/>
    </row>
    <row r="24" spans="1:10" s="729" customFormat="1" ht="46.8" x14ac:dyDescent="0.3">
      <c r="A24" s="724"/>
      <c r="B24" s="1452"/>
      <c r="C24" s="1452"/>
      <c r="D24" s="1452"/>
      <c r="E24" s="730" t="s">
        <v>1167</v>
      </c>
      <c r="F24" s="730">
        <v>1</v>
      </c>
      <c r="G24" s="731"/>
      <c r="H24" s="744">
        <v>0</v>
      </c>
      <c r="I24" s="744">
        <v>0</v>
      </c>
      <c r="J24" s="733"/>
    </row>
    <row r="25" spans="1:10" s="729" customFormat="1" ht="62.4" x14ac:dyDescent="0.3">
      <c r="A25" s="724"/>
      <c r="B25" s="1452"/>
      <c r="C25" s="1452"/>
      <c r="D25" s="1452"/>
      <c r="E25" s="730" t="s">
        <v>1168</v>
      </c>
      <c r="F25" s="730">
        <v>1</v>
      </c>
      <c r="G25" s="731"/>
      <c r="H25" s="744">
        <v>0</v>
      </c>
      <c r="I25" s="744">
        <v>0</v>
      </c>
      <c r="J25" s="733"/>
    </row>
    <row r="26" spans="1:10" s="729" customFormat="1" ht="62.4" x14ac:dyDescent="0.3">
      <c r="A26" s="724"/>
      <c r="B26" s="1452"/>
      <c r="C26" s="1452"/>
      <c r="D26" s="1452"/>
      <c r="E26" s="730" t="s">
        <v>1169</v>
      </c>
      <c r="F26" s="730">
        <v>1</v>
      </c>
      <c r="G26" s="731"/>
      <c r="H26" s="744">
        <v>0</v>
      </c>
      <c r="I26" s="744">
        <v>0</v>
      </c>
      <c r="J26" s="733"/>
    </row>
    <row r="27" spans="1:10" s="729" customFormat="1" ht="46.8" x14ac:dyDescent="0.3">
      <c r="A27" s="724"/>
      <c r="B27" s="1452"/>
      <c r="C27" s="1452"/>
      <c r="D27" s="1452"/>
      <c r="E27" s="730" t="s">
        <v>1170</v>
      </c>
      <c r="F27" s="730">
        <v>1</v>
      </c>
      <c r="G27" s="731"/>
      <c r="H27" s="744">
        <v>0</v>
      </c>
      <c r="I27" s="744">
        <v>0</v>
      </c>
      <c r="J27" s="733"/>
    </row>
    <row r="28" spans="1:10" s="729" customFormat="1" ht="46.8" x14ac:dyDescent="0.3">
      <c r="A28" s="724"/>
      <c r="B28" s="1452"/>
      <c r="C28" s="1452"/>
      <c r="D28" s="1452"/>
      <c r="E28" s="730" t="s">
        <v>1171</v>
      </c>
      <c r="F28" s="730">
        <v>1</v>
      </c>
      <c r="G28" s="731"/>
      <c r="H28" s="744">
        <v>0</v>
      </c>
      <c r="I28" s="744">
        <v>0</v>
      </c>
      <c r="J28" s="733"/>
    </row>
    <row r="29" spans="1:10" s="729" customFormat="1" ht="46.8" x14ac:dyDescent="0.3">
      <c r="A29" s="724"/>
      <c r="B29" s="1453"/>
      <c r="C29" s="1453"/>
      <c r="D29" s="1453"/>
      <c r="E29" s="730" t="s">
        <v>1172</v>
      </c>
      <c r="F29" s="730">
        <v>1</v>
      </c>
      <c r="G29" s="731"/>
      <c r="H29" s="744">
        <v>0</v>
      </c>
      <c r="I29" s="744">
        <v>0</v>
      </c>
      <c r="J29" s="733"/>
    </row>
    <row r="30" spans="1:10" s="729" customFormat="1" ht="15.6" x14ac:dyDescent="0.3">
      <c r="A30" s="724"/>
      <c r="B30" s="1457" t="s">
        <v>344</v>
      </c>
      <c r="C30" s="1457" t="s">
        <v>1161</v>
      </c>
      <c r="D30" s="1457" t="s">
        <v>1467</v>
      </c>
      <c r="E30" s="730" t="s">
        <v>219</v>
      </c>
      <c r="F30" s="730">
        <v>1</v>
      </c>
      <c r="G30" s="731"/>
      <c r="H30" s="744">
        <v>0</v>
      </c>
      <c r="I30" s="744">
        <v>0</v>
      </c>
      <c r="J30" s="733"/>
    </row>
    <row r="31" spans="1:10" s="729" customFormat="1" ht="15.6" x14ac:dyDescent="0.3">
      <c r="A31" s="724"/>
      <c r="B31" s="1452"/>
      <c r="C31" s="1452"/>
      <c r="D31" s="1452"/>
      <c r="E31" s="730" t="s">
        <v>220</v>
      </c>
      <c r="F31" s="730">
        <v>1</v>
      </c>
      <c r="G31" s="731"/>
      <c r="H31" s="744">
        <v>0</v>
      </c>
      <c r="I31" s="744">
        <v>0</v>
      </c>
      <c r="J31" s="733"/>
    </row>
    <row r="32" spans="1:10" s="729" customFormat="1" ht="15.6" x14ac:dyDescent="0.3">
      <c r="A32" s="724"/>
      <c r="B32" s="1452"/>
      <c r="C32" s="1452"/>
      <c r="D32" s="1452"/>
      <c r="E32" s="730" t="s">
        <v>1501</v>
      </c>
      <c r="F32" s="730">
        <v>1</v>
      </c>
      <c r="G32" s="731"/>
      <c r="H32" s="744">
        <v>0</v>
      </c>
      <c r="I32" s="744">
        <v>0</v>
      </c>
      <c r="J32" s="733"/>
    </row>
    <row r="33" spans="1:65" s="729" customFormat="1" ht="15.6" x14ac:dyDescent="0.3">
      <c r="A33" s="724"/>
      <c r="B33" s="1452"/>
      <c r="C33" s="1452"/>
      <c r="D33" s="1452"/>
      <c r="E33" s="730" t="s">
        <v>1502</v>
      </c>
      <c r="F33" s="730">
        <v>1</v>
      </c>
      <c r="G33" s="731"/>
      <c r="H33" s="744">
        <v>0</v>
      </c>
      <c r="I33" s="744">
        <v>0</v>
      </c>
      <c r="J33" s="733"/>
    </row>
    <row r="34" spans="1:65" s="745" customFormat="1" ht="15.6" x14ac:dyDescent="0.3">
      <c r="A34" s="724"/>
      <c r="B34" s="1452"/>
      <c r="C34" s="1452"/>
      <c r="D34" s="1452"/>
      <c r="E34" s="730" t="s">
        <v>1575</v>
      </c>
      <c r="F34" s="730">
        <v>1</v>
      </c>
      <c r="G34" s="731"/>
      <c r="H34" s="744">
        <v>0</v>
      </c>
      <c r="I34" s="744">
        <v>0</v>
      </c>
      <c r="J34" s="733"/>
      <c r="K34" s="729"/>
      <c r="L34" s="729"/>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29"/>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729"/>
      <c r="BJ34" s="729"/>
      <c r="BK34" s="729"/>
      <c r="BL34" s="729"/>
      <c r="BM34" s="729"/>
    </row>
    <row r="35" spans="1:65" s="745" customFormat="1" ht="15.6" x14ac:dyDescent="0.3">
      <c r="A35" s="724"/>
      <c r="B35" s="1452"/>
      <c r="C35" s="1452"/>
      <c r="D35" s="1452"/>
      <c r="E35" s="730" t="s">
        <v>1576</v>
      </c>
      <c r="F35" s="730">
        <v>1</v>
      </c>
      <c r="G35" s="731"/>
      <c r="H35" s="744">
        <v>0</v>
      </c>
      <c r="I35" s="744">
        <v>0</v>
      </c>
      <c r="J35" s="733"/>
      <c r="K35" s="729"/>
      <c r="L35" s="729"/>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729"/>
      <c r="BJ35" s="729"/>
      <c r="BK35" s="729"/>
      <c r="BL35" s="729"/>
      <c r="BM35" s="729"/>
    </row>
    <row r="36" spans="1:65" s="745" customFormat="1" ht="16.2" thickBot="1" x14ac:dyDescent="0.35">
      <c r="A36" s="724"/>
      <c r="B36" s="1453"/>
      <c r="C36" s="1453"/>
      <c r="D36" s="1453"/>
      <c r="E36" s="730" t="s">
        <v>1577</v>
      </c>
      <c r="F36" s="730">
        <v>1</v>
      </c>
      <c r="G36" s="731"/>
      <c r="H36" s="744">
        <v>0</v>
      </c>
      <c r="I36" s="744">
        <v>0</v>
      </c>
      <c r="J36" s="733"/>
      <c r="K36" s="729"/>
      <c r="L36" s="729"/>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729"/>
      <c r="AP36" s="729"/>
      <c r="AQ36" s="729"/>
      <c r="AR36" s="729"/>
      <c r="AS36" s="729"/>
      <c r="AT36" s="729"/>
      <c r="AU36" s="729"/>
      <c r="AV36" s="729"/>
      <c r="AW36" s="729"/>
      <c r="AX36" s="729"/>
      <c r="AY36" s="729"/>
      <c r="AZ36" s="729"/>
      <c r="BA36" s="729"/>
      <c r="BB36" s="729"/>
      <c r="BC36" s="729"/>
      <c r="BD36" s="729"/>
      <c r="BE36" s="729"/>
      <c r="BF36" s="729"/>
      <c r="BG36" s="729"/>
      <c r="BH36" s="729"/>
      <c r="BI36" s="729"/>
      <c r="BJ36" s="729"/>
      <c r="BK36" s="729"/>
      <c r="BL36" s="729"/>
      <c r="BM36" s="729"/>
    </row>
    <row r="37" spans="1:65" s="729" customFormat="1" ht="51.75" customHeight="1" thickTop="1" x14ac:dyDescent="0.3">
      <c r="A37" s="724"/>
      <c r="B37" s="1458" t="s">
        <v>468</v>
      </c>
      <c r="C37" s="1458" t="s">
        <v>1425</v>
      </c>
      <c r="D37" s="1458" t="s">
        <v>1425</v>
      </c>
      <c r="E37" s="725" t="s">
        <v>1425</v>
      </c>
      <c r="F37" s="725">
        <v>1</v>
      </c>
      <c r="G37" s="725"/>
      <c r="H37" s="1443" t="s">
        <v>1866</v>
      </c>
      <c r="I37" s="1443"/>
      <c r="J37" s="1444"/>
    </row>
    <row r="38" spans="1:65" s="729" customFormat="1" ht="62.4" x14ac:dyDescent="0.3">
      <c r="A38" s="724"/>
      <c r="B38" s="1434"/>
      <c r="C38" s="1434"/>
      <c r="D38" s="1434"/>
      <c r="E38" s="730" t="s">
        <v>1425</v>
      </c>
      <c r="F38" s="730">
        <v>1</v>
      </c>
      <c r="G38" s="730"/>
      <c r="H38" s="1440" t="s">
        <v>1867</v>
      </c>
      <c r="I38" s="1440"/>
      <c r="J38" s="1441"/>
    </row>
    <row r="39" spans="1:65" s="729" customFormat="1" ht="78" x14ac:dyDescent="0.3">
      <c r="A39" s="724"/>
      <c r="B39" s="1434" t="s">
        <v>468</v>
      </c>
      <c r="C39" s="1434" t="s">
        <v>472</v>
      </c>
      <c r="D39" s="1434" t="s">
        <v>472</v>
      </c>
      <c r="E39" s="730" t="s">
        <v>472</v>
      </c>
      <c r="F39" s="730">
        <v>1</v>
      </c>
      <c r="G39" s="730"/>
      <c r="H39" s="1440" t="s">
        <v>1868</v>
      </c>
      <c r="I39" s="1440"/>
      <c r="J39" s="1441"/>
    </row>
    <row r="40" spans="1:65" s="729" customFormat="1" ht="78" x14ac:dyDescent="0.3">
      <c r="A40" s="724"/>
      <c r="B40" s="1434"/>
      <c r="C40" s="1434"/>
      <c r="D40" s="1434"/>
      <c r="E40" s="730" t="s">
        <v>472</v>
      </c>
      <c r="F40" s="730">
        <v>1</v>
      </c>
      <c r="G40" s="730"/>
      <c r="H40" s="1440" t="s">
        <v>1869</v>
      </c>
      <c r="I40" s="1440"/>
      <c r="J40" s="1441"/>
    </row>
    <row r="41" spans="1:65" s="729" customFormat="1" ht="78" x14ac:dyDescent="0.3">
      <c r="A41" s="724"/>
      <c r="B41" s="1434"/>
      <c r="C41" s="1434"/>
      <c r="D41" s="1434"/>
      <c r="E41" s="730" t="s">
        <v>472</v>
      </c>
      <c r="F41" s="730">
        <v>1</v>
      </c>
      <c r="G41" s="730"/>
      <c r="H41" s="1440" t="s">
        <v>657</v>
      </c>
      <c r="I41" s="1440"/>
      <c r="J41" s="1441"/>
    </row>
    <row r="42" spans="1:65" s="729" customFormat="1" ht="31.2" x14ac:dyDescent="0.3">
      <c r="A42" s="724"/>
      <c r="B42" s="1434"/>
      <c r="C42" s="1434"/>
      <c r="D42" s="1434"/>
      <c r="E42" s="730" t="s">
        <v>1426</v>
      </c>
      <c r="F42" s="730">
        <v>1</v>
      </c>
      <c r="G42" s="730"/>
      <c r="H42" s="732">
        <v>0</v>
      </c>
      <c r="I42" s="732">
        <v>0</v>
      </c>
      <c r="J42" s="753"/>
    </row>
    <row r="43" spans="1:65" s="729" customFormat="1" ht="78" x14ac:dyDescent="0.3">
      <c r="A43" s="724"/>
      <c r="B43" s="1434"/>
      <c r="C43" s="1434"/>
      <c r="D43" s="1434"/>
      <c r="E43" s="730" t="s">
        <v>472</v>
      </c>
      <c r="F43" s="730">
        <v>1</v>
      </c>
      <c r="G43" s="730"/>
      <c r="H43" s="1440" t="s">
        <v>486</v>
      </c>
      <c r="I43" s="1440"/>
      <c r="J43" s="1441"/>
    </row>
    <row r="44" spans="1:65" s="729" customFormat="1" ht="78" x14ac:dyDescent="0.3">
      <c r="A44" s="724"/>
      <c r="B44" s="730" t="s">
        <v>468</v>
      </c>
      <c r="C44" s="730" t="s">
        <v>472</v>
      </c>
      <c r="D44" s="730" t="s">
        <v>1588</v>
      </c>
      <c r="E44" s="730" t="s">
        <v>491</v>
      </c>
      <c r="F44" s="730">
        <v>1</v>
      </c>
      <c r="G44" s="730"/>
      <c r="H44" s="732">
        <v>0</v>
      </c>
      <c r="I44" s="744">
        <v>0</v>
      </c>
      <c r="J44" s="753"/>
    </row>
    <row r="45" spans="1:65" s="729" customFormat="1" ht="96" customHeight="1" x14ac:dyDescent="0.3">
      <c r="A45" s="724"/>
      <c r="B45" s="1434" t="s">
        <v>468</v>
      </c>
      <c r="C45" s="1434" t="s">
        <v>312</v>
      </c>
      <c r="D45" s="1434" t="s">
        <v>1427</v>
      </c>
      <c r="E45" s="730" t="s">
        <v>1427</v>
      </c>
      <c r="F45" s="730">
        <v>1</v>
      </c>
      <c r="G45" s="730"/>
      <c r="H45" s="1440" t="s">
        <v>1870</v>
      </c>
      <c r="I45" s="1440"/>
      <c r="J45" s="1441"/>
    </row>
    <row r="46" spans="1:65" s="729" customFormat="1" ht="31.2" x14ac:dyDescent="0.3">
      <c r="A46" s="724"/>
      <c r="B46" s="1434"/>
      <c r="C46" s="1434"/>
      <c r="D46" s="1434"/>
      <c r="E46" s="730" t="s">
        <v>1427</v>
      </c>
      <c r="F46" s="730">
        <v>1</v>
      </c>
      <c r="G46" s="730"/>
      <c r="H46" s="1440" t="s">
        <v>3146</v>
      </c>
      <c r="I46" s="1440"/>
      <c r="J46" s="1441"/>
    </row>
    <row r="47" spans="1:65" s="729" customFormat="1" ht="15.6" x14ac:dyDescent="0.3">
      <c r="A47" s="724"/>
      <c r="B47" s="1434" t="s">
        <v>468</v>
      </c>
      <c r="C47" s="1434" t="s">
        <v>505</v>
      </c>
      <c r="D47" s="1434" t="s">
        <v>505</v>
      </c>
      <c r="E47" s="730" t="s">
        <v>1428</v>
      </c>
      <c r="F47" s="730">
        <v>1</v>
      </c>
      <c r="G47" s="730"/>
      <c r="H47" s="744">
        <v>0</v>
      </c>
      <c r="I47" s="744">
        <v>0</v>
      </c>
      <c r="J47" s="759">
        <v>0</v>
      </c>
    </row>
    <row r="48" spans="1:65" s="729" customFormat="1" ht="15.6" x14ac:dyDescent="0.3">
      <c r="A48" s="724"/>
      <c r="B48" s="1434"/>
      <c r="C48" s="1434"/>
      <c r="D48" s="1434"/>
      <c r="E48" s="730" t="s">
        <v>507</v>
      </c>
      <c r="F48" s="730">
        <v>1</v>
      </c>
      <c r="G48" s="730"/>
      <c r="H48" s="744">
        <v>0</v>
      </c>
      <c r="I48" s="744">
        <v>0</v>
      </c>
      <c r="J48" s="759">
        <v>0</v>
      </c>
    </row>
    <row r="49" spans="1:10" s="729" customFormat="1" ht="15.6" x14ac:dyDescent="0.3">
      <c r="A49" s="724"/>
      <c r="B49" s="1434"/>
      <c r="C49" s="1434"/>
      <c r="D49" s="1434"/>
      <c r="E49" s="730" t="s">
        <v>508</v>
      </c>
      <c r="F49" s="730">
        <v>1</v>
      </c>
      <c r="G49" s="730"/>
      <c r="H49" s="744">
        <v>0</v>
      </c>
      <c r="I49" s="744">
        <v>0</v>
      </c>
      <c r="J49" s="759">
        <v>0</v>
      </c>
    </row>
    <row r="50" spans="1:10" s="729" customFormat="1" ht="15.6" x14ac:dyDescent="0.3">
      <c r="A50" s="724"/>
      <c r="B50" s="1434"/>
      <c r="C50" s="1434"/>
      <c r="D50" s="1434"/>
      <c r="E50" s="730" t="s">
        <v>509</v>
      </c>
      <c r="F50" s="730">
        <v>1</v>
      </c>
      <c r="G50" s="730"/>
      <c r="H50" s="744">
        <v>0</v>
      </c>
      <c r="I50" s="744">
        <v>0</v>
      </c>
      <c r="J50" s="759">
        <v>0</v>
      </c>
    </row>
    <row r="51" spans="1:10" s="729" customFormat="1" ht="15.6" x14ac:dyDescent="0.3">
      <c r="A51" s="724"/>
      <c r="B51" s="1434"/>
      <c r="C51" s="1434"/>
      <c r="D51" s="1434"/>
      <c r="E51" s="730" t="s">
        <v>373</v>
      </c>
      <c r="F51" s="730">
        <v>1</v>
      </c>
      <c r="G51" s="730"/>
      <c r="H51" s="744">
        <v>0</v>
      </c>
      <c r="I51" s="744">
        <v>0</v>
      </c>
      <c r="J51" s="759">
        <v>0</v>
      </c>
    </row>
    <row r="52" spans="1:10" s="729" customFormat="1" ht="15.6" x14ac:dyDescent="0.3">
      <c r="A52" s="724"/>
      <c r="B52" s="1434"/>
      <c r="C52" s="1434"/>
      <c r="D52" s="1434"/>
      <c r="E52" s="730" t="s">
        <v>505</v>
      </c>
      <c r="F52" s="730">
        <v>1</v>
      </c>
      <c r="G52" s="730"/>
      <c r="H52" s="1440" t="s">
        <v>510</v>
      </c>
      <c r="I52" s="1440"/>
      <c r="J52" s="1441"/>
    </row>
    <row r="53" spans="1:10" s="729" customFormat="1" ht="15.6" x14ac:dyDescent="0.3">
      <c r="A53" s="724"/>
      <c r="B53" s="1434"/>
      <c r="C53" s="1434"/>
      <c r="D53" s="1434"/>
      <c r="E53" s="730" t="s">
        <v>505</v>
      </c>
      <c r="F53" s="730">
        <v>1</v>
      </c>
      <c r="G53" s="730"/>
      <c r="H53" s="1440" t="s">
        <v>1871</v>
      </c>
      <c r="I53" s="1440"/>
      <c r="J53" s="1441"/>
    </row>
    <row r="54" spans="1:10" s="729" customFormat="1" ht="15.6" x14ac:dyDescent="0.3">
      <c r="A54" s="724"/>
      <c r="B54" s="1434"/>
      <c r="C54" s="1434"/>
      <c r="D54" s="1434"/>
      <c r="E54" s="730" t="s">
        <v>505</v>
      </c>
      <c r="F54" s="730">
        <v>1</v>
      </c>
      <c r="G54" s="730"/>
      <c r="H54" s="1440" t="s">
        <v>744</v>
      </c>
      <c r="I54" s="1440"/>
      <c r="J54" s="1441"/>
    </row>
    <row r="55" spans="1:10" s="729" customFormat="1" ht="31.2" x14ac:dyDescent="0.3">
      <c r="A55" s="724"/>
      <c r="B55" s="1434" t="s">
        <v>468</v>
      </c>
      <c r="C55" s="1434" t="s">
        <v>745</v>
      </c>
      <c r="D55" s="1434" t="s">
        <v>745</v>
      </c>
      <c r="E55" s="730" t="s">
        <v>1603</v>
      </c>
      <c r="F55" s="730">
        <v>1</v>
      </c>
      <c r="G55" s="730"/>
      <c r="H55" s="760"/>
      <c r="I55" s="760"/>
      <c r="J55" s="760"/>
    </row>
    <row r="56" spans="1:10" s="729" customFormat="1" ht="31.2" x14ac:dyDescent="0.3">
      <c r="A56" s="724"/>
      <c r="B56" s="1434"/>
      <c r="C56" s="1434"/>
      <c r="D56" s="1434"/>
      <c r="E56" s="730" t="s">
        <v>749</v>
      </c>
      <c r="F56" s="730">
        <v>1</v>
      </c>
      <c r="G56" s="730"/>
      <c r="H56" s="744">
        <v>0</v>
      </c>
      <c r="I56" s="744">
        <v>0</v>
      </c>
      <c r="J56" s="760"/>
    </row>
    <row r="57" spans="1:10" s="729" customFormat="1" ht="46.8" x14ac:dyDescent="0.3">
      <c r="A57" s="724"/>
      <c r="B57" s="1434"/>
      <c r="C57" s="1434"/>
      <c r="D57" s="1434"/>
      <c r="E57" s="730" t="s">
        <v>750</v>
      </c>
      <c r="F57" s="730">
        <v>1</v>
      </c>
      <c r="G57" s="730"/>
      <c r="H57" s="752">
        <v>0</v>
      </c>
      <c r="I57" s="752">
        <v>0</v>
      </c>
      <c r="J57" s="760"/>
    </row>
    <row r="58" spans="1:10" s="729" customFormat="1" ht="15.6" x14ac:dyDescent="0.3">
      <c r="A58" s="724"/>
      <c r="B58" s="1434"/>
      <c r="C58" s="1434"/>
      <c r="D58" s="1434"/>
      <c r="E58" s="730" t="s">
        <v>753</v>
      </c>
      <c r="F58" s="730">
        <v>1</v>
      </c>
      <c r="G58" s="730"/>
      <c r="H58" s="744">
        <v>0</v>
      </c>
      <c r="I58" s="744">
        <v>0</v>
      </c>
      <c r="J58" s="760"/>
    </row>
    <row r="59" spans="1:10" s="729" customFormat="1" ht="15.6" x14ac:dyDescent="0.3">
      <c r="A59" s="724"/>
      <c r="B59" s="1434"/>
      <c r="C59" s="1434"/>
      <c r="D59" s="1434"/>
      <c r="E59" s="730" t="s">
        <v>1429</v>
      </c>
      <c r="F59" s="730">
        <v>1</v>
      </c>
      <c r="G59" s="730"/>
      <c r="H59" s="744">
        <v>0</v>
      </c>
      <c r="I59" s="744">
        <v>0</v>
      </c>
      <c r="J59" s="760"/>
    </row>
    <row r="60" spans="1:10" s="729" customFormat="1" ht="31.2" x14ac:dyDescent="0.3">
      <c r="A60" s="724"/>
      <c r="B60" s="730" t="s">
        <v>468</v>
      </c>
      <c r="C60" s="730" t="s">
        <v>1604</v>
      </c>
      <c r="D60" s="730" t="s">
        <v>756</v>
      </c>
      <c r="E60" s="730" t="s">
        <v>758</v>
      </c>
      <c r="F60" s="730">
        <v>1</v>
      </c>
      <c r="G60" s="730"/>
      <c r="H60" s="760"/>
      <c r="I60" s="760"/>
      <c r="J60" s="760"/>
    </row>
    <row r="61" spans="1:10" s="729" customFormat="1" ht="31.2" x14ac:dyDescent="0.3">
      <c r="A61" s="724"/>
      <c r="B61" s="1434" t="s">
        <v>468</v>
      </c>
      <c r="C61" s="1434" t="s">
        <v>1430</v>
      </c>
      <c r="D61" s="1434" t="s">
        <v>1430</v>
      </c>
      <c r="E61" s="730" t="s">
        <v>1431</v>
      </c>
      <c r="F61" s="730">
        <v>1</v>
      </c>
      <c r="G61" s="730"/>
      <c r="H61" s="744">
        <v>0</v>
      </c>
      <c r="I61" s="744">
        <v>0</v>
      </c>
      <c r="J61" s="760"/>
    </row>
    <row r="62" spans="1:10" s="729" customFormat="1" ht="62.4" x14ac:dyDescent="0.3">
      <c r="A62" s="724"/>
      <c r="B62" s="1434"/>
      <c r="C62" s="1434"/>
      <c r="D62" s="1434"/>
      <c r="E62" s="730" t="s">
        <v>762</v>
      </c>
      <c r="F62" s="730">
        <v>1</v>
      </c>
      <c r="G62" s="730"/>
      <c r="H62" s="744">
        <v>0</v>
      </c>
      <c r="I62" s="744">
        <v>0</v>
      </c>
      <c r="J62" s="760"/>
    </row>
    <row r="63" spans="1:10" s="729" customFormat="1" ht="31.2" x14ac:dyDescent="0.3">
      <c r="A63" s="724"/>
      <c r="B63" s="1434"/>
      <c r="C63" s="1434"/>
      <c r="D63" s="1434"/>
      <c r="E63" s="730" t="s">
        <v>1432</v>
      </c>
      <c r="F63" s="730">
        <v>1</v>
      </c>
      <c r="G63" s="730"/>
      <c r="H63" s="744">
        <v>0</v>
      </c>
      <c r="I63" s="744">
        <v>0</v>
      </c>
      <c r="J63" s="760"/>
    </row>
    <row r="64" spans="1:10" s="729" customFormat="1" ht="31.2" x14ac:dyDescent="0.3">
      <c r="A64" s="724"/>
      <c r="B64" s="1434"/>
      <c r="C64" s="1434"/>
      <c r="D64" s="1434"/>
      <c r="E64" s="730" t="s">
        <v>1433</v>
      </c>
      <c r="F64" s="730">
        <v>1</v>
      </c>
      <c r="G64" s="730"/>
      <c r="H64" s="744">
        <v>0</v>
      </c>
      <c r="I64" s="744">
        <v>0</v>
      </c>
      <c r="J64" s="760"/>
    </row>
    <row r="65" spans="1:10" s="729" customFormat="1" ht="46.8" x14ac:dyDescent="0.3">
      <c r="A65" s="724"/>
      <c r="B65" s="1434"/>
      <c r="C65" s="1434"/>
      <c r="D65" s="1434"/>
      <c r="E65" s="730" t="s">
        <v>1430</v>
      </c>
      <c r="F65" s="730">
        <v>1</v>
      </c>
      <c r="G65" s="730"/>
      <c r="H65" s="1440" t="s">
        <v>1872</v>
      </c>
      <c r="I65" s="1440"/>
      <c r="J65" s="1441"/>
    </row>
    <row r="66" spans="1:10" s="729" customFormat="1" ht="47.25" customHeight="1" x14ac:dyDescent="0.3">
      <c r="A66" s="724"/>
      <c r="B66" s="1434"/>
      <c r="C66" s="1434"/>
      <c r="D66" s="1434"/>
      <c r="E66" s="730" t="s">
        <v>1430</v>
      </c>
      <c r="F66" s="730">
        <v>1</v>
      </c>
      <c r="G66" s="730"/>
      <c r="H66" s="1440" t="s">
        <v>1873</v>
      </c>
      <c r="I66" s="1440"/>
      <c r="J66" s="1441"/>
    </row>
    <row r="67" spans="1:10" s="729" customFormat="1" ht="15.6" x14ac:dyDescent="0.3">
      <c r="A67" s="724"/>
      <c r="B67" s="1434" t="s">
        <v>468</v>
      </c>
      <c r="C67" s="1434" t="s">
        <v>1434</v>
      </c>
      <c r="D67" s="1434" t="s">
        <v>1434</v>
      </c>
      <c r="E67" s="730" t="s">
        <v>769</v>
      </c>
      <c r="F67" s="730">
        <v>1</v>
      </c>
      <c r="G67" s="730"/>
      <c r="H67" s="744">
        <v>0</v>
      </c>
      <c r="I67" s="744">
        <v>0</v>
      </c>
      <c r="J67" s="753"/>
    </row>
    <row r="68" spans="1:10" s="729" customFormat="1" ht="46.8" x14ac:dyDescent="0.3">
      <c r="A68" s="724"/>
      <c r="B68" s="1434"/>
      <c r="C68" s="1434"/>
      <c r="D68" s="1434"/>
      <c r="E68" s="730" t="s">
        <v>948</v>
      </c>
      <c r="F68" s="730">
        <v>1</v>
      </c>
      <c r="G68" s="730"/>
      <c r="H68" s="744">
        <v>0</v>
      </c>
      <c r="I68" s="744">
        <v>0</v>
      </c>
      <c r="J68" s="753"/>
    </row>
    <row r="69" spans="1:10" s="729" customFormat="1" ht="15.6" x14ac:dyDescent="0.3">
      <c r="A69" s="724"/>
      <c r="B69" s="1434"/>
      <c r="C69" s="1434"/>
      <c r="D69" s="1434"/>
      <c r="E69" s="730" t="s">
        <v>410</v>
      </c>
      <c r="F69" s="730">
        <v>1</v>
      </c>
      <c r="G69" s="730"/>
      <c r="H69" s="744">
        <v>0</v>
      </c>
      <c r="I69" s="744">
        <v>0</v>
      </c>
      <c r="J69" s="753"/>
    </row>
    <row r="70" spans="1:10" s="729" customFormat="1" ht="31.2" x14ac:dyDescent="0.3">
      <c r="A70" s="724"/>
      <c r="B70" s="1434"/>
      <c r="C70" s="1434"/>
      <c r="D70" s="1434"/>
      <c r="E70" s="730" t="s">
        <v>1426</v>
      </c>
      <c r="F70" s="730">
        <v>1</v>
      </c>
      <c r="G70" s="730"/>
      <c r="H70" s="744">
        <v>0</v>
      </c>
      <c r="I70" s="744">
        <v>0</v>
      </c>
      <c r="J70" s="753"/>
    </row>
    <row r="71" spans="1:10" s="729" customFormat="1" ht="15.6" x14ac:dyDescent="0.3">
      <c r="A71" s="724"/>
      <c r="B71" s="1434"/>
      <c r="C71" s="1434"/>
      <c r="D71" s="1434"/>
      <c r="E71" s="730" t="s">
        <v>1435</v>
      </c>
      <c r="F71" s="730">
        <v>1</v>
      </c>
      <c r="G71" s="730"/>
      <c r="H71" s="761">
        <v>0</v>
      </c>
      <c r="I71" s="761">
        <v>0</v>
      </c>
      <c r="J71" s="753"/>
    </row>
    <row r="72" spans="1:10" s="729" customFormat="1" ht="46.8" x14ac:dyDescent="0.3">
      <c r="A72" s="724"/>
      <c r="B72" s="1434"/>
      <c r="C72" s="1434"/>
      <c r="D72" s="1434"/>
      <c r="E72" s="730" t="s">
        <v>1436</v>
      </c>
      <c r="F72" s="730">
        <v>1</v>
      </c>
      <c r="G72" s="730"/>
      <c r="H72" s="761">
        <v>0</v>
      </c>
      <c r="I72" s="761">
        <v>0</v>
      </c>
      <c r="J72" s="753"/>
    </row>
    <row r="73" spans="1:10" s="729" customFormat="1" ht="15.6" x14ac:dyDescent="0.3">
      <c r="A73" s="724"/>
      <c r="B73" s="1434"/>
      <c r="C73" s="1434"/>
      <c r="D73" s="1434"/>
      <c r="E73" s="730" t="s">
        <v>1437</v>
      </c>
      <c r="F73" s="730">
        <v>1</v>
      </c>
      <c r="G73" s="730"/>
      <c r="H73" s="761">
        <v>0</v>
      </c>
      <c r="I73" s="761">
        <v>0</v>
      </c>
      <c r="J73" s="753"/>
    </row>
    <row r="74" spans="1:10" s="729" customFormat="1" ht="46.8" x14ac:dyDescent="0.3">
      <c r="A74" s="724"/>
      <c r="B74" s="1434"/>
      <c r="C74" s="1434"/>
      <c r="D74" s="1434"/>
      <c r="E74" s="730" t="s">
        <v>1438</v>
      </c>
      <c r="F74" s="730">
        <v>1</v>
      </c>
      <c r="G74" s="730"/>
      <c r="H74" s="761">
        <v>0</v>
      </c>
      <c r="I74" s="761">
        <v>0</v>
      </c>
      <c r="J74" s="753"/>
    </row>
    <row r="75" spans="1:10" s="729" customFormat="1" ht="93.6" x14ac:dyDescent="0.3">
      <c r="A75" s="724"/>
      <c r="B75" s="1434"/>
      <c r="C75" s="1434"/>
      <c r="D75" s="1434"/>
      <c r="E75" s="730" t="s">
        <v>3016</v>
      </c>
      <c r="F75" s="730">
        <v>1</v>
      </c>
      <c r="G75" s="730"/>
      <c r="H75" s="1440" t="s">
        <v>3147</v>
      </c>
      <c r="I75" s="1440"/>
      <c r="J75" s="1441"/>
    </row>
    <row r="76" spans="1:10" s="729" customFormat="1" ht="31.2" x14ac:dyDescent="0.3">
      <c r="A76" s="724"/>
      <c r="B76" s="730" t="s">
        <v>468</v>
      </c>
      <c r="C76" s="730" t="s">
        <v>771</v>
      </c>
      <c r="D76" s="730" t="s">
        <v>771</v>
      </c>
      <c r="E76" s="730" t="s">
        <v>771</v>
      </c>
      <c r="F76" s="730">
        <v>1</v>
      </c>
      <c r="G76" s="730"/>
      <c r="H76" s="1440" t="s">
        <v>3148</v>
      </c>
      <c r="I76" s="1440"/>
      <c r="J76" s="1441"/>
    </row>
    <row r="77" spans="1:10" s="729" customFormat="1" ht="82.95" customHeight="1" x14ac:dyDescent="0.3">
      <c r="A77" s="724"/>
      <c r="B77" s="730" t="s">
        <v>468</v>
      </c>
      <c r="C77" s="730" t="s">
        <v>314</v>
      </c>
      <c r="D77" s="730" t="s">
        <v>314</v>
      </c>
      <c r="E77" s="730" t="s">
        <v>314</v>
      </c>
      <c r="F77" s="730">
        <v>1</v>
      </c>
      <c r="G77" s="730"/>
      <c r="H77" s="1440" t="s">
        <v>1874</v>
      </c>
      <c r="I77" s="1440"/>
      <c r="J77" s="1441"/>
    </row>
    <row r="78" spans="1:10" s="729" customFormat="1" ht="15.6" x14ac:dyDescent="0.3">
      <c r="A78" s="724"/>
      <c r="B78" s="1434" t="s">
        <v>468</v>
      </c>
      <c r="C78" s="1434" t="s">
        <v>314</v>
      </c>
      <c r="D78" s="1434" t="s">
        <v>774</v>
      </c>
      <c r="E78" s="730" t="s">
        <v>506</v>
      </c>
      <c r="F78" s="730">
        <v>1</v>
      </c>
      <c r="G78" s="730"/>
      <c r="H78" s="762">
        <v>0</v>
      </c>
      <c r="I78" s="762">
        <v>0</v>
      </c>
      <c r="J78" s="753"/>
    </row>
    <row r="79" spans="1:10" s="729" customFormat="1" ht="15.6" x14ac:dyDescent="0.3">
      <c r="A79" s="724"/>
      <c r="B79" s="1434"/>
      <c r="C79" s="1434"/>
      <c r="D79" s="1434"/>
      <c r="E79" s="730" t="s">
        <v>507</v>
      </c>
      <c r="F79" s="730">
        <v>1</v>
      </c>
      <c r="G79" s="730"/>
      <c r="H79" s="762">
        <v>0</v>
      </c>
      <c r="I79" s="762">
        <v>0</v>
      </c>
      <c r="J79" s="753"/>
    </row>
    <row r="80" spans="1:10" s="729" customFormat="1" ht="15.6" x14ac:dyDescent="0.3">
      <c r="A80" s="724"/>
      <c r="B80" s="1434"/>
      <c r="C80" s="1434"/>
      <c r="D80" s="1434"/>
      <c r="E80" s="730" t="s">
        <v>508</v>
      </c>
      <c r="F80" s="730">
        <v>1</v>
      </c>
      <c r="G80" s="730"/>
      <c r="H80" s="762">
        <v>0</v>
      </c>
      <c r="I80" s="762">
        <v>0</v>
      </c>
      <c r="J80" s="753"/>
    </row>
    <row r="81" spans="1:10" s="729" customFormat="1" ht="15.6" x14ac:dyDescent="0.3">
      <c r="A81" s="724"/>
      <c r="B81" s="1434"/>
      <c r="C81" s="1434"/>
      <c r="D81" s="1434"/>
      <c r="E81" s="730" t="s">
        <v>509</v>
      </c>
      <c r="F81" s="730">
        <v>1</v>
      </c>
      <c r="G81" s="730"/>
      <c r="H81" s="763">
        <v>0</v>
      </c>
      <c r="I81" s="763">
        <v>0</v>
      </c>
      <c r="J81" s="753"/>
    </row>
    <row r="82" spans="1:10" s="729" customFormat="1" ht="15.6" x14ac:dyDescent="0.3">
      <c r="A82" s="724"/>
      <c r="B82" s="1434"/>
      <c r="C82" s="1434"/>
      <c r="D82" s="1434"/>
      <c r="E82" s="730" t="s">
        <v>373</v>
      </c>
      <c r="F82" s="730">
        <v>1</v>
      </c>
      <c r="G82" s="730"/>
      <c r="H82" s="763">
        <v>0</v>
      </c>
      <c r="I82" s="763">
        <v>0</v>
      </c>
      <c r="J82" s="753"/>
    </row>
    <row r="83" spans="1:10" s="729" customFormat="1" ht="15.6" x14ac:dyDescent="0.3">
      <c r="A83" s="724"/>
      <c r="B83" s="1434" t="s">
        <v>468</v>
      </c>
      <c r="C83" s="1434" t="s">
        <v>314</v>
      </c>
      <c r="D83" s="1434" t="s">
        <v>1440</v>
      </c>
      <c r="E83" s="730" t="s">
        <v>777</v>
      </c>
      <c r="F83" s="730">
        <v>1</v>
      </c>
      <c r="G83" s="730"/>
      <c r="H83" s="744">
        <v>0</v>
      </c>
      <c r="I83" s="744">
        <v>0</v>
      </c>
      <c r="J83" s="753"/>
    </row>
    <row r="84" spans="1:10" s="729" customFormat="1" ht="15.6" x14ac:dyDescent="0.3">
      <c r="A84" s="724"/>
      <c r="B84" s="1434"/>
      <c r="C84" s="1434"/>
      <c r="D84" s="1434"/>
      <c r="E84" s="730" t="s">
        <v>778</v>
      </c>
      <c r="F84" s="730">
        <v>1</v>
      </c>
      <c r="G84" s="730"/>
      <c r="H84" s="744">
        <v>0</v>
      </c>
      <c r="I84" s="744">
        <v>0</v>
      </c>
      <c r="J84" s="753"/>
    </row>
    <row r="85" spans="1:10" s="729" customFormat="1" ht="15.6" x14ac:dyDescent="0.3">
      <c r="A85" s="724"/>
      <c r="B85" s="1434"/>
      <c r="C85" s="1434"/>
      <c r="D85" s="1434"/>
      <c r="E85" s="730" t="s">
        <v>777</v>
      </c>
      <c r="F85" s="730">
        <v>1</v>
      </c>
      <c r="G85" s="730"/>
      <c r="H85" s="744">
        <v>0</v>
      </c>
      <c r="I85" s="744">
        <v>0</v>
      </c>
      <c r="J85" s="753"/>
    </row>
    <row r="86" spans="1:10" s="729" customFormat="1" ht="15.6" x14ac:dyDescent="0.3">
      <c r="A86" s="724"/>
      <c r="B86" s="1434"/>
      <c r="C86" s="1434"/>
      <c r="D86" s="1434"/>
      <c r="E86" s="730" t="s">
        <v>778</v>
      </c>
      <c r="F86" s="730">
        <v>1</v>
      </c>
      <c r="G86" s="730"/>
      <c r="H86" s="744">
        <v>0</v>
      </c>
      <c r="I86" s="744">
        <v>0</v>
      </c>
      <c r="J86" s="753"/>
    </row>
    <row r="87" spans="1:10" s="729" customFormat="1" ht="31.2" x14ac:dyDescent="0.3">
      <c r="A87" s="724"/>
      <c r="B87" s="1434" t="s">
        <v>468</v>
      </c>
      <c r="C87" s="1434" t="s">
        <v>314</v>
      </c>
      <c r="D87" s="1434" t="s">
        <v>1439</v>
      </c>
      <c r="E87" s="730" t="s">
        <v>780</v>
      </c>
      <c r="F87" s="730">
        <v>1</v>
      </c>
      <c r="G87" s="730"/>
      <c r="H87" s="761">
        <v>0</v>
      </c>
      <c r="I87" s="761">
        <v>0</v>
      </c>
      <c r="J87" s="753"/>
    </row>
    <row r="88" spans="1:10" s="729" customFormat="1" ht="15.6" x14ac:dyDescent="0.3">
      <c r="A88" s="724"/>
      <c r="B88" s="1434"/>
      <c r="C88" s="1434"/>
      <c r="D88" s="1434"/>
      <c r="E88" s="730" t="s">
        <v>781</v>
      </c>
      <c r="F88" s="730">
        <v>1</v>
      </c>
      <c r="G88" s="730"/>
      <c r="H88" s="761">
        <v>0</v>
      </c>
      <c r="I88" s="761">
        <v>0</v>
      </c>
      <c r="J88" s="753"/>
    </row>
    <row r="89" spans="1:10" s="729" customFormat="1" ht="31.2" x14ac:dyDescent="0.3">
      <c r="A89" s="724"/>
      <c r="B89" s="1434"/>
      <c r="C89" s="1434"/>
      <c r="D89" s="1434"/>
      <c r="E89" s="730" t="s">
        <v>1431</v>
      </c>
      <c r="F89" s="730">
        <v>1</v>
      </c>
      <c r="G89" s="730"/>
      <c r="H89" s="761">
        <v>0</v>
      </c>
      <c r="I89" s="761">
        <v>0</v>
      </c>
      <c r="J89" s="753"/>
    </row>
    <row r="90" spans="1:10" s="729" customFormat="1" ht="15.6" x14ac:dyDescent="0.3">
      <c r="A90" s="724"/>
      <c r="B90" s="1434"/>
      <c r="C90" s="1434"/>
      <c r="D90" s="1434"/>
      <c r="E90" s="730" t="s">
        <v>783</v>
      </c>
      <c r="F90" s="730">
        <v>1</v>
      </c>
      <c r="G90" s="730"/>
      <c r="H90" s="761">
        <v>0</v>
      </c>
      <c r="I90" s="761">
        <v>0</v>
      </c>
      <c r="J90" s="753"/>
    </row>
    <row r="91" spans="1:10" s="729" customFormat="1" ht="31.2" x14ac:dyDescent="0.3">
      <c r="A91" s="724"/>
      <c r="B91" s="1434"/>
      <c r="C91" s="1434"/>
      <c r="D91" s="1434"/>
      <c r="E91" s="730" t="s">
        <v>1586</v>
      </c>
      <c r="F91" s="730">
        <v>1</v>
      </c>
      <c r="G91" s="730"/>
      <c r="H91" s="761">
        <v>0</v>
      </c>
      <c r="I91" s="761">
        <v>0</v>
      </c>
      <c r="J91" s="753"/>
    </row>
    <row r="92" spans="1:10" s="729" customFormat="1" ht="15.6" x14ac:dyDescent="0.3">
      <c r="A92" s="724"/>
      <c r="B92" s="1434" t="s">
        <v>468</v>
      </c>
      <c r="C92" s="1434" t="s">
        <v>784</v>
      </c>
      <c r="D92" s="1434" t="s">
        <v>784</v>
      </c>
      <c r="E92" s="730" t="s">
        <v>785</v>
      </c>
      <c r="F92" s="730">
        <v>1</v>
      </c>
      <c r="G92" s="730"/>
      <c r="H92" s="761">
        <v>0</v>
      </c>
      <c r="I92" s="761">
        <v>0</v>
      </c>
      <c r="J92" s="753"/>
    </row>
    <row r="93" spans="1:10" s="729" customFormat="1" ht="15.6" x14ac:dyDescent="0.3">
      <c r="A93" s="724"/>
      <c r="B93" s="1434"/>
      <c r="C93" s="1434"/>
      <c r="D93" s="1434"/>
      <c r="E93" s="730" t="s">
        <v>786</v>
      </c>
      <c r="F93" s="730">
        <v>1</v>
      </c>
      <c r="G93" s="730"/>
      <c r="H93" s="761">
        <v>0</v>
      </c>
      <c r="I93" s="761">
        <v>0</v>
      </c>
      <c r="J93" s="753"/>
    </row>
    <row r="94" spans="1:10" s="729" customFormat="1" ht="31.2" x14ac:dyDescent="0.3">
      <c r="A94" s="724"/>
      <c r="B94" s="1434" t="s">
        <v>468</v>
      </c>
      <c r="C94" s="1434" t="s">
        <v>1441</v>
      </c>
      <c r="D94" s="1434" t="s">
        <v>1441</v>
      </c>
      <c r="E94" s="730" t="s">
        <v>1441</v>
      </c>
      <c r="F94" s="146">
        <v>1</v>
      </c>
      <c r="G94" s="730"/>
      <c r="H94" s="1440" t="s">
        <v>1442</v>
      </c>
      <c r="I94" s="1440"/>
      <c r="J94" s="1441"/>
    </row>
    <row r="95" spans="1:10" s="729" customFormat="1" ht="31.2" x14ac:dyDescent="0.3">
      <c r="A95" s="724"/>
      <c r="B95" s="1434"/>
      <c r="C95" s="1434"/>
      <c r="D95" s="1434"/>
      <c r="E95" s="730" t="s">
        <v>1441</v>
      </c>
      <c r="F95" s="146">
        <v>1</v>
      </c>
      <c r="G95" s="730"/>
      <c r="H95" s="1440" t="s">
        <v>3131</v>
      </c>
      <c r="I95" s="1440"/>
      <c r="J95" s="1441"/>
    </row>
    <row r="96" spans="1:10" s="729" customFormat="1" ht="31.2" x14ac:dyDescent="0.3">
      <c r="A96" s="724"/>
      <c r="B96" s="1434"/>
      <c r="C96" s="1434"/>
      <c r="D96" s="1434"/>
      <c r="E96" s="730" t="s">
        <v>1441</v>
      </c>
      <c r="F96" s="146">
        <v>1</v>
      </c>
      <c r="G96" s="730"/>
      <c r="H96" s="1440" t="s">
        <v>1443</v>
      </c>
      <c r="I96" s="1440"/>
      <c r="J96" s="1441"/>
    </row>
    <row r="97" spans="1:10" s="729" customFormat="1" ht="31.2" x14ac:dyDescent="0.3">
      <c r="A97" s="724"/>
      <c r="B97" s="1434" t="s">
        <v>468</v>
      </c>
      <c r="C97" s="1434" t="s">
        <v>1441</v>
      </c>
      <c r="D97" s="1434" t="s">
        <v>1446</v>
      </c>
      <c r="E97" s="730" t="s">
        <v>1445</v>
      </c>
      <c r="F97" s="730">
        <v>1</v>
      </c>
      <c r="G97" s="730"/>
      <c r="H97" s="764" t="s">
        <v>1578</v>
      </c>
      <c r="I97" s="764" t="s">
        <v>1579</v>
      </c>
      <c r="J97" s="753"/>
    </row>
    <row r="98" spans="1:10" s="729" customFormat="1" ht="31.2" x14ac:dyDescent="0.3">
      <c r="A98" s="724"/>
      <c r="B98" s="1434"/>
      <c r="C98" s="1434"/>
      <c r="D98" s="1434"/>
      <c r="E98" s="730" t="s">
        <v>1447</v>
      </c>
      <c r="F98" s="730">
        <v>1</v>
      </c>
      <c r="G98" s="730"/>
      <c r="H98" s="752">
        <v>0</v>
      </c>
      <c r="I98" s="752">
        <v>0</v>
      </c>
      <c r="J98" s="753"/>
    </row>
    <row r="99" spans="1:10" s="729" customFormat="1" ht="31.2" x14ac:dyDescent="0.3">
      <c r="A99" s="724"/>
      <c r="B99" s="1434"/>
      <c r="C99" s="1434"/>
      <c r="D99" s="1434"/>
      <c r="E99" s="730" t="s">
        <v>1448</v>
      </c>
      <c r="F99" s="730">
        <v>1</v>
      </c>
      <c r="G99" s="730"/>
      <c r="H99" s="761">
        <v>0</v>
      </c>
      <c r="I99" s="761">
        <v>0</v>
      </c>
      <c r="J99" s="753"/>
    </row>
    <row r="100" spans="1:10" s="729" customFormat="1" ht="15.6" x14ac:dyDescent="0.3">
      <c r="A100" s="724"/>
      <c r="B100" s="1434"/>
      <c r="C100" s="1434"/>
      <c r="D100" s="1434"/>
      <c r="E100" s="730" t="s">
        <v>1449</v>
      </c>
      <c r="F100" s="730">
        <v>1</v>
      </c>
      <c r="G100" s="730"/>
      <c r="H100" s="752">
        <v>0</v>
      </c>
      <c r="I100" s="752">
        <v>0</v>
      </c>
      <c r="J100" s="753"/>
    </row>
    <row r="101" spans="1:10" s="729" customFormat="1" ht="31.2" x14ac:dyDescent="0.3">
      <c r="A101" s="724"/>
      <c r="B101" s="1434"/>
      <c r="C101" s="1434"/>
      <c r="D101" s="1434"/>
      <c r="E101" s="730" t="s">
        <v>1450</v>
      </c>
      <c r="F101" s="730">
        <v>1</v>
      </c>
      <c r="G101" s="730"/>
      <c r="H101" s="761">
        <v>0</v>
      </c>
      <c r="I101" s="761">
        <v>0</v>
      </c>
      <c r="J101" s="753"/>
    </row>
    <row r="102" spans="1:10" s="729" customFormat="1" ht="31.2" x14ac:dyDescent="0.3">
      <c r="A102" s="724"/>
      <c r="B102" s="1434" t="s">
        <v>468</v>
      </c>
      <c r="C102" s="1434" t="s">
        <v>1441</v>
      </c>
      <c r="D102" s="1434" t="s">
        <v>1451</v>
      </c>
      <c r="E102" s="730" t="s">
        <v>1452</v>
      </c>
      <c r="F102" s="730">
        <v>1</v>
      </c>
      <c r="G102" s="730"/>
      <c r="H102" s="764" t="s">
        <v>1578</v>
      </c>
      <c r="I102" s="764" t="s">
        <v>1579</v>
      </c>
      <c r="J102" s="753"/>
    </row>
    <row r="103" spans="1:10" s="729" customFormat="1" ht="31.2" x14ac:dyDescent="0.3">
      <c r="A103" s="724"/>
      <c r="B103" s="1434"/>
      <c r="C103" s="1434"/>
      <c r="D103" s="1434"/>
      <c r="E103" s="730" t="s">
        <v>1447</v>
      </c>
      <c r="F103" s="730">
        <v>1</v>
      </c>
      <c r="G103" s="730"/>
      <c r="H103" s="752">
        <v>0</v>
      </c>
      <c r="I103" s="752">
        <v>0</v>
      </c>
      <c r="J103" s="753"/>
    </row>
    <row r="104" spans="1:10" s="729" customFormat="1" ht="31.2" x14ac:dyDescent="0.3">
      <c r="A104" s="724"/>
      <c r="B104" s="1434"/>
      <c r="C104" s="1434"/>
      <c r="D104" s="1434"/>
      <c r="E104" s="730" t="s">
        <v>1448</v>
      </c>
      <c r="F104" s="730">
        <v>1</v>
      </c>
      <c r="G104" s="730"/>
      <c r="H104" s="761">
        <v>0</v>
      </c>
      <c r="I104" s="761">
        <v>0</v>
      </c>
      <c r="J104" s="753"/>
    </row>
    <row r="105" spans="1:10" s="729" customFormat="1" ht="15.6" x14ac:dyDescent="0.3">
      <c r="A105" s="724"/>
      <c r="B105" s="1434"/>
      <c r="C105" s="1434"/>
      <c r="D105" s="1434"/>
      <c r="E105" s="730" t="s">
        <v>1449</v>
      </c>
      <c r="F105" s="730">
        <v>1</v>
      </c>
      <c r="G105" s="730"/>
      <c r="H105" s="752">
        <v>0</v>
      </c>
      <c r="I105" s="752">
        <v>0</v>
      </c>
      <c r="J105" s="753"/>
    </row>
    <row r="106" spans="1:10" s="729" customFormat="1" ht="31.2" x14ac:dyDescent="0.3">
      <c r="A106" s="724"/>
      <c r="B106" s="1434"/>
      <c r="C106" s="1434"/>
      <c r="D106" s="1434"/>
      <c r="E106" s="730" t="s">
        <v>1450</v>
      </c>
      <c r="F106" s="730">
        <v>1</v>
      </c>
      <c r="G106" s="730"/>
      <c r="H106" s="761">
        <v>0</v>
      </c>
      <c r="I106" s="761">
        <v>0</v>
      </c>
      <c r="J106" s="753"/>
    </row>
    <row r="107" spans="1:10" s="729" customFormat="1" ht="31.2" x14ac:dyDescent="0.3">
      <c r="A107" s="724"/>
      <c r="B107" s="1434" t="s">
        <v>468</v>
      </c>
      <c r="C107" s="1434" t="s">
        <v>1441</v>
      </c>
      <c r="D107" s="1434" t="s">
        <v>1453</v>
      </c>
      <c r="E107" s="730" t="s">
        <v>1454</v>
      </c>
      <c r="F107" s="730">
        <v>1</v>
      </c>
      <c r="G107" s="730"/>
      <c r="H107" s="764" t="s">
        <v>1578</v>
      </c>
      <c r="I107" s="764" t="s">
        <v>1579</v>
      </c>
      <c r="J107" s="753"/>
    </row>
    <row r="108" spans="1:10" s="729" customFormat="1" ht="31.2" x14ac:dyDescent="0.3">
      <c r="A108" s="724"/>
      <c r="B108" s="1434"/>
      <c r="C108" s="1434"/>
      <c r="D108" s="1434"/>
      <c r="E108" s="730" t="s">
        <v>1447</v>
      </c>
      <c r="F108" s="730">
        <v>1</v>
      </c>
      <c r="G108" s="730"/>
      <c r="H108" s="752">
        <v>0</v>
      </c>
      <c r="I108" s="752">
        <v>0</v>
      </c>
      <c r="J108" s="753"/>
    </row>
    <row r="109" spans="1:10" s="729" customFormat="1" ht="31.2" x14ac:dyDescent="0.3">
      <c r="A109" s="724"/>
      <c r="B109" s="1434"/>
      <c r="C109" s="1434"/>
      <c r="D109" s="1434"/>
      <c r="E109" s="730" t="s">
        <v>1448</v>
      </c>
      <c r="F109" s="730">
        <v>1</v>
      </c>
      <c r="G109" s="730"/>
      <c r="H109" s="761">
        <v>0</v>
      </c>
      <c r="I109" s="761">
        <v>0</v>
      </c>
      <c r="J109" s="753"/>
    </row>
    <row r="110" spans="1:10" s="729" customFormat="1" ht="15.6" x14ac:dyDescent="0.3">
      <c r="A110" s="724"/>
      <c r="B110" s="1434"/>
      <c r="C110" s="1434"/>
      <c r="D110" s="1434"/>
      <c r="E110" s="730" t="s">
        <v>1449</v>
      </c>
      <c r="F110" s="730">
        <v>1</v>
      </c>
      <c r="G110" s="730"/>
      <c r="H110" s="752">
        <v>0</v>
      </c>
      <c r="I110" s="752">
        <v>0</v>
      </c>
      <c r="J110" s="753"/>
    </row>
    <row r="111" spans="1:10" s="729" customFormat="1" ht="31.2" x14ac:dyDescent="0.3">
      <c r="A111" s="724"/>
      <c r="B111" s="1434"/>
      <c r="C111" s="1434"/>
      <c r="D111" s="1434"/>
      <c r="E111" s="730" t="s">
        <v>1450</v>
      </c>
      <c r="F111" s="730">
        <v>1</v>
      </c>
      <c r="G111" s="730"/>
      <c r="H111" s="761">
        <v>0</v>
      </c>
      <c r="I111" s="761">
        <v>0</v>
      </c>
      <c r="J111" s="753"/>
    </row>
    <row r="112" spans="1:10" s="729" customFormat="1" ht="31.2" x14ac:dyDescent="0.3">
      <c r="A112" s="724"/>
      <c r="B112" s="1434" t="s">
        <v>468</v>
      </c>
      <c r="C112" s="1434" t="s">
        <v>1441</v>
      </c>
      <c r="D112" s="1434" t="s">
        <v>1455</v>
      </c>
      <c r="E112" s="730" t="s">
        <v>1456</v>
      </c>
      <c r="F112" s="730">
        <v>1</v>
      </c>
      <c r="G112" s="730"/>
      <c r="H112" s="764" t="s">
        <v>1580</v>
      </c>
      <c r="I112" s="764" t="s">
        <v>1581</v>
      </c>
      <c r="J112" s="753"/>
    </row>
    <row r="113" spans="1:10" s="729" customFormat="1" ht="31.2" x14ac:dyDescent="0.3">
      <c r="A113" s="724"/>
      <c r="B113" s="1434"/>
      <c r="C113" s="1434"/>
      <c r="D113" s="1434"/>
      <c r="E113" s="730" t="s">
        <v>1447</v>
      </c>
      <c r="F113" s="730">
        <v>1</v>
      </c>
      <c r="G113" s="730"/>
      <c r="H113" s="752">
        <v>0</v>
      </c>
      <c r="I113" s="752">
        <v>0</v>
      </c>
      <c r="J113" s="753"/>
    </row>
    <row r="114" spans="1:10" s="729" customFormat="1" ht="31.2" x14ac:dyDescent="0.3">
      <c r="A114" s="724"/>
      <c r="B114" s="1434"/>
      <c r="C114" s="1434"/>
      <c r="D114" s="1434"/>
      <c r="E114" s="730" t="s">
        <v>1448</v>
      </c>
      <c r="F114" s="730">
        <v>1</v>
      </c>
      <c r="G114" s="730"/>
      <c r="H114" s="761">
        <v>0</v>
      </c>
      <c r="I114" s="761">
        <v>0</v>
      </c>
      <c r="J114" s="753"/>
    </row>
    <row r="115" spans="1:10" s="729" customFormat="1" ht="15.6" x14ac:dyDescent="0.3">
      <c r="A115" s="724"/>
      <c r="B115" s="1434"/>
      <c r="C115" s="1434"/>
      <c r="D115" s="1434"/>
      <c r="E115" s="730" t="s">
        <v>1449</v>
      </c>
      <c r="F115" s="730">
        <v>1</v>
      </c>
      <c r="G115" s="730"/>
      <c r="H115" s="752">
        <v>0</v>
      </c>
      <c r="I115" s="752">
        <v>0</v>
      </c>
      <c r="J115" s="753"/>
    </row>
    <row r="116" spans="1:10" s="729" customFormat="1" ht="31.2" x14ac:dyDescent="0.3">
      <c r="A116" s="724"/>
      <c r="B116" s="1434"/>
      <c r="C116" s="1434"/>
      <c r="D116" s="1434"/>
      <c r="E116" s="730" t="s">
        <v>1450</v>
      </c>
      <c r="F116" s="730">
        <v>1</v>
      </c>
      <c r="G116" s="730"/>
      <c r="H116" s="761">
        <v>0</v>
      </c>
      <c r="I116" s="761">
        <v>0</v>
      </c>
      <c r="J116" s="753"/>
    </row>
    <row r="117" spans="1:10" s="729" customFormat="1" ht="31.2" x14ac:dyDescent="0.3">
      <c r="A117" s="724"/>
      <c r="B117" s="730" t="s">
        <v>468</v>
      </c>
      <c r="C117" s="730" t="s">
        <v>1441</v>
      </c>
      <c r="D117" s="730" t="s">
        <v>1444</v>
      </c>
      <c r="E117" s="730" t="s">
        <v>1444</v>
      </c>
      <c r="F117" s="146">
        <v>1</v>
      </c>
      <c r="G117" s="730"/>
      <c r="H117" s="1440" t="s">
        <v>1457</v>
      </c>
      <c r="I117" s="1440"/>
      <c r="J117" s="1441"/>
    </row>
    <row r="118" spans="1:10" s="729" customFormat="1" ht="46.8" x14ac:dyDescent="0.3">
      <c r="A118" s="724"/>
      <c r="B118" s="1434" t="s">
        <v>468</v>
      </c>
      <c r="C118" s="1434" t="s">
        <v>315</v>
      </c>
      <c r="D118" s="1434" t="s">
        <v>315</v>
      </c>
      <c r="E118" s="730" t="s">
        <v>315</v>
      </c>
      <c r="F118" s="146">
        <v>1</v>
      </c>
      <c r="G118" s="730"/>
      <c r="H118" s="1440" t="s">
        <v>787</v>
      </c>
      <c r="I118" s="1440"/>
      <c r="J118" s="1441"/>
    </row>
    <row r="119" spans="1:10" s="729" customFormat="1" ht="15.6" x14ac:dyDescent="0.3">
      <c r="A119" s="724"/>
      <c r="B119" s="1434"/>
      <c r="C119" s="1434"/>
      <c r="D119" s="1434"/>
      <c r="E119" s="730" t="s">
        <v>506</v>
      </c>
      <c r="F119" s="730">
        <v>1</v>
      </c>
      <c r="G119" s="730"/>
      <c r="H119" s="762">
        <v>0</v>
      </c>
      <c r="I119" s="762">
        <v>0</v>
      </c>
      <c r="J119" s="765">
        <v>0</v>
      </c>
    </row>
    <row r="120" spans="1:10" s="729" customFormat="1" ht="15.6" x14ac:dyDescent="0.3">
      <c r="A120" s="724"/>
      <c r="B120" s="1434"/>
      <c r="C120" s="1434"/>
      <c r="D120" s="1434"/>
      <c r="E120" s="730" t="s">
        <v>508</v>
      </c>
      <c r="F120" s="730">
        <v>1</v>
      </c>
      <c r="G120" s="730"/>
      <c r="H120" s="762">
        <v>0</v>
      </c>
      <c r="I120" s="762">
        <v>0</v>
      </c>
      <c r="J120" s="765">
        <v>0</v>
      </c>
    </row>
    <row r="121" spans="1:10" s="729" customFormat="1" ht="15.6" x14ac:dyDescent="0.3">
      <c r="A121" s="724"/>
      <c r="B121" s="1434"/>
      <c r="C121" s="1434"/>
      <c r="D121" s="1434"/>
      <c r="E121" s="730" t="s">
        <v>1582</v>
      </c>
      <c r="F121" s="730">
        <v>1</v>
      </c>
      <c r="G121" s="730"/>
      <c r="H121" s="762">
        <v>0</v>
      </c>
      <c r="I121" s="762">
        <v>0</v>
      </c>
      <c r="J121" s="765">
        <v>0</v>
      </c>
    </row>
    <row r="122" spans="1:10" s="729" customFormat="1" ht="15.6" x14ac:dyDescent="0.3">
      <c r="A122" s="724"/>
      <c r="B122" s="1434"/>
      <c r="C122" s="1434"/>
      <c r="D122" s="1434"/>
      <c r="E122" s="730" t="s">
        <v>1583</v>
      </c>
      <c r="F122" s="730">
        <v>1</v>
      </c>
      <c r="G122" s="730"/>
      <c r="H122" s="762">
        <v>0</v>
      </c>
      <c r="I122" s="762">
        <v>0</v>
      </c>
      <c r="J122" s="765">
        <v>0</v>
      </c>
    </row>
    <row r="123" spans="1:10" s="729" customFormat="1" ht="15.6" x14ac:dyDescent="0.3">
      <c r="A123" s="724"/>
      <c r="B123" s="1434"/>
      <c r="C123" s="1434"/>
      <c r="D123" s="1434"/>
      <c r="E123" s="730" t="s">
        <v>509</v>
      </c>
      <c r="F123" s="730">
        <v>1</v>
      </c>
      <c r="G123" s="730"/>
      <c r="H123" s="762">
        <v>0</v>
      </c>
      <c r="I123" s="762">
        <v>0</v>
      </c>
      <c r="J123" s="765">
        <v>0</v>
      </c>
    </row>
    <row r="124" spans="1:10" s="729" customFormat="1" ht="15.6" x14ac:dyDescent="0.3">
      <c r="A124" s="724"/>
      <c r="B124" s="1434"/>
      <c r="C124" s="1434"/>
      <c r="D124" s="1434"/>
      <c r="E124" s="730" t="s">
        <v>373</v>
      </c>
      <c r="F124" s="730">
        <v>1</v>
      </c>
      <c r="G124" s="730"/>
      <c r="H124" s="762">
        <v>0</v>
      </c>
      <c r="I124" s="762">
        <v>0</v>
      </c>
      <c r="J124" s="765">
        <v>0</v>
      </c>
    </row>
    <row r="125" spans="1:10" s="729" customFormat="1" ht="86.55" customHeight="1" x14ac:dyDescent="0.3">
      <c r="A125" s="724"/>
      <c r="B125" s="1434" t="s">
        <v>468</v>
      </c>
      <c r="C125" s="1434" t="s">
        <v>1458</v>
      </c>
      <c r="D125" s="1434" t="s">
        <v>1458</v>
      </c>
      <c r="E125" s="730" t="s">
        <v>1458</v>
      </c>
      <c r="F125" s="146">
        <v>1</v>
      </c>
      <c r="G125" s="730"/>
      <c r="H125" s="1440" t="s">
        <v>3149</v>
      </c>
      <c r="I125" s="1440"/>
      <c r="J125" s="1441"/>
    </row>
    <row r="126" spans="1:10" s="729" customFormat="1" ht="46.8" x14ac:dyDescent="0.3">
      <c r="A126" s="724"/>
      <c r="B126" s="1434"/>
      <c r="C126" s="1434"/>
      <c r="D126" s="1434"/>
      <c r="E126" s="730" t="s">
        <v>1458</v>
      </c>
      <c r="F126" s="146">
        <v>1</v>
      </c>
      <c r="G126" s="730"/>
      <c r="H126" s="1434" t="s">
        <v>1865</v>
      </c>
      <c r="I126" s="1434"/>
      <c r="J126" s="1436"/>
    </row>
    <row r="127" spans="1:10" s="729" customFormat="1" ht="47.4" thickBot="1" x14ac:dyDescent="0.35">
      <c r="A127" s="724"/>
      <c r="B127" s="1442"/>
      <c r="C127" s="1442"/>
      <c r="D127" s="1442"/>
      <c r="E127" s="755" t="s">
        <v>1458</v>
      </c>
      <c r="F127" s="146">
        <v>1</v>
      </c>
      <c r="G127" s="755"/>
      <c r="H127" s="1434" t="s">
        <v>1865</v>
      </c>
      <c r="I127" s="1434"/>
      <c r="J127" s="1436"/>
    </row>
    <row r="128" spans="1:10" s="729" customFormat="1" ht="32.25" customHeight="1" thickTop="1" x14ac:dyDescent="0.3">
      <c r="A128" s="749"/>
      <c r="B128" s="1458" t="s">
        <v>241</v>
      </c>
      <c r="C128" s="1458" t="s">
        <v>1305</v>
      </c>
      <c r="D128" s="1437" t="s">
        <v>803</v>
      </c>
      <c r="E128" s="725" t="s">
        <v>2762</v>
      </c>
      <c r="F128" s="725">
        <v>1</v>
      </c>
      <c r="G128" s="726"/>
      <c r="H128" s="750">
        <v>0</v>
      </c>
      <c r="I128" s="750">
        <v>0</v>
      </c>
      <c r="J128" s="751"/>
    </row>
    <row r="129" spans="1:10" s="729" customFormat="1" ht="31.2" x14ac:dyDescent="0.3">
      <c r="A129" s="749"/>
      <c r="B129" s="1434"/>
      <c r="C129" s="1434"/>
      <c r="D129" s="1438"/>
      <c r="E129" s="730" t="s">
        <v>807</v>
      </c>
      <c r="F129" s="730">
        <v>1</v>
      </c>
      <c r="G129" s="731"/>
      <c r="H129" s="752">
        <v>0</v>
      </c>
      <c r="I129" s="752">
        <v>0</v>
      </c>
      <c r="J129" s="753"/>
    </row>
    <row r="130" spans="1:10" s="729" customFormat="1" ht="46.8" x14ac:dyDescent="0.3">
      <c r="A130" s="749"/>
      <c r="B130" s="1434"/>
      <c r="C130" s="1434"/>
      <c r="D130" s="1438"/>
      <c r="E130" s="730" t="s">
        <v>2953</v>
      </c>
      <c r="F130" s="730">
        <v>1</v>
      </c>
      <c r="G130" s="731"/>
      <c r="H130" s="752">
        <v>0</v>
      </c>
      <c r="I130" s="752">
        <v>0</v>
      </c>
      <c r="J130" s="753"/>
    </row>
    <row r="131" spans="1:10" s="729" customFormat="1" ht="31.2" x14ac:dyDescent="0.3">
      <c r="A131" s="749"/>
      <c r="B131" s="1434"/>
      <c r="C131" s="1434"/>
      <c r="D131" s="1438"/>
      <c r="E131" s="730" t="s">
        <v>808</v>
      </c>
      <c r="F131" s="730">
        <v>1</v>
      </c>
      <c r="G131" s="731"/>
      <c r="H131" s="752">
        <v>0</v>
      </c>
      <c r="I131" s="752">
        <v>0</v>
      </c>
      <c r="J131" s="753"/>
    </row>
    <row r="132" spans="1:10" s="729" customFormat="1" ht="31.2" x14ac:dyDescent="0.3">
      <c r="A132" s="749"/>
      <c r="B132" s="1434"/>
      <c r="C132" s="1434"/>
      <c r="D132" s="1438"/>
      <c r="E132" s="730" t="s">
        <v>809</v>
      </c>
      <c r="F132" s="730">
        <v>1</v>
      </c>
      <c r="G132" s="731"/>
      <c r="H132" s="752">
        <v>0</v>
      </c>
      <c r="I132" s="752">
        <v>0</v>
      </c>
      <c r="J132" s="753"/>
    </row>
    <row r="133" spans="1:10" s="430" customFormat="1" ht="102" customHeight="1" x14ac:dyDescent="0.3">
      <c r="A133" s="749"/>
      <c r="B133" s="1434"/>
      <c r="C133" s="1434"/>
      <c r="D133" s="1438"/>
      <c r="E133" s="730" t="s">
        <v>814</v>
      </c>
      <c r="F133" s="730">
        <v>1</v>
      </c>
      <c r="G133" s="730"/>
      <c r="H133" s="752">
        <v>0</v>
      </c>
      <c r="I133" s="752">
        <v>0</v>
      </c>
      <c r="J133" s="753"/>
    </row>
    <row r="134" spans="1:10" s="430" customFormat="1" ht="31.2" x14ac:dyDescent="0.3">
      <c r="A134" s="749"/>
      <c r="B134" s="1434"/>
      <c r="C134" s="1434"/>
      <c r="D134" s="1438"/>
      <c r="E134" s="730" t="s">
        <v>813</v>
      </c>
      <c r="F134" s="730">
        <v>1</v>
      </c>
      <c r="G134" s="730"/>
      <c r="H134" s="752">
        <v>0</v>
      </c>
      <c r="I134" s="752">
        <v>0</v>
      </c>
      <c r="J134" s="753"/>
    </row>
    <row r="135" spans="1:10" s="430" customFormat="1" ht="15.6" x14ac:dyDescent="0.3">
      <c r="A135" s="1086"/>
      <c r="B135" s="1086"/>
      <c r="C135" s="1086"/>
      <c r="D135" s="1438"/>
      <c r="E135" s="1086" t="s">
        <v>2692</v>
      </c>
      <c r="F135" s="1086">
        <v>1</v>
      </c>
      <c r="G135" s="1086"/>
      <c r="H135" s="752">
        <v>0</v>
      </c>
      <c r="I135" s="752">
        <v>0</v>
      </c>
      <c r="J135" s="753"/>
    </row>
    <row r="136" spans="1:10" s="430" customFormat="1" ht="15.6" x14ac:dyDescent="0.3">
      <c r="A136" s="1086"/>
      <c r="B136" s="1086"/>
      <c r="C136" s="1086"/>
      <c r="D136" s="1438"/>
      <c r="E136" s="1086" t="s">
        <v>2363</v>
      </c>
      <c r="F136" s="1086">
        <v>1</v>
      </c>
      <c r="G136" s="1086"/>
      <c r="H136" s="752">
        <v>0</v>
      </c>
      <c r="I136" s="752">
        <v>0</v>
      </c>
      <c r="J136" s="753"/>
    </row>
    <row r="137" spans="1:10" s="430" customFormat="1" ht="15.6" x14ac:dyDescent="0.3">
      <c r="A137" s="1086"/>
      <c r="B137" s="1086"/>
      <c r="C137" s="1086"/>
      <c r="D137" s="1438"/>
      <c r="E137" s="1086" t="s">
        <v>2364</v>
      </c>
      <c r="F137" s="1086">
        <v>1</v>
      </c>
      <c r="G137" s="1086"/>
      <c r="H137" s="752">
        <v>0</v>
      </c>
      <c r="I137" s="752">
        <v>0</v>
      </c>
      <c r="J137" s="753"/>
    </row>
    <row r="138" spans="1:10" s="430" customFormat="1" ht="15.6" x14ac:dyDescent="0.3">
      <c r="A138" s="1086"/>
      <c r="B138" s="1086"/>
      <c r="C138" s="1086"/>
      <c r="D138" s="1439"/>
      <c r="E138" s="1086" t="s">
        <v>2744</v>
      </c>
      <c r="F138" s="1086">
        <v>1</v>
      </c>
      <c r="G138" s="1086"/>
      <c r="H138" s="752">
        <v>0</v>
      </c>
      <c r="I138" s="752">
        <v>0</v>
      </c>
      <c r="J138" s="753"/>
    </row>
    <row r="139" spans="1:10" s="430" customFormat="1" ht="109.2" x14ac:dyDescent="0.3">
      <c r="A139" s="749"/>
      <c r="B139" s="1434" t="s">
        <v>241</v>
      </c>
      <c r="C139" s="1434" t="s">
        <v>1305</v>
      </c>
      <c r="D139" s="1434" t="s">
        <v>816</v>
      </c>
      <c r="E139" s="730" t="s">
        <v>817</v>
      </c>
      <c r="F139" s="730">
        <v>1</v>
      </c>
      <c r="G139" s="730"/>
      <c r="H139" s="752">
        <v>0</v>
      </c>
      <c r="I139" s="752">
        <v>0</v>
      </c>
      <c r="J139" s="753"/>
    </row>
    <row r="140" spans="1:10" s="430" customFormat="1" ht="109.2" x14ac:dyDescent="0.3">
      <c r="A140" s="749"/>
      <c r="B140" s="1434"/>
      <c r="C140" s="1434"/>
      <c r="D140" s="1434"/>
      <c r="E140" s="730" t="s">
        <v>818</v>
      </c>
      <c r="F140" s="730">
        <v>1</v>
      </c>
      <c r="G140" s="730"/>
      <c r="H140" s="752">
        <v>0</v>
      </c>
      <c r="I140" s="752">
        <v>0</v>
      </c>
      <c r="J140" s="753"/>
    </row>
    <row r="141" spans="1:10" s="430" customFormat="1" ht="46.8" x14ac:dyDescent="0.3">
      <c r="A141" s="749"/>
      <c r="B141" s="1434"/>
      <c r="C141" s="1434"/>
      <c r="D141" s="1434"/>
      <c r="E141" s="730" t="s">
        <v>51</v>
      </c>
      <c r="F141" s="730">
        <v>1</v>
      </c>
      <c r="G141" s="730"/>
      <c r="H141" s="752">
        <v>0</v>
      </c>
      <c r="I141" s="752">
        <v>0</v>
      </c>
      <c r="J141" s="753"/>
    </row>
    <row r="142" spans="1:10" s="729" customFormat="1" ht="31.2" x14ac:dyDescent="0.3">
      <c r="A142" s="749"/>
      <c r="B142" s="730" t="s">
        <v>241</v>
      </c>
      <c r="C142" s="730" t="s">
        <v>1305</v>
      </c>
      <c r="D142" s="731" t="s">
        <v>1307</v>
      </c>
      <c r="E142" s="731" t="s">
        <v>1307</v>
      </c>
      <c r="F142" s="730">
        <v>1</v>
      </c>
      <c r="G142" s="731"/>
      <c r="H142" s="752">
        <v>0</v>
      </c>
      <c r="I142" s="752">
        <v>0</v>
      </c>
      <c r="J142" s="754"/>
    </row>
    <row r="143" spans="1:10" s="729" customFormat="1" ht="31.2" x14ac:dyDescent="0.3">
      <c r="A143" s="749"/>
      <c r="B143" s="730" t="s">
        <v>241</v>
      </c>
      <c r="C143" s="730" t="s">
        <v>1305</v>
      </c>
      <c r="D143" s="731" t="s">
        <v>1306</v>
      </c>
      <c r="E143" s="731" t="s">
        <v>1306</v>
      </c>
      <c r="F143" s="730">
        <v>1</v>
      </c>
      <c r="G143" s="731"/>
      <c r="H143" s="752">
        <v>0</v>
      </c>
      <c r="I143" s="752">
        <v>0</v>
      </c>
      <c r="J143" s="754"/>
    </row>
    <row r="144" spans="1:10" s="430" customFormat="1" ht="46.8" x14ac:dyDescent="0.3">
      <c r="A144" s="749"/>
      <c r="B144" s="1434" t="s">
        <v>241</v>
      </c>
      <c r="C144" s="1434" t="s">
        <v>1308</v>
      </c>
      <c r="D144" s="1434" t="s">
        <v>540</v>
      </c>
      <c r="E144" s="730" t="s">
        <v>541</v>
      </c>
      <c r="F144" s="730">
        <v>1</v>
      </c>
      <c r="G144" s="730"/>
      <c r="H144" s="752">
        <v>0</v>
      </c>
      <c r="I144" s="752">
        <v>0</v>
      </c>
      <c r="J144" s="754"/>
    </row>
    <row r="145" spans="1:10" s="430" customFormat="1" ht="62.4" x14ac:dyDescent="0.3">
      <c r="A145" s="749"/>
      <c r="B145" s="1434"/>
      <c r="C145" s="1434"/>
      <c r="D145" s="1434"/>
      <c r="E145" s="730" t="s">
        <v>1309</v>
      </c>
      <c r="F145" s="730">
        <v>1</v>
      </c>
      <c r="G145" s="730"/>
      <c r="H145" s="752">
        <v>0</v>
      </c>
      <c r="I145" s="752">
        <v>0</v>
      </c>
      <c r="J145" s="754"/>
    </row>
    <row r="146" spans="1:10" s="430" customFormat="1" ht="31.2" x14ac:dyDescent="0.3">
      <c r="A146" s="749"/>
      <c r="B146" s="1434"/>
      <c r="C146" s="1434"/>
      <c r="D146" s="1434"/>
      <c r="E146" s="730" t="s">
        <v>543</v>
      </c>
      <c r="F146" s="730">
        <v>1</v>
      </c>
      <c r="G146" s="730"/>
      <c r="H146" s="752">
        <v>0</v>
      </c>
      <c r="I146" s="752">
        <v>0</v>
      </c>
      <c r="J146" s="754"/>
    </row>
    <row r="147" spans="1:10" s="430" customFormat="1" ht="31.2" x14ac:dyDescent="0.3">
      <c r="A147" s="749"/>
      <c r="B147" s="1434"/>
      <c r="C147" s="1434"/>
      <c r="D147" s="1434"/>
      <c r="E147" s="730" t="s">
        <v>544</v>
      </c>
      <c r="F147" s="730">
        <v>1</v>
      </c>
      <c r="G147" s="730"/>
      <c r="H147" s="752">
        <v>0</v>
      </c>
      <c r="I147" s="752">
        <v>0</v>
      </c>
      <c r="J147" s="754"/>
    </row>
    <row r="148" spans="1:10" s="430" customFormat="1" ht="31.2" x14ac:dyDescent="0.3">
      <c r="A148" s="749"/>
      <c r="B148" s="1434"/>
      <c r="C148" s="1434"/>
      <c r="D148" s="1434"/>
      <c r="E148" s="730" t="s">
        <v>1310</v>
      </c>
      <c r="F148" s="730">
        <v>1</v>
      </c>
      <c r="G148" s="730"/>
      <c r="H148" s="752">
        <v>0</v>
      </c>
      <c r="I148" s="752">
        <v>0</v>
      </c>
      <c r="J148" s="754"/>
    </row>
    <row r="149" spans="1:10" s="430" customFormat="1" ht="31.2" x14ac:dyDescent="0.3">
      <c r="A149" s="749"/>
      <c r="B149" s="1434"/>
      <c r="C149" s="1434"/>
      <c r="D149" s="1434"/>
      <c r="E149" s="730" t="s">
        <v>546</v>
      </c>
      <c r="F149" s="730">
        <v>1</v>
      </c>
      <c r="G149" s="730"/>
      <c r="H149" s="752">
        <v>0</v>
      </c>
      <c r="I149" s="752">
        <v>0</v>
      </c>
      <c r="J149" s="754"/>
    </row>
    <row r="150" spans="1:10" s="430" customFormat="1" ht="31.2" x14ac:dyDescent="0.3">
      <c r="A150" s="749"/>
      <c r="B150" s="1434"/>
      <c r="C150" s="1434"/>
      <c r="D150" s="1434"/>
      <c r="E150" s="730" t="s">
        <v>547</v>
      </c>
      <c r="F150" s="730">
        <v>1</v>
      </c>
      <c r="G150" s="730"/>
      <c r="H150" s="752">
        <v>0</v>
      </c>
      <c r="I150" s="752">
        <v>0</v>
      </c>
      <c r="J150" s="754"/>
    </row>
    <row r="151" spans="1:10" s="430" customFormat="1" ht="31.2" x14ac:dyDescent="0.3">
      <c r="A151" s="749"/>
      <c r="B151" s="1434"/>
      <c r="C151" s="1434"/>
      <c r="D151" s="1434"/>
      <c r="E151" s="730" t="s">
        <v>548</v>
      </c>
      <c r="F151" s="730">
        <v>1</v>
      </c>
      <c r="G151" s="730"/>
      <c r="H151" s="752">
        <v>0</v>
      </c>
      <c r="I151" s="752">
        <v>0</v>
      </c>
      <c r="J151" s="754"/>
    </row>
    <row r="152" spans="1:10" s="430" customFormat="1" ht="69.599999999999994" customHeight="1" x14ac:dyDescent="0.3">
      <c r="A152" s="749"/>
      <c r="B152" s="1434" t="s">
        <v>241</v>
      </c>
      <c r="C152" s="1434" t="s">
        <v>382</v>
      </c>
      <c r="D152" s="1434" t="s">
        <v>382</v>
      </c>
      <c r="E152" s="730" t="s">
        <v>382</v>
      </c>
      <c r="F152" s="146">
        <v>1</v>
      </c>
      <c r="G152" s="730"/>
      <c r="H152" s="1434" t="s">
        <v>52</v>
      </c>
      <c r="I152" s="1434"/>
      <c r="J152" s="1436"/>
    </row>
    <row r="153" spans="1:10" s="430" customFormat="1" ht="46.8" x14ac:dyDescent="0.3">
      <c r="A153" s="749"/>
      <c r="B153" s="1434"/>
      <c r="C153" s="1434"/>
      <c r="D153" s="1434"/>
      <c r="E153" s="730" t="s">
        <v>54</v>
      </c>
      <c r="F153" s="730">
        <v>1</v>
      </c>
      <c r="G153" s="730"/>
      <c r="H153" s="752">
        <v>0</v>
      </c>
      <c r="I153" s="752">
        <v>0</v>
      </c>
      <c r="J153" s="754"/>
    </row>
    <row r="154" spans="1:10" s="729" customFormat="1" ht="31.2" x14ac:dyDescent="0.3">
      <c r="A154" s="749"/>
      <c r="B154" s="1434" t="s">
        <v>241</v>
      </c>
      <c r="C154" s="1434" t="s">
        <v>1311</v>
      </c>
      <c r="D154" s="1434" t="s">
        <v>1312</v>
      </c>
      <c r="E154" s="730" t="s">
        <v>551</v>
      </c>
      <c r="F154" s="730">
        <v>1</v>
      </c>
      <c r="G154" s="731"/>
      <c r="H154" s="752">
        <v>0</v>
      </c>
      <c r="I154" s="752">
        <v>0</v>
      </c>
      <c r="J154" s="754"/>
    </row>
    <row r="155" spans="1:10" s="729" customFormat="1" ht="31.2" x14ac:dyDescent="0.3">
      <c r="A155" s="749"/>
      <c r="B155" s="1434"/>
      <c r="C155" s="1434"/>
      <c r="D155" s="1434"/>
      <c r="E155" s="730" t="s">
        <v>552</v>
      </c>
      <c r="F155" s="730">
        <v>1</v>
      </c>
      <c r="G155" s="731"/>
      <c r="H155" s="752">
        <v>0</v>
      </c>
      <c r="I155" s="752">
        <v>0</v>
      </c>
      <c r="J155" s="754"/>
    </row>
    <row r="156" spans="1:10" s="729" customFormat="1" ht="78" x14ac:dyDescent="0.3">
      <c r="A156" s="749"/>
      <c r="B156" s="1434"/>
      <c r="C156" s="1434"/>
      <c r="D156" s="1434"/>
      <c r="E156" s="730" t="s">
        <v>2836</v>
      </c>
      <c r="F156" s="730">
        <v>1</v>
      </c>
      <c r="G156" s="731"/>
      <c r="H156" s="752">
        <v>0</v>
      </c>
      <c r="I156" s="752">
        <v>0</v>
      </c>
      <c r="J156" s="754"/>
    </row>
    <row r="157" spans="1:10" s="729" customFormat="1" ht="31.2" x14ac:dyDescent="0.3">
      <c r="A157" s="749"/>
      <c r="B157" s="1434"/>
      <c r="C157" s="1434"/>
      <c r="D157" s="1434"/>
      <c r="E157" s="730" t="s">
        <v>553</v>
      </c>
      <c r="F157" s="730">
        <v>1</v>
      </c>
      <c r="G157" s="731"/>
      <c r="H157" s="752">
        <v>0</v>
      </c>
      <c r="I157" s="752">
        <v>0</v>
      </c>
      <c r="J157" s="754"/>
    </row>
    <row r="158" spans="1:10" s="729" customFormat="1" ht="31.8" thickBot="1" x14ac:dyDescent="0.35">
      <c r="A158" s="749"/>
      <c r="B158" s="1442"/>
      <c r="C158" s="1442"/>
      <c r="D158" s="1442"/>
      <c r="E158" s="755" t="s">
        <v>1313</v>
      </c>
      <c r="F158" s="755">
        <v>1</v>
      </c>
      <c r="G158" s="756"/>
      <c r="H158" s="757">
        <v>0</v>
      </c>
      <c r="I158" s="757">
        <v>0</v>
      </c>
      <c r="J158" s="758"/>
    </row>
    <row r="159" spans="1:10" s="729" customFormat="1" ht="63" customHeight="1" thickTop="1" x14ac:dyDescent="0.3">
      <c r="A159" s="1086"/>
      <c r="B159" s="430" t="s">
        <v>239</v>
      </c>
      <c r="C159" s="725" t="s">
        <v>1173</v>
      </c>
      <c r="D159" s="725" t="s">
        <v>2621</v>
      </c>
      <c r="E159" s="725" t="s">
        <v>904</v>
      </c>
      <c r="F159" s="725">
        <v>1</v>
      </c>
      <c r="G159" s="742"/>
      <c r="H159" s="1459" t="s">
        <v>2962</v>
      </c>
      <c r="I159" s="1460"/>
      <c r="J159" s="1461"/>
    </row>
    <row r="160" spans="1:10" s="729" customFormat="1" ht="174.75" customHeight="1" x14ac:dyDescent="0.3">
      <c r="A160" s="1086"/>
      <c r="B160" s="430"/>
      <c r="C160" s="1086"/>
      <c r="D160" s="1086"/>
      <c r="E160" s="1086" t="s">
        <v>2622</v>
      </c>
      <c r="F160" s="1086">
        <v>1</v>
      </c>
      <c r="G160" s="1044"/>
      <c r="H160" s="1462" t="s">
        <v>3150</v>
      </c>
      <c r="I160" s="1463"/>
      <c r="J160" s="1464"/>
    </row>
    <row r="161" spans="1:10" s="729" customFormat="1" ht="98.1" customHeight="1" x14ac:dyDescent="0.3">
      <c r="A161" s="1086"/>
      <c r="B161" s="430"/>
      <c r="C161" s="1086"/>
      <c r="D161" s="1086"/>
      <c r="E161" s="1086" t="s">
        <v>451</v>
      </c>
      <c r="F161" s="1086">
        <v>1</v>
      </c>
      <c r="G161" s="1044"/>
      <c r="H161" s="1462" t="s">
        <v>2963</v>
      </c>
      <c r="I161" s="1463"/>
      <c r="J161" s="1464"/>
    </row>
    <row r="162" spans="1:10" s="729" customFormat="1" ht="72.599999999999994" customHeight="1" x14ac:dyDescent="0.3">
      <c r="A162" s="1086"/>
      <c r="B162" s="430"/>
      <c r="C162" s="1086"/>
      <c r="D162" s="1086"/>
      <c r="E162" s="1086" t="s">
        <v>451</v>
      </c>
      <c r="F162" s="1086">
        <v>1</v>
      </c>
      <c r="G162" s="1044"/>
      <c r="H162" s="1462" t="s">
        <v>2623</v>
      </c>
      <c r="I162" s="1463"/>
      <c r="J162" s="1464"/>
    </row>
    <row r="163" spans="1:10" s="729" customFormat="1" ht="47.4" thickBot="1" x14ac:dyDescent="0.35">
      <c r="A163" s="1086"/>
      <c r="B163" s="430"/>
      <c r="C163" s="1086"/>
      <c r="D163" s="1086"/>
      <c r="E163" s="1086" t="s">
        <v>2624</v>
      </c>
      <c r="F163" s="1086">
        <v>1</v>
      </c>
      <c r="G163" s="1044"/>
      <c r="H163" s="1462" t="s">
        <v>2625</v>
      </c>
      <c r="I163" s="1463"/>
      <c r="J163" s="1464"/>
    </row>
    <row r="164" spans="1:10" s="729" customFormat="1" ht="53.1" customHeight="1" thickTop="1" x14ac:dyDescent="0.3">
      <c r="A164" s="1086"/>
      <c r="B164" s="430"/>
      <c r="C164" s="1451" t="s">
        <v>1173</v>
      </c>
      <c r="D164" s="1451" t="s">
        <v>354</v>
      </c>
      <c r="E164" s="725" t="s">
        <v>354</v>
      </c>
      <c r="F164" s="1224">
        <v>1</v>
      </c>
      <c r="G164" s="726"/>
      <c r="H164" s="1465" t="s">
        <v>2379</v>
      </c>
      <c r="I164" s="1466"/>
      <c r="J164" s="1467"/>
    </row>
    <row r="165" spans="1:10" s="729" customFormat="1" ht="49.5" customHeight="1" x14ac:dyDescent="0.3">
      <c r="A165" s="1086"/>
      <c r="B165" s="430"/>
      <c r="C165" s="1452"/>
      <c r="D165" s="1452"/>
      <c r="E165" s="730" t="s">
        <v>354</v>
      </c>
      <c r="F165" s="1086">
        <v>1</v>
      </c>
      <c r="G165" s="731"/>
      <c r="H165" s="1454" t="s">
        <v>2929</v>
      </c>
      <c r="I165" s="1455"/>
      <c r="J165" s="1456"/>
    </row>
    <row r="166" spans="1:10" s="729" customFormat="1" ht="66.599999999999994" customHeight="1" x14ac:dyDescent="0.3">
      <c r="A166" s="1086"/>
      <c r="B166" s="430"/>
      <c r="C166" s="1452"/>
      <c r="D166" s="1452"/>
      <c r="E166" s="730" t="s">
        <v>354</v>
      </c>
      <c r="F166" s="1086">
        <v>1</v>
      </c>
      <c r="G166" s="731"/>
      <c r="H166" s="1454" t="s">
        <v>3119</v>
      </c>
      <c r="I166" s="1455"/>
      <c r="J166" s="1456"/>
    </row>
    <row r="167" spans="1:10" s="729" customFormat="1" ht="15.6" x14ac:dyDescent="0.3">
      <c r="A167" s="1086"/>
      <c r="B167" s="430"/>
      <c r="C167" s="1452"/>
      <c r="D167" s="1452"/>
      <c r="E167" s="730" t="s">
        <v>354</v>
      </c>
      <c r="F167" s="1086">
        <v>1</v>
      </c>
      <c r="G167" s="1238"/>
      <c r="H167" s="1468" t="s">
        <v>2643</v>
      </c>
      <c r="I167" s="1469"/>
      <c r="J167" s="1470"/>
    </row>
    <row r="168" spans="1:10" s="729" customFormat="1" ht="15.6" x14ac:dyDescent="0.3">
      <c r="A168" s="1086"/>
      <c r="B168" s="430"/>
      <c r="C168" s="1452"/>
      <c r="D168" s="1452"/>
      <c r="E168" s="730" t="s">
        <v>354</v>
      </c>
      <c r="F168" s="1086">
        <v>1</v>
      </c>
      <c r="G168" s="1238"/>
      <c r="H168" s="1468" t="s">
        <v>2380</v>
      </c>
      <c r="I168" s="1469"/>
      <c r="J168" s="1470"/>
    </row>
    <row r="169" spans="1:10" s="729" customFormat="1" ht="15.6" x14ac:dyDescent="0.3">
      <c r="A169" s="1086"/>
      <c r="B169" s="430"/>
      <c r="C169" s="1452"/>
      <c r="D169" s="1452"/>
      <c r="E169" s="1239" t="s">
        <v>2644</v>
      </c>
      <c r="F169" s="1086">
        <v>1</v>
      </c>
      <c r="G169" s="731"/>
      <c r="H169" s="744">
        <v>0</v>
      </c>
      <c r="I169" s="744">
        <v>0</v>
      </c>
      <c r="J169" s="733"/>
    </row>
    <row r="170" spans="1:10" s="729" customFormat="1" ht="15.6" x14ac:dyDescent="0.3">
      <c r="A170" s="1086"/>
      <c r="B170" s="430"/>
      <c r="C170" s="1452"/>
      <c r="D170" s="1452"/>
      <c r="E170" s="1239" t="s">
        <v>2645</v>
      </c>
      <c r="F170" s="1086">
        <v>1</v>
      </c>
      <c r="G170" s="731"/>
      <c r="H170" s="744">
        <v>0</v>
      </c>
      <c r="I170" s="744">
        <v>0</v>
      </c>
      <c r="J170" s="733"/>
    </row>
    <row r="171" spans="1:10" s="729" customFormat="1" ht="15.6" x14ac:dyDescent="0.3">
      <c r="A171" s="1086"/>
      <c r="B171" s="430"/>
      <c r="C171" s="1452"/>
      <c r="D171" s="1452"/>
      <c r="E171" s="1239" t="s">
        <v>2646</v>
      </c>
      <c r="F171" s="1086">
        <v>1</v>
      </c>
      <c r="G171" s="731"/>
      <c r="H171" s="744">
        <v>0</v>
      </c>
      <c r="I171" s="744">
        <v>0</v>
      </c>
      <c r="J171" s="733"/>
    </row>
    <row r="172" spans="1:10" s="729" customFormat="1" ht="15.6" x14ac:dyDescent="0.3">
      <c r="A172" s="1086"/>
      <c r="B172" s="430"/>
      <c r="C172" s="1453"/>
      <c r="D172" s="1453"/>
      <c r="E172" s="1239" t="s">
        <v>2647</v>
      </c>
      <c r="F172" s="1086">
        <v>1</v>
      </c>
      <c r="G172" s="731"/>
      <c r="H172" s="744">
        <v>0</v>
      </c>
      <c r="I172" s="744">
        <v>0</v>
      </c>
      <c r="J172" s="733"/>
    </row>
    <row r="173" spans="1:10" s="729" customFormat="1" ht="34.5" customHeight="1" x14ac:dyDescent="0.3">
      <c r="A173" s="1086"/>
      <c r="B173" s="430"/>
      <c r="C173" s="1457" t="s">
        <v>1173</v>
      </c>
      <c r="D173" s="1457" t="s">
        <v>1173</v>
      </c>
      <c r="E173" s="730" t="s">
        <v>1147</v>
      </c>
      <c r="F173" s="730">
        <v>1</v>
      </c>
      <c r="G173" s="731"/>
      <c r="H173" s="1454" t="s">
        <v>2626</v>
      </c>
      <c r="I173" s="1455"/>
      <c r="J173" s="1456"/>
    </row>
    <row r="174" spans="1:10" s="729" customFormat="1" ht="65.099999999999994" customHeight="1" x14ac:dyDescent="0.3">
      <c r="A174" s="1086"/>
      <c r="B174" s="430"/>
      <c r="C174" s="1453"/>
      <c r="D174" s="1453"/>
      <c r="E174" s="730" t="s">
        <v>1147</v>
      </c>
      <c r="F174" s="730">
        <v>1</v>
      </c>
      <c r="G174" s="731"/>
      <c r="H174" s="1454" t="s">
        <v>2381</v>
      </c>
      <c r="I174" s="1455"/>
      <c r="J174" s="1456"/>
    </row>
    <row r="175" spans="1:10" s="729" customFormat="1" ht="26.55" customHeight="1" x14ac:dyDescent="0.3">
      <c r="A175" s="1086"/>
      <c r="B175" s="430"/>
      <c r="C175" s="1457" t="s">
        <v>1173</v>
      </c>
      <c r="D175" s="1457" t="s">
        <v>1147</v>
      </c>
      <c r="E175" s="730" t="s">
        <v>1147</v>
      </c>
      <c r="F175" s="730">
        <v>1</v>
      </c>
      <c r="G175" s="731"/>
      <c r="H175" s="1454" t="s">
        <v>2627</v>
      </c>
      <c r="I175" s="1455"/>
      <c r="J175" s="1456"/>
    </row>
    <row r="176" spans="1:10" s="729" customFormat="1" ht="36.6" customHeight="1" x14ac:dyDescent="0.3">
      <c r="A176" s="1086"/>
      <c r="B176" s="430"/>
      <c r="C176" s="1452"/>
      <c r="D176" s="1452"/>
      <c r="E176" s="730" t="s">
        <v>1147</v>
      </c>
      <c r="F176" s="1086">
        <v>1</v>
      </c>
      <c r="G176" s="1238"/>
      <c r="H176" s="1468" t="s">
        <v>3120</v>
      </c>
      <c r="I176" s="1469"/>
      <c r="J176" s="1470"/>
    </row>
    <row r="177" spans="1:10" s="729" customFormat="1" ht="62.4" x14ac:dyDescent="0.3">
      <c r="A177" s="1086"/>
      <c r="B177" s="430"/>
      <c r="C177" s="1452"/>
      <c r="D177" s="1452"/>
      <c r="E177" s="730" t="s">
        <v>2383</v>
      </c>
      <c r="F177" s="730">
        <v>1</v>
      </c>
      <c r="G177" s="731"/>
      <c r="H177" s="744">
        <v>0</v>
      </c>
      <c r="I177" s="744">
        <v>0</v>
      </c>
      <c r="J177" s="733"/>
    </row>
    <row r="178" spans="1:10" s="729" customFormat="1" ht="62.4" x14ac:dyDescent="0.3">
      <c r="A178" s="1086"/>
      <c r="B178" s="430"/>
      <c r="C178" s="1452"/>
      <c r="D178" s="1452"/>
      <c r="E178" s="730" t="s">
        <v>2384</v>
      </c>
      <c r="F178" s="730">
        <v>1</v>
      </c>
      <c r="G178" s="731"/>
      <c r="H178" s="744">
        <v>0</v>
      </c>
      <c r="I178" s="744">
        <v>0</v>
      </c>
      <c r="J178" s="733"/>
    </row>
    <row r="179" spans="1:10" s="729" customFormat="1" ht="62.4" x14ac:dyDescent="0.3">
      <c r="A179" s="1086"/>
      <c r="B179" s="430"/>
      <c r="C179" s="1452"/>
      <c r="D179" s="1452"/>
      <c r="E179" s="1086" t="s">
        <v>2385</v>
      </c>
      <c r="F179" s="1086"/>
      <c r="G179" s="1238"/>
      <c r="H179" s="744">
        <v>0</v>
      </c>
      <c r="I179" s="744">
        <v>0</v>
      </c>
      <c r="J179" s="1240"/>
    </row>
    <row r="180" spans="1:10" s="729" customFormat="1" ht="46.8" x14ac:dyDescent="0.3">
      <c r="A180" s="1086"/>
      <c r="B180" s="430"/>
      <c r="C180" s="1452"/>
      <c r="D180" s="1452"/>
      <c r="E180" s="1086" t="s">
        <v>2386</v>
      </c>
      <c r="F180" s="1086"/>
      <c r="G180" s="1238"/>
      <c r="H180" s="744">
        <v>0</v>
      </c>
      <c r="I180" s="744">
        <v>0</v>
      </c>
      <c r="J180" s="1240"/>
    </row>
    <row r="181" spans="1:10" s="729" customFormat="1" ht="46.8" x14ac:dyDescent="0.3">
      <c r="A181" s="1086"/>
      <c r="B181" s="430"/>
      <c r="C181" s="1452"/>
      <c r="D181" s="1452"/>
      <c r="E181" s="730" t="s">
        <v>2387</v>
      </c>
      <c r="F181" s="1086"/>
      <c r="G181" s="1238"/>
      <c r="H181" s="744">
        <v>0</v>
      </c>
      <c r="I181" s="744">
        <v>0</v>
      </c>
      <c r="J181" s="1240"/>
    </row>
    <row r="182" spans="1:10" s="729" customFormat="1" ht="46.8" x14ac:dyDescent="0.3">
      <c r="A182" s="1086"/>
      <c r="B182" s="430"/>
      <c r="C182" s="1452"/>
      <c r="D182" s="1452"/>
      <c r="E182" s="730" t="s">
        <v>2388</v>
      </c>
      <c r="F182" s="1086"/>
      <c r="G182" s="1238"/>
      <c r="H182" s="744">
        <v>0</v>
      </c>
      <c r="I182" s="744">
        <v>0</v>
      </c>
      <c r="J182" s="1240"/>
    </row>
    <row r="183" spans="1:10" s="729" customFormat="1" ht="46.8" x14ac:dyDescent="0.3">
      <c r="A183" s="1086"/>
      <c r="B183" s="430"/>
      <c r="C183" s="1452"/>
      <c r="D183" s="1452"/>
      <c r="E183" s="1086" t="s">
        <v>2389</v>
      </c>
      <c r="F183" s="1086"/>
      <c r="G183" s="1238"/>
      <c r="H183" s="744">
        <v>0</v>
      </c>
      <c r="I183" s="744">
        <v>0</v>
      </c>
      <c r="J183" s="1240"/>
    </row>
    <row r="184" spans="1:10" s="729" customFormat="1" ht="31.2" x14ac:dyDescent="0.3">
      <c r="A184" s="1086"/>
      <c r="B184" s="430"/>
      <c r="C184" s="1452"/>
      <c r="D184" s="1452"/>
      <c r="E184" s="1086" t="s">
        <v>2390</v>
      </c>
      <c r="F184" s="1086"/>
      <c r="G184" s="1238"/>
      <c r="H184" s="744">
        <v>0</v>
      </c>
      <c r="I184" s="744">
        <v>0</v>
      </c>
      <c r="J184" s="1240"/>
    </row>
    <row r="185" spans="1:10" s="729" customFormat="1" ht="46.8" x14ac:dyDescent="0.3">
      <c r="A185" s="1086"/>
      <c r="B185" s="430"/>
      <c r="C185" s="1452"/>
      <c r="D185" s="1452"/>
      <c r="E185" s="730" t="s">
        <v>2391</v>
      </c>
      <c r="F185" s="1086"/>
      <c r="G185" s="1238"/>
      <c r="H185" s="744">
        <v>0</v>
      </c>
      <c r="I185" s="744">
        <v>0</v>
      </c>
      <c r="J185" s="1240"/>
    </row>
    <row r="186" spans="1:10" s="729" customFormat="1" ht="46.8" x14ac:dyDescent="0.3">
      <c r="A186" s="1086"/>
      <c r="B186" s="430"/>
      <c r="C186" s="1452"/>
      <c r="D186" s="1452"/>
      <c r="E186" s="730" t="s">
        <v>2392</v>
      </c>
      <c r="F186" s="1086"/>
      <c r="G186" s="1238"/>
      <c r="H186" s="744">
        <v>0</v>
      </c>
      <c r="I186" s="744">
        <v>0</v>
      </c>
      <c r="J186" s="1240"/>
    </row>
    <row r="187" spans="1:10" s="729" customFormat="1" ht="46.8" x14ac:dyDescent="0.3">
      <c r="A187" s="1086"/>
      <c r="B187" s="430"/>
      <c r="C187" s="1452"/>
      <c r="D187" s="1452"/>
      <c r="E187" s="1086" t="s">
        <v>2393</v>
      </c>
      <c r="F187" s="1086"/>
      <c r="G187" s="1238"/>
      <c r="H187" s="744">
        <v>0</v>
      </c>
      <c r="I187" s="744">
        <v>0</v>
      </c>
      <c r="J187" s="1240"/>
    </row>
    <row r="188" spans="1:10" s="729" customFormat="1" ht="31.2" x14ac:dyDescent="0.3">
      <c r="A188" s="1086"/>
      <c r="B188" s="430"/>
      <c r="C188" s="1452"/>
      <c r="D188" s="1452"/>
      <c r="E188" s="1086" t="s">
        <v>2394</v>
      </c>
      <c r="F188" s="1086"/>
      <c r="G188" s="1238"/>
      <c r="H188" s="744">
        <v>0</v>
      </c>
      <c r="I188" s="744">
        <v>0</v>
      </c>
      <c r="J188" s="1240"/>
    </row>
    <row r="189" spans="1:10" s="729" customFormat="1" ht="31.2" x14ac:dyDescent="0.3">
      <c r="A189" s="1086"/>
      <c r="B189" s="430"/>
      <c r="C189" s="1453"/>
      <c r="D189" s="1453"/>
      <c r="E189" s="730" t="s">
        <v>1357</v>
      </c>
      <c r="F189" s="730">
        <v>1</v>
      </c>
      <c r="G189" s="731"/>
      <c r="H189" s="1454" t="s">
        <v>1375</v>
      </c>
      <c r="I189" s="1455"/>
      <c r="J189" s="1456"/>
    </row>
    <row r="190" spans="1:10" s="729" customFormat="1" ht="99" customHeight="1" x14ac:dyDescent="0.3">
      <c r="A190" s="1086"/>
      <c r="B190" s="430"/>
      <c r="C190" s="964"/>
      <c r="D190" s="964"/>
      <c r="E190" s="730" t="s">
        <v>1357</v>
      </c>
      <c r="F190" s="1086">
        <v>1</v>
      </c>
      <c r="G190" s="1238"/>
      <c r="H190" s="1468" t="s">
        <v>2663</v>
      </c>
      <c r="I190" s="1469"/>
      <c r="J190" s="1470"/>
    </row>
    <row r="191" spans="1:10" s="729" customFormat="1" ht="84.6" customHeight="1" x14ac:dyDescent="0.3">
      <c r="A191" s="1086"/>
      <c r="B191" s="430"/>
      <c r="C191" s="1457" t="s">
        <v>1173</v>
      </c>
      <c r="D191" s="1223" t="s">
        <v>2669</v>
      </c>
      <c r="E191" s="730" t="s">
        <v>2664</v>
      </c>
      <c r="F191" s="730">
        <v>1</v>
      </c>
      <c r="G191" s="731"/>
      <c r="H191" s="1454" t="s">
        <v>2395</v>
      </c>
      <c r="I191" s="1455"/>
      <c r="J191" s="1456"/>
    </row>
    <row r="192" spans="1:10" s="729" customFormat="1" ht="46.8" x14ac:dyDescent="0.3">
      <c r="A192" s="1086"/>
      <c r="B192" s="430"/>
      <c r="C192" s="1452"/>
      <c r="D192" s="964"/>
      <c r="E192" s="730" t="s">
        <v>1356</v>
      </c>
      <c r="F192" s="730">
        <v>1</v>
      </c>
      <c r="G192" s="731"/>
      <c r="H192" s="1454" t="s">
        <v>2396</v>
      </c>
      <c r="I192" s="1455"/>
      <c r="J192" s="1456"/>
    </row>
    <row r="193" spans="1:10" s="729" customFormat="1" ht="66.599999999999994" customHeight="1" x14ac:dyDescent="0.3">
      <c r="A193" s="1086"/>
      <c r="B193" s="430"/>
      <c r="C193" s="1452"/>
      <c r="D193" s="964"/>
      <c r="E193" s="730" t="s">
        <v>1356</v>
      </c>
      <c r="F193" s="730">
        <v>1</v>
      </c>
      <c r="G193" s="731"/>
      <c r="H193" s="1454" t="s">
        <v>2397</v>
      </c>
      <c r="I193" s="1455"/>
      <c r="J193" s="1456"/>
    </row>
    <row r="194" spans="1:10" s="729" customFormat="1" ht="31.2" x14ac:dyDescent="0.3">
      <c r="A194" s="1086"/>
      <c r="B194" s="430"/>
      <c r="C194" s="1452"/>
      <c r="D194" s="1486" t="s">
        <v>2665</v>
      </c>
      <c r="E194" s="730" t="s">
        <v>2665</v>
      </c>
      <c r="F194" s="730">
        <v>1</v>
      </c>
      <c r="G194" s="731"/>
      <c r="H194" s="1487" t="s">
        <v>1387</v>
      </c>
      <c r="I194" s="1488"/>
      <c r="J194" s="1456"/>
    </row>
    <row r="195" spans="1:10" s="729" customFormat="1" ht="51" customHeight="1" x14ac:dyDescent="0.3">
      <c r="A195" s="1086"/>
      <c r="B195" s="430"/>
      <c r="C195" s="1452"/>
      <c r="D195" s="1438"/>
      <c r="E195" s="730" t="s">
        <v>2665</v>
      </c>
      <c r="F195" s="1086">
        <v>1</v>
      </c>
      <c r="G195" s="1238"/>
      <c r="H195" s="1468" t="s">
        <v>1377</v>
      </c>
      <c r="I195" s="1469"/>
      <c r="J195" s="1470"/>
    </row>
    <row r="196" spans="1:10" s="729" customFormat="1" ht="24.6" customHeight="1" x14ac:dyDescent="0.3">
      <c r="A196" s="1086"/>
      <c r="B196" s="430"/>
      <c r="C196" s="1452"/>
      <c r="D196" s="730" t="s">
        <v>1362</v>
      </c>
      <c r="E196" s="730" t="s">
        <v>1362</v>
      </c>
      <c r="F196" s="730">
        <v>1</v>
      </c>
      <c r="G196" s="731"/>
      <c r="H196" s="1487" t="s">
        <v>1388</v>
      </c>
      <c r="I196" s="1488"/>
      <c r="J196" s="1456"/>
    </row>
    <row r="197" spans="1:10" s="729" customFormat="1" ht="93.6" x14ac:dyDescent="0.3">
      <c r="A197" s="1086"/>
      <c r="B197" s="430"/>
      <c r="C197" s="1452"/>
      <c r="D197" s="730" t="s">
        <v>1363</v>
      </c>
      <c r="E197" s="730" t="s">
        <v>1363</v>
      </c>
      <c r="F197" s="730">
        <v>1</v>
      </c>
      <c r="G197" s="731"/>
      <c r="H197" s="1487" t="s">
        <v>1174</v>
      </c>
      <c r="I197" s="1488"/>
      <c r="J197" s="1456"/>
    </row>
    <row r="198" spans="1:10" s="729" customFormat="1" ht="15.6" x14ac:dyDescent="0.3">
      <c r="A198" s="1086"/>
      <c r="B198" s="430"/>
      <c r="C198" s="1452"/>
      <c r="D198" s="1486" t="s">
        <v>2666</v>
      </c>
      <c r="E198" s="1086" t="s">
        <v>402</v>
      </c>
      <c r="F198" s="1086"/>
      <c r="G198" s="1238"/>
      <c r="H198" s="744">
        <v>0</v>
      </c>
      <c r="I198" s="744">
        <v>0</v>
      </c>
      <c r="J198" s="733"/>
    </row>
    <row r="199" spans="1:10" s="729" customFormat="1" ht="15.6" x14ac:dyDescent="0.3">
      <c r="A199" s="1086"/>
      <c r="B199" s="430"/>
      <c r="C199" s="1452"/>
      <c r="D199" s="1438"/>
      <c r="E199" s="1086" t="s">
        <v>1365</v>
      </c>
      <c r="F199" s="1086"/>
      <c r="G199" s="1238"/>
      <c r="H199" s="744">
        <v>0</v>
      </c>
      <c r="I199" s="744">
        <v>0</v>
      </c>
      <c r="J199" s="733"/>
    </row>
    <row r="200" spans="1:10" s="729" customFormat="1" ht="15.6" x14ac:dyDescent="0.3">
      <c r="A200" s="1086"/>
      <c r="B200" s="430"/>
      <c r="C200" s="1452"/>
      <c r="D200" s="1438"/>
      <c r="E200" s="1086" t="s">
        <v>1381</v>
      </c>
      <c r="F200" s="1086"/>
      <c r="G200" s="1238"/>
      <c r="H200" s="744">
        <v>0</v>
      </c>
      <c r="I200" s="744">
        <v>0</v>
      </c>
      <c r="J200" s="733"/>
    </row>
    <row r="201" spans="1:10" s="729" customFormat="1" ht="93.6" x14ac:dyDescent="0.3">
      <c r="A201" s="1086"/>
      <c r="B201" s="430"/>
      <c r="C201" s="1452"/>
      <c r="D201" s="1438"/>
      <c r="E201" s="1086" t="s">
        <v>1367</v>
      </c>
      <c r="F201" s="1086"/>
      <c r="G201" s="1238"/>
      <c r="H201" s="744">
        <v>0</v>
      </c>
      <c r="I201" s="744">
        <v>0</v>
      </c>
      <c r="J201" s="733"/>
    </row>
    <row r="202" spans="1:10" s="729" customFormat="1" ht="15.6" x14ac:dyDescent="0.3">
      <c r="A202" s="1086"/>
      <c r="B202" s="430"/>
      <c r="C202" s="1452"/>
      <c r="D202" s="1438"/>
      <c r="E202" s="1086" t="s">
        <v>973</v>
      </c>
      <c r="F202" s="1086"/>
      <c r="G202" s="1238"/>
      <c r="H202" s="744">
        <v>0</v>
      </c>
      <c r="I202" s="744">
        <v>0</v>
      </c>
      <c r="J202" s="733"/>
    </row>
    <row r="203" spans="1:10" s="729" customFormat="1" ht="15.6" x14ac:dyDescent="0.3">
      <c r="A203" s="1086"/>
      <c r="B203" s="430"/>
      <c r="C203" s="1452"/>
      <c r="D203" s="1438"/>
      <c r="E203" s="1086" t="s">
        <v>977</v>
      </c>
      <c r="F203" s="1086"/>
      <c r="G203" s="1238"/>
      <c r="H203" s="744">
        <v>0</v>
      </c>
      <c r="I203" s="744">
        <v>0</v>
      </c>
      <c r="J203" s="733"/>
    </row>
    <row r="204" spans="1:10" s="729" customFormat="1" ht="34.049999999999997" customHeight="1" x14ac:dyDescent="0.3">
      <c r="A204" s="1086"/>
      <c r="B204" s="430"/>
      <c r="C204" s="1453"/>
      <c r="D204" s="1438"/>
      <c r="E204" s="730" t="s">
        <v>2086</v>
      </c>
      <c r="F204" s="730">
        <v>1</v>
      </c>
      <c r="G204" s="731"/>
      <c r="H204" s="1487" t="s">
        <v>1393</v>
      </c>
      <c r="I204" s="1488"/>
      <c r="J204" s="1456"/>
    </row>
    <row r="205" spans="1:10" s="729" customFormat="1" ht="68.55" customHeight="1" x14ac:dyDescent="0.3">
      <c r="A205" s="1086"/>
      <c r="B205" s="430"/>
      <c r="C205" s="964"/>
      <c r="D205" s="1439"/>
      <c r="E205" s="730" t="s">
        <v>2086</v>
      </c>
      <c r="F205" s="1086">
        <v>1</v>
      </c>
      <c r="G205" s="1238"/>
      <c r="H205" s="1468" t="s">
        <v>2667</v>
      </c>
      <c r="I205" s="1469"/>
      <c r="J205" s="1470"/>
    </row>
    <row r="206" spans="1:10" s="729" customFormat="1" ht="31.2" x14ac:dyDescent="0.3">
      <c r="A206" s="1086"/>
      <c r="B206" s="430"/>
      <c r="C206" s="1489" t="s">
        <v>2668</v>
      </c>
      <c r="D206" s="1492" t="s">
        <v>1385</v>
      </c>
      <c r="E206" s="1086" t="s">
        <v>3037</v>
      </c>
      <c r="F206" s="1086">
        <v>1</v>
      </c>
      <c r="G206" s="1238"/>
      <c r="H206" s="744">
        <v>0</v>
      </c>
      <c r="I206" s="744">
        <v>0</v>
      </c>
      <c r="J206" s="733"/>
    </row>
    <row r="207" spans="1:10" s="729" customFormat="1" ht="46.8" x14ac:dyDescent="0.3">
      <c r="A207" s="1086"/>
      <c r="B207" s="430"/>
      <c r="C207" s="1490"/>
      <c r="D207" s="1493"/>
      <c r="E207" s="1086" t="s">
        <v>2628</v>
      </c>
      <c r="F207" s="1086">
        <v>1</v>
      </c>
      <c r="G207" s="1238"/>
      <c r="H207" s="1468" t="s">
        <v>2636</v>
      </c>
      <c r="I207" s="1469"/>
      <c r="J207" s="1470"/>
    </row>
    <row r="208" spans="1:10" s="729" customFormat="1" ht="31.2" x14ac:dyDescent="0.3">
      <c r="A208" s="1086"/>
      <c r="B208" s="430"/>
      <c r="C208" s="1490"/>
      <c r="D208" s="1493"/>
      <c r="E208" s="1086" t="s">
        <v>2629</v>
      </c>
      <c r="F208" s="1086">
        <v>1</v>
      </c>
      <c r="G208" s="1238"/>
      <c r="H208" s="1468" t="s">
        <v>2637</v>
      </c>
      <c r="I208" s="1469"/>
      <c r="J208" s="1470"/>
    </row>
    <row r="209" spans="1:10" s="729" customFormat="1" ht="31.2" x14ac:dyDescent="0.3">
      <c r="A209" s="1086"/>
      <c r="B209" s="430"/>
      <c r="C209" s="1490"/>
      <c r="D209" s="1493"/>
      <c r="E209" s="1086" t="s">
        <v>2630</v>
      </c>
      <c r="F209" s="1086">
        <v>1</v>
      </c>
      <c r="G209" s="1238"/>
      <c r="H209" s="1468" t="s">
        <v>2638</v>
      </c>
      <c r="I209" s="1469"/>
      <c r="J209" s="1470"/>
    </row>
    <row r="210" spans="1:10" s="729" customFormat="1" ht="33.6" customHeight="1" x14ac:dyDescent="0.3">
      <c r="A210" s="1086"/>
      <c r="B210" s="430"/>
      <c r="C210" s="1490"/>
      <c r="D210" s="1493"/>
      <c r="E210" s="1086" t="s">
        <v>2631</v>
      </c>
      <c r="F210" s="1086">
        <v>1</v>
      </c>
      <c r="G210" s="1238"/>
      <c r="H210" s="1468" t="s">
        <v>2639</v>
      </c>
      <c r="I210" s="1469"/>
      <c r="J210" s="1470"/>
    </row>
    <row r="211" spans="1:10" s="729" customFormat="1" ht="31.2" x14ac:dyDescent="0.3">
      <c r="A211" s="1086"/>
      <c r="B211" s="430"/>
      <c r="C211" s="1490"/>
      <c r="D211" s="1493" t="s">
        <v>1386</v>
      </c>
      <c r="E211" s="1086" t="s">
        <v>3038</v>
      </c>
      <c r="F211" s="1086">
        <v>1</v>
      </c>
      <c r="G211" s="1238"/>
      <c r="H211" s="744">
        <v>0</v>
      </c>
      <c r="I211" s="744">
        <v>0</v>
      </c>
      <c r="J211" s="733"/>
    </row>
    <row r="212" spans="1:10" s="729" customFormat="1" ht="46.8" x14ac:dyDescent="0.3">
      <c r="A212" s="1086"/>
      <c r="B212" s="430"/>
      <c r="C212" s="1490"/>
      <c r="D212" s="1493"/>
      <c r="E212" s="1086" t="s">
        <v>2632</v>
      </c>
      <c r="F212" s="1086">
        <v>1</v>
      </c>
      <c r="G212" s="1238"/>
      <c r="H212" s="1468" t="s">
        <v>2636</v>
      </c>
      <c r="I212" s="1469"/>
      <c r="J212" s="1470"/>
    </row>
    <row r="213" spans="1:10" s="729" customFormat="1" ht="31.2" x14ac:dyDescent="0.3">
      <c r="A213" s="1086"/>
      <c r="B213" s="430"/>
      <c r="C213" s="1490"/>
      <c r="D213" s="1493"/>
      <c r="E213" s="1086" t="s">
        <v>2633</v>
      </c>
      <c r="F213" s="1086">
        <v>1</v>
      </c>
      <c r="G213" s="1238"/>
      <c r="H213" s="1468" t="s">
        <v>2637</v>
      </c>
      <c r="I213" s="1469"/>
      <c r="J213" s="1470"/>
    </row>
    <row r="214" spans="1:10" s="729" customFormat="1" ht="31.2" x14ac:dyDescent="0.3">
      <c r="A214" s="1086"/>
      <c r="B214" s="430"/>
      <c r="C214" s="1490"/>
      <c r="D214" s="1493"/>
      <c r="E214" s="1086" t="s">
        <v>2634</v>
      </c>
      <c r="F214" s="1086">
        <v>1</v>
      </c>
      <c r="G214" s="1238"/>
      <c r="H214" s="1468" t="s">
        <v>2638</v>
      </c>
      <c r="I214" s="1469"/>
      <c r="J214" s="1470"/>
    </row>
    <row r="215" spans="1:10" s="729" customFormat="1" ht="31.2" x14ac:dyDescent="0.3">
      <c r="A215" s="1086"/>
      <c r="B215" s="430"/>
      <c r="C215" s="1490"/>
      <c r="D215" s="1493"/>
      <c r="E215" s="1086" t="s">
        <v>2635</v>
      </c>
      <c r="F215" s="1086">
        <v>1</v>
      </c>
      <c r="G215" s="1238"/>
      <c r="H215" s="1468" t="s">
        <v>2639</v>
      </c>
      <c r="I215" s="1469"/>
      <c r="J215" s="1470"/>
    </row>
    <row r="216" spans="1:10" s="729" customFormat="1" ht="50.55" customHeight="1" x14ac:dyDescent="0.3">
      <c r="A216" s="1086"/>
      <c r="B216" s="430"/>
      <c r="C216" s="1490"/>
      <c r="D216" s="964"/>
      <c r="E216" s="1086" t="s">
        <v>2640</v>
      </c>
      <c r="F216" s="1086">
        <v>1</v>
      </c>
      <c r="G216" s="1238"/>
      <c r="H216" s="1468" t="s">
        <v>2641</v>
      </c>
      <c r="I216" s="1469"/>
      <c r="J216" s="1470"/>
    </row>
    <row r="217" spans="1:10" s="729" customFormat="1" ht="31.8" thickBot="1" x14ac:dyDescent="0.35">
      <c r="A217" s="1086"/>
      <c r="B217" s="430"/>
      <c r="C217" s="1491"/>
      <c r="D217" s="441"/>
      <c r="E217" s="1086" t="s">
        <v>2640</v>
      </c>
      <c r="F217" s="1086">
        <v>1</v>
      </c>
      <c r="G217" s="1238"/>
      <c r="H217" s="1468" t="s">
        <v>2964</v>
      </c>
      <c r="I217" s="1469"/>
      <c r="J217" s="1470"/>
    </row>
    <row r="218" spans="1:10" s="729" customFormat="1" ht="37.5" customHeight="1" thickTop="1" x14ac:dyDescent="0.3">
      <c r="A218" s="991"/>
      <c r="B218" s="334" t="s">
        <v>420</v>
      </c>
      <c r="C218" s="430" t="s">
        <v>421</v>
      </c>
      <c r="D218" s="430" t="s">
        <v>421</v>
      </c>
      <c r="E218" s="725" t="s">
        <v>421</v>
      </c>
      <c r="F218" s="964">
        <v>1</v>
      </c>
      <c r="G218" s="992"/>
      <c r="H218" s="1458" t="s">
        <v>821</v>
      </c>
      <c r="I218" s="1458"/>
      <c r="J218" s="1472"/>
    </row>
    <row r="219" spans="1:10" s="729" customFormat="1" ht="100.5" customHeight="1" x14ac:dyDescent="0.3">
      <c r="A219" s="991"/>
      <c r="B219" s="334" t="s">
        <v>420</v>
      </c>
      <c r="C219" s="430" t="s">
        <v>421</v>
      </c>
      <c r="D219" s="430" t="s">
        <v>421</v>
      </c>
      <c r="E219" s="1086" t="s">
        <v>421</v>
      </c>
      <c r="F219" s="964">
        <v>1</v>
      </c>
      <c r="G219" s="992"/>
      <c r="H219" s="1434" t="s">
        <v>822</v>
      </c>
      <c r="I219" s="1434"/>
      <c r="J219" s="1436"/>
    </row>
    <row r="220" spans="1:10" s="729" customFormat="1" ht="46.8" x14ac:dyDescent="0.3">
      <c r="A220" s="991"/>
      <c r="B220" s="334" t="s">
        <v>420</v>
      </c>
      <c r="C220" s="430" t="s">
        <v>421</v>
      </c>
      <c r="D220" s="430" t="s">
        <v>421</v>
      </c>
      <c r="E220" s="1086" t="s">
        <v>1318</v>
      </c>
      <c r="F220" s="964">
        <v>1</v>
      </c>
      <c r="G220" s="992"/>
      <c r="H220" s="993">
        <v>0</v>
      </c>
      <c r="I220" s="993">
        <v>0</v>
      </c>
      <c r="J220" s="994">
        <v>0</v>
      </c>
    </row>
    <row r="221" spans="1:10" s="729" customFormat="1" ht="15.6" x14ac:dyDescent="0.3">
      <c r="A221" s="991"/>
      <c r="B221" s="334" t="s">
        <v>420</v>
      </c>
      <c r="C221" s="430" t="s">
        <v>421</v>
      </c>
      <c r="D221" s="430" t="s">
        <v>421</v>
      </c>
      <c r="E221" s="1086" t="s">
        <v>2025</v>
      </c>
      <c r="F221" s="964">
        <v>1</v>
      </c>
      <c r="G221" s="992"/>
      <c r="H221" s="993">
        <v>0</v>
      </c>
      <c r="I221" s="993">
        <v>0</v>
      </c>
      <c r="J221" s="994"/>
    </row>
    <row r="222" spans="1:10" s="729" customFormat="1" ht="84" customHeight="1" x14ac:dyDescent="0.3">
      <c r="A222" s="776"/>
      <c r="B222" s="334" t="s">
        <v>420</v>
      </c>
      <c r="C222" s="333" t="s">
        <v>320</v>
      </c>
      <c r="D222" s="333" t="s">
        <v>320</v>
      </c>
      <c r="E222" s="1087" t="s">
        <v>320</v>
      </c>
      <c r="F222" s="146">
        <v>1</v>
      </c>
      <c r="G222" s="777"/>
      <c r="H222" s="1434" t="s">
        <v>823</v>
      </c>
      <c r="I222" s="1434"/>
      <c r="J222" s="1436"/>
    </row>
    <row r="223" spans="1:10" s="729" customFormat="1" ht="70.5" customHeight="1" x14ac:dyDescent="0.3">
      <c r="A223" s="776"/>
      <c r="B223" s="334" t="s">
        <v>420</v>
      </c>
      <c r="C223" s="333" t="s">
        <v>320</v>
      </c>
      <c r="D223" s="333" t="s">
        <v>320</v>
      </c>
      <c r="E223" s="1087" t="s">
        <v>320</v>
      </c>
      <c r="F223" s="146">
        <v>1</v>
      </c>
      <c r="G223" s="777"/>
      <c r="H223" s="1434" t="s">
        <v>871</v>
      </c>
      <c r="I223" s="1434"/>
      <c r="J223" s="1436"/>
    </row>
    <row r="224" spans="1:10" s="729" customFormat="1" ht="31.2" x14ac:dyDescent="0.3">
      <c r="A224" s="991"/>
      <c r="B224" s="334" t="s">
        <v>420</v>
      </c>
      <c r="C224" s="333" t="s">
        <v>320</v>
      </c>
      <c r="D224" s="333" t="s">
        <v>320</v>
      </c>
      <c r="E224" s="1087" t="s">
        <v>1316</v>
      </c>
      <c r="F224" s="146">
        <v>1</v>
      </c>
      <c r="G224" s="992"/>
      <c r="H224" s="732">
        <v>0</v>
      </c>
      <c r="I224" s="732">
        <v>0</v>
      </c>
      <c r="J224" s="773">
        <v>0</v>
      </c>
    </row>
    <row r="225" spans="1:10" s="729" customFormat="1" ht="31.2" x14ac:dyDescent="0.3">
      <c r="A225" s="724"/>
      <c r="B225" s="334" t="s">
        <v>420</v>
      </c>
      <c r="C225" s="334" t="s">
        <v>320</v>
      </c>
      <c r="D225" s="334" t="s">
        <v>320</v>
      </c>
      <c r="E225" s="1086" t="s">
        <v>1317</v>
      </c>
      <c r="F225" s="730">
        <v>1</v>
      </c>
      <c r="G225" s="731"/>
      <c r="H225" s="732">
        <v>0</v>
      </c>
      <c r="I225" s="732">
        <v>0</v>
      </c>
      <c r="J225" s="773">
        <v>0</v>
      </c>
    </row>
    <row r="226" spans="1:10" s="729" customFormat="1" ht="53.1" customHeight="1" x14ac:dyDescent="0.3">
      <c r="A226" s="775"/>
      <c r="B226" s="334" t="s">
        <v>420</v>
      </c>
      <c r="C226" s="334" t="s">
        <v>423</v>
      </c>
      <c r="D226" s="334" t="s">
        <v>423</v>
      </c>
      <c r="E226" s="1088" t="s">
        <v>423</v>
      </c>
      <c r="F226" s="146">
        <v>1</v>
      </c>
      <c r="G226" s="775"/>
      <c r="H226" s="1434" t="s">
        <v>2965</v>
      </c>
      <c r="I226" s="1434"/>
      <c r="J226" s="1436"/>
    </row>
    <row r="227" spans="1:10" s="729" customFormat="1" ht="46.8" x14ac:dyDescent="0.3">
      <c r="A227" s="995"/>
      <c r="B227" s="334" t="s">
        <v>420</v>
      </c>
      <c r="C227" s="334" t="s">
        <v>423</v>
      </c>
      <c r="D227" s="334" t="s">
        <v>423</v>
      </c>
      <c r="E227" s="1087" t="s">
        <v>1318</v>
      </c>
      <c r="F227" s="146">
        <v>1</v>
      </c>
      <c r="G227" s="995"/>
      <c r="H227" s="752">
        <v>0</v>
      </c>
      <c r="I227" s="732">
        <v>0</v>
      </c>
      <c r="J227" s="773">
        <v>0</v>
      </c>
    </row>
    <row r="228" spans="1:10" s="729" customFormat="1" ht="46.8" x14ac:dyDescent="0.3">
      <c r="A228" s="724"/>
      <c r="B228" s="334" t="s">
        <v>420</v>
      </c>
      <c r="C228" s="334" t="s">
        <v>423</v>
      </c>
      <c r="D228" s="334" t="s">
        <v>423</v>
      </c>
      <c r="E228" s="1086" t="s">
        <v>1319</v>
      </c>
      <c r="F228" s="730">
        <v>1</v>
      </c>
      <c r="G228" s="731"/>
      <c r="H228" s="752">
        <v>0</v>
      </c>
      <c r="I228" s="732">
        <v>0</v>
      </c>
      <c r="J228" s="773">
        <v>0</v>
      </c>
    </row>
    <row r="229" spans="1:10" s="729" customFormat="1" ht="55.05" customHeight="1" x14ac:dyDescent="0.3">
      <c r="A229" s="724"/>
      <c r="B229" s="334" t="s">
        <v>420</v>
      </c>
      <c r="C229" s="334" t="s">
        <v>321</v>
      </c>
      <c r="D229" s="334" t="s">
        <v>321</v>
      </c>
      <c r="E229" s="1086" t="s">
        <v>321</v>
      </c>
      <c r="F229" s="146">
        <v>1</v>
      </c>
      <c r="G229" s="731"/>
      <c r="H229" s="1434" t="s">
        <v>2965</v>
      </c>
      <c r="I229" s="1434"/>
      <c r="J229" s="1436"/>
    </row>
    <row r="230" spans="1:10" s="729" customFormat="1" ht="46.8" x14ac:dyDescent="0.3">
      <c r="A230" s="995"/>
      <c r="B230" s="334" t="s">
        <v>420</v>
      </c>
      <c r="C230" s="334" t="s">
        <v>321</v>
      </c>
      <c r="D230" s="334" t="s">
        <v>321</v>
      </c>
      <c r="E230" s="1086" t="s">
        <v>1318</v>
      </c>
      <c r="F230" s="146">
        <v>1</v>
      </c>
      <c r="G230" s="995"/>
      <c r="H230" s="752">
        <v>0</v>
      </c>
      <c r="I230" s="732">
        <v>0</v>
      </c>
      <c r="J230" s="773">
        <v>0</v>
      </c>
    </row>
    <row r="231" spans="1:10" s="729" customFormat="1" ht="46.8" x14ac:dyDescent="0.3">
      <c r="A231" s="724"/>
      <c r="B231" s="334" t="s">
        <v>420</v>
      </c>
      <c r="C231" s="334" t="s">
        <v>321</v>
      </c>
      <c r="D231" s="334" t="s">
        <v>321</v>
      </c>
      <c r="E231" s="730" t="s">
        <v>1320</v>
      </c>
      <c r="F231" s="730">
        <v>1</v>
      </c>
      <c r="G231" s="731"/>
      <c r="H231" s="752">
        <v>0</v>
      </c>
      <c r="I231" s="732">
        <v>0</v>
      </c>
      <c r="J231" s="773">
        <v>0</v>
      </c>
    </row>
    <row r="232" spans="1:10" s="729" customFormat="1" ht="47.4" thickBot="1" x14ac:dyDescent="0.35">
      <c r="A232" s="995"/>
      <c r="B232" s="334"/>
      <c r="C232" s="334" t="s">
        <v>875</v>
      </c>
      <c r="D232" s="334" t="s">
        <v>875</v>
      </c>
      <c r="E232" s="991" t="s">
        <v>1318</v>
      </c>
      <c r="F232" s="991">
        <v>1</v>
      </c>
      <c r="G232" s="995"/>
      <c r="H232" s="996"/>
      <c r="I232" s="997"/>
      <c r="J232" s="998"/>
    </row>
    <row r="233" spans="1:10" s="729" customFormat="1" ht="47.4" thickTop="1" x14ac:dyDescent="0.3">
      <c r="A233" s="724"/>
      <c r="B233" s="1458" t="s">
        <v>420</v>
      </c>
      <c r="C233" s="1434" t="s">
        <v>875</v>
      </c>
      <c r="D233" s="1434" t="s">
        <v>875</v>
      </c>
      <c r="E233" s="730" t="s">
        <v>1320</v>
      </c>
      <c r="F233" s="730">
        <v>1</v>
      </c>
      <c r="G233" s="731"/>
      <c r="H233" s="752">
        <v>0</v>
      </c>
      <c r="I233" s="732">
        <v>0</v>
      </c>
      <c r="J233" s="753"/>
    </row>
    <row r="234" spans="1:10" s="729" customFormat="1" ht="37.049999999999997" customHeight="1" thickBot="1" x14ac:dyDescent="0.35">
      <c r="A234" s="724"/>
      <c r="B234" s="1434"/>
      <c r="C234" s="1434"/>
      <c r="D234" s="1434"/>
      <c r="E234" s="730" t="s">
        <v>875</v>
      </c>
      <c r="F234" s="730">
        <v>1</v>
      </c>
      <c r="G234" s="731"/>
      <c r="H234" s="1434" t="s">
        <v>876</v>
      </c>
      <c r="I234" s="1434"/>
      <c r="J234" s="1436"/>
    </row>
    <row r="235" spans="1:10" s="729" customFormat="1" ht="70.05" customHeight="1" thickTop="1" thickBot="1" x14ac:dyDescent="0.35">
      <c r="A235" s="724"/>
      <c r="B235" s="726" t="s">
        <v>420</v>
      </c>
      <c r="C235" s="755" t="s">
        <v>426</v>
      </c>
      <c r="D235" s="755" t="s">
        <v>426</v>
      </c>
      <c r="E235" s="755" t="s">
        <v>426</v>
      </c>
      <c r="F235" s="755">
        <v>1</v>
      </c>
      <c r="G235" s="756"/>
      <c r="H235" s="1442" t="s">
        <v>877</v>
      </c>
      <c r="I235" s="1442"/>
      <c r="J235" s="1471"/>
    </row>
    <row r="236" spans="1:10" s="729" customFormat="1" ht="63.6" thickTop="1" thickBot="1" x14ac:dyDescent="0.35">
      <c r="A236" s="995"/>
      <c r="B236" s="726" t="s">
        <v>420</v>
      </c>
      <c r="C236" s="755" t="s">
        <v>426</v>
      </c>
      <c r="D236" s="755" t="s">
        <v>426</v>
      </c>
      <c r="E236" s="964" t="s">
        <v>1324</v>
      </c>
      <c r="F236" s="964">
        <v>1</v>
      </c>
      <c r="G236" s="999"/>
      <c r="H236" s="752">
        <v>0</v>
      </c>
      <c r="I236" s="732">
        <v>0</v>
      </c>
      <c r="J236" s="753"/>
    </row>
    <row r="237" spans="1:10" s="729" customFormat="1" ht="46.5" customHeight="1" thickTop="1" x14ac:dyDescent="0.3">
      <c r="A237" s="724"/>
      <c r="B237" s="1458" t="s">
        <v>1327</v>
      </c>
      <c r="C237" s="1458" t="s">
        <v>428</v>
      </c>
      <c r="D237" s="1458" t="s">
        <v>428</v>
      </c>
      <c r="E237" s="725" t="s">
        <v>428</v>
      </c>
      <c r="F237" s="725">
        <v>1</v>
      </c>
      <c r="G237" s="726"/>
      <c r="H237" s="1458" t="s">
        <v>878</v>
      </c>
      <c r="I237" s="1458"/>
      <c r="J237" s="1472"/>
    </row>
    <row r="238" spans="1:10" s="729" customFormat="1" ht="51" customHeight="1" x14ac:dyDescent="0.3">
      <c r="A238" s="724"/>
      <c r="B238" s="1434"/>
      <c r="C238" s="1434"/>
      <c r="D238" s="1434"/>
      <c r="E238" s="730" t="s">
        <v>428</v>
      </c>
      <c r="F238" s="730">
        <v>1</v>
      </c>
      <c r="G238" s="731"/>
      <c r="H238" s="1434" t="s">
        <v>879</v>
      </c>
      <c r="I238" s="1434"/>
      <c r="J238" s="1436"/>
    </row>
    <row r="239" spans="1:10" s="729" customFormat="1" ht="15.6" x14ac:dyDescent="0.3">
      <c r="A239" s="724"/>
      <c r="B239" s="1434"/>
      <c r="C239" s="1434"/>
      <c r="D239" s="1434"/>
      <c r="E239" s="730" t="s">
        <v>428</v>
      </c>
      <c r="F239" s="730">
        <v>1</v>
      </c>
      <c r="G239" s="731"/>
      <c r="H239" s="1434" t="s">
        <v>880</v>
      </c>
      <c r="I239" s="1434"/>
      <c r="J239" s="1436"/>
    </row>
    <row r="240" spans="1:10" s="729" customFormat="1" ht="36.75" customHeight="1" x14ac:dyDescent="0.3">
      <c r="A240" s="724"/>
      <c r="B240" s="1434"/>
      <c r="C240" s="1434"/>
      <c r="D240" s="1434"/>
      <c r="E240" s="730" t="s">
        <v>428</v>
      </c>
      <c r="F240" s="730">
        <v>1</v>
      </c>
      <c r="G240" s="731"/>
      <c r="H240" s="1434" t="s">
        <v>881</v>
      </c>
      <c r="I240" s="1434"/>
      <c r="J240" s="1436"/>
    </row>
    <row r="241" spans="1:10" s="729" customFormat="1" ht="16.5" customHeight="1" x14ac:dyDescent="0.3">
      <c r="A241" s="724"/>
      <c r="B241" s="1434"/>
      <c r="C241" s="1434"/>
      <c r="D241" s="1434"/>
      <c r="E241" s="730" t="s">
        <v>428</v>
      </c>
      <c r="F241" s="730">
        <v>1</v>
      </c>
      <c r="G241" s="731"/>
      <c r="H241" s="1434" t="s">
        <v>1257</v>
      </c>
      <c r="I241" s="1434"/>
      <c r="J241" s="1436"/>
    </row>
    <row r="242" spans="1:10" s="729" customFormat="1" ht="15.6" x14ac:dyDescent="0.3">
      <c r="A242" s="724"/>
      <c r="B242" s="1434"/>
      <c r="C242" s="1434"/>
      <c r="D242" s="1434"/>
      <c r="E242" s="730" t="s">
        <v>1315</v>
      </c>
      <c r="F242" s="730">
        <v>1</v>
      </c>
      <c r="G242" s="731"/>
      <c r="H242" s="752">
        <v>0</v>
      </c>
      <c r="I242" s="744">
        <v>0</v>
      </c>
      <c r="J242" s="753"/>
    </row>
    <row r="243" spans="1:10" s="31" customFormat="1" ht="36" customHeight="1" x14ac:dyDescent="0.3">
      <c r="A243" s="1238"/>
      <c r="B243" s="1086" t="s">
        <v>1327</v>
      </c>
      <c r="C243" s="1086" t="s">
        <v>429</v>
      </c>
      <c r="D243" s="1086" t="s">
        <v>429</v>
      </c>
      <c r="E243" s="1086" t="s">
        <v>2774</v>
      </c>
      <c r="F243" s="730">
        <v>1</v>
      </c>
      <c r="G243" s="1054"/>
      <c r="H243" s="830">
        <v>0</v>
      </c>
      <c r="I243" s="1244">
        <v>0</v>
      </c>
      <c r="J243" s="1245">
        <v>0</v>
      </c>
    </row>
    <row r="244" spans="1:10" s="729" customFormat="1" ht="48.45" customHeight="1" x14ac:dyDescent="0.3">
      <c r="A244" s="724"/>
      <c r="B244" s="1434" t="s">
        <v>1327</v>
      </c>
      <c r="C244" s="1434" t="s">
        <v>210</v>
      </c>
      <c r="D244" s="1434" t="s">
        <v>210</v>
      </c>
      <c r="E244" s="730" t="s">
        <v>210</v>
      </c>
      <c r="F244" s="730">
        <v>1</v>
      </c>
      <c r="G244" s="731"/>
      <c r="H244" s="1434" t="s">
        <v>1880</v>
      </c>
      <c r="I244" s="1434"/>
      <c r="J244" s="1436"/>
    </row>
    <row r="245" spans="1:10" s="729" customFormat="1" ht="15.6" x14ac:dyDescent="0.3">
      <c r="A245" s="724"/>
      <c r="B245" s="1434"/>
      <c r="C245" s="1434"/>
      <c r="D245" s="1434"/>
      <c r="E245" s="730" t="s">
        <v>210</v>
      </c>
      <c r="F245" s="730">
        <v>1</v>
      </c>
      <c r="G245" s="731"/>
      <c r="H245" s="1473" t="s">
        <v>1332</v>
      </c>
      <c r="I245" s="1473"/>
      <c r="J245" s="1474"/>
    </row>
    <row r="246" spans="1:10" s="729" customFormat="1" ht="49.95" customHeight="1" x14ac:dyDescent="0.3">
      <c r="A246" s="724"/>
      <c r="B246" s="1434"/>
      <c r="C246" s="1434"/>
      <c r="D246" s="1434"/>
      <c r="E246" s="730" t="s">
        <v>210</v>
      </c>
      <c r="F246" s="730">
        <v>1</v>
      </c>
      <c r="G246" s="731"/>
      <c r="H246" s="1434" t="s">
        <v>883</v>
      </c>
      <c r="I246" s="1434"/>
      <c r="J246" s="1436"/>
    </row>
    <row r="247" spans="1:10" s="729" customFormat="1" ht="100.95" customHeight="1" x14ac:dyDescent="0.3">
      <c r="A247" s="724"/>
      <c r="B247" s="1434"/>
      <c r="C247" s="1434"/>
      <c r="D247" s="1434"/>
      <c r="E247" s="730" t="s">
        <v>210</v>
      </c>
      <c r="F247" s="730">
        <v>1</v>
      </c>
      <c r="G247" s="731"/>
      <c r="H247" s="1434" t="s">
        <v>884</v>
      </c>
      <c r="I247" s="1434"/>
      <c r="J247" s="1436"/>
    </row>
    <row r="248" spans="1:10" s="729" customFormat="1" ht="15.6" x14ac:dyDescent="0.3">
      <c r="A248" s="724"/>
      <c r="B248" s="1434"/>
      <c r="C248" s="1434"/>
      <c r="D248" s="1434"/>
      <c r="E248" s="730" t="s">
        <v>1315</v>
      </c>
      <c r="F248" s="730">
        <v>1</v>
      </c>
      <c r="G248" s="731"/>
      <c r="H248" s="752">
        <v>0</v>
      </c>
      <c r="I248" s="744"/>
      <c r="J248" s="753"/>
    </row>
    <row r="249" spans="1:10" s="729" customFormat="1" ht="31.2" x14ac:dyDescent="0.3">
      <c r="A249" s="724"/>
      <c r="B249" s="1434" t="s">
        <v>1327</v>
      </c>
      <c r="C249" s="1434" t="s">
        <v>431</v>
      </c>
      <c r="D249" s="1434" t="s">
        <v>431</v>
      </c>
      <c r="E249" s="730" t="s">
        <v>431</v>
      </c>
      <c r="F249" s="730">
        <v>1</v>
      </c>
      <c r="G249" s="731"/>
      <c r="H249" s="1434" t="s">
        <v>1881</v>
      </c>
      <c r="I249" s="1434"/>
      <c r="J249" s="1436"/>
    </row>
    <row r="250" spans="1:10" s="430" customFormat="1" ht="15.6" x14ac:dyDescent="0.3">
      <c r="A250" s="724"/>
      <c r="B250" s="1434"/>
      <c r="C250" s="1434"/>
      <c r="D250" s="1434"/>
      <c r="E250" s="730" t="s">
        <v>1333</v>
      </c>
      <c r="F250" s="730">
        <v>1</v>
      </c>
      <c r="G250" s="730"/>
      <c r="H250" s="1248">
        <v>0</v>
      </c>
      <c r="I250" s="744">
        <v>0</v>
      </c>
      <c r="J250" s="753"/>
    </row>
    <row r="251" spans="1:10" s="729" customFormat="1" ht="31.2" x14ac:dyDescent="0.3">
      <c r="A251" s="724"/>
      <c r="B251" s="1434" t="s">
        <v>1327</v>
      </c>
      <c r="C251" s="1434" t="s">
        <v>2769</v>
      </c>
      <c r="D251" s="1434" t="s">
        <v>2769</v>
      </c>
      <c r="E251" s="730" t="s">
        <v>2769</v>
      </c>
      <c r="F251" s="730">
        <v>1</v>
      </c>
      <c r="G251" s="731"/>
      <c r="H251" s="1434" t="s">
        <v>1881</v>
      </c>
      <c r="I251" s="1434"/>
      <c r="J251" s="1436"/>
    </row>
    <row r="252" spans="1:10" s="729" customFormat="1" ht="31.2" x14ac:dyDescent="0.3">
      <c r="A252" s="1238"/>
      <c r="B252" s="1435"/>
      <c r="C252" s="1435"/>
      <c r="D252" s="1435"/>
      <c r="E252" s="1086" t="s">
        <v>2778</v>
      </c>
      <c r="F252" s="730">
        <v>1</v>
      </c>
      <c r="G252" s="1238"/>
      <c r="H252" s="744">
        <v>0</v>
      </c>
      <c r="I252" s="1248">
        <v>0</v>
      </c>
      <c r="J252" s="1249"/>
    </row>
    <row r="253" spans="1:10" s="430" customFormat="1" ht="15.6" x14ac:dyDescent="0.3">
      <c r="A253" s="724"/>
      <c r="B253" s="1434"/>
      <c r="C253" s="1434"/>
      <c r="D253" s="1434"/>
      <c r="E253" s="730" t="s">
        <v>1333</v>
      </c>
      <c r="F253" s="730">
        <v>1</v>
      </c>
      <c r="G253" s="730"/>
      <c r="H253" s="744">
        <v>0</v>
      </c>
      <c r="I253" s="1248">
        <v>0</v>
      </c>
      <c r="J253" s="1249"/>
    </row>
    <row r="254" spans="1:10" s="729" customFormat="1" ht="52.5" customHeight="1" x14ac:dyDescent="0.3">
      <c r="A254" s="724"/>
      <c r="B254" s="1434" t="s">
        <v>1327</v>
      </c>
      <c r="C254" s="1434" t="s">
        <v>326</v>
      </c>
      <c r="D254" s="1434" t="s">
        <v>326</v>
      </c>
      <c r="E254" s="730" t="s">
        <v>326</v>
      </c>
      <c r="F254" s="730">
        <v>1</v>
      </c>
      <c r="G254" s="731"/>
      <c r="H254" s="1434" t="s">
        <v>1882</v>
      </c>
      <c r="I254" s="1434"/>
      <c r="J254" s="1436"/>
    </row>
    <row r="255" spans="1:10" s="729" customFormat="1" ht="15.6" x14ac:dyDescent="0.3">
      <c r="A255" s="724"/>
      <c r="B255" s="1434"/>
      <c r="C255" s="1434"/>
      <c r="D255" s="1434"/>
      <c r="E255" s="730" t="s">
        <v>1315</v>
      </c>
      <c r="F255" s="730">
        <v>1</v>
      </c>
      <c r="G255" s="731"/>
      <c r="H255" s="752">
        <v>0</v>
      </c>
      <c r="I255" s="744">
        <v>0</v>
      </c>
      <c r="J255" s="753"/>
    </row>
    <row r="256" spans="1:10" s="729" customFormat="1" ht="69.599999999999994" customHeight="1" x14ac:dyDescent="0.3">
      <c r="A256" s="724"/>
      <c r="B256" s="730" t="s">
        <v>1327</v>
      </c>
      <c r="C256" s="730" t="s">
        <v>434</v>
      </c>
      <c r="D256" s="730" t="s">
        <v>434</v>
      </c>
      <c r="E256" s="730" t="s">
        <v>434</v>
      </c>
      <c r="F256" s="730">
        <v>1</v>
      </c>
      <c r="G256" s="731"/>
      <c r="H256" s="1434" t="s">
        <v>1336</v>
      </c>
      <c r="I256" s="1434"/>
      <c r="J256" s="1436"/>
    </row>
    <row r="257" spans="1:10" s="729" customFormat="1" ht="74.099999999999994" customHeight="1" x14ac:dyDescent="0.3">
      <c r="A257" s="724"/>
      <c r="B257" s="1434" t="s">
        <v>1327</v>
      </c>
      <c r="C257" s="1434" t="s">
        <v>327</v>
      </c>
      <c r="D257" s="1434" t="s">
        <v>327</v>
      </c>
      <c r="E257" s="730" t="s">
        <v>327</v>
      </c>
      <c r="F257" s="730">
        <v>1</v>
      </c>
      <c r="G257" s="731"/>
      <c r="H257" s="1434" t="s">
        <v>2865</v>
      </c>
      <c r="I257" s="1434"/>
      <c r="J257" s="1436"/>
    </row>
    <row r="258" spans="1:10" s="729" customFormat="1" ht="31.2" x14ac:dyDescent="0.3">
      <c r="A258" s="724"/>
      <c r="B258" s="1434"/>
      <c r="C258" s="1434"/>
      <c r="D258" s="1434"/>
      <c r="E258" s="730" t="s">
        <v>327</v>
      </c>
      <c r="F258" s="730">
        <v>1</v>
      </c>
      <c r="G258" s="731"/>
      <c r="H258" s="1434" t="s">
        <v>885</v>
      </c>
      <c r="I258" s="1434"/>
      <c r="J258" s="1436"/>
    </row>
    <row r="259" spans="1:10" s="729" customFormat="1" ht="15.6" x14ac:dyDescent="0.3">
      <c r="A259" s="724"/>
      <c r="B259" s="1434"/>
      <c r="C259" s="1434"/>
      <c r="D259" s="1434"/>
      <c r="E259" s="730" t="s">
        <v>1315</v>
      </c>
      <c r="F259" s="730">
        <v>1</v>
      </c>
      <c r="G259" s="731"/>
      <c r="H259" s="744">
        <v>0</v>
      </c>
      <c r="I259" s="744">
        <v>0</v>
      </c>
      <c r="J259" s="753"/>
    </row>
    <row r="260" spans="1:10" s="729" customFormat="1" ht="47.55" customHeight="1" x14ac:dyDescent="0.3">
      <c r="A260" s="724"/>
      <c r="B260" s="1434" t="s">
        <v>1327</v>
      </c>
      <c r="C260" s="1434" t="s">
        <v>328</v>
      </c>
      <c r="D260" s="1434" t="s">
        <v>328</v>
      </c>
      <c r="E260" s="730" t="s">
        <v>328</v>
      </c>
      <c r="F260" s="730">
        <v>1</v>
      </c>
      <c r="G260" s="731"/>
      <c r="H260" s="1434" t="s">
        <v>886</v>
      </c>
      <c r="I260" s="1434"/>
      <c r="J260" s="1436"/>
    </row>
    <row r="261" spans="1:10" s="729" customFormat="1" ht="15.6" x14ac:dyDescent="0.3">
      <c r="A261" s="724"/>
      <c r="B261" s="1434"/>
      <c r="C261" s="1434"/>
      <c r="D261" s="1434"/>
      <c r="E261" s="730" t="s">
        <v>328</v>
      </c>
      <c r="F261" s="730">
        <v>1</v>
      </c>
      <c r="G261" s="731"/>
      <c r="H261" s="1434" t="s">
        <v>1726</v>
      </c>
      <c r="I261" s="1434"/>
      <c r="J261" s="1436"/>
    </row>
    <row r="262" spans="1:10" s="729" customFormat="1" ht="16.2" thickBot="1" x14ac:dyDescent="0.35">
      <c r="A262" s="724"/>
      <c r="B262" s="1442"/>
      <c r="C262" s="1442"/>
      <c r="D262" s="1442"/>
      <c r="E262" s="755" t="s">
        <v>328</v>
      </c>
      <c r="F262" s="755">
        <v>1</v>
      </c>
      <c r="G262" s="756"/>
      <c r="H262" s="1442" t="s">
        <v>887</v>
      </c>
      <c r="I262" s="1442"/>
      <c r="J262" s="1471"/>
    </row>
    <row r="263" spans="1:10" s="430" customFormat="1" ht="144" customHeight="1" thickTop="1" x14ac:dyDescent="0.3">
      <c r="A263" s="749"/>
      <c r="B263" s="1458" t="s">
        <v>331</v>
      </c>
      <c r="C263" s="1458" t="s">
        <v>331</v>
      </c>
      <c r="D263" s="1458" t="s">
        <v>331</v>
      </c>
      <c r="E263" s="725" t="s">
        <v>331</v>
      </c>
      <c r="F263" s="725">
        <v>1</v>
      </c>
      <c r="G263" s="725"/>
      <c r="H263" s="1458" t="s">
        <v>517</v>
      </c>
      <c r="I263" s="1458"/>
      <c r="J263" s="1472"/>
    </row>
    <row r="264" spans="1:10" s="430" customFormat="1" ht="68.099999999999994" customHeight="1" x14ac:dyDescent="0.3">
      <c r="A264" s="749"/>
      <c r="B264" s="1434"/>
      <c r="C264" s="1434"/>
      <c r="D264" s="1434"/>
      <c r="E264" s="730" t="s">
        <v>331</v>
      </c>
      <c r="F264" s="730">
        <v>1</v>
      </c>
      <c r="G264" s="730"/>
      <c r="H264" s="1434" t="s">
        <v>524</v>
      </c>
      <c r="I264" s="1434"/>
      <c r="J264" s="1436"/>
    </row>
    <row r="265" spans="1:10" s="729" customFormat="1" ht="35.549999999999997" customHeight="1" x14ac:dyDescent="0.3">
      <c r="A265" s="749"/>
      <c r="B265" s="1434"/>
      <c r="C265" s="1434"/>
      <c r="D265" s="1434"/>
      <c r="E265" s="730" t="s">
        <v>331</v>
      </c>
      <c r="F265" s="730">
        <v>1</v>
      </c>
      <c r="G265" s="731"/>
      <c r="H265" s="1434" t="s">
        <v>525</v>
      </c>
      <c r="I265" s="1434"/>
      <c r="J265" s="1436"/>
    </row>
    <row r="266" spans="1:10" s="430" customFormat="1" ht="46.05" customHeight="1" x14ac:dyDescent="0.3">
      <c r="A266" s="749"/>
      <c r="B266" s="1434"/>
      <c r="C266" s="1434"/>
      <c r="D266" s="1434"/>
      <c r="E266" s="730" t="s">
        <v>331</v>
      </c>
      <c r="F266" s="730">
        <v>1</v>
      </c>
      <c r="G266" s="730"/>
      <c r="H266" s="1434" t="s">
        <v>1342</v>
      </c>
      <c r="I266" s="1434"/>
      <c r="J266" s="1436"/>
    </row>
    <row r="267" spans="1:10" s="430" customFormat="1" ht="38.1" customHeight="1" x14ac:dyDescent="0.3">
      <c r="A267" s="749"/>
      <c r="B267" s="1434"/>
      <c r="C267" s="1434"/>
      <c r="D267" s="1434"/>
      <c r="E267" s="730" t="s">
        <v>331</v>
      </c>
      <c r="F267" s="730">
        <v>1</v>
      </c>
      <c r="G267" s="730"/>
      <c r="H267" s="1434" t="s">
        <v>1343</v>
      </c>
      <c r="I267" s="1434"/>
      <c r="J267" s="1436"/>
    </row>
    <row r="268" spans="1:10" s="430" customFormat="1" ht="23.1" customHeight="1" x14ac:dyDescent="0.3">
      <c r="A268" s="749"/>
      <c r="B268" s="1434"/>
      <c r="C268" s="1434"/>
      <c r="D268" s="1434"/>
      <c r="E268" s="730" t="s">
        <v>331</v>
      </c>
      <c r="F268" s="730">
        <v>1</v>
      </c>
      <c r="G268" s="730"/>
      <c r="H268" s="1434" t="s">
        <v>1344</v>
      </c>
      <c r="I268" s="1434"/>
      <c r="J268" s="1436"/>
    </row>
    <row r="269" spans="1:10" s="430" customFormat="1" ht="15.6" x14ac:dyDescent="0.3">
      <c r="A269" s="749"/>
      <c r="B269" s="1434"/>
      <c r="C269" s="1434"/>
      <c r="D269" s="1434"/>
      <c r="E269" s="730" t="s">
        <v>331</v>
      </c>
      <c r="F269" s="730">
        <v>1</v>
      </c>
      <c r="G269" s="730"/>
      <c r="H269" s="1434" t="s">
        <v>1345</v>
      </c>
      <c r="I269" s="1434"/>
      <c r="J269" s="1436"/>
    </row>
    <row r="270" spans="1:10" s="430" customFormat="1" ht="15.6" x14ac:dyDescent="0.3">
      <c r="A270" s="749"/>
      <c r="B270" s="1434"/>
      <c r="C270" s="1434"/>
      <c r="D270" s="1434"/>
      <c r="E270" s="730" t="s">
        <v>331</v>
      </c>
      <c r="F270" s="730">
        <v>1</v>
      </c>
      <c r="G270" s="730"/>
      <c r="H270" s="1434" t="s">
        <v>1346</v>
      </c>
      <c r="I270" s="1434"/>
      <c r="J270" s="1436"/>
    </row>
    <row r="271" spans="1:10" s="430" customFormat="1" ht="68.099999999999994" customHeight="1" x14ac:dyDescent="0.3">
      <c r="A271" s="749"/>
      <c r="B271" s="1434"/>
      <c r="C271" s="1434"/>
      <c r="D271" s="1434"/>
      <c r="E271" s="730" t="s">
        <v>331</v>
      </c>
      <c r="F271" s="730">
        <v>1</v>
      </c>
      <c r="G271" s="730"/>
      <c r="H271" s="1434" t="s">
        <v>528</v>
      </c>
      <c r="I271" s="1434"/>
      <c r="J271" s="1436"/>
    </row>
    <row r="272" spans="1:10" s="430" customFormat="1" ht="15.6" x14ac:dyDescent="0.3">
      <c r="A272" s="749"/>
      <c r="B272" s="1434"/>
      <c r="C272" s="1434"/>
      <c r="D272" s="1434"/>
      <c r="E272" s="730" t="s">
        <v>331</v>
      </c>
      <c r="F272" s="730">
        <v>1</v>
      </c>
      <c r="G272" s="730"/>
      <c r="H272" s="1434" t="s">
        <v>529</v>
      </c>
      <c r="I272" s="1434"/>
      <c r="J272" s="1436"/>
    </row>
    <row r="273" spans="1:10" s="430" customFormat="1" ht="15.6" x14ac:dyDescent="0.3">
      <c r="A273" s="749"/>
      <c r="B273" s="1434"/>
      <c r="C273" s="1434"/>
      <c r="D273" s="1434"/>
      <c r="E273" s="730" t="s">
        <v>331</v>
      </c>
      <c r="F273" s="730">
        <v>1</v>
      </c>
      <c r="G273" s="730"/>
      <c r="H273" s="1434" t="s">
        <v>1257</v>
      </c>
      <c r="I273" s="1434"/>
      <c r="J273" s="1436"/>
    </row>
    <row r="274" spans="1:10" s="430" customFormat="1" ht="15.6" x14ac:dyDescent="0.3">
      <c r="A274" s="749"/>
      <c r="B274" s="1434"/>
      <c r="C274" s="1434"/>
      <c r="D274" s="1434"/>
      <c r="E274" s="730" t="s">
        <v>331</v>
      </c>
      <c r="F274" s="730">
        <v>1</v>
      </c>
      <c r="G274" s="730"/>
      <c r="H274" s="1434" t="s">
        <v>1257</v>
      </c>
      <c r="I274" s="1434"/>
      <c r="J274" s="1436"/>
    </row>
    <row r="275" spans="1:10" s="430" customFormat="1" ht="16.2" thickBot="1" x14ac:dyDescent="0.35">
      <c r="A275" s="982"/>
      <c r="B275" s="1475"/>
      <c r="C275" s="1475"/>
      <c r="D275" s="1475"/>
      <c r="E275" s="982" t="s">
        <v>331</v>
      </c>
      <c r="F275" s="982">
        <v>1</v>
      </c>
      <c r="G275" s="982"/>
      <c r="H275" s="1475" t="s">
        <v>1257</v>
      </c>
      <c r="I275" s="1475"/>
      <c r="J275" s="1476"/>
    </row>
    <row r="276" spans="1:10" ht="47.4" thickBot="1" x14ac:dyDescent="0.35">
      <c r="A276" s="983"/>
      <c r="B276" s="984" t="s">
        <v>2024</v>
      </c>
      <c r="C276" s="984" t="s">
        <v>2024</v>
      </c>
      <c r="D276" s="984" t="s">
        <v>2024</v>
      </c>
      <c r="E276" s="984" t="s">
        <v>2024</v>
      </c>
      <c r="F276" s="985">
        <v>1</v>
      </c>
      <c r="G276" s="983"/>
      <c r="H276" s="1483" t="s">
        <v>3151</v>
      </c>
      <c r="I276" s="1484"/>
      <c r="J276" s="1485"/>
    </row>
    <row r="277" spans="1:10" ht="47.4" thickBot="1" x14ac:dyDescent="0.35">
      <c r="A277" s="983"/>
      <c r="B277" s="984" t="s">
        <v>1945</v>
      </c>
      <c r="C277" s="984" t="s">
        <v>1945</v>
      </c>
      <c r="D277" s="984" t="s">
        <v>1945</v>
      </c>
      <c r="E277" s="984" t="s">
        <v>1945</v>
      </c>
      <c r="F277" s="985">
        <v>1</v>
      </c>
      <c r="G277" s="983"/>
      <c r="H277" s="986" t="s">
        <v>3152</v>
      </c>
      <c r="I277" s="986"/>
      <c r="J277" s="987"/>
    </row>
  </sheetData>
  <mergeCells count="224">
    <mergeCell ref="C206:C217"/>
    <mergeCell ref="D206:D210"/>
    <mergeCell ref="H207:J207"/>
    <mergeCell ref="H208:J208"/>
    <mergeCell ref="H209:J209"/>
    <mergeCell ref="H210:J210"/>
    <mergeCell ref="D211:D215"/>
    <mergeCell ref="H212:J212"/>
    <mergeCell ref="H213:J213"/>
    <mergeCell ref="H214:J214"/>
    <mergeCell ref="H215:J215"/>
    <mergeCell ref="H216:J216"/>
    <mergeCell ref="H217:J217"/>
    <mergeCell ref="H190:J190"/>
    <mergeCell ref="C191:C204"/>
    <mergeCell ref="H191:J191"/>
    <mergeCell ref="H192:J192"/>
    <mergeCell ref="H193:J193"/>
    <mergeCell ref="D194:D195"/>
    <mergeCell ref="H194:J194"/>
    <mergeCell ref="H195:J195"/>
    <mergeCell ref="H196:J196"/>
    <mergeCell ref="H197:J197"/>
    <mergeCell ref="D198:D205"/>
    <mergeCell ref="H204:J204"/>
    <mergeCell ref="H205:J205"/>
    <mergeCell ref="C173:C174"/>
    <mergeCell ref="D173:D174"/>
    <mergeCell ref="H173:J173"/>
    <mergeCell ref="H174:J174"/>
    <mergeCell ref="C175:C189"/>
    <mergeCell ref="D175:D189"/>
    <mergeCell ref="H175:J175"/>
    <mergeCell ref="H176:J176"/>
    <mergeCell ref="H189:J189"/>
    <mergeCell ref="H2:J2"/>
    <mergeCell ref="H3:J3"/>
    <mergeCell ref="H276:J276"/>
    <mergeCell ref="H218:J218"/>
    <mergeCell ref="H219:J219"/>
    <mergeCell ref="B260:B262"/>
    <mergeCell ref="C260:C262"/>
    <mergeCell ref="D260:D262"/>
    <mergeCell ref="H260:J260"/>
    <mergeCell ref="H261:J261"/>
    <mergeCell ref="H262:J262"/>
    <mergeCell ref="B263:B275"/>
    <mergeCell ref="C263:C275"/>
    <mergeCell ref="D263:D275"/>
    <mergeCell ref="H263:J263"/>
    <mergeCell ref="H264:J264"/>
    <mergeCell ref="H265:J265"/>
    <mergeCell ref="H266:J266"/>
    <mergeCell ref="H267:J267"/>
    <mergeCell ref="H268:J268"/>
    <mergeCell ref="H269:J269"/>
    <mergeCell ref="H270:J270"/>
    <mergeCell ref="H271:J271"/>
    <mergeCell ref="H272:J272"/>
    <mergeCell ref="H273:J273"/>
    <mergeCell ref="H274:J274"/>
    <mergeCell ref="H275:J275"/>
    <mergeCell ref="B254:B255"/>
    <mergeCell ref="C254:C255"/>
    <mergeCell ref="D254:D255"/>
    <mergeCell ref="H254:J254"/>
    <mergeCell ref="H256:J256"/>
    <mergeCell ref="B257:B259"/>
    <mergeCell ref="C257:C259"/>
    <mergeCell ref="D257:D259"/>
    <mergeCell ref="H257:J257"/>
    <mergeCell ref="H258:J258"/>
    <mergeCell ref="B244:B248"/>
    <mergeCell ref="C244:C248"/>
    <mergeCell ref="D244:D248"/>
    <mergeCell ref="H244:J244"/>
    <mergeCell ref="H245:J245"/>
    <mergeCell ref="H246:J246"/>
    <mergeCell ref="H247:J247"/>
    <mergeCell ref="B249:B250"/>
    <mergeCell ref="C249:C250"/>
    <mergeCell ref="D249:D250"/>
    <mergeCell ref="H249:J249"/>
    <mergeCell ref="H235:J235"/>
    <mergeCell ref="B237:B242"/>
    <mergeCell ref="C237:C242"/>
    <mergeCell ref="D237:D242"/>
    <mergeCell ref="H237:J237"/>
    <mergeCell ref="H238:J238"/>
    <mergeCell ref="H239:J239"/>
    <mergeCell ref="H240:J240"/>
    <mergeCell ref="H241:J241"/>
    <mergeCell ref="H152:J152"/>
    <mergeCell ref="B154:B158"/>
    <mergeCell ref="C154:C158"/>
    <mergeCell ref="D154:D158"/>
    <mergeCell ref="H229:J229"/>
    <mergeCell ref="H226:J226"/>
    <mergeCell ref="H222:J222"/>
    <mergeCell ref="H223:J223"/>
    <mergeCell ref="B233:B234"/>
    <mergeCell ref="C233:C234"/>
    <mergeCell ref="D233:D234"/>
    <mergeCell ref="H234:J234"/>
    <mergeCell ref="H159:J159"/>
    <mergeCell ref="H160:J160"/>
    <mergeCell ref="H161:J161"/>
    <mergeCell ref="H162:J162"/>
    <mergeCell ref="H163:J163"/>
    <mergeCell ref="C164:C172"/>
    <mergeCell ref="D164:D172"/>
    <mergeCell ref="H164:J164"/>
    <mergeCell ref="H165:J165"/>
    <mergeCell ref="H166:J166"/>
    <mergeCell ref="H167:J167"/>
    <mergeCell ref="H168:J168"/>
    <mergeCell ref="B139:B141"/>
    <mergeCell ref="C139:C141"/>
    <mergeCell ref="D139:D141"/>
    <mergeCell ref="B144:B151"/>
    <mergeCell ref="C144:C151"/>
    <mergeCell ref="D144:D151"/>
    <mergeCell ref="B152:B153"/>
    <mergeCell ref="C152:C153"/>
    <mergeCell ref="D152:D153"/>
    <mergeCell ref="B30:B36"/>
    <mergeCell ref="C30:C36"/>
    <mergeCell ref="D30:D36"/>
    <mergeCell ref="B128:B134"/>
    <mergeCell ref="C128:C134"/>
    <mergeCell ref="B37:B38"/>
    <mergeCell ref="C37:C38"/>
    <mergeCell ref="D37:D38"/>
    <mergeCell ref="B45:B46"/>
    <mergeCell ref="C45:C46"/>
    <mergeCell ref="D45:D46"/>
    <mergeCell ref="B55:B59"/>
    <mergeCell ref="C55:C59"/>
    <mergeCell ref="D55:D59"/>
    <mergeCell ref="B61:B66"/>
    <mergeCell ref="B92:B93"/>
    <mergeCell ref="C92:C93"/>
    <mergeCell ref="D92:D93"/>
    <mergeCell ref="B94:B96"/>
    <mergeCell ref="C94:C96"/>
    <mergeCell ref="D94:D96"/>
    <mergeCell ref="B83:B86"/>
    <mergeCell ref="C83:C86"/>
    <mergeCell ref="D83:D86"/>
    <mergeCell ref="H4:J4"/>
    <mergeCell ref="H5:J5"/>
    <mergeCell ref="H6:J6"/>
    <mergeCell ref="H7:J7"/>
    <mergeCell ref="H8:J8"/>
    <mergeCell ref="B17:B29"/>
    <mergeCell ref="C17:C29"/>
    <mergeCell ref="D17:D29"/>
    <mergeCell ref="H20:J20"/>
    <mergeCell ref="H21:J21"/>
    <mergeCell ref="H22:J22"/>
    <mergeCell ref="H45:J45"/>
    <mergeCell ref="H46:J46"/>
    <mergeCell ref="B47:B54"/>
    <mergeCell ref="C47:C54"/>
    <mergeCell ref="D47:D54"/>
    <mergeCell ref="H52:J52"/>
    <mergeCell ref="H53:J53"/>
    <mergeCell ref="H54:J54"/>
    <mergeCell ref="H37:J37"/>
    <mergeCell ref="H38:J38"/>
    <mergeCell ref="B39:B43"/>
    <mergeCell ref="C39:C43"/>
    <mergeCell ref="D39:D43"/>
    <mergeCell ref="H39:J39"/>
    <mergeCell ref="H40:J40"/>
    <mergeCell ref="H41:J41"/>
    <mergeCell ref="H43:J43"/>
    <mergeCell ref="H76:J76"/>
    <mergeCell ref="H77:J77"/>
    <mergeCell ref="B78:B82"/>
    <mergeCell ref="C78:C82"/>
    <mergeCell ref="D78:D82"/>
    <mergeCell ref="C61:C66"/>
    <mergeCell ref="D61:D66"/>
    <mergeCell ref="H65:J65"/>
    <mergeCell ref="H66:J66"/>
    <mergeCell ref="B67:B75"/>
    <mergeCell ref="C67:C75"/>
    <mergeCell ref="D67:D75"/>
    <mergeCell ref="H75:J75"/>
    <mergeCell ref="H118:J118"/>
    <mergeCell ref="B87:B91"/>
    <mergeCell ref="C87:C91"/>
    <mergeCell ref="D87:D91"/>
    <mergeCell ref="B102:B106"/>
    <mergeCell ref="C102:C106"/>
    <mergeCell ref="D102:D106"/>
    <mergeCell ref="B107:B111"/>
    <mergeCell ref="C107:C111"/>
    <mergeCell ref="D107:D111"/>
    <mergeCell ref="B251:B253"/>
    <mergeCell ref="C251:C253"/>
    <mergeCell ref="D251:D253"/>
    <mergeCell ref="H251:J251"/>
    <mergeCell ref="D128:D138"/>
    <mergeCell ref="H94:J94"/>
    <mergeCell ref="H95:J95"/>
    <mergeCell ref="H96:J96"/>
    <mergeCell ref="B97:B101"/>
    <mergeCell ref="C97:C101"/>
    <mergeCell ref="D97:D101"/>
    <mergeCell ref="B125:B127"/>
    <mergeCell ref="C125:C127"/>
    <mergeCell ref="D125:D127"/>
    <mergeCell ref="H125:J125"/>
    <mergeCell ref="H126:J126"/>
    <mergeCell ref="H127:J127"/>
    <mergeCell ref="B112:B116"/>
    <mergeCell ref="C112:C116"/>
    <mergeCell ref="D112:D116"/>
    <mergeCell ref="H117:J117"/>
    <mergeCell ref="B118:B124"/>
    <mergeCell ref="C118:C124"/>
    <mergeCell ref="D118:D124"/>
  </mergeCell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'Guidance Notes'!$V$1:$V$2</xm:f>
          </x14:formula1>
          <xm:sqref>F4:F158 F164:F275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G23"/>
  <sheetViews>
    <sheetView topLeftCell="A4" workbookViewId="0">
      <selection activeCell="F14" sqref="F14"/>
    </sheetView>
  </sheetViews>
  <sheetFormatPr defaultColWidth="19.109375" defaultRowHeight="18" x14ac:dyDescent="0.35"/>
  <cols>
    <col min="1" max="1" width="19.109375" style="451"/>
    <col min="2" max="2" width="34" style="451" customWidth="1"/>
    <col min="3" max="4" width="19.109375" style="451"/>
    <col min="5" max="5" width="36" style="451" customWidth="1"/>
    <col min="6" max="16384" width="19.109375" style="451"/>
  </cols>
  <sheetData>
    <row r="1" spans="1:7" ht="18.600000000000001" thickBot="1" x14ac:dyDescent="0.4">
      <c r="A1" s="450" t="s">
        <v>1523</v>
      </c>
    </row>
    <row r="2" spans="1:7" s="418" customFormat="1" ht="36" x14ac:dyDescent="0.35">
      <c r="A2" s="453"/>
      <c r="B2" s="454" t="s">
        <v>1599</v>
      </c>
      <c r="C2" s="455" t="s">
        <v>1600</v>
      </c>
      <c r="D2" s="455" t="s">
        <v>1601</v>
      </c>
      <c r="E2" s="454" t="s">
        <v>1602</v>
      </c>
      <c r="F2" s="456" t="s">
        <v>1302</v>
      </c>
      <c r="G2" s="452"/>
    </row>
    <row r="3" spans="1:7" ht="18.600000000000001" thickBot="1" x14ac:dyDescent="0.4">
      <c r="A3" s="460"/>
      <c r="B3" s="461"/>
      <c r="C3" s="461"/>
      <c r="D3" s="461"/>
      <c r="E3" s="461"/>
      <c r="F3" s="466" t="s">
        <v>450</v>
      </c>
    </row>
    <row r="4" spans="1:7" x14ac:dyDescent="0.35">
      <c r="A4" s="463" t="s">
        <v>1522</v>
      </c>
      <c r="B4" s="1034" t="str">
        <f>'Standing Data'!D4</f>
        <v>NAME OF COUNCIL</v>
      </c>
      <c r="C4" s="1034" t="str">
        <f>'Standing Data'!D34</f>
        <v>2025/26</v>
      </c>
      <c r="D4" s="1038" t="s">
        <v>342</v>
      </c>
      <c r="E4" s="464" t="s">
        <v>155</v>
      </c>
      <c r="F4" s="459"/>
    </row>
    <row r="5" spans="1:7" x14ac:dyDescent="0.35">
      <c r="A5" s="457" t="s">
        <v>1522</v>
      </c>
      <c r="B5" s="1037" t="str">
        <f>'Standing Data'!D4</f>
        <v>NAME OF COUNCIL</v>
      </c>
      <c r="C5" s="1037" t="str">
        <f>'Standing Data'!D34</f>
        <v>2025/26</v>
      </c>
      <c r="D5" s="1034" t="s">
        <v>342</v>
      </c>
      <c r="E5" s="458" t="s">
        <v>156</v>
      </c>
      <c r="F5" s="459"/>
    </row>
    <row r="6" spans="1:7" x14ac:dyDescent="0.35">
      <c r="A6" s="463" t="s">
        <v>1522</v>
      </c>
      <c r="B6" s="1035" t="str">
        <f>'Standing Data'!D4</f>
        <v>NAME OF COUNCIL</v>
      </c>
      <c r="C6" s="1035" t="str">
        <f>'Standing Data'!D34</f>
        <v>2025/26</v>
      </c>
      <c r="D6" s="1035" t="s">
        <v>342</v>
      </c>
      <c r="E6" s="458" t="s">
        <v>1521</v>
      </c>
      <c r="F6" s="459"/>
    </row>
    <row r="7" spans="1:7" x14ac:dyDescent="0.35">
      <c r="A7" s="463" t="s">
        <v>1522</v>
      </c>
      <c r="B7" s="1035" t="str">
        <f>'Standing Data'!D4</f>
        <v>NAME OF COUNCIL</v>
      </c>
      <c r="C7" s="1035" t="str">
        <f>'Standing Data'!D34</f>
        <v>2025/26</v>
      </c>
      <c r="D7" s="1035" t="s">
        <v>342</v>
      </c>
      <c r="E7" s="458" t="s">
        <v>158</v>
      </c>
      <c r="F7" s="459"/>
    </row>
    <row r="8" spans="1:7" x14ac:dyDescent="0.35">
      <c r="A8" s="463" t="s">
        <v>1522</v>
      </c>
      <c r="B8" s="1035" t="str">
        <f>'Standing Data'!D4</f>
        <v>NAME OF COUNCIL</v>
      </c>
      <c r="C8" s="1035" t="str">
        <f>'Standing Data'!D34</f>
        <v>2025/26</v>
      </c>
      <c r="D8" s="1035" t="s">
        <v>342</v>
      </c>
      <c r="E8" s="458" t="s">
        <v>159</v>
      </c>
      <c r="F8" s="459"/>
    </row>
    <row r="9" spans="1:7" x14ac:dyDescent="0.35">
      <c r="A9" s="463" t="s">
        <v>1522</v>
      </c>
      <c r="B9" s="1035" t="str">
        <f>'Standing Data'!D4</f>
        <v>NAME OF COUNCIL</v>
      </c>
      <c r="C9" s="1035" t="str">
        <f>'Standing Data'!D34</f>
        <v>2025/26</v>
      </c>
      <c r="D9" s="1035" t="s">
        <v>904</v>
      </c>
      <c r="E9" s="464" t="s">
        <v>155</v>
      </c>
      <c r="F9" s="465"/>
    </row>
    <row r="10" spans="1:7" x14ac:dyDescent="0.35">
      <c r="A10" s="457" t="s">
        <v>1522</v>
      </c>
      <c r="B10" s="458" t="str">
        <f>'Standing Data'!D4</f>
        <v>NAME OF COUNCIL</v>
      </c>
      <c r="C10" s="458" t="str">
        <f>'Standing Data'!D34</f>
        <v>2025/26</v>
      </c>
      <c r="D10" s="458" t="s">
        <v>904</v>
      </c>
      <c r="E10" s="458" t="s">
        <v>156</v>
      </c>
      <c r="F10" s="459"/>
    </row>
    <row r="11" spans="1:7" x14ac:dyDescent="0.35">
      <c r="A11" s="457" t="s">
        <v>1522</v>
      </c>
      <c r="B11" s="458" t="str">
        <f>'Standing Data'!D4</f>
        <v>NAME OF COUNCIL</v>
      </c>
      <c r="C11" s="458" t="str">
        <f>'Standing Data'!D34</f>
        <v>2025/26</v>
      </c>
      <c r="D11" s="458" t="s">
        <v>904</v>
      </c>
      <c r="E11" s="458" t="s">
        <v>1521</v>
      </c>
      <c r="F11" s="459"/>
    </row>
    <row r="12" spans="1:7" x14ac:dyDescent="0.35">
      <c r="A12" s="457" t="s">
        <v>1522</v>
      </c>
      <c r="B12" s="458" t="str">
        <f>'Standing Data'!D4</f>
        <v>NAME OF COUNCIL</v>
      </c>
      <c r="C12" s="458" t="str">
        <f>'Standing Data'!D34</f>
        <v>2025/26</v>
      </c>
      <c r="D12" s="458" t="s">
        <v>904</v>
      </c>
      <c r="E12" s="458" t="s">
        <v>158</v>
      </c>
      <c r="F12" s="459"/>
    </row>
    <row r="13" spans="1:7" x14ac:dyDescent="0.35">
      <c r="A13" s="457" t="s">
        <v>1522</v>
      </c>
      <c r="B13" s="458" t="str">
        <f>'Standing Data'!D4</f>
        <v>NAME OF COUNCIL</v>
      </c>
      <c r="C13" s="458" t="str">
        <f>'Standing Data'!D34</f>
        <v>2025/26</v>
      </c>
      <c r="D13" s="458" t="s">
        <v>904</v>
      </c>
      <c r="E13" s="458" t="s">
        <v>159</v>
      </c>
      <c r="F13" s="459"/>
    </row>
    <row r="14" spans="1:7" x14ac:dyDescent="0.35">
      <c r="A14" s="457" t="s">
        <v>1522</v>
      </c>
      <c r="B14" s="1035" t="str">
        <f>'Standing Data'!D4</f>
        <v>NAME OF COUNCIL</v>
      </c>
      <c r="C14" s="1035" t="str">
        <f>'Standing Data'!D52</f>
        <v>2024/25</v>
      </c>
      <c r="D14" s="1035" t="s">
        <v>342</v>
      </c>
      <c r="E14" s="464" t="s">
        <v>155</v>
      </c>
      <c r="F14" s="1036"/>
    </row>
    <row r="15" spans="1:7" x14ac:dyDescent="0.35">
      <c r="A15" s="457" t="s">
        <v>1522</v>
      </c>
      <c r="B15" s="1035" t="str">
        <f>'Standing Data'!D4</f>
        <v>NAME OF COUNCIL</v>
      </c>
      <c r="C15" s="1035" t="str">
        <f>'Standing Data'!D52</f>
        <v>2024/25</v>
      </c>
      <c r="D15" s="1035" t="s">
        <v>342</v>
      </c>
      <c r="E15" s="458" t="s">
        <v>156</v>
      </c>
      <c r="F15" s="1036"/>
    </row>
    <row r="16" spans="1:7" x14ac:dyDescent="0.35">
      <c r="A16" s="457" t="s">
        <v>1522</v>
      </c>
      <c r="B16" s="1035" t="str">
        <f>'Standing Data'!D4</f>
        <v>NAME OF COUNCIL</v>
      </c>
      <c r="C16" s="1035" t="str">
        <f>'Standing Data'!D52</f>
        <v>2024/25</v>
      </c>
      <c r="D16" s="1035" t="s">
        <v>342</v>
      </c>
      <c r="E16" s="458" t="s">
        <v>1521</v>
      </c>
      <c r="F16" s="1036"/>
    </row>
    <row r="17" spans="1:6" x14ac:dyDescent="0.35">
      <c r="A17" s="457" t="s">
        <v>1522</v>
      </c>
      <c r="B17" s="1035" t="str">
        <f>'Standing Data'!D4</f>
        <v>NAME OF COUNCIL</v>
      </c>
      <c r="C17" s="1035" t="str">
        <f>'Standing Data'!D52</f>
        <v>2024/25</v>
      </c>
      <c r="D17" s="1035" t="s">
        <v>342</v>
      </c>
      <c r="E17" s="458" t="s">
        <v>158</v>
      </c>
      <c r="F17" s="1036"/>
    </row>
    <row r="18" spans="1:6" x14ac:dyDescent="0.35">
      <c r="A18" s="457" t="s">
        <v>1522</v>
      </c>
      <c r="B18" s="1035" t="str">
        <f>'Standing Data'!D4</f>
        <v>NAME OF COUNCIL</v>
      </c>
      <c r="C18" s="1035" t="str">
        <f>'Standing Data'!D52</f>
        <v>2024/25</v>
      </c>
      <c r="D18" s="1035" t="s">
        <v>342</v>
      </c>
      <c r="E18" s="458" t="s">
        <v>159</v>
      </c>
      <c r="F18" s="1036"/>
    </row>
    <row r="19" spans="1:6" x14ac:dyDescent="0.35">
      <c r="A19" s="457" t="s">
        <v>1522</v>
      </c>
      <c r="B19" s="458" t="str">
        <f>'Standing Data'!D4</f>
        <v>NAME OF COUNCIL</v>
      </c>
      <c r="C19" s="458" t="str">
        <f>'Standing Data'!D52</f>
        <v>2024/25</v>
      </c>
      <c r="D19" s="458" t="s">
        <v>904</v>
      </c>
      <c r="E19" s="458" t="s">
        <v>155</v>
      </c>
      <c r="F19" s="459"/>
    </row>
    <row r="20" spans="1:6" x14ac:dyDescent="0.35">
      <c r="A20" s="457" t="s">
        <v>1522</v>
      </c>
      <c r="B20" s="458" t="str">
        <f>'Standing Data'!D4</f>
        <v>NAME OF COUNCIL</v>
      </c>
      <c r="C20" s="458" t="str">
        <f>'Standing Data'!D52</f>
        <v>2024/25</v>
      </c>
      <c r="D20" s="458" t="s">
        <v>904</v>
      </c>
      <c r="E20" s="458" t="s">
        <v>156</v>
      </c>
      <c r="F20" s="459"/>
    </row>
    <row r="21" spans="1:6" x14ac:dyDescent="0.35">
      <c r="A21" s="457" t="s">
        <v>1522</v>
      </c>
      <c r="B21" s="458" t="str">
        <f>'Standing Data'!D4</f>
        <v>NAME OF COUNCIL</v>
      </c>
      <c r="C21" s="458" t="str">
        <f>'Standing Data'!D52</f>
        <v>2024/25</v>
      </c>
      <c r="D21" s="458" t="s">
        <v>904</v>
      </c>
      <c r="E21" s="458" t="s">
        <v>1521</v>
      </c>
      <c r="F21" s="459"/>
    </row>
    <row r="22" spans="1:6" x14ac:dyDescent="0.35">
      <c r="A22" s="457" t="s">
        <v>1522</v>
      </c>
      <c r="B22" s="458" t="str">
        <f>'Standing Data'!D4</f>
        <v>NAME OF COUNCIL</v>
      </c>
      <c r="C22" s="458" t="str">
        <f>'Standing Data'!D52</f>
        <v>2024/25</v>
      </c>
      <c r="D22" s="458" t="s">
        <v>904</v>
      </c>
      <c r="E22" s="458" t="s">
        <v>158</v>
      </c>
      <c r="F22" s="459"/>
    </row>
    <row r="23" spans="1:6" ht="18.600000000000001" thickBot="1" x14ac:dyDescent="0.4">
      <c r="A23" s="460" t="s">
        <v>1522</v>
      </c>
      <c r="B23" s="461" t="str">
        <f>'Standing Data'!D4</f>
        <v>NAME OF COUNCIL</v>
      </c>
      <c r="C23" s="461" t="str">
        <f>'Standing Data'!D52</f>
        <v>2024/25</v>
      </c>
      <c r="D23" s="461" t="s">
        <v>904</v>
      </c>
      <c r="E23" s="461" t="s">
        <v>159</v>
      </c>
      <c r="F23" s="462"/>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T421"/>
  <sheetViews>
    <sheetView zoomScale="71" zoomScaleNormal="85" workbookViewId="0">
      <pane xSplit="4" ySplit="6" topLeftCell="E7" activePane="bottomRight" state="frozen"/>
      <selection activeCell="B2" sqref="B2:G2"/>
      <selection pane="topRight" activeCell="B2" sqref="B2:G2"/>
      <selection pane="bottomLeft" activeCell="B2" sqref="B2:G2"/>
      <selection pane="bottomRight" activeCell="P7" sqref="P7"/>
    </sheetView>
  </sheetViews>
  <sheetFormatPr defaultRowHeight="13.8" x14ac:dyDescent="0.3"/>
  <cols>
    <col min="1" max="1" width="12.44140625" customWidth="1"/>
    <col min="2" max="2" width="7.88671875" customWidth="1"/>
    <col min="3" max="3" width="21.109375" style="39" customWidth="1"/>
    <col min="4" max="4" width="4.6640625" customWidth="1"/>
    <col min="5" max="5" width="16.88671875" customWidth="1"/>
    <col min="6" max="6" width="19.109375" customWidth="1"/>
    <col min="7" max="8" width="18" customWidth="1"/>
    <col min="9" max="9" width="14.33203125" style="37" customWidth="1"/>
    <col min="10" max="10" width="14.88671875" style="37" customWidth="1"/>
    <col min="11" max="11" width="15.5546875" style="37" customWidth="1"/>
    <col min="12" max="12" width="13.5546875" bestFit="1" customWidth="1"/>
    <col min="13" max="13" width="9.33203125" bestFit="1" customWidth="1"/>
    <col min="14" max="14" width="12.33203125" customWidth="1"/>
    <col min="15" max="15" width="14" customWidth="1"/>
    <col min="16" max="16" width="13.6640625" customWidth="1"/>
    <col min="17" max="17" width="14" style="37" customWidth="1"/>
    <col min="18" max="18" width="12.88671875" style="37" customWidth="1"/>
    <col min="19" max="19" width="17.44140625" style="37" customWidth="1"/>
  </cols>
  <sheetData>
    <row r="1" spans="1:19" x14ac:dyDescent="0.3">
      <c r="C1" s="38" t="str">
        <f>+'Standing Data'!D4</f>
        <v>NAME OF COUNCIL</v>
      </c>
    </row>
    <row r="2" spans="1:19" x14ac:dyDescent="0.3">
      <c r="C2" s="38"/>
    </row>
    <row r="3" spans="1:19" x14ac:dyDescent="0.3">
      <c r="C3" s="6" t="str">
        <f>+'Standing Data'!D12</f>
        <v>Comprehensive Income and Expenditure Statement for the year ended 31 March 2026</v>
      </c>
    </row>
    <row r="4" spans="1:19" x14ac:dyDescent="0.3">
      <c r="N4" s="1289" t="s">
        <v>87</v>
      </c>
      <c r="O4" s="1291"/>
      <c r="P4" s="1291"/>
      <c r="Q4" s="1494" t="s">
        <v>87</v>
      </c>
      <c r="R4" s="1495"/>
      <c r="S4" s="1495"/>
    </row>
    <row r="5" spans="1:19" x14ac:dyDescent="0.3">
      <c r="A5" s="3"/>
      <c r="B5" s="3"/>
      <c r="C5" s="18"/>
      <c r="D5" s="3"/>
      <c r="E5" s="1287" t="str">
        <f>+'Standing Data'!D34</f>
        <v>2025/26</v>
      </c>
      <c r="F5" s="1287"/>
      <c r="G5" s="1287"/>
      <c r="H5" s="20"/>
      <c r="I5" s="1497" t="str">
        <f>'Standing Data'!D52</f>
        <v>2024/25</v>
      </c>
      <c r="J5" s="1497"/>
      <c r="K5" s="1497"/>
      <c r="L5" s="3"/>
      <c r="M5" s="3"/>
      <c r="N5" s="1287" t="str">
        <f>E5</f>
        <v>2025/26</v>
      </c>
      <c r="O5" s="1287"/>
      <c r="P5" s="1287"/>
      <c r="Q5" s="1497" t="str">
        <f>I5</f>
        <v>2024/25</v>
      </c>
      <c r="R5" s="1497"/>
      <c r="S5" s="1497"/>
    </row>
    <row r="6" spans="1:19" ht="96.6" x14ac:dyDescent="0.3">
      <c r="A6" s="3" t="s">
        <v>448</v>
      </c>
      <c r="B6" s="18" t="s">
        <v>145</v>
      </c>
      <c r="C6" s="40" t="s">
        <v>88</v>
      </c>
      <c r="D6" s="5" t="s">
        <v>444</v>
      </c>
      <c r="E6" s="225" t="s">
        <v>340</v>
      </c>
      <c r="F6" s="225" t="s">
        <v>341</v>
      </c>
      <c r="G6" s="225" t="s">
        <v>342</v>
      </c>
      <c r="H6" s="228"/>
      <c r="I6" s="226" t="s">
        <v>340</v>
      </c>
      <c r="J6" s="226" t="s">
        <v>341</v>
      </c>
      <c r="K6" s="226" t="s">
        <v>342</v>
      </c>
      <c r="L6" s="228"/>
      <c r="M6" s="3"/>
      <c r="N6" s="225" t="s">
        <v>340</v>
      </c>
      <c r="O6" s="225" t="s">
        <v>341</v>
      </c>
      <c r="P6" s="225" t="s">
        <v>342</v>
      </c>
      <c r="Q6" s="226" t="s">
        <v>340</v>
      </c>
      <c r="R6" s="226" t="s">
        <v>341</v>
      </c>
      <c r="S6" s="226" t="s">
        <v>342</v>
      </c>
    </row>
    <row r="7" spans="1:19" x14ac:dyDescent="0.3">
      <c r="A7" s="3" t="str">
        <f>IF(AND(E7=0,F7=0,G7=0,I7=0,J7=0,K7=0),"Do Not Print","Print")</f>
        <v>Do Not Print</v>
      </c>
      <c r="B7" s="3" t="s">
        <v>144</v>
      </c>
      <c r="C7" s="18" t="str">
        <f>'Input -CIES'!E7</f>
        <v>CIES Line 1</v>
      </c>
      <c r="D7" s="17"/>
      <c r="E7" s="185">
        <f t="shared" ref="E7:E41" si="0">VLOOKUP($C7,SE,8,0)</f>
        <v>0</v>
      </c>
      <c r="F7" s="185">
        <f t="shared" ref="F7:F41" si="1">-VLOOKUP($C7,SI,8,0)</f>
        <v>0</v>
      </c>
      <c r="G7" s="185">
        <f t="shared" ref="G7:G12" si="2">E7+F7</f>
        <v>0</v>
      </c>
      <c r="H7" s="185"/>
      <c r="I7" s="186">
        <f t="shared" ref="I7:I41" si="3">VLOOKUP($C7,SE,14,0)</f>
        <v>0</v>
      </c>
      <c r="J7" s="186">
        <f t="shared" ref="J7:J41" si="4">-VLOOKUP($C7,SI,14,0)</f>
        <v>0</v>
      </c>
      <c r="K7" s="186">
        <f>I7+J7</f>
        <v>0</v>
      </c>
      <c r="L7" s="196"/>
      <c r="M7" s="3"/>
      <c r="N7" s="185">
        <f t="shared" ref="N7:P11" si="5">ROUND(E7,0)</f>
        <v>0</v>
      </c>
      <c r="O7" s="185">
        <f t="shared" si="5"/>
        <v>0</v>
      </c>
      <c r="P7" s="185">
        <f t="shared" si="5"/>
        <v>0</v>
      </c>
      <c r="Q7" s="186">
        <f>ROUND(I7,0)</f>
        <v>0</v>
      </c>
      <c r="R7" s="186">
        <f t="shared" ref="R7" si="6">ROUND(J7,0)</f>
        <v>0</v>
      </c>
      <c r="S7" s="186">
        <f>ROUND(K7,0)</f>
        <v>0</v>
      </c>
    </row>
    <row r="8" spans="1:19" x14ac:dyDescent="0.3">
      <c r="A8" s="3" t="str">
        <f>IF(AND(E8=0,F8=0,G8=0,I8=0,J8=0,K8=0),"Do Not Print","Print")</f>
        <v>Do Not Print</v>
      </c>
      <c r="B8" s="3" t="s">
        <v>144</v>
      </c>
      <c r="C8" s="18" t="str">
        <f>'Input -CIES'!E8</f>
        <v>CIES Line 2</v>
      </c>
      <c r="D8" s="3"/>
      <c r="E8" s="185">
        <f t="shared" si="0"/>
        <v>0</v>
      </c>
      <c r="F8" s="185">
        <f t="shared" si="1"/>
        <v>0</v>
      </c>
      <c r="G8" s="185">
        <f t="shared" si="2"/>
        <v>0</v>
      </c>
      <c r="H8" s="185"/>
      <c r="I8" s="186">
        <f t="shared" si="3"/>
        <v>0</v>
      </c>
      <c r="J8" s="186">
        <f t="shared" si="4"/>
        <v>0</v>
      </c>
      <c r="K8" s="186">
        <f>I8+J8</f>
        <v>0</v>
      </c>
      <c r="L8" s="185"/>
      <c r="M8" s="3"/>
      <c r="N8" s="185">
        <f t="shared" si="5"/>
        <v>0</v>
      </c>
      <c r="O8" s="185">
        <f t="shared" si="5"/>
        <v>0</v>
      </c>
      <c r="P8" s="185">
        <f t="shared" si="5"/>
        <v>0</v>
      </c>
      <c r="Q8" s="186">
        <f>ROUND(I8,0)</f>
        <v>0</v>
      </c>
      <c r="R8" s="186">
        <f t="shared" ref="R8:R26" si="7">ROUND(J8,0)</f>
        <v>0</v>
      </c>
      <c r="S8" s="186">
        <f t="shared" ref="S8:S26" si="8">ROUND(K8,0)</f>
        <v>0</v>
      </c>
    </row>
    <row r="9" spans="1:19" x14ac:dyDescent="0.3">
      <c r="A9" s="3" t="str">
        <f>IF(AND(E9=0,F9=0,G9=0,I9=0,J9=0,K9=0),"Do Not Print","Print")</f>
        <v>Do Not Print</v>
      </c>
      <c r="B9" s="3" t="s">
        <v>144</v>
      </c>
      <c r="C9" s="18" t="str">
        <f>'Input -CIES'!E9</f>
        <v>CIES Line 3</v>
      </c>
      <c r="D9" s="3"/>
      <c r="E9" s="1083">
        <f>VLOOKUP($C9,SE,8,0)</f>
        <v>0</v>
      </c>
      <c r="F9" s="1083">
        <f t="shared" si="1"/>
        <v>0</v>
      </c>
      <c r="G9" s="1083">
        <f t="shared" si="2"/>
        <v>0</v>
      </c>
      <c r="H9" s="185"/>
      <c r="I9" s="186">
        <f t="shared" si="3"/>
        <v>0</v>
      </c>
      <c r="J9" s="186">
        <f t="shared" si="4"/>
        <v>0</v>
      </c>
      <c r="K9" s="186">
        <f>I9+J9</f>
        <v>0</v>
      </c>
      <c r="L9" s="185"/>
      <c r="M9" s="3"/>
      <c r="N9" s="185">
        <f t="shared" si="5"/>
        <v>0</v>
      </c>
      <c r="O9" s="185">
        <f t="shared" si="5"/>
        <v>0</v>
      </c>
      <c r="P9" s="185">
        <f t="shared" si="5"/>
        <v>0</v>
      </c>
      <c r="Q9" s="186">
        <f t="shared" ref="Q9:Q26" si="9">ROUND(I9,0)</f>
        <v>0</v>
      </c>
      <c r="R9" s="186">
        <f t="shared" si="7"/>
        <v>0</v>
      </c>
      <c r="S9" s="186">
        <f t="shared" si="8"/>
        <v>0</v>
      </c>
    </row>
    <row r="10" spans="1:19" x14ac:dyDescent="0.3">
      <c r="A10" s="3" t="str">
        <f>IF(AND(E10=0,F10=0,G10=0,I10=0,J10=0,K10=0),"Do Not Print","Print")</f>
        <v>Do Not Print</v>
      </c>
      <c r="B10" s="3" t="s">
        <v>144</v>
      </c>
      <c r="C10" s="18" t="str">
        <f>'Input -CIES'!E10</f>
        <v>CIES Line 4</v>
      </c>
      <c r="D10" s="3"/>
      <c r="E10" s="185">
        <f t="shared" si="0"/>
        <v>0</v>
      </c>
      <c r="F10" s="185">
        <f t="shared" si="1"/>
        <v>0</v>
      </c>
      <c r="G10" s="185">
        <f t="shared" si="2"/>
        <v>0</v>
      </c>
      <c r="H10" s="185"/>
      <c r="I10" s="186">
        <f t="shared" si="3"/>
        <v>0</v>
      </c>
      <c r="J10" s="186">
        <f t="shared" si="4"/>
        <v>0</v>
      </c>
      <c r="K10" s="186">
        <f>I10+J10</f>
        <v>0</v>
      </c>
      <c r="L10" s="185"/>
      <c r="M10" s="3"/>
      <c r="N10" s="185">
        <f t="shared" si="5"/>
        <v>0</v>
      </c>
      <c r="O10" s="185">
        <f t="shared" si="5"/>
        <v>0</v>
      </c>
      <c r="P10" s="185">
        <f t="shared" si="5"/>
        <v>0</v>
      </c>
      <c r="Q10" s="186">
        <f t="shared" si="9"/>
        <v>0</v>
      </c>
      <c r="R10" s="186">
        <f t="shared" si="7"/>
        <v>0</v>
      </c>
      <c r="S10" s="186">
        <f t="shared" si="8"/>
        <v>0</v>
      </c>
    </row>
    <row r="11" spans="1:19" x14ac:dyDescent="0.3">
      <c r="A11" s="3" t="str">
        <f>IF(AND(E11=0,F11=0,G11=0,I11=0,J11=0,K11=0),"Do Not Print","Print")</f>
        <v>Do Not Print</v>
      </c>
      <c r="B11" s="3" t="s">
        <v>144</v>
      </c>
      <c r="C11" s="18" t="str">
        <f>'Input -CIES'!E11</f>
        <v>CIES Line 5</v>
      </c>
      <c r="D11" s="3"/>
      <c r="E11" s="185">
        <f t="shared" si="0"/>
        <v>0</v>
      </c>
      <c r="F11" s="185">
        <f t="shared" si="1"/>
        <v>0</v>
      </c>
      <c r="G11" s="185">
        <f t="shared" si="2"/>
        <v>0</v>
      </c>
      <c r="H11" s="185"/>
      <c r="I11" s="186">
        <f t="shared" si="3"/>
        <v>0</v>
      </c>
      <c r="J11" s="186">
        <f t="shared" si="4"/>
        <v>0</v>
      </c>
      <c r="K11" s="186">
        <f>I11+J11</f>
        <v>0</v>
      </c>
      <c r="L11" s="185"/>
      <c r="M11" s="3"/>
      <c r="N11" s="185">
        <f t="shared" si="5"/>
        <v>0</v>
      </c>
      <c r="O11" s="185">
        <f t="shared" si="5"/>
        <v>0</v>
      </c>
      <c r="P11" s="185">
        <f t="shared" si="5"/>
        <v>0</v>
      </c>
      <c r="Q11" s="186">
        <f t="shared" si="9"/>
        <v>0</v>
      </c>
      <c r="R11" s="186">
        <f t="shared" si="7"/>
        <v>0</v>
      </c>
      <c r="S11" s="186">
        <f t="shared" si="8"/>
        <v>0</v>
      </c>
    </row>
    <row r="12" spans="1:19" x14ac:dyDescent="0.3">
      <c r="A12" s="3" t="str">
        <f t="shared" ref="A12:A14" si="10">IF(AND(E12=0,F12=0,G12=0,I12=0,J12=0,K12=0),"Do Not Print","Print")</f>
        <v>Do Not Print</v>
      </c>
      <c r="B12" s="3" t="s">
        <v>144</v>
      </c>
      <c r="C12" s="18" t="str">
        <f>'Input -CIES'!E12</f>
        <v>CIES Line 6</v>
      </c>
      <c r="D12" s="3"/>
      <c r="E12" s="185">
        <f t="shared" si="0"/>
        <v>0</v>
      </c>
      <c r="F12" s="185">
        <f t="shared" si="1"/>
        <v>0</v>
      </c>
      <c r="G12" s="185">
        <f t="shared" si="2"/>
        <v>0</v>
      </c>
      <c r="H12" s="185"/>
      <c r="I12" s="186">
        <f t="shared" si="3"/>
        <v>0</v>
      </c>
      <c r="J12" s="186">
        <f t="shared" si="4"/>
        <v>0</v>
      </c>
      <c r="K12" s="186">
        <f t="shared" ref="K12:K14" si="11">I12+J12</f>
        <v>0</v>
      </c>
      <c r="L12" s="185"/>
      <c r="M12" s="3"/>
      <c r="N12" s="185">
        <f t="shared" ref="N12:N14" si="12">ROUND(E12,0)</f>
        <v>0</v>
      </c>
      <c r="O12" s="185">
        <f t="shared" ref="O12:O14" si="13">ROUND(F12,0)</f>
        <v>0</v>
      </c>
      <c r="P12" s="185">
        <f t="shared" ref="P12:P14" si="14">ROUND(G12,0)</f>
        <v>0</v>
      </c>
      <c r="Q12" s="186">
        <f t="shared" si="9"/>
        <v>0</v>
      </c>
      <c r="R12" s="186">
        <f t="shared" si="7"/>
        <v>0</v>
      </c>
      <c r="S12" s="186">
        <f t="shared" si="8"/>
        <v>0</v>
      </c>
    </row>
    <row r="13" spans="1:19" s="14" customFormat="1" ht="14.4" x14ac:dyDescent="0.3">
      <c r="A13" s="3" t="str">
        <f t="shared" si="10"/>
        <v>Do Not Print</v>
      </c>
      <c r="B13" s="3" t="s">
        <v>144</v>
      </c>
      <c r="C13" s="18" t="str">
        <f>'Input -CIES'!E13</f>
        <v>CIES Line 7</v>
      </c>
      <c r="E13" s="185">
        <f t="shared" si="0"/>
        <v>0</v>
      </c>
      <c r="F13" s="185">
        <f t="shared" si="1"/>
        <v>0</v>
      </c>
      <c r="G13" s="185">
        <f t="shared" ref="G13:G14" si="15">E13+F13</f>
        <v>0</v>
      </c>
      <c r="H13" s="197"/>
      <c r="I13" s="186">
        <f t="shared" si="3"/>
        <v>0</v>
      </c>
      <c r="J13" s="186">
        <f t="shared" si="4"/>
        <v>0</v>
      </c>
      <c r="K13" s="186">
        <f t="shared" si="11"/>
        <v>0</v>
      </c>
      <c r="L13" s="197"/>
      <c r="N13" s="185">
        <f t="shared" si="12"/>
        <v>0</v>
      </c>
      <c r="O13" s="185">
        <f t="shared" si="13"/>
        <v>0</v>
      </c>
      <c r="P13" s="185">
        <f t="shared" si="14"/>
        <v>0</v>
      </c>
      <c r="Q13" s="186">
        <f>ROUND(I13,0)</f>
        <v>0</v>
      </c>
      <c r="R13" s="186">
        <f t="shared" si="7"/>
        <v>0</v>
      </c>
      <c r="S13" s="186">
        <f t="shared" si="8"/>
        <v>0</v>
      </c>
    </row>
    <row r="14" spans="1:19" x14ac:dyDescent="0.3">
      <c r="A14" s="3" t="str">
        <f t="shared" si="10"/>
        <v>Do Not Print</v>
      </c>
      <c r="B14" s="3" t="s">
        <v>144</v>
      </c>
      <c r="C14" s="18" t="str">
        <f>'Input -CIES'!E14</f>
        <v>CIES Line 8</v>
      </c>
      <c r="D14" s="17"/>
      <c r="E14" s="185">
        <f t="shared" si="0"/>
        <v>0</v>
      </c>
      <c r="F14" s="185">
        <f t="shared" si="1"/>
        <v>0</v>
      </c>
      <c r="G14" s="185">
        <f t="shared" si="15"/>
        <v>0</v>
      </c>
      <c r="H14" s="196"/>
      <c r="I14" s="186">
        <f t="shared" si="3"/>
        <v>0</v>
      </c>
      <c r="J14" s="186">
        <f t="shared" si="4"/>
        <v>0</v>
      </c>
      <c r="K14" s="186">
        <f t="shared" si="11"/>
        <v>0</v>
      </c>
      <c r="L14" s="196"/>
      <c r="M14" s="3"/>
      <c r="N14" s="185">
        <f t="shared" si="12"/>
        <v>0</v>
      </c>
      <c r="O14" s="185">
        <f t="shared" si="13"/>
        <v>0</v>
      </c>
      <c r="P14" s="185">
        <f t="shared" si="14"/>
        <v>0</v>
      </c>
      <c r="Q14" s="186">
        <f t="shared" si="9"/>
        <v>0</v>
      </c>
      <c r="R14" s="186">
        <f t="shared" si="7"/>
        <v>0</v>
      </c>
      <c r="S14" s="186">
        <f t="shared" si="8"/>
        <v>0</v>
      </c>
    </row>
    <row r="15" spans="1:19" x14ac:dyDescent="0.3">
      <c r="A15" s="3" t="str">
        <f>IF(AND(E15=0,F15=0,G15=0,I15=0,J15=0,K15=0),"Do Not Print","Print")</f>
        <v>Do Not Print</v>
      </c>
      <c r="B15" s="3" t="s">
        <v>144</v>
      </c>
      <c r="C15" s="18" t="str">
        <f>'Input -CIES'!E15</f>
        <v>CIES Line 9</v>
      </c>
      <c r="D15" s="3"/>
      <c r="E15" s="185">
        <f t="shared" si="0"/>
        <v>0</v>
      </c>
      <c r="F15" s="185">
        <f t="shared" si="1"/>
        <v>0</v>
      </c>
      <c r="G15" s="185">
        <f>E15+F15</f>
        <v>0</v>
      </c>
      <c r="H15" s="185"/>
      <c r="I15" s="186">
        <f t="shared" si="3"/>
        <v>0</v>
      </c>
      <c r="J15" s="186">
        <f t="shared" si="4"/>
        <v>0</v>
      </c>
      <c r="K15" s="186">
        <f>I15+J15</f>
        <v>0</v>
      </c>
      <c r="L15" s="185"/>
      <c r="M15" s="3"/>
      <c r="N15" s="185">
        <f t="shared" ref="N15:P21" si="16">ROUND(E15,0)</f>
        <v>0</v>
      </c>
      <c r="O15" s="185">
        <f t="shared" si="16"/>
        <v>0</v>
      </c>
      <c r="P15" s="185">
        <f t="shared" si="16"/>
        <v>0</v>
      </c>
      <c r="Q15" s="186">
        <f t="shared" si="9"/>
        <v>0</v>
      </c>
      <c r="R15" s="186">
        <f t="shared" si="7"/>
        <v>0</v>
      </c>
      <c r="S15" s="186">
        <f t="shared" si="8"/>
        <v>0</v>
      </c>
    </row>
    <row r="16" spans="1:19" x14ac:dyDescent="0.3">
      <c r="A16" s="3" t="str">
        <f>IF(AND(E16=0,F16=0,G16=0,I16=0,J16=0,K16=0),"Do Not Print","Print")</f>
        <v>Do Not Print</v>
      </c>
      <c r="B16" s="3" t="s">
        <v>144</v>
      </c>
      <c r="C16" s="18" t="str">
        <f>'Input -CIES'!E16</f>
        <v>CIES Line 10</v>
      </c>
      <c r="D16" s="3"/>
      <c r="E16" s="185">
        <f t="shared" si="0"/>
        <v>0</v>
      </c>
      <c r="F16" s="185">
        <f t="shared" si="1"/>
        <v>0</v>
      </c>
      <c r="G16" s="185">
        <f t="shared" ref="G16:G22" si="17">E16+F16</f>
        <v>0</v>
      </c>
      <c r="H16" s="185"/>
      <c r="I16" s="186">
        <f t="shared" si="3"/>
        <v>0</v>
      </c>
      <c r="J16" s="186">
        <f t="shared" si="4"/>
        <v>0</v>
      </c>
      <c r="K16" s="186">
        <f t="shared" ref="K16:K22" si="18">I16+J16</f>
        <v>0</v>
      </c>
      <c r="L16" s="185"/>
      <c r="M16" s="3"/>
      <c r="N16" s="185">
        <f t="shared" si="16"/>
        <v>0</v>
      </c>
      <c r="O16" s="185">
        <f t="shared" si="16"/>
        <v>0</v>
      </c>
      <c r="P16" s="185">
        <f t="shared" si="16"/>
        <v>0</v>
      </c>
      <c r="Q16" s="186">
        <f t="shared" si="9"/>
        <v>0</v>
      </c>
      <c r="R16" s="186">
        <f t="shared" si="7"/>
        <v>0</v>
      </c>
      <c r="S16" s="186">
        <f t="shared" si="8"/>
        <v>0</v>
      </c>
    </row>
    <row r="17" spans="1:19" x14ac:dyDescent="0.3">
      <c r="A17" s="3" t="str">
        <f>IF(AND(E17=0,F17=0,G17=0,I17=0,J17=0,K17=0),"Do Not Print","Print")</f>
        <v>Do Not Print</v>
      </c>
      <c r="B17" s="3" t="s">
        <v>144</v>
      </c>
      <c r="C17" s="18" t="str">
        <f>'Input -CIES'!E17</f>
        <v>CIES Line 11</v>
      </c>
      <c r="D17" s="3"/>
      <c r="E17" s="185">
        <f t="shared" si="0"/>
        <v>0</v>
      </c>
      <c r="F17" s="185">
        <f t="shared" si="1"/>
        <v>0</v>
      </c>
      <c r="G17" s="185">
        <f t="shared" si="17"/>
        <v>0</v>
      </c>
      <c r="H17" s="185"/>
      <c r="I17" s="186">
        <f t="shared" si="3"/>
        <v>0</v>
      </c>
      <c r="J17" s="186">
        <f t="shared" si="4"/>
        <v>0</v>
      </c>
      <c r="K17" s="186">
        <f t="shared" si="18"/>
        <v>0</v>
      </c>
      <c r="L17" s="185"/>
      <c r="M17" s="3"/>
      <c r="N17" s="185">
        <f t="shared" si="16"/>
        <v>0</v>
      </c>
      <c r="O17" s="185">
        <f t="shared" si="16"/>
        <v>0</v>
      </c>
      <c r="P17" s="185">
        <f t="shared" si="16"/>
        <v>0</v>
      </c>
      <c r="Q17" s="186">
        <f t="shared" si="9"/>
        <v>0</v>
      </c>
      <c r="R17" s="186">
        <f t="shared" si="7"/>
        <v>0</v>
      </c>
      <c r="S17" s="186">
        <f t="shared" si="8"/>
        <v>0</v>
      </c>
    </row>
    <row r="18" spans="1:19" s="31" customFormat="1" ht="12.75" customHeight="1" x14ac:dyDescent="0.3">
      <c r="A18" s="75" t="str">
        <f>IF(AND(E18=0,F18=0,G18=0,I18=0,J18=0,K18=0),"Do Not Print","Print")</f>
        <v>Do Not Print</v>
      </c>
      <c r="B18" s="75" t="s">
        <v>144</v>
      </c>
      <c r="C18" s="18" t="str">
        <f>'Input -CIES'!E18</f>
        <v>CIES Line 12</v>
      </c>
      <c r="D18" s="75"/>
      <c r="E18" s="953">
        <f t="shared" si="0"/>
        <v>0</v>
      </c>
      <c r="F18" s="953">
        <f t="shared" si="1"/>
        <v>0</v>
      </c>
      <c r="G18" s="953">
        <f t="shared" si="17"/>
        <v>0</v>
      </c>
      <c r="H18" s="953"/>
      <c r="I18" s="954">
        <f t="shared" si="3"/>
        <v>0</v>
      </c>
      <c r="J18" s="954">
        <f t="shared" si="4"/>
        <v>0</v>
      </c>
      <c r="K18" s="954">
        <f t="shared" si="18"/>
        <v>0</v>
      </c>
      <c r="L18" s="953"/>
      <c r="M18" s="75"/>
      <c r="N18" s="953">
        <f t="shared" si="16"/>
        <v>0</v>
      </c>
      <c r="O18" s="953">
        <f t="shared" si="16"/>
        <v>0</v>
      </c>
      <c r="P18" s="953">
        <f t="shared" si="16"/>
        <v>0</v>
      </c>
      <c r="Q18" s="186">
        <f t="shared" si="9"/>
        <v>0</v>
      </c>
      <c r="R18" s="186">
        <f t="shared" si="7"/>
        <v>0</v>
      </c>
      <c r="S18" s="186">
        <f t="shared" si="8"/>
        <v>0</v>
      </c>
    </row>
    <row r="19" spans="1:19" x14ac:dyDescent="0.3">
      <c r="A19" s="75" t="str">
        <f t="shared" ref="A19:A20" si="19">IF(AND(E19=0,F19=0,G19=0,I19=0,J19=0,K19=0),"Do Not Print","Print")</f>
        <v>Do Not Print</v>
      </c>
      <c r="B19" s="3" t="s">
        <v>144</v>
      </c>
      <c r="C19" s="18" t="str">
        <f>'Input -CIES'!E19</f>
        <v>CIES Line 13</v>
      </c>
      <c r="D19" s="3"/>
      <c r="E19" s="185">
        <f t="shared" si="0"/>
        <v>0</v>
      </c>
      <c r="F19" s="185">
        <f t="shared" si="1"/>
        <v>0</v>
      </c>
      <c r="G19" s="185">
        <f t="shared" si="17"/>
        <v>0</v>
      </c>
      <c r="H19" s="185"/>
      <c r="I19" s="186">
        <f t="shared" si="3"/>
        <v>0</v>
      </c>
      <c r="J19" s="186">
        <f t="shared" si="4"/>
        <v>0</v>
      </c>
      <c r="K19" s="186">
        <f t="shared" si="18"/>
        <v>0</v>
      </c>
      <c r="L19" s="185"/>
      <c r="M19" s="3"/>
      <c r="N19" s="185">
        <f t="shared" si="16"/>
        <v>0</v>
      </c>
      <c r="O19" s="185">
        <f t="shared" si="16"/>
        <v>0</v>
      </c>
      <c r="P19" s="185">
        <f t="shared" si="16"/>
        <v>0</v>
      </c>
      <c r="Q19" s="186">
        <f t="shared" si="9"/>
        <v>0</v>
      </c>
      <c r="R19" s="186">
        <f t="shared" si="7"/>
        <v>0</v>
      </c>
      <c r="S19" s="186">
        <f t="shared" si="8"/>
        <v>0</v>
      </c>
    </row>
    <row r="20" spans="1:19" x14ac:dyDescent="0.3">
      <c r="A20" s="75" t="str">
        <f t="shared" si="19"/>
        <v>Do Not Print</v>
      </c>
      <c r="B20" s="3" t="s">
        <v>144</v>
      </c>
      <c r="C20" s="18" t="str">
        <f>'Input -CIES'!E20</f>
        <v>CIES Line 14</v>
      </c>
      <c r="D20" s="3"/>
      <c r="E20" s="185">
        <f t="shared" si="0"/>
        <v>0</v>
      </c>
      <c r="F20" s="185">
        <f t="shared" si="1"/>
        <v>0</v>
      </c>
      <c r="G20" s="185">
        <f t="shared" si="17"/>
        <v>0</v>
      </c>
      <c r="H20" s="185"/>
      <c r="I20" s="186">
        <f t="shared" si="3"/>
        <v>0</v>
      </c>
      <c r="J20" s="186">
        <f t="shared" si="4"/>
        <v>0</v>
      </c>
      <c r="K20" s="186">
        <f t="shared" si="18"/>
        <v>0</v>
      </c>
      <c r="L20" s="185"/>
      <c r="M20" s="3"/>
      <c r="N20" s="185">
        <f t="shared" si="16"/>
        <v>0</v>
      </c>
      <c r="O20" s="185">
        <f t="shared" si="16"/>
        <v>0</v>
      </c>
      <c r="P20" s="185">
        <f t="shared" si="16"/>
        <v>0</v>
      </c>
      <c r="Q20" s="186">
        <f t="shared" si="9"/>
        <v>0</v>
      </c>
      <c r="R20" s="186">
        <f t="shared" si="7"/>
        <v>0</v>
      </c>
      <c r="S20" s="186">
        <f t="shared" si="8"/>
        <v>0</v>
      </c>
    </row>
    <row r="21" spans="1:19" x14ac:dyDescent="0.3">
      <c r="A21" s="3" t="str">
        <f>IF(AND(E21=0,F21=0,G21=0,I21=0,J21=0,K21=0),"Do Not Print","Print")</f>
        <v>Do Not Print</v>
      </c>
      <c r="B21" s="3" t="s">
        <v>144</v>
      </c>
      <c r="C21" s="18" t="str">
        <f>'Input -CIES'!E21</f>
        <v>CIES Line 15</v>
      </c>
      <c r="D21" s="3"/>
      <c r="E21" s="185">
        <f t="shared" si="0"/>
        <v>0</v>
      </c>
      <c r="F21" s="185">
        <f t="shared" si="1"/>
        <v>0</v>
      </c>
      <c r="G21" s="185">
        <f t="shared" si="17"/>
        <v>0</v>
      </c>
      <c r="H21" s="185"/>
      <c r="I21" s="186">
        <f t="shared" si="3"/>
        <v>0</v>
      </c>
      <c r="J21" s="186">
        <f t="shared" si="4"/>
        <v>0</v>
      </c>
      <c r="K21" s="186">
        <f t="shared" si="18"/>
        <v>0</v>
      </c>
      <c r="L21" s="185"/>
      <c r="M21" s="3"/>
      <c r="N21" s="185">
        <f t="shared" si="16"/>
        <v>0</v>
      </c>
      <c r="O21" s="185">
        <f t="shared" si="16"/>
        <v>0</v>
      </c>
      <c r="P21" s="185">
        <f t="shared" si="16"/>
        <v>0</v>
      </c>
      <c r="Q21" s="186">
        <f t="shared" si="9"/>
        <v>0</v>
      </c>
      <c r="R21" s="186">
        <f t="shared" si="7"/>
        <v>0</v>
      </c>
      <c r="S21" s="186">
        <f t="shared" si="8"/>
        <v>0</v>
      </c>
    </row>
    <row r="22" spans="1:19" x14ac:dyDescent="0.3">
      <c r="A22" s="3" t="str">
        <f>IF(AND(E22=0,F22=0,G22=0,I22=0,J22=0,K22=0),"Do Not Print","Print")</f>
        <v>Do Not Print</v>
      </c>
      <c r="B22" s="3" t="s">
        <v>144</v>
      </c>
      <c r="C22" s="18" t="str">
        <f>'Input -CIES'!E22</f>
        <v>CIES Line 16</v>
      </c>
      <c r="D22" s="3"/>
      <c r="E22" s="185">
        <f t="shared" si="0"/>
        <v>0</v>
      </c>
      <c r="F22" s="185">
        <f t="shared" si="1"/>
        <v>0</v>
      </c>
      <c r="G22" s="185">
        <f t="shared" si="17"/>
        <v>0</v>
      </c>
      <c r="H22" s="185"/>
      <c r="I22" s="186">
        <f t="shared" si="3"/>
        <v>0</v>
      </c>
      <c r="J22" s="186">
        <f t="shared" si="4"/>
        <v>0</v>
      </c>
      <c r="K22" s="186">
        <f t="shared" si="18"/>
        <v>0</v>
      </c>
      <c r="L22" s="185"/>
      <c r="M22" s="3"/>
      <c r="N22" s="185">
        <f t="shared" ref="N22:P23" si="20">ROUND(E22,0)</f>
        <v>0</v>
      </c>
      <c r="O22" s="185">
        <f t="shared" si="20"/>
        <v>0</v>
      </c>
      <c r="P22" s="185">
        <f t="shared" si="20"/>
        <v>0</v>
      </c>
      <c r="Q22" s="186">
        <f t="shared" si="9"/>
        <v>0</v>
      </c>
      <c r="R22" s="186">
        <f t="shared" si="7"/>
        <v>0</v>
      </c>
      <c r="S22" s="186">
        <f t="shared" si="8"/>
        <v>0</v>
      </c>
    </row>
    <row r="23" spans="1:19" x14ac:dyDescent="0.3">
      <c r="A23" s="3" t="str">
        <f t="shared" ref="A23:A26" si="21">IF(AND(E23=0,F23=0,G23=0,I23=0,J23=0,K23=0),"Do Not Print","Print")</f>
        <v>Do Not Print</v>
      </c>
      <c r="B23" s="3" t="s">
        <v>144</v>
      </c>
      <c r="C23" s="18" t="str">
        <f>'Input -CIES'!E23</f>
        <v>CIES Line 17</v>
      </c>
      <c r="D23" s="3"/>
      <c r="E23" s="185">
        <f t="shared" si="0"/>
        <v>0</v>
      </c>
      <c r="F23" s="185">
        <f t="shared" si="1"/>
        <v>0</v>
      </c>
      <c r="G23" s="185">
        <f t="shared" ref="G23:G24" si="22">E23+F23</f>
        <v>0</v>
      </c>
      <c r="H23" s="185"/>
      <c r="I23" s="186">
        <f t="shared" si="3"/>
        <v>0</v>
      </c>
      <c r="J23" s="186">
        <f t="shared" si="4"/>
        <v>0</v>
      </c>
      <c r="K23" s="186">
        <f t="shared" ref="K23:K26" si="23">I23+J23</f>
        <v>0</v>
      </c>
      <c r="L23" s="185"/>
      <c r="M23" s="3"/>
      <c r="N23" s="185">
        <f t="shared" si="20"/>
        <v>0</v>
      </c>
      <c r="O23" s="185">
        <f t="shared" si="20"/>
        <v>0</v>
      </c>
      <c r="P23" s="185">
        <f t="shared" si="20"/>
        <v>0</v>
      </c>
      <c r="Q23" s="186">
        <f t="shared" si="9"/>
        <v>0</v>
      </c>
      <c r="R23" s="186">
        <f t="shared" si="7"/>
        <v>0</v>
      </c>
      <c r="S23" s="186">
        <f t="shared" si="8"/>
        <v>0</v>
      </c>
    </row>
    <row r="24" spans="1:19" s="14" customFormat="1" ht="14.4" x14ac:dyDescent="0.3">
      <c r="A24" s="3" t="str">
        <f t="shared" si="21"/>
        <v>Do Not Print</v>
      </c>
      <c r="B24" s="3" t="s">
        <v>144</v>
      </c>
      <c r="C24" s="18" t="str">
        <f>'Input -CIES'!E24</f>
        <v>CIES Line 18</v>
      </c>
      <c r="E24" s="185">
        <f t="shared" si="0"/>
        <v>0</v>
      </c>
      <c r="F24" s="185">
        <f t="shared" si="1"/>
        <v>0</v>
      </c>
      <c r="G24" s="185">
        <f t="shared" si="22"/>
        <v>0</v>
      </c>
      <c r="H24" s="197"/>
      <c r="I24" s="186">
        <f t="shared" si="3"/>
        <v>0</v>
      </c>
      <c r="J24" s="186">
        <f t="shared" si="4"/>
        <v>0</v>
      </c>
      <c r="K24" s="186">
        <f t="shared" si="23"/>
        <v>0</v>
      </c>
      <c r="L24" s="197"/>
      <c r="N24" s="185">
        <f t="shared" ref="N24:N26" si="24">ROUND(E24,0)</f>
        <v>0</v>
      </c>
      <c r="O24" s="185">
        <f t="shared" ref="O24:O26" si="25">ROUND(F24,0)</f>
        <v>0</v>
      </c>
      <c r="P24" s="185">
        <f t="shared" ref="P24:P26" si="26">ROUND(G24,0)</f>
        <v>0</v>
      </c>
      <c r="Q24" s="186">
        <f t="shared" si="9"/>
        <v>0</v>
      </c>
      <c r="R24" s="186">
        <f t="shared" si="7"/>
        <v>0</v>
      </c>
      <c r="S24" s="186">
        <f t="shared" si="8"/>
        <v>0</v>
      </c>
    </row>
    <row r="25" spans="1:19" x14ac:dyDescent="0.3">
      <c r="A25" s="3" t="str">
        <f t="shared" si="21"/>
        <v>Do Not Print</v>
      </c>
      <c r="B25" s="3" t="s">
        <v>144</v>
      </c>
      <c r="C25" s="18" t="str">
        <f>'Input -CIES'!E25</f>
        <v>CIES Line 19</v>
      </c>
      <c r="D25" s="3"/>
      <c r="E25" s="185">
        <f t="shared" si="0"/>
        <v>0</v>
      </c>
      <c r="F25" s="185">
        <f t="shared" si="1"/>
        <v>0</v>
      </c>
      <c r="G25" s="185">
        <f t="shared" ref="G25:G26" si="27">E25+F25</f>
        <v>0</v>
      </c>
      <c r="H25" s="185"/>
      <c r="I25" s="186">
        <f t="shared" si="3"/>
        <v>0</v>
      </c>
      <c r="J25" s="186">
        <f t="shared" si="4"/>
        <v>0</v>
      </c>
      <c r="K25" s="186">
        <f t="shared" si="23"/>
        <v>0</v>
      </c>
      <c r="L25" s="185"/>
      <c r="M25" s="3"/>
      <c r="N25" s="185">
        <f t="shared" si="24"/>
        <v>0</v>
      </c>
      <c r="O25" s="185">
        <f t="shared" si="25"/>
        <v>0</v>
      </c>
      <c r="P25" s="185">
        <f t="shared" si="26"/>
        <v>0</v>
      </c>
      <c r="Q25" s="186">
        <f t="shared" si="9"/>
        <v>0</v>
      </c>
      <c r="R25" s="186">
        <f t="shared" si="7"/>
        <v>0</v>
      </c>
      <c r="S25" s="186">
        <f t="shared" si="8"/>
        <v>0</v>
      </c>
    </row>
    <row r="26" spans="1:19" x14ac:dyDescent="0.3">
      <c r="A26" s="3" t="str">
        <f t="shared" si="21"/>
        <v>Do Not Print</v>
      </c>
      <c r="B26" s="3" t="s">
        <v>144</v>
      </c>
      <c r="C26" s="18" t="str">
        <f>'Input -CIES'!E26</f>
        <v>CIES Line 20</v>
      </c>
      <c r="D26" s="3"/>
      <c r="E26" s="185">
        <f t="shared" si="0"/>
        <v>0</v>
      </c>
      <c r="F26" s="185">
        <f t="shared" si="1"/>
        <v>0</v>
      </c>
      <c r="G26" s="185">
        <f t="shared" si="27"/>
        <v>0</v>
      </c>
      <c r="H26" s="185"/>
      <c r="I26" s="186">
        <f t="shared" si="3"/>
        <v>0</v>
      </c>
      <c r="J26" s="186">
        <f t="shared" si="4"/>
        <v>0</v>
      </c>
      <c r="K26" s="186">
        <f t="shared" si="23"/>
        <v>0</v>
      </c>
      <c r="L26" s="185"/>
      <c r="M26" s="3"/>
      <c r="N26" s="185">
        <f t="shared" si="24"/>
        <v>0</v>
      </c>
      <c r="O26" s="185">
        <f t="shared" si="25"/>
        <v>0</v>
      </c>
      <c r="P26" s="185">
        <f t="shared" si="26"/>
        <v>0</v>
      </c>
      <c r="Q26" s="186">
        <f t="shared" si="9"/>
        <v>0</v>
      </c>
      <c r="R26" s="186">
        <f t="shared" si="7"/>
        <v>0</v>
      </c>
      <c r="S26" s="186">
        <f t="shared" si="8"/>
        <v>0</v>
      </c>
    </row>
    <row r="27" spans="1:19" x14ac:dyDescent="0.3">
      <c r="A27" s="3" t="str">
        <f t="shared" ref="A27:A41" si="28">IF(AND(E27=0,F27=0,G27=0,I27=0,J27=0,K27=0),"Do Not Print","Print")</f>
        <v>Do Not Print</v>
      </c>
      <c r="B27" s="3" t="s">
        <v>144</v>
      </c>
      <c r="C27" s="18" t="str">
        <f>'Input -CIES'!E27</f>
        <v>CIES Line 21</v>
      </c>
      <c r="D27" s="3"/>
      <c r="E27" s="185">
        <f t="shared" si="0"/>
        <v>0</v>
      </c>
      <c r="F27" s="185">
        <f t="shared" si="1"/>
        <v>0</v>
      </c>
      <c r="G27" s="185">
        <f t="shared" ref="G27:G41" si="29">E27+F27</f>
        <v>0</v>
      </c>
      <c r="H27" s="185"/>
      <c r="I27" s="186">
        <f t="shared" si="3"/>
        <v>0</v>
      </c>
      <c r="J27" s="186">
        <f t="shared" si="4"/>
        <v>0</v>
      </c>
      <c r="K27" s="186">
        <f t="shared" ref="K27:K41" si="30">I27+J27</f>
        <v>0</v>
      </c>
      <c r="L27" s="185"/>
      <c r="M27" s="3"/>
      <c r="N27" s="185">
        <f t="shared" ref="N27:N41" si="31">ROUND(E27,0)</f>
        <v>0</v>
      </c>
      <c r="O27" s="185">
        <f t="shared" ref="O27:O41" si="32">ROUND(F27,0)</f>
        <v>0</v>
      </c>
      <c r="P27" s="185">
        <f t="shared" ref="P27:P41" si="33">ROUND(G27,0)</f>
        <v>0</v>
      </c>
      <c r="Q27" s="186">
        <f t="shared" ref="Q27:Q41" si="34">ROUND(I27,0)</f>
        <v>0</v>
      </c>
      <c r="R27" s="186">
        <f t="shared" ref="R27:R41" si="35">ROUND(J27,0)</f>
        <v>0</v>
      </c>
      <c r="S27" s="186">
        <f t="shared" ref="S27:S41" si="36">ROUND(K27,0)</f>
        <v>0</v>
      </c>
    </row>
    <row r="28" spans="1:19" x14ac:dyDescent="0.3">
      <c r="A28" s="3" t="str">
        <f t="shared" si="28"/>
        <v>Do Not Print</v>
      </c>
      <c r="B28" s="3" t="s">
        <v>144</v>
      </c>
      <c r="C28" s="18" t="str">
        <f>'Input -CIES'!E28</f>
        <v>CIES Line 22</v>
      </c>
      <c r="D28" s="3"/>
      <c r="E28" s="185">
        <f t="shared" si="0"/>
        <v>0</v>
      </c>
      <c r="F28" s="185">
        <f t="shared" si="1"/>
        <v>0</v>
      </c>
      <c r="G28" s="185">
        <f t="shared" si="29"/>
        <v>0</v>
      </c>
      <c r="H28" s="185"/>
      <c r="I28" s="186">
        <f t="shared" si="3"/>
        <v>0</v>
      </c>
      <c r="J28" s="186">
        <f t="shared" si="4"/>
        <v>0</v>
      </c>
      <c r="K28" s="186">
        <f t="shared" si="30"/>
        <v>0</v>
      </c>
      <c r="L28" s="185"/>
      <c r="M28" s="3"/>
      <c r="N28" s="185">
        <f t="shared" si="31"/>
        <v>0</v>
      </c>
      <c r="O28" s="185">
        <f t="shared" si="32"/>
        <v>0</v>
      </c>
      <c r="P28" s="185">
        <f t="shared" si="33"/>
        <v>0</v>
      </c>
      <c r="Q28" s="186">
        <f t="shared" si="34"/>
        <v>0</v>
      </c>
      <c r="R28" s="186">
        <f t="shared" si="35"/>
        <v>0</v>
      </c>
      <c r="S28" s="186">
        <f t="shared" si="36"/>
        <v>0</v>
      </c>
    </row>
    <row r="29" spans="1:19" x14ac:dyDescent="0.3">
      <c r="A29" s="3" t="str">
        <f t="shared" si="28"/>
        <v>Do Not Print</v>
      </c>
      <c r="B29" s="3" t="s">
        <v>144</v>
      </c>
      <c r="C29" s="18" t="str">
        <f>'Input -CIES'!E29</f>
        <v>CIES Line 23</v>
      </c>
      <c r="D29" s="3"/>
      <c r="E29" s="185">
        <f t="shared" si="0"/>
        <v>0</v>
      </c>
      <c r="F29" s="185">
        <f t="shared" si="1"/>
        <v>0</v>
      </c>
      <c r="G29" s="185">
        <f t="shared" si="29"/>
        <v>0</v>
      </c>
      <c r="H29" s="185"/>
      <c r="I29" s="186">
        <f t="shared" si="3"/>
        <v>0</v>
      </c>
      <c r="J29" s="186">
        <f t="shared" si="4"/>
        <v>0</v>
      </c>
      <c r="K29" s="186">
        <f t="shared" si="30"/>
        <v>0</v>
      </c>
      <c r="L29" s="185"/>
      <c r="M29" s="3"/>
      <c r="N29" s="185">
        <f t="shared" si="31"/>
        <v>0</v>
      </c>
      <c r="O29" s="185">
        <f t="shared" si="32"/>
        <v>0</v>
      </c>
      <c r="P29" s="185">
        <f t="shared" si="33"/>
        <v>0</v>
      </c>
      <c r="Q29" s="186">
        <f t="shared" si="34"/>
        <v>0</v>
      </c>
      <c r="R29" s="186">
        <f t="shared" si="35"/>
        <v>0</v>
      </c>
      <c r="S29" s="186">
        <f t="shared" si="36"/>
        <v>0</v>
      </c>
    </row>
    <row r="30" spans="1:19" x14ac:dyDescent="0.3">
      <c r="A30" s="3" t="str">
        <f t="shared" si="28"/>
        <v>Do Not Print</v>
      </c>
      <c r="B30" s="3" t="s">
        <v>144</v>
      </c>
      <c r="C30" s="18" t="str">
        <f>'Input -CIES'!E30</f>
        <v>CIES Line 24</v>
      </c>
      <c r="D30" s="3"/>
      <c r="E30" s="185">
        <f t="shared" si="0"/>
        <v>0</v>
      </c>
      <c r="F30" s="185">
        <f t="shared" si="1"/>
        <v>0</v>
      </c>
      <c r="G30" s="185">
        <f t="shared" si="29"/>
        <v>0</v>
      </c>
      <c r="H30" s="185"/>
      <c r="I30" s="186">
        <f t="shared" si="3"/>
        <v>0</v>
      </c>
      <c r="J30" s="186">
        <f t="shared" si="4"/>
        <v>0</v>
      </c>
      <c r="K30" s="186">
        <f t="shared" si="30"/>
        <v>0</v>
      </c>
      <c r="L30" s="185"/>
      <c r="M30" s="3"/>
      <c r="N30" s="185">
        <f t="shared" si="31"/>
        <v>0</v>
      </c>
      <c r="O30" s="185">
        <f t="shared" si="32"/>
        <v>0</v>
      </c>
      <c r="P30" s="185">
        <f t="shared" si="33"/>
        <v>0</v>
      </c>
      <c r="Q30" s="186">
        <f t="shared" si="34"/>
        <v>0</v>
      </c>
      <c r="R30" s="186">
        <f t="shared" si="35"/>
        <v>0</v>
      </c>
      <c r="S30" s="186">
        <f t="shared" si="36"/>
        <v>0</v>
      </c>
    </row>
    <row r="31" spans="1:19" x14ac:dyDescent="0.3">
      <c r="A31" s="3" t="str">
        <f t="shared" si="28"/>
        <v>Do Not Print</v>
      </c>
      <c r="B31" s="3" t="s">
        <v>144</v>
      </c>
      <c r="C31" s="18" t="str">
        <f>'Input -CIES'!E31</f>
        <v>CIES Line 25</v>
      </c>
      <c r="D31" s="3"/>
      <c r="E31" s="185">
        <f t="shared" si="0"/>
        <v>0</v>
      </c>
      <c r="F31" s="185">
        <f t="shared" si="1"/>
        <v>0</v>
      </c>
      <c r="G31" s="185">
        <f t="shared" si="29"/>
        <v>0</v>
      </c>
      <c r="H31" s="185"/>
      <c r="I31" s="186">
        <f t="shared" si="3"/>
        <v>0</v>
      </c>
      <c r="J31" s="186">
        <f t="shared" si="4"/>
        <v>0</v>
      </c>
      <c r="K31" s="186">
        <f t="shared" si="30"/>
        <v>0</v>
      </c>
      <c r="L31" s="185"/>
      <c r="M31" s="3"/>
      <c r="N31" s="185">
        <f t="shared" si="31"/>
        <v>0</v>
      </c>
      <c r="O31" s="185">
        <f t="shared" si="32"/>
        <v>0</v>
      </c>
      <c r="P31" s="185">
        <f t="shared" si="33"/>
        <v>0</v>
      </c>
      <c r="Q31" s="186">
        <f t="shared" si="34"/>
        <v>0</v>
      </c>
      <c r="R31" s="186">
        <f t="shared" si="35"/>
        <v>0</v>
      </c>
      <c r="S31" s="186">
        <f t="shared" si="36"/>
        <v>0</v>
      </c>
    </row>
    <row r="32" spans="1:19" x14ac:dyDescent="0.3">
      <c r="A32" s="3" t="str">
        <f t="shared" si="28"/>
        <v>Do Not Print</v>
      </c>
      <c r="B32" s="3" t="s">
        <v>144</v>
      </c>
      <c r="C32" s="18" t="str">
        <f>'Input -CIES'!E32</f>
        <v>CIES Line 26</v>
      </c>
      <c r="D32" s="3"/>
      <c r="E32" s="185">
        <f t="shared" si="0"/>
        <v>0</v>
      </c>
      <c r="F32" s="185">
        <f t="shared" si="1"/>
        <v>0</v>
      </c>
      <c r="G32" s="185">
        <f t="shared" si="29"/>
        <v>0</v>
      </c>
      <c r="H32" s="185"/>
      <c r="I32" s="186">
        <f t="shared" si="3"/>
        <v>0</v>
      </c>
      <c r="J32" s="186">
        <f t="shared" si="4"/>
        <v>0</v>
      </c>
      <c r="K32" s="186">
        <f t="shared" si="30"/>
        <v>0</v>
      </c>
      <c r="L32" s="185"/>
      <c r="M32" s="3"/>
      <c r="N32" s="185">
        <f t="shared" si="31"/>
        <v>0</v>
      </c>
      <c r="O32" s="185">
        <f t="shared" si="32"/>
        <v>0</v>
      </c>
      <c r="P32" s="185">
        <f t="shared" si="33"/>
        <v>0</v>
      </c>
      <c r="Q32" s="186">
        <f t="shared" si="34"/>
        <v>0</v>
      </c>
      <c r="R32" s="186">
        <f t="shared" si="35"/>
        <v>0</v>
      </c>
      <c r="S32" s="186">
        <f t="shared" si="36"/>
        <v>0</v>
      </c>
    </row>
    <row r="33" spans="1:19" x14ac:dyDescent="0.3">
      <c r="A33" s="3" t="str">
        <f t="shared" si="28"/>
        <v>Do Not Print</v>
      </c>
      <c r="B33" s="3" t="s">
        <v>144</v>
      </c>
      <c r="C33" s="18" t="str">
        <f>'Input -CIES'!E33</f>
        <v>CIES Line 27</v>
      </c>
      <c r="D33" s="3"/>
      <c r="E33" s="185">
        <f t="shared" si="0"/>
        <v>0</v>
      </c>
      <c r="F33" s="185">
        <f t="shared" si="1"/>
        <v>0</v>
      </c>
      <c r="G33" s="185">
        <f t="shared" si="29"/>
        <v>0</v>
      </c>
      <c r="H33" s="185"/>
      <c r="I33" s="186">
        <f t="shared" si="3"/>
        <v>0</v>
      </c>
      <c r="J33" s="186">
        <f t="shared" si="4"/>
        <v>0</v>
      </c>
      <c r="K33" s="186">
        <f t="shared" si="30"/>
        <v>0</v>
      </c>
      <c r="L33" s="185"/>
      <c r="M33" s="3"/>
      <c r="N33" s="185">
        <f t="shared" si="31"/>
        <v>0</v>
      </c>
      <c r="O33" s="185">
        <f t="shared" si="32"/>
        <v>0</v>
      </c>
      <c r="P33" s="185">
        <f t="shared" si="33"/>
        <v>0</v>
      </c>
      <c r="Q33" s="186">
        <f t="shared" si="34"/>
        <v>0</v>
      </c>
      <c r="R33" s="186">
        <f t="shared" si="35"/>
        <v>0</v>
      </c>
      <c r="S33" s="186">
        <f t="shared" si="36"/>
        <v>0</v>
      </c>
    </row>
    <row r="34" spans="1:19" x14ac:dyDescent="0.3">
      <c r="A34" s="3" t="str">
        <f t="shared" si="28"/>
        <v>Do Not Print</v>
      </c>
      <c r="B34" s="3" t="s">
        <v>144</v>
      </c>
      <c r="C34" s="18" t="str">
        <f>'Input -CIES'!E34</f>
        <v>CIES Line 28</v>
      </c>
      <c r="D34" s="3"/>
      <c r="E34" s="185">
        <f t="shared" si="0"/>
        <v>0</v>
      </c>
      <c r="F34" s="185">
        <f t="shared" si="1"/>
        <v>0</v>
      </c>
      <c r="G34" s="185">
        <f t="shared" si="29"/>
        <v>0</v>
      </c>
      <c r="H34" s="185"/>
      <c r="I34" s="186">
        <f t="shared" si="3"/>
        <v>0</v>
      </c>
      <c r="J34" s="186">
        <f t="shared" si="4"/>
        <v>0</v>
      </c>
      <c r="K34" s="186">
        <f t="shared" si="30"/>
        <v>0</v>
      </c>
      <c r="L34" s="185"/>
      <c r="M34" s="3"/>
      <c r="N34" s="185">
        <f t="shared" si="31"/>
        <v>0</v>
      </c>
      <c r="O34" s="185">
        <f t="shared" si="32"/>
        <v>0</v>
      </c>
      <c r="P34" s="185">
        <f t="shared" si="33"/>
        <v>0</v>
      </c>
      <c r="Q34" s="186">
        <f t="shared" si="34"/>
        <v>0</v>
      </c>
      <c r="R34" s="186">
        <f t="shared" si="35"/>
        <v>0</v>
      </c>
      <c r="S34" s="186">
        <f t="shared" si="36"/>
        <v>0</v>
      </c>
    </row>
    <row r="35" spans="1:19" x14ac:dyDescent="0.3">
      <c r="A35" s="3" t="str">
        <f t="shared" si="28"/>
        <v>Do Not Print</v>
      </c>
      <c r="B35" s="3" t="s">
        <v>144</v>
      </c>
      <c r="C35" s="18" t="str">
        <f>'Input -CIES'!E35</f>
        <v>CIES Line 29</v>
      </c>
      <c r="D35" s="3"/>
      <c r="E35" s="185">
        <f t="shared" si="0"/>
        <v>0</v>
      </c>
      <c r="F35" s="185">
        <f t="shared" si="1"/>
        <v>0</v>
      </c>
      <c r="G35" s="185">
        <f t="shared" si="29"/>
        <v>0</v>
      </c>
      <c r="H35" s="185"/>
      <c r="I35" s="186">
        <f t="shared" si="3"/>
        <v>0</v>
      </c>
      <c r="J35" s="186">
        <f t="shared" si="4"/>
        <v>0</v>
      </c>
      <c r="K35" s="186">
        <f t="shared" si="30"/>
        <v>0</v>
      </c>
      <c r="L35" s="185"/>
      <c r="M35" s="3"/>
      <c r="N35" s="185">
        <f t="shared" si="31"/>
        <v>0</v>
      </c>
      <c r="O35" s="185">
        <f t="shared" si="32"/>
        <v>0</v>
      </c>
      <c r="P35" s="185">
        <f t="shared" si="33"/>
        <v>0</v>
      </c>
      <c r="Q35" s="186">
        <f t="shared" si="34"/>
        <v>0</v>
      </c>
      <c r="R35" s="186">
        <f t="shared" si="35"/>
        <v>0</v>
      </c>
      <c r="S35" s="186">
        <f t="shared" si="36"/>
        <v>0</v>
      </c>
    </row>
    <row r="36" spans="1:19" x14ac:dyDescent="0.3">
      <c r="A36" s="3" t="str">
        <f t="shared" si="28"/>
        <v>Do Not Print</v>
      </c>
      <c r="B36" s="3" t="s">
        <v>144</v>
      </c>
      <c r="C36" s="18" t="str">
        <f>'Input -CIES'!E36</f>
        <v>CIES Line 30</v>
      </c>
      <c r="D36" s="3"/>
      <c r="E36" s="185">
        <f t="shared" si="0"/>
        <v>0</v>
      </c>
      <c r="F36" s="185">
        <f t="shared" si="1"/>
        <v>0</v>
      </c>
      <c r="G36" s="185">
        <f t="shared" si="29"/>
        <v>0</v>
      </c>
      <c r="H36" s="185"/>
      <c r="I36" s="186">
        <f t="shared" si="3"/>
        <v>0</v>
      </c>
      <c r="J36" s="186">
        <f t="shared" si="4"/>
        <v>0</v>
      </c>
      <c r="K36" s="186">
        <f t="shared" si="30"/>
        <v>0</v>
      </c>
      <c r="L36" s="185"/>
      <c r="M36" s="3"/>
      <c r="N36" s="185">
        <f t="shared" si="31"/>
        <v>0</v>
      </c>
      <c r="O36" s="185">
        <f t="shared" si="32"/>
        <v>0</v>
      </c>
      <c r="P36" s="185">
        <f t="shared" si="33"/>
        <v>0</v>
      </c>
      <c r="Q36" s="186">
        <f t="shared" si="34"/>
        <v>0</v>
      </c>
      <c r="R36" s="186">
        <f t="shared" si="35"/>
        <v>0</v>
      </c>
      <c r="S36" s="186">
        <f t="shared" si="36"/>
        <v>0</v>
      </c>
    </row>
    <row r="37" spans="1:19" x14ac:dyDescent="0.3">
      <c r="A37" s="3" t="str">
        <f t="shared" si="28"/>
        <v>Do Not Print</v>
      </c>
      <c r="B37" s="3" t="s">
        <v>144</v>
      </c>
      <c r="C37" s="18" t="str">
        <f>'Input -CIES'!E37</f>
        <v>CIES Line 31</v>
      </c>
      <c r="D37" s="3"/>
      <c r="E37" s="185">
        <f t="shared" si="0"/>
        <v>0</v>
      </c>
      <c r="F37" s="185">
        <f t="shared" si="1"/>
        <v>0</v>
      </c>
      <c r="G37" s="185">
        <f t="shared" si="29"/>
        <v>0</v>
      </c>
      <c r="H37" s="185"/>
      <c r="I37" s="186">
        <f t="shared" si="3"/>
        <v>0</v>
      </c>
      <c r="J37" s="186">
        <f t="shared" si="4"/>
        <v>0</v>
      </c>
      <c r="K37" s="186">
        <f t="shared" si="30"/>
        <v>0</v>
      </c>
      <c r="L37" s="185"/>
      <c r="M37" s="3"/>
      <c r="N37" s="185">
        <f t="shared" si="31"/>
        <v>0</v>
      </c>
      <c r="O37" s="185">
        <f t="shared" si="32"/>
        <v>0</v>
      </c>
      <c r="P37" s="185">
        <f t="shared" si="33"/>
        <v>0</v>
      </c>
      <c r="Q37" s="186">
        <f t="shared" si="34"/>
        <v>0</v>
      </c>
      <c r="R37" s="186">
        <f t="shared" si="35"/>
        <v>0</v>
      </c>
      <c r="S37" s="186">
        <f t="shared" si="36"/>
        <v>0</v>
      </c>
    </row>
    <row r="38" spans="1:19" x14ac:dyDescent="0.3">
      <c r="A38" s="3" t="str">
        <f t="shared" si="28"/>
        <v>Do Not Print</v>
      </c>
      <c r="B38" s="3" t="s">
        <v>144</v>
      </c>
      <c r="C38" s="18" t="str">
        <f>'Input -CIES'!E38</f>
        <v>CIES Line 32</v>
      </c>
      <c r="D38" s="3"/>
      <c r="E38" s="185">
        <f t="shared" si="0"/>
        <v>0</v>
      </c>
      <c r="F38" s="185">
        <f t="shared" si="1"/>
        <v>0</v>
      </c>
      <c r="G38" s="185">
        <f t="shared" si="29"/>
        <v>0</v>
      </c>
      <c r="H38" s="185"/>
      <c r="I38" s="186">
        <f t="shared" si="3"/>
        <v>0</v>
      </c>
      <c r="J38" s="186">
        <f t="shared" si="4"/>
        <v>0</v>
      </c>
      <c r="K38" s="186">
        <f t="shared" si="30"/>
        <v>0</v>
      </c>
      <c r="L38" s="185"/>
      <c r="M38" s="3"/>
      <c r="N38" s="185">
        <f t="shared" si="31"/>
        <v>0</v>
      </c>
      <c r="O38" s="185">
        <f t="shared" si="32"/>
        <v>0</v>
      </c>
      <c r="P38" s="185">
        <f t="shared" si="33"/>
        <v>0</v>
      </c>
      <c r="Q38" s="186">
        <f t="shared" si="34"/>
        <v>0</v>
      </c>
      <c r="R38" s="186">
        <f t="shared" si="35"/>
        <v>0</v>
      </c>
      <c r="S38" s="186">
        <f t="shared" si="36"/>
        <v>0</v>
      </c>
    </row>
    <row r="39" spans="1:19" x14ac:dyDescent="0.3">
      <c r="A39" s="3" t="str">
        <f t="shared" si="28"/>
        <v>Do Not Print</v>
      </c>
      <c r="B39" s="3" t="s">
        <v>144</v>
      </c>
      <c r="C39" s="18" t="str">
        <f>'Input -CIES'!E39</f>
        <v>CIES Line 33</v>
      </c>
      <c r="D39" s="3"/>
      <c r="E39" s="185">
        <f t="shared" si="0"/>
        <v>0</v>
      </c>
      <c r="F39" s="185">
        <f t="shared" si="1"/>
        <v>0</v>
      </c>
      <c r="G39" s="185">
        <f t="shared" si="29"/>
        <v>0</v>
      </c>
      <c r="H39" s="185"/>
      <c r="I39" s="186">
        <f t="shared" si="3"/>
        <v>0</v>
      </c>
      <c r="J39" s="186">
        <f t="shared" si="4"/>
        <v>0</v>
      </c>
      <c r="K39" s="186">
        <f t="shared" si="30"/>
        <v>0</v>
      </c>
      <c r="L39" s="185"/>
      <c r="M39" s="3"/>
      <c r="N39" s="185">
        <f t="shared" si="31"/>
        <v>0</v>
      </c>
      <c r="O39" s="185">
        <f t="shared" si="32"/>
        <v>0</v>
      </c>
      <c r="P39" s="185">
        <f t="shared" si="33"/>
        <v>0</v>
      </c>
      <c r="Q39" s="186">
        <f t="shared" si="34"/>
        <v>0</v>
      </c>
      <c r="R39" s="186">
        <f t="shared" si="35"/>
        <v>0</v>
      </c>
      <c r="S39" s="186">
        <f t="shared" si="36"/>
        <v>0</v>
      </c>
    </row>
    <row r="40" spans="1:19" x14ac:dyDescent="0.3">
      <c r="A40" s="3" t="str">
        <f t="shared" si="28"/>
        <v>Do Not Print</v>
      </c>
      <c r="B40" s="3" t="s">
        <v>144</v>
      </c>
      <c r="C40" s="18" t="str">
        <f>'Input -CIES'!E40</f>
        <v>CIES Line 34</v>
      </c>
      <c r="D40" s="3"/>
      <c r="E40" s="185">
        <f t="shared" si="0"/>
        <v>0</v>
      </c>
      <c r="F40" s="185">
        <f t="shared" si="1"/>
        <v>0</v>
      </c>
      <c r="G40" s="185">
        <f t="shared" si="29"/>
        <v>0</v>
      </c>
      <c r="H40" s="185"/>
      <c r="I40" s="186">
        <f t="shared" si="3"/>
        <v>0</v>
      </c>
      <c r="J40" s="186">
        <f t="shared" si="4"/>
        <v>0</v>
      </c>
      <c r="K40" s="186">
        <f t="shared" si="30"/>
        <v>0</v>
      </c>
      <c r="L40" s="185"/>
      <c r="M40" s="3"/>
      <c r="N40" s="185">
        <f t="shared" si="31"/>
        <v>0</v>
      </c>
      <c r="O40" s="185">
        <f t="shared" si="32"/>
        <v>0</v>
      </c>
      <c r="P40" s="185">
        <f t="shared" si="33"/>
        <v>0</v>
      </c>
      <c r="Q40" s="186">
        <f t="shared" si="34"/>
        <v>0</v>
      </c>
      <c r="R40" s="186">
        <f t="shared" si="35"/>
        <v>0</v>
      </c>
      <c r="S40" s="186">
        <f t="shared" si="36"/>
        <v>0</v>
      </c>
    </row>
    <row r="41" spans="1:19" x14ac:dyDescent="0.3">
      <c r="A41" s="3" t="str">
        <f t="shared" si="28"/>
        <v>Do Not Print</v>
      </c>
      <c r="B41" s="3" t="s">
        <v>144</v>
      </c>
      <c r="C41" s="18" t="str">
        <f>'Input -CIES'!E41</f>
        <v>CIES Line 35</v>
      </c>
      <c r="D41" s="3"/>
      <c r="E41" s="185">
        <f t="shared" si="0"/>
        <v>0</v>
      </c>
      <c r="F41" s="185">
        <f t="shared" si="1"/>
        <v>0</v>
      </c>
      <c r="G41" s="185">
        <f t="shared" si="29"/>
        <v>0</v>
      </c>
      <c r="H41" s="185"/>
      <c r="I41" s="186">
        <f t="shared" si="3"/>
        <v>0</v>
      </c>
      <c r="J41" s="186">
        <f t="shared" si="4"/>
        <v>0</v>
      </c>
      <c r="K41" s="186">
        <f t="shared" si="30"/>
        <v>0</v>
      </c>
      <c r="L41" s="185"/>
      <c r="M41" s="3"/>
      <c r="N41" s="185">
        <f t="shared" si="31"/>
        <v>0</v>
      </c>
      <c r="O41" s="185">
        <f t="shared" si="32"/>
        <v>0</v>
      </c>
      <c r="P41" s="185">
        <f t="shared" si="33"/>
        <v>0</v>
      </c>
      <c r="Q41" s="186">
        <f t="shared" si="34"/>
        <v>0</v>
      </c>
      <c r="R41" s="186">
        <f t="shared" si="35"/>
        <v>0</v>
      </c>
      <c r="S41" s="186">
        <f t="shared" si="36"/>
        <v>0</v>
      </c>
    </row>
    <row r="42" spans="1:19" ht="15.6" x14ac:dyDescent="0.3">
      <c r="A42" s="3" t="s">
        <v>448</v>
      </c>
      <c r="B42" s="3"/>
      <c r="C42" s="40"/>
      <c r="D42" s="3"/>
      <c r="E42" s="190"/>
      <c r="F42" s="190"/>
      <c r="G42" s="190"/>
      <c r="H42" s="190"/>
      <c r="I42" s="192"/>
      <c r="J42" s="192"/>
      <c r="K42" s="192"/>
      <c r="L42" s="190"/>
      <c r="M42" s="3"/>
      <c r="N42" s="185"/>
      <c r="O42" s="185"/>
      <c r="P42" s="193">
        <f t="shared" ref="P42" si="37">ROUND(G42,0)</f>
        <v>0</v>
      </c>
      <c r="Q42" s="186"/>
      <c r="R42" s="186"/>
      <c r="S42" s="194">
        <f t="shared" ref="S42" si="38">ROUND(K42,0)</f>
        <v>0</v>
      </c>
    </row>
    <row r="43" spans="1:19" s="14" customFormat="1" ht="28.8" x14ac:dyDescent="0.3">
      <c r="A43" s="14" t="str">
        <f>IF(AND(E43=0,F43=0,G43=0,I43=0,J43=0,K43=0),"Do Not Print","Print")</f>
        <v>Do Not Print</v>
      </c>
      <c r="C43" s="45" t="s">
        <v>344</v>
      </c>
      <c r="E43" s="197">
        <f>SUM(E7:E41)</f>
        <v>0</v>
      </c>
      <c r="F43" s="197">
        <f>SUM(F7:F41)</f>
        <v>0</v>
      </c>
      <c r="G43" s="197">
        <f>SUM(G7:G41)</f>
        <v>0</v>
      </c>
      <c r="H43" s="197">
        <f>SUM(H7:H41)</f>
        <v>0</v>
      </c>
      <c r="I43" s="227">
        <f t="shared" ref="I43:K43" si="39">SUM(I7:I41)</f>
        <v>0</v>
      </c>
      <c r="J43" s="227">
        <f t="shared" si="39"/>
        <v>0</v>
      </c>
      <c r="K43" s="227">
        <f t="shared" si="39"/>
        <v>0</v>
      </c>
      <c r="L43" s="197"/>
      <c r="N43" s="197">
        <f t="shared" ref="N43:S43" si="40">SUM(N7:N41)</f>
        <v>0</v>
      </c>
      <c r="O43" s="197">
        <f t="shared" si="40"/>
        <v>0</v>
      </c>
      <c r="P43" s="193">
        <f t="shared" si="40"/>
        <v>0</v>
      </c>
      <c r="Q43" s="227">
        <f t="shared" si="40"/>
        <v>0</v>
      </c>
      <c r="R43" s="227">
        <f t="shared" si="40"/>
        <v>0</v>
      </c>
      <c r="S43" s="194">
        <f t="shared" si="40"/>
        <v>0</v>
      </c>
    </row>
    <row r="44" spans="1:19" s="42" customFormat="1" x14ac:dyDescent="0.3">
      <c r="A44" s="41" t="s">
        <v>448</v>
      </c>
      <c r="B44" s="41"/>
      <c r="C44" s="43"/>
      <c r="D44" s="41"/>
      <c r="E44" s="195"/>
      <c r="F44" s="195"/>
      <c r="G44" s="195"/>
      <c r="H44" s="195"/>
      <c r="I44" s="195"/>
      <c r="J44" s="195"/>
      <c r="K44" s="195"/>
      <c r="L44" s="195"/>
      <c r="M44" s="41"/>
      <c r="N44" s="195"/>
      <c r="O44" s="195"/>
      <c r="P44" s="195"/>
      <c r="Q44" s="195"/>
      <c r="R44" s="195"/>
      <c r="S44" s="195"/>
    </row>
    <row r="45" spans="1:19" ht="27.6" x14ac:dyDescent="0.3">
      <c r="A45" s="3" t="s">
        <v>448</v>
      </c>
      <c r="B45" s="3"/>
      <c r="C45" s="38" t="s">
        <v>161</v>
      </c>
      <c r="D45" s="17"/>
      <c r="E45" s="185"/>
      <c r="F45" s="185"/>
      <c r="G45" s="185"/>
      <c r="H45" s="185"/>
      <c r="I45" s="186"/>
      <c r="J45" s="186"/>
      <c r="K45" s="186"/>
      <c r="L45" s="185"/>
      <c r="M45" s="3"/>
      <c r="N45" s="185"/>
      <c r="O45" s="185"/>
      <c r="P45" s="185"/>
      <c r="Q45" s="186"/>
      <c r="R45" s="186"/>
      <c r="S45" s="186"/>
    </row>
    <row r="46" spans="1:19" x14ac:dyDescent="0.3">
      <c r="A46" s="3" t="str">
        <f>IF(AND(E46=0,F46=0,G46=0,I46=0,J46=0,K46=0),"Do Not Print","Print")</f>
        <v>Do Not Print</v>
      </c>
      <c r="B46" s="3" t="s">
        <v>151</v>
      </c>
      <c r="C46" s="18" t="s">
        <v>162</v>
      </c>
      <c r="D46" s="3"/>
      <c r="E46" s="185">
        <f>'Notes 3 to 10'!E396</f>
        <v>0</v>
      </c>
      <c r="F46" s="185">
        <v>0</v>
      </c>
      <c r="G46" s="185">
        <f>E46+F46</f>
        <v>0</v>
      </c>
      <c r="H46" s="185"/>
      <c r="I46" s="186">
        <f>'Notes 3 to 10'!F396</f>
        <v>0</v>
      </c>
      <c r="J46" s="186">
        <v>0</v>
      </c>
      <c r="K46" s="186">
        <f>I46+J46</f>
        <v>0</v>
      </c>
      <c r="L46" s="185"/>
      <c r="M46" s="3"/>
      <c r="N46" s="185">
        <f t="shared" ref="N46:P49" si="41">ROUND(E46,0)</f>
        <v>0</v>
      </c>
      <c r="O46" s="185">
        <f t="shared" si="41"/>
        <v>0</v>
      </c>
      <c r="P46" s="185">
        <f t="shared" si="41"/>
        <v>0</v>
      </c>
      <c r="Q46" s="186">
        <f t="shared" ref="Q46:S51" si="42">ROUND(I46,0)</f>
        <v>0</v>
      </c>
      <c r="R46" s="186">
        <f t="shared" si="42"/>
        <v>0</v>
      </c>
      <c r="S46" s="186">
        <f t="shared" si="42"/>
        <v>0</v>
      </c>
    </row>
    <row r="47" spans="1:19" ht="27.6" x14ac:dyDescent="0.3">
      <c r="A47" s="3" t="str">
        <f>IF(AND(E47=0,F47=0,G47=0,I47=0,J47=0,K47=0),"Do Not Print","Print")</f>
        <v>Do Not Print</v>
      </c>
      <c r="B47" s="3" t="s">
        <v>151</v>
      </c>
      <c r="C47" s="18" t="s">
        <v>163</v>
      </c>
      <c r="D47" s="3"/>
      <c r="E47" s="185">
        <f>IF(VLOOKUP($C47,OE,5,0)&gt;0,VLOOKUP($C47,OE,5,0),0)</f>
        <v>0</v>
      </c>
      <c r="F47" s="185">
        <f>IF(VLOOKUP($C47,OE,5,0)&lt;0,VLOOKUP($C47,OE,5,0),0)</f>
        <v>0</v>
      </c>
      <c r="G47" s="185">
        <f>E47+F47</f>
        <v>0</v>
      </c>
      <c r="H47" s="185"/>
      <c r="I47" s="186">
        <f>IF(VLOOKUP($C47,OE,11,0)&gt;0,VLOOKUP($C47,OE,11,0),0)</f>
        <v>0</v>
      </c>
      <c r="J47" s="186">
        <f>IF(VLOOKUP($C47,OE,11,0)&lt;0,VLOOKUP($C47,OE,11,0),0)</f>
        <v>0</v>
      </c>
      <c r="K47" s="186">
        <f>I47+J47</f>
        <v>0</v>
      </c>
      <c r="L47" s="185"/>
      <c r="M47" s="3"/>
      <c r="N47" s="185">
        <f t="shared" si="41"/>
        <v>0</v>
      </c>
      <c r="O47" s="185">
        <f t="shared" si="41"/>
        <v>0</v>
      </c>
      <c r="P47" s="185">
        <f t="shared" si="41"/>
        <v>0</v>
      </c>
      <c r="Q47" s="186">
        <f t="shared" si="42"/>
        <v>0</v>
      </c>
      <c r="R47" s="186">
        <f t="shared" si="42"/>
        <v>0</v>
      </c>
      <c r="S47" s="186">
        <f t="shared" si="42"/>
        <v>0</v>
      </c>
    </row>
    <row r="48" spans="1:19" ht="27.6" x14ac:dyDescent="0.3">
      <c r="A48" s="3" t="str">
        <f>IF(AND(E48=0,F48=0,G48=0,I48=0,J48=0,K48=0),"Do Not Print","Print")</f>
        <v>Do Not Print</v>
      </c>
      <c r="B48" s="3" t="s">
        <v>151</v>
      </c>
      <c r="C48" s="18" t="s">
        <v>117</v>
      </c>
      <c r="D48" s="3"/>
      <c r="E48" s="185">
        <f>IF(VLOOKUP($C48,OE,5,0)&gt;0,VLOOKUP($C48,OE,5,0),0)</f>
        <v>0</v>
      </c>
      <c r="F48" s="185">
        <f>IF(VLOOKUP($C48,OE,5,0)&lt;0,VLOOKUP($C48,OE,5,0),0)</f>
        <v>0</v>
      </c>
      <c r="G48" s="185">
        <f>E48+F48</f>
        <v>0</v>
      </c>
      <c r="H48" s="185"/>
      <c r="I48" s="186">
        <f>IF(VLOOKUP($C48,OE,11,0)&gt;0,VLOOKUP($C48,OE,11,0),0)</f>
        <v>0</v>
      </c>
      <c r="J48" s="186">
        <f>IF(VLOOKUP($C48,OE,11,0)&lt;0,VLOOKUP($C48,OE,11,0),0)</f>
        <v>0</v>
      </c>
      <c r="K48" s="186">
        <f>I48+J48</f>
        <v>0</v>
      </c>
      <c r="L48" s="185"/>
      <c r="M48" s="3"/>
      <c r="N48" s="185">
        <f t="shared" si="41"/>
        <v>0</v>
      </c>
      <c r="O48" s="185">
        <f t="shared" si="41"/>
        <v>0</v>
      </c>
      <c r="P48" s="185">
        <f t="shared" si="41"/>
        <v>0</v>
      </c>
      <c r="Q48" s="186">
        <f t="shared" si="42"/>
        <v>0</v>
      </c>
      <c r="R48" s="186">
        <f t="shared" si="42"/>
        <v>0</v>
      </c>
      <c r="S48" s="186">
        <f t="shared" si="42"/>
        <v>0</v>
      </c>
    </row>
    <row r="49" spans="1:19" ht="23.25" customHeight="1" x14ac:dyDescent="0.3">
      <c r="A49" s="3" t="str">
        <f>IF(AND(E49=0,F49=0,G49=0,I49=0,J49=0,K49=0),"Do Not Print","Print")</f>
        <v>Do Not Print</v>
      </c>
      <c r="B49" s="3" t="s">
        <v>151</v>
      </c>
      <c r="C49" s="18" t="s">
        <v>152</v>
      </c>
      <c r="D49" s="3"/>
      <c r="E49" s="185">
        <f>IF(VLOOKUP($C49,OE,5,0)&gt;0,VLOOKUP($C49,OE,5,0),0)</f>
        <v>0</v>
      </c>
      <c r="F49" s="185">
        <f>IF(VLOOKUP($C49,OE,5,0)&lt;0,VLOOKUP($C49,OE,5,0),0)</f>
        <v>0</v>
      </c>
      <c r="G49" s="185">
        <f>E49+F49</f>
        <v>0</v>
      </c>
      <c r="H49" s="185"/>
      <c r="I49" s="186">
        <f>IF(VLOOKUP($C49,OE,11,0)&gt;0,VLOOKUP($C49,OE,11,0),0)</f>
        <v>0</v>
      </c>
      <c r="J49" s="186">
        <f>IF(VLOOKUP($C49,OE,11,0)&lt;0,VLOOKUP($C49,OE,11,0),0)</f>
        <v>0</v>
      </c>
      <c r="K49" s="186">
        <f>I49+J49</f>
        <v>0</v>
      </c>
      <c r="L49" s="185"/>
      <c r="M49" s="3"/>
      <c r="N49" s="185">
        <f t="shared" si="41"/>
        <v>0</v>
      </c>
      <c r="O49" s="185">
        <f t="shared" si="41"/>
        <v>0</v>
      </c>
      <c r="P49" s="185">
        <f t="shared" si="41"/>
        <v>0</v>
      </c>
      <c r="Q49" s="186">
        <f t="shared" si="42"/>
        <v>0</v>
      </c>
      <c r="R49" s="186">
        <f t="shared" si="42"/>
        <v>0</v>
      </c>
      <c r="S49" s="186">
        <f t="shared" si="42"/>
        <v>0</v>
      </c>
    </row>
    <row r="50" spans="1:19" x14ac:dyDescent="0.3">
      <c r="A50" s="3" t="s">
        <v>448</v>
      </c>
      <c r="B50" s="3"/>
      <c r="C50" s="18"/>
      <c r="D50" s="3"/>
      <c r="E50" s="185"/>
      <c r="F50" s="185"/>
      <c r="G50" s="185"/>
      <c r="H50" s="185"/>
      <c r="I50" s="186"/>
      <c r="J50" s="186"/>
      <c r="K50" s="186"/>
      <c r="L50" s="185"/>
      <c r="M50" s="3"/>
      <c r="N50" s="185"/>
      <c r="O50" s="185"/>
      <c r="P50" s="185"/>
      <c r="Q50" s="186"/>
      <c r="R50" s="186"/>
      <c r="S50" s="186"/>
    </row>
    <row r="51" spans="1:19" ht="27.6" x14ac:dyDescent="0.3">
      <c r="A51" s="3" t="str">
        <f>IF(AND(E51=0,F51=0,G51=0,I51=0,J51=0,K51=0),"Do Not Print","Print")</f>
        <v>Do Not Print</v>
      </c>
      <c r="B51" s="3"/>
      <c r="C51" s="38" t="s">
        <v>161</v>
      </c>
      <c r="D51" s="6"/>
      <c r="E51" s="183">
        <f t="shared" ref="E51:K51" si="43">SUM(E46:E50)</f>
        <v>0</v>
      </c>
      <c r="F51" s="183">
        <f t="shared" si="43"/>
        <v>0</v>
      </c>
      <c r="G51" s="183">
        <f t="shared" si="43"/>
        <v>0</v>
      </c>
      <c r="H51" s="183"/>
      <c r="I51" s="184">
        <f t="shared" si="43"/>
        <v>0</v>
      </c>
      <c r="J51" s="184">
        <f t="shared" si="43"/>
        <v>0</v>
      </c>
      <c r="K51" s="184">
        <f t="shared" si="43"/>
        <v>0</v>
      </c>
      <c r="L51" s="185"/>
      <c r="M51" s="3"/>
      <c r="N51" s="185">
        <f>ROUND(E51,0)</f>
        <v>0</v>
      </c>
      <c r="O51" s="185">
        <f>ROUND(F51,0)</f>
        <v>0</v>
      </c>
      <c r="P51" s="185">
        <f>ROUND(G51,0)</f>
        <v>0</v>
      </c>
      <c r="Q51" s="186">
        <f t="shared" si="42"/>
        <v>0</v>
      </c>
      <c r="R51" s="186">
        <f>ROUND(J51,0)</f>
        <v>0</v>
      </c>
      <c r="S51" s="186">
        <f>ROUND(K51,0)</f>
        <v>0</v>
      </c>
    </row>
    <row r="52" spans="1:19" x14ac:dyDescent="0.3">
      <c r="A52" s="3" t="s">
        <v>448</v>
      </c>
      <c r="B52" s="3"/>
      <c r="C52" s="18"/>
      <c r="D52" s="3"/>
      <c r="E52" s="185"/>
      <c r="F52" s="185"/>
      <c r="G52" s="185"/>
      <c r="H52" s="185"/>
      <c r="I52" s="186"/>
      <c r="J52" s="186"/>
      <c r="K52" s="186"/>
      <c r="L52" s="185"/>
      <c r="M52" s="3"/>
      <c r="N52" s="185"/>
      <c r="O52" s="185"/>
      <c r="P52" s="185"/>
      <c r="Q52" s="186"/>
      <c r="R52" s="186"/>
      <c r="S52" s="186"/>
    </row>
    <row r="53" spans="1:19" ht="41.4" x14ac:dyDescent="0.3">
      <c r="A53" s="3" t="s">
        <v>448</v>
      </c>
      <c r="B53" s="3"/>
      <c r="C53" s="40" t="s">
        <v>164</v>
      </c>
      <c r="D53" s="17"/>
      <c r="E53" s="185"/>
      <c r="F53" s="185"/>
      <c r="G53" s="185"/>
      <c r="H53" s="185"/>
      <c r="I53" s="186"/>
      <c r="J53" s="186"/>
      <c r="K53" s="186"/>
      <c r="L53" s="185"/>
      <c r="M53" s="3"/>
      <c r="N53" s="185"/>
      <c r="O53" s="185"/>
      <c r="P53" s="185"/>
      <c r="Q53" s="186"/>
      <c r="R53" s="186"/>
      <c r="S53" s="186"/>
    </row>
    <row r="54" spans="1:19" ht="27.6" x14ac:dyDescent="0.3">
      <c r="A54" s="3" t="s">
        <v>448</v>
      </c>
      <c r="B54" s="3"/>
      <c r="C54" s="40" t="s">
        <v>118</v>
      </c>
      <c r="D54" s="17"/>
      <c r="E54" s="185"/>
      <c r="F54" s="185"/>
      <c r="G54" s="185"/>
      <c r="H54" s="185"/>
      <c r="I54" s="186"/>
      <c r="J54" s="186"/>
      <c r="K54" s="186"/>
      <c r="L54" s="185"/>
      <c r="M54" s="3"/>
      <c r="N54" s="185"/>
      <c r="O54" s="185"/>
      <c r="P54" s="185"/>
      <c r="Q54" s="186"/>
      <c r="R54" s="186"/>
      <c r="S54" s="186"/>
    </row>
    <row r="55" spans="1:19" ht="27.6" x14ac:dyDescent="0.3">
      <c r="A55" s="3" t="str">
        <f>IF(AND(E55=0,F55=0,G55=0,I55=0,J55=0,K55=0),"Do Not Print","Print")</f>
        <v>Do Not Print</v>
      </c>
      <c r="B55" s="3" t="s">
        <v>146</v>
      </c>
      <c r="C55" s="18" t="s">
        <v>2967</v>
      </c>
      <c r="D55" s="3"/>
      <c r="E55" s="185">
        <f>IF(VLOOKUP($C55,IP,5,0)&gt;0,VLOOKUP($C55,IP,5,0),0)</f>
        <v>0</v>
      </c>
      <c r="F55" s="185">
        <f>-IF(VLOOKUP($C55,IP,5,0)&lt;0,VLOOKUP($C55,IP,5,0),0)</f>
        <v>0</v>
      </c>
      <c r="G55" s="185">
        <f>E55+F55</f>
        <v>0</v>
      </c>
      <c r="H55" s="185"/>
      <c r="I55" s="186">
        <f>IF(VLOOKUP($C55,IP,11,0)&gt;0,VLOOKUP($C55,IP,11,0),0)</f>
        <v>0</v>
      </c>
      <c r="J55" s="186">
        <f>-IF(VLOOKUP($C55,IP,11,0)&lt;0,VLOOKUP($C55,IP,11,0),0)</f>
        <v>0</v>
      </c>
      <c r="K55" s="186">
        <f>I55+J55</f>
        <v>0</v>
      </c>
      <c r="L55" s="185"/>
      <c r="M55" s="3"/>
      <c r="N55" s="185">
        <f t="shared" ref="N55:P58" si="44">ROUND(E55,0)</f>
        <v>0</v>
      </c>
      <c r="O55" s="185">
        <f t="shared" si="44"/>
        <v>0</v>
      </c>
      <c r="P55" s="185">
        <f t="shared" si="44"/>
        <v>0</v>
      </c>
      <c r="Q55" s="186">
        <f t="shared" ref="Q55:S61" si="45">ROUND(I55,0)</f>
        <v>0</v>
      </c>
      <c r="R55" s="186">
        <f t="shared" si="45"/>
        <v>0</v>
      </c>
      <c r="S55" s="186">
        <f t="shared" si="45"/>
        <v>0</v>
      </c>
    </row>
    <row r="56" spans="1:19" x14ac:dyDescent="0.3">
      <c r="A56" s="3" t="str">
        <f>IF(AND(E56=0,F56=0,G56=0,I56=0,J56=0,K56=0),"Do Not Print","Print")</f>
        <v>Do Not Print</v>
      </c>
      <c r="B56" s="3" t="s">
        <v>146</v>
      </c>
      <c r="C56" s="18" t="s">
        <v>166</v>
      </c>
      <c r="D56" s="3"/>
      <c r="E56" s="185">
        <f>IF(VLOOKUP($C56,IP,5,0)&gt;0,VLOOKUP($C56,IP,5,0),0)</f>
        <v>0</v>
      </c>
      <c r="F56" s="185">
        <f>-IF(VLOOKUP($C56,IP,5,0)&lt;0,VLOOKUP($C56,IP,5,0),0)</f>
        <v>0</v>
      </c>
      <c r="G56" s="185">
        <f>E56+F56</f>
        <v>0</v>
      </c>
      <c r="H56" s="185"/>
      <c r="I56" s="186">
        <f>IF(VLOOKUP($C56,IP,11,0)&gt;0,VLOOKUP($C56,IP,11,0),0)</f>
        <v>0</v>
      </c>
      <c r="J56" s="186">
        <f>-IF(VLOOKUP($C56,IP,11,0)&lt;0,VLOOKUP($C56,IP,11,0),0)</f>
        <v>0</v>
      </c>
      <c r="K56" s="186">
        <f>I56+J56</f>
        <v>0</v>
      </c>
      <c r="L56" s="185"/>
      <c r="M56" s="3"/>
      <c r="N56" s="185">
        <f t="shared" si="44"/>
        <v>0</v>
      </c>
      <c r="O56" s="185">
        <f t="shared" si="44"/>
        <v>0</v>
      </c>
      <c r="P56" s="185">
        <f t="shared" si="44"/>
        <v>0</v>
      </c>
      <c r="Q56" s="186">
        <f t="shared" si="45"/>
        <v>0</v>
      </c>
      <c r="R56" s="186">
        <f t="shared" si="45"/>
        <v>0</v>
      </c>
      <c r="S56" s="186">
        <f t="shared" si="45"/>
        <v>0</v>
      </c>
    </row>
    <row r="57" spans="1:19" ht="27.6" x14ac:dyDescent="0.3">
      <c r="A57" s="3" t="str">
        <f>IF(AND(E57=0,F57=0,G57=0,I57=0,J57=0,K57=0),"Do Not Print","Print")</f>
        <v>Do Not Print</v>
      </c>
      <c r="B57" s="3" t="s">
        <v>146</v>
      </c>
      <c r="C57" s="18" t="s">
        <v>168</v>
      </c>
      <c r="D57" s="3"/>
      <c r="E57" s="185">
        <f>IF(VLOOKUP($C57,IP,5,0)&gt;0,VLOOKUP($C57,IP,5,0),0)</f>
        <v>0</v>
      </c>
      <c r="F57" s="185">
        <f>-IF(VLOOKUP($C57,IP,5,0)&lt;0,VLOOKUP($C57,IP,5,0),0)</f>
        <v>0</v>
      </c>
      <c r="G57" s="185">
        <f>E57+F57</f>
        <v>0</v>
      </c>
      <c r="H57" s="185"/>
      <c r="I57" s="186">
        <f>IF(VLOOKUP($C57,IP,11,0)&gt;0,VLOOKUP($C57,IP,11,0),0)</f>
        <v>0</v>
      </c>
      <c r="J57" s="186">
        <f>-IF(VLOOKUP($C57,IP,11,0)&lt;0,VLOOKUP($C57,IP,11,0),0)</f>
        <v>0</v>
      </c>
      <c r="K57" s="186">
        <f>I57+J57</f>
        <v>0</v>
      </c>
      <c r="L57" s="185"/>
      <c r="M57" s="3"/>
      <c r="N57" s="185">
        <f t="shared" si="44"/>
        <v>0</v>
      </c>
      <c r="O57" s="185">
        <f t="shared" si="44"/>
        <v>0</v>
      </c>
      <c r="P57" s="185">
        <f t="shared" si="44"/>
        <v>0</v>
      </c>
      <c r="Q57" s="186">
        <f t="shared" si="45"/>
        <v>0</v>
      </c>
      <c r="R57" s="186">
        <f t="shared" si="45"/>
        <v>0</v>
      </c>
      <c r="S57" s="186">
        <f t="shared" si="45"/>
        <v>0</v>
      </c>
    </row>
    <row r="58" spans="1:19" x14ac:dyDescent="0.3">
      <c r="A58" s="3" t="str">
        <f>IF(AND(E58=0,F58=0,G58=0,I58=0,J58=0,K58=0),"Do Not Print","Print")</f>
        <v>Do Not Print</v>
      </c>
      <c r="B58" s="3" t="s">
        <v>146</v>
      </c>
      <c r="C58" s="18" t="s">
        <v>170</v>
      </c>
      <c r="D58" s="3"/>
      <c r="E58" s="185">
        <f>IF(VLOOKUP($C58,IP,5,0)&gt;0,VLOOKUP($C58,IP,5,0),0)</f>
        <v>0</v>
      </c>
      <c r="F58" s="185">
        <f>-IF(VLOOKUP($C58,IP,5,0)&lt;0,VLOOKUP($C58,IP,5,0),0)</f>
        <v>0</v>
      </c>
      <c r="G58" s="185">
        <f>E58+F58</f>
        <v>0</v>
      </c>
      <c r="H58" s="185"/>
      <c r="I58" s="186">
        <f>IF(VLOOKUP($C58,IP,11,0)&gt;0,VLOOKUP($C58,IP,11,0),0)</f>
        <v>0</v>
      </c>
      <c r="J58" s="186">
        <f>-IF(VLOOKUP($C58,IP,11,0)&lt;0,VLOOKUP($C58,IP,11,0),0)</f>
        <v>0</v>
      </c>
      <c r="K58" s="186">
        <f>I58+J58</f>
        <v>0</v>
      </c>
      <c r="L58" s="185"/>
      <c r="M58" s="3"/>
      <c r="N58" s="185">
        <f t="shared" si="44"/>
        <v>0</v>
      </c>
      <c r="O58" s="185">
        <f t="shared" si="44"/>
        <v>0</v>
      </c>
      <c r="P58" s="185">
        <f t="shared" si="44"/>
        <v>0</v>
      </c>
      <c r="Q58" s="186">
        <f t="shared" si="45"/>
        <v>0</v>
      </c>
      <c r="R58" s="186">
        <f t="shared" si="45"/>
        <v>0</v>
      </c>
      <c r="S58" s="186">
        <f t="shared" si="45"/>
        <v>0</v>
      </c>
    </row>
    <row r="59" spans="1:19" ht="27.6" x14ac:dyDescent="0.3">
      <c r="A59" s="3" t="str">
        <f>IF(AND(E59=0,F59=0,G59=0,I59=0,J59=0,K59=0),"Do Not Print","Print")</f>
        <v>Do Not Print</v>
      </c>
      <c r="B59" s="3" t="s">
        <v>146</v>
      </c>
      <c r="C59" s="18" t="s">
        <v>172</v>
      </c>
      <c r="D59" s="3"/>
      <c r="E59" s="185">
        <f>IF(VLOOKUP($C59,IP,5,0)&gt;0,VLOOKUP($C59,IP,5,0),0)</f>
        <v>0</v>
      </c>
      <c r="F59" s="185">
        <f>-IF(VLOOKUP($C59,IP,5,0)&lt;0,VLOOKUP($C59,IP,5,0),0)</f>
        <v>0</v>
      </c>
      <c r="G59" s="185">
        <f>E59+F59</f>
        <v>0</v>
      </c>
      <c r="H59" s="185"/>
      <c r="I59" s="186">
        <f>IF(VLOOKUP($C59,IP,11,0)&gt;0,VLOOKUP($C59,IP,11,0),0)</f>
        <v>0</v>
      </c>
      <c r="J59" s="186">
        <f>-IF(VLOOKUP($C59,IP,11,0)&lt;0,VLOOKUP($C59,IP,11,0),0)</f>
        <v>0</v>
      </c>
      <c r="K59" s="186">
        <f>I59+J59</f>
        <v>0</v>
      </c>
      <c r="L59" s="185"/>
      <c r="M59" s="3"/>
      <c r="N59" s="185">
        <f>ROUND(E59,0)</f>
        <v>0</v>
      </c>
      <c r="O59" s="185">
        <f>ROUND(F59,0)</f>
        <v>0</v>
      </c>
      <c r="P59" s="185">
        <f>ROUND(G59,0)</f>
        <v>0</v>
      </c>
      <c r="Q59" s="186">
        <f>ROUND(I59,0)</f>
        <v>0</v>
      </c>
      <c r="R59" s="186">
        <f>ROUND(J59,0)</f>
        <v>0</v>
      </c>
      <c r="S59" s="186">
        <f>ROUND(K59,0)</f>
        <v>0</v>
      </c>
    </row>
    <row r="60" spans="1:19" x14ac:dyDescent="0.3">
      <c r="A60" s="3" t="s">
        <v>448</v>
      </c>
      <c r="B60" s="3"/>
      <c r="C60" s="18"/>
      <c r="D60" s="3"/>
      <c r="E60" s="185"/>
      <c r="F60" s="185"/>
      <c r="G60" s="185"/>
      <c r="H60" s="185"/>
      <c r="I60" s="186"/>
      <c r="J60" s="186"/>
      <c r="K60" s="186"/>
      <c r="L60" s="185"/>
      <c r="M60" s="3"/>
      <c r="N60" s="185"/>
      <c r="O60" s="185"/>
      <c r="P60" s="185"/>
      <c r="Q60" s="186"/>
      <c r="R60" s="186"/>
      <c r="S60" s="186"/>
    </row>
    <row r="61" spans="1:19" ht="27.6" x14ac:dyDescent="0.3">
      <c r="A61" s="3" t="s">
        <v>448</v>
      </c>
      <c r="B61" s="3"/>
      <c r="C61" s="38" t="s">
        <v>118</v>
      </c>
      <c r="D61" s="6"/>
      <c r="E61" s="183">
        <f>SUM(E55:E60)</f>
        <v>0</v>
      </c>
      <c r="F61" s="183">
        <f>SUM(F55:F60)</f>
        <v>0</v>
      </c>
      <c r="G61" s="183">
        <f>SUM(G55:G60)</f>
        <v>0</v>
      </c>
      <c r="H61" s="183"/>
      <c r="I61" s="184">
        <f>SUM(I55:I60)</f>
        <v>0</v>
      </c>
      <c r="J61" s="184">
        <f>SUM(J55:J60)</f>
        <v>0</v>
      </c>
      <c r="K61" s="184">
        <f>SUM(K55:K60)</f>
        <v>0</v>
      </c>
      <c r="L61" s="185"/>
      <c r="M61" s="185"/>
      <c r="N61" s="185">
        <f>ROUND(E61,0)</f>
        <v>0</v>
      </c>
      <c r="O61" s="185">
        <f>ROUND(F61,0)</f>
        <v>0</v>
      </c>
      <c r="P61" s="185">
        <f>ROUND(G61,0)</f>
        <v>0</v>
      </c>
      <c r="Q61" s="186">
        <f t="shared" si="45"/>
        <v>0</v>
      </c>
      <c r="R61" s="186">
        <f>ROUND(J61,0)</f>
        <v>0</v>
      </c>
      <c r="S61" s="186">
        <f>ROUND(K61,0)</f>
        <v>0</v>
      </c>
    </row>
    <row r="62" spans="1:19" x14ac:dyDescent="0.3">
      <c r="A62" s="3" t="s">
        <v>448</v>
      </c>
      <c r="B62" s="3"/>
      <c r="C62" s="18"/>
      <c r="D62" s="3"/>
      <c r="E62" s="185"/>
      <c r="F62" s="185"/>
      <c r="G62" s="185"/>
      <c r="H62" s="185"/>
      <c r="I62" s="186"/>
      <c r="J62" s="186"/>
      <c r="K62" s="186"/>
      <c r="L62" s="185"/>
      <c r="M62" s="185"/>
      <c r="N62" s="185"/>
      <c r="O62" s="185"/>
      <c r="P62" s="185"/>
      <c r="Q62" s="186"/>
      <c r="R62" s="186"/>
      <c r="S62" s="186"/>
    </row>
    <row r="63" spans="1:19" ht="27.6" x14ac:dyDescent="0.3">
      <c r="A63" s="3" t="s">
        <v>448</v>
      </c>
      <c r="B63" s="3"/>
      <c r="C63" s="40" t="s">
        <v>119</v>
      </c>
      <c r="D63" s="17"/>
      <c r="E63" s="185"/>
      <c r="F63" s="185"/>
      <c r="G63" s="185"/>
      <c r="H63" s="185"/>
      <c r="I63" s="186"/>
      <c r="J63" s="186"/>
      <c r="K63" s="186"/>
      <c r="L63" s="185"/>
      <c r="M63" s="185"/>
      <c r="N63" s="185"/>
      <c r="O63" s="185"/>
      <c r="P63" s="185"/>
      <c r="Q63" s="186"/>
      <c r="R63" s="186"/>
      <c r="S63" s="186"/>
    </row>
    <row r="64" spans="1:19" x14ac:dyDescent="0.3">
      <c r="A64" s="3" t="str">
        <f t="shared" ref="A64:A73" si="46">IF(AND(E64=0,F64=0,G64=0,I64=0,J64=0,K64=0),"Do Not Print","Print")</f>
        <v>Do Not Print</v>
      </c>
      <c r="B64" s="3" t="s">
        <v>147</v>
      </c>
      <c r="C64" s="18" t="s">
        <v>173</v>
      </c>
      <c r="D64" s="3"/>
      <c r="E64" s="185">
        <f t="shared" ref="E64:E71" si="47">IF(VLOOKUP($C64,IR,5,0)&gt;0,VLOOKUP($C64,IR,5,0),0)</f>
        <v>0</v>
      </c>
      <c r="F64" s="185">
        <f t="shared" ref="F64:F71" si="48">-IF(VLOOKUP($C64,IR,5,0)&lt;0,-VLOOKUP($C64,IR,5,0),0)</f>
        <v>0</v>
      </c>
      <c r="G64" s="185">
        <f>SUM(E64:F64)</f>
        <v>0</v>
      </c>
      <c r="H64" s="185"/>
      <c r="I64" s="186">
        <f t="shared" ref="I64:I71" si="49">IF(VLOOKUP($C64,IR,11,0)&gt;0,VLOOKUP($C64,IR,11,0),0)</f>
        <v>0</v>
      </c>
      <c r="J64" s="186">
        <f t="shared" ref="J64:J71" si="50">-IF(VLOOKUP($C64,IR,11,0)&lt;0,-VLOOKUP($C64,IR,11,0),0)</f>
        <v>0</v>
      </c>
      <c r="K64" s="186">
        <f>SUM(I64:J64)</f>
        <v>0</v>
      </c>
      <c r="L64" s="185"/>
      <c r="M64" s="185"/>
      <c r="N64" s="185">
        <f t="shared" ref="N64:P71" si="51">ROUND(E64,0)</f>
        <v>0</v>
      </c>
      <c r="O64" s="185">
        <f t="shared" si="51"/>
        <v>0</v>
      </c>
      <c r="P64" s="185">
        <f t="shared" si="51"/>
        <v>0</v>
      </c>
      <c r="Q64" s="186">
        <f t="shared" ref="Q64:R69" si="52">ROUND(I64,0)</f>
        <v>0</v>
      </c>
      <c r="R64" s="186">
        <f>ROUND(J64,0)</f>
        <v>0</v>
      </c>
      <c r="S64" s="186">
        <f>ROUND(K64,0)</f>
        <v>0</v>
      </c>
    </row>
    <row r="65" spans="1:19" ht="27.6" x14ac:dyDescent="0.3">
      <c r="A65" s="3" t="str">
        <f t="shared" si="46"/>
        <v>Do Not Print</v>
      </c>
      <c r="B65" s="3" t="s">
        <v>147</v>
      </c>
      <c r="C65" s="18" t="s">
        <v>174</v>
      </c>
      <c r="D65" s="3"/>
      <c r="E65" s="185">
        <f t="shared" si="47"/>
        <v>0</v>
      </c>
      <c r="F65" s="185">
        <f t="shared" si="48"/>
        <v>0</v>
      </c>
      <c r="G65" s="185">
        <f t="shared" ref="G65:G71" si="53">SUM(E65:F65)</f>
        <v>0</v>
      </c>
      <c r="H65" s="185"/>
      <c r="I65" s="186">
        <f t="shared" si="49"/>
        <v>0</v>
      </c>
      <c r="J65" s="186">
        <f t="shared" si="50"/>
        <v>0</v>
      </c>
      <c r="K65" s="186">
        <f t="shared" ref="K65:K71" si="54">SUM(I65:J65)</f>
        <v>0</v>
      </c>
      <c r="L65" s="185"/>
      <c r="M65" s="185"/>
      <c r="N65" s="185">
        <f t="shared" si="51"/>
        <v>0</v>
      </c>
      <c r="O65" s="185">
        <f t="shared" si="51"/>
        <v>0</v>
      </c>
      <c r="P65" s="185">
        <f t="shared" si="51"/>
        <v>0</v>
      </c>
      <c r="Q65" s="186">
        <f t="shared" si="52"/>
        <v>0</v>
      </c>
      <c r="R65" s="186">
        <f>ROUND(J65,0)</f>
        <v>0</v>
      </c>
      <c r="S65" s="186">
        <f t="shared" ref="S65:S81" si="55">ROUND(K65,0)</f>
        <v>0</v>
      </c>
    </row>
    <row r="66" spans="1:19" ht="27.6" x14ac:dyDescent="0.3">
      <c r="A66" s="3" t="str">
        <f t="shared" si="46"/>
        <v>Do Not Print</v>
      </c>
      <c r="B66" s="3" t="s">
        <v>147</v>
      </c>
      <c r="C66" s="18" t="s">
        <v>175</v>
      </c>
      <c r="D66" s="3"/>
      <c r="E66" s="185">
        <f t="shared" si="47"/>
        <v>0</v>
      </c>
      <c r="F66" s="185">
        <f t="shared" si="48"/>
        <v>0</v>
      </c>
      <c r="G66" s="185">
        <f t="shared" si="53"/>
        <v>0</v>
      </c>
      <c r="H66" s="185"/>
      <c r="I66" s="186">
        <f t="shared" si="49"/>
        <v>0</v>
      </c>
      <c r="J66" s="186">
        <f t="shared" si="50"/>
        <v>0</v>
      </c>
      <c r="K66" s="186">
        <f t="shared" si="54"/>
        <v>0</v>
      </c>
      <c r="L66" s="185"/>
      <c r="M66" s="185"/>
      <c r="N66" s="185">
        <f t="shared" si="51"/>
        <v>0</v>
      </c>
      <c r="O66" s="185">
        <f t="shared" si="51"/>
        <v>0</v>
      </c>
      <c r="P66" s="185">
        <f t="shared" si="51"/>
        <v>0</v>
      </c>
      <c r="Q66" s="186">
        <f t="shared" si="52"/>
        <v>0</v>
      </c>
      <c r="R66" s="186">
        <f t="shared" si="52"/>
        <v>0</v>
      </c>
      <c r="S66" s="186">
        <f t="shared" si="55"/>
        <v>0</v>
      </c>
    </row>
    <row r="67" spans="1:19" x14ac:dyDescent="0.3">
      <c r="A67" s="3" t="str">
        <f t="shared" si="46"/>
        <v>Do Not Print</v>
      </c>
      <c r="B67" s="3" t="s">
        <v>147</v>
      </c>
      <c r="C67" s="18" t="s">
        <v>177</v>
      </c>
      <c r="D67" s="3"/>
      <c r="E67" s="185">
        <f t="shared" si="47"/>
        <v>0</v>
      </c>
      <c r="F67" s="185">
        <f t="shared" si="48"/>
        <v>0</v>
      </c>
      <c r="G67" s="185">
        <f t="shared" si="53"/>
        <v>0</v>
      </c>
      <c r="H67" s="185"/>
      <c r="I67" s="186">
        <f t="shared" si="49"/>
        <v>0</v>
      </c>
      <c r="J67" s="186">
        <f t="shared" si="50"/>
        <v>0</v>
      </c>
      <c r="K67" s="186">
        <f t="shared" si="54"/>
        <v>0</v>
      </c>
      <c r="L67" s="185"/>
      <c r="M67" s="185"/>
      <c r="N67" s="185">
        <f t="shared" si="51"/>
        <v>0</v>
      </c>
      <c r="O67" s="185">
        <f t="shared" si="51"/>
        <v>0</v>
      </c>
      <c r="P67" s="185">
        <f t="shared" si="51"/>
        <v>0</v>
      </c>
      <c r="Q67" s="186">
        <f t="shared" si="52"/>
        <v>0</v>
      </c>
      <c r="R67" s="186">
        <f>ROUND(J67,0)</f>
        <v>0</v>
      </c>
      <c r="S67" s="186">
        <f t="shared" si="55"/>
        <v>0</v>
      </c>
    </row>
    <row r="68" spans="1:19" ht="27.6" x14ac:dyDescent="0.3">
      <c r="A68" s="3" t="str">
        <f t="shared" si="46"/>
        <v>Do Not Print</v>
      </c>
      <c r="B68" s="3" t="s">
        <v>147</v>
      </c>
      <c r="C68" s="18" t="s">
        <v>178</v>
      </c>
      <c r="D68" s="3"/>
      <c r="E68" s="185">
        <f t="shared" si="47"/>
        <v>0</v>
      </c>
      <c r="F68" s="185">
        <f t="shared" si="48"/>
        <v>0</v>
      </c>
      <c r="G68" s="185">
        <f t="shared" si="53"/>
        <v>0</v>
      </c>
      <c r="H68" s="185"/>
      <c r="I68" s="186">
        <f t="shared" si="49"/>
        <v>0</v>
      </c>
      <c r="J68" s="186">
        <f t="shared" si="50"/>
        <v>0</v>
      </c>
      <c r="K68" s="186">
        <f t="shared" si="54"/>
        <v>0</v>
      </c>
      <c r="L68" s="185"/>
      <c r="M68" s="185"/>
      <c r="N68" s="185">
        <f t="shared" si="51"/>
        <v>0</v>
      </c>
      <c r="O68" s="185">
        <f t="shared" si="51"/>
        <v>0</v>
      </c>
      <c r="P68" s="185">
        <f t="shared" si="51"/>
        <v>0</v>
      </c>
      <c r="Q68" s="186">
        <f t="shared" si="52"/>
        <v>0</v>
      </c>
      <c r="R68" s="186">
        <f>ROUND(J68,0)</f>
        <v>0</v>
      </c>
      <c r="S68" s="186">
        <f t="shared" si="55"/>
        <v>0</v>
      </c>
    </row>
    <row r="69" spans="1:19" x14ac:dyDescent="0.3">
      <c r="A69" s="3" t="str">
        <f t="shared" si="46"/>
        <v>Do Not Print</v>
      </c>
      <c r="B69" s="3" t="s">
        <v>147</v>
      </c>
      <c r="C69" s="18" t="s">
        <v>179</v>
      </c>
      <c r="D69" s="3"/>
      <c r="E69" s="185">
        <f t="shared" si="47"/>
        <v>0</v>
      </c>
      <c r="F69" s="185">
        <f t="shared" si="48"/>
        <v>0</v>
      </c>
      <c r="G69" s="185">
        <f t="shared" si="53"/>
        <v>0</v>
      </c>
      <c r="H69" s="185"/>
      <c r="I69" s="186">
        <f t="shared" si="49"/>
        <v>0</v>
      </c>
      <c r="J69" s="186">
        <f t="shared" si="50"/>
        <v>0</v>
      </c>
      <c r="K69" s="186">
        <f t="shared" si="54"/>
        <v>0</v>
      </c>
      <c r="L69" s="185"/>
      <c r="M69" s="185"/>
      <c r="N69" s="185">
        <f t="shared" si="51"/>
        <v>0</v>
      </c>
      <c r="O69" s="185">
        <f t="shared" si="51"/>
        <v>0</v>
      </c>
      <c r="P69" s="185">
        <f t="shared" si="51"/>
        <v>0</v>
      </c>
      <c r="Q69" s="186">
        <f t="shared" si="52"/>
        <v>0</v>
      </c>
      <c r="R69" s="186">
        <f>ROUND(J69,0)</f>
        <v>0</v>
      </c>
      <c r="S69" s="186">
        <f t="shared" si="55"/>
        <v>0</v>
      </c>
    </row>
    <row r="70" spans="1:19" ht="27.6" x14ac:dyDescent="0.3">
      <c r="A70" s="3" t="str">
        <f t="shared" si="46"/>
        <v>Do Not Print</v>
      </c>
      <c r="B70" s="3" t="s">
        <v>147</v>
      </c>
      <c r="C70" s="18" t="s">
        <v>1590</v>
      </c>
      <c r="D70" s="3"/>
      <c r="E70" s="185">
        <f t="shared" si="47"/>
        <v>0</v>
      </c>
      <c r="F70" s="185">
        <f t="shared" si="48"/>
        <v>0</v>
      </c>
      <c r="G70" s="185">
        <f t="shared" si="53"/>
        <v>0</v>
      </c>
      <c r="H70" s="185"/>
      <c r="I70" s="186">
        <f t="shared" si="49"/>
        <v>0</v>
      </c>
      <c r="J70" s="186">
        <f t="shared" si="50"/>
        <v>0</v>
      </c>
      <c r="K70" s="186">
        <f t="shared" ref="K70" si="56">SUM(I70:J70)</f>
        <v>0</v>
      </c>
      <c r="L70" s="185"/>
      <c r="M70" s="185"/>
      <c r="N70" s="185">
        <f t="shared" ref="N70" si="57">ROUND(E70,0)</f>
        <v>0</v>
      </c>
      <c r="O70" s="185">
        <f t="shared" ref="O70" si="58">ROUND(F70,0)</f>
        <v>0</v>
      </c>
      <c r="P70" s="185">
        <f t="shared" ref="P70" si="59">ROUND(G70,0)</f>
        <v>0</v>
      </c>
      <c r="Q70" s="186">
        <f t="shared" ref="Q70" si="60">ROUND(I70,0)</f>
        <v>0</v>
      </c>
      <c r="R70" s="186">
        <f>ROUND(J70,0)</f>
        <v>0</v>
      </c>
      <c r="S70" s="186">
        <f t="shared" ref="S70" si="61">ROUND(K70,0)</f>
        <v>0</v>
      </c>
    </row>
    <row r="71" spans="1:19" x14ac:dyDescent="0.3">
      <c r="A71" s="3" t="str">
        <f t="shared" si="46"/>
        <v>Do Not Print</v>
      </c>
      <c r="B71" s="3" t="s">
        <v>147</v>
      </c>
      <c r="C71" s="18" t="s">
        <v>181</v>
      </c>
      <c r="D71" s="3"/>
      <c r="E71" s="185">
        <f t="shared" si="47"/>
        <v>0</v>
      </c>
      <c r="F71" s="185">
        <f t="shared" si="48"/>
        <v>0</v>
      </c>
      <c r="G71" s="185">
        <f t="shared" si="53"/>
        <v>0</v>
      </c>
      <c r="H71" s="185"/>
      <c r="I71" s="186">
        <f t="shared" si="49"/>
        <v>0</v>
      </c>
      <c r="J71" s="186">
        <f t="shared" si="50"/>
        <v>0</v>
      </c>
      <c r="K71" s="186">
        <f t="shared" si="54"/>
        <v>0</v>
      </c>
      <c r="L71" s="185"/>
      <c r="M71" s="185"/>
      <c r="N71" s="185">
        <f t="shared" si="51"/>
        <v>0</v>
      </c>
      <c r="O71" s="185">
        <f t="shared" si="51"/>
        <v>0</v>
      </c>
      <c r="P71" s="185">
        <f t="shared" si="51"/>
        <v>0</v>
      </c>
      <c r="Q71" s="186">
        <f>ROUND(I71,0)</f>
        <v>0</v>
      </c>
      <c r="R71" s="186">
        <f>ROUND(J71,0)</f>
        <v>0</v>
      </c>
      <c r="S71" s="186">
        <f t="shared" si="55"/>
        <v>0</v>
      </c>
    </row>
    <row r="72" spans="1:19" x14ac:dyDescent="0.3">
      <c r="A72" s="3" t="s">
        <v>448</v>
      </c>
      <c r="B72" s="3"/>
      <c r="C72" s="18"/>
      <c r="D72" s="3"/>
      <c r="E72" s="185"/>
      <c r="F72" s="185"/>
      <c r="G72" s="185"/>
      <c r="H72" s="185"/>
      <c r="I72" s="186"/>
      <c r="J72" s="186"/>
      <c r="K72" s="186"/>
      <c r="L72" s="185"/>
      <c r="M72" s="185"/>
      <c r="N72" s="185"/>
      <c r="O72" s="185"/>
      <c r="P72" s="185"/>
      <c r="Q72" s="186"/>
      <c r="R72" s="186"/>
      <c r="S72" s="186"/>
    </row>
    <row r="73" spans="1:19" ht="27.6" x14ac:dyDescent="0.3">
      <c r="A73" s="3" t="str">
        <f t="shared" si="46"/>
        <v>Do Not Print</v>
      </c>
      <c r="B73" s="3"/>
      <c r="C73" s="38" t="s">
        <v>119</v>
      </c>
      <c r="D73" s="6"/>
      <c r="E73" s="183">
        <f>SUM(E64:E72)</f>
        <v>0</v>
      </c>
      <c r="F73" s="183">
        <f>SUM(F64:F72)</f>
        <v>0</v>
      </c>
      <c r="G73" s="183">
        <f>SUM(E73:F73)</f>
        <v>0</v>
      </c>
      <c r="H73" s="183"/>
      <c r="I73" s="184">
        <f t="shared" ref="I73:J73" si="62">SUM(I64:I72)</f>
        <v>0</v>
      </c>
      <c r="J73" s="184">
        <f t="shared" si="62"/>
        <v>0</v>
      </c>
      <c r="K73" s="184">
        <f>SUM(I73:J73)</f>
        <v>0</v>
      </c>
      <c r="L73" s="185"/>
      <c r="M73" s="185"/>
      <c r="N73" s="185">
        <f>ROUND(E73,0)</f>
        <v>0</v>
      </c>
      <c r="O73" s="185">
        <f>ROUND(F73,0)</f>
        <v>0</v>
      </c>
      <c r="P73" s="185">
        <f>ROUND(G73,0)</f>
        <v>0</v>
      </c>
      <c r="Q73" s="186">
        <f>ROUND(I73,0)</f>
        <v>0</v>
      </c>
      <c r="R73" s="186">
        <f>ROUND(J73,0)</f>
        <v>0</v>
      </c>
      <c r="S73" s="186">
        <f t="shared" si="55"/>
        <v>0</v>
      </c>
    </row>
    <row r="74" spans="1:19" x14ac:dyDescent="0.3">
      <c r="A74" s="3" t="s">
        <v>448</v>
      </c>
      <c r="B74" s="3"/>
      <c r="C74" s="18"/>
      <c r="D74" s="3"/>
      <c r="E74" s="185"/>
      <c r="F74" s="185"/>
      <c r="G74" s="185"/>
      <c r="H74" s="185"/>
      <c r="I74" s="186"/>
      <c r="J74" s="186"/>
      <c r="K74" s="186"/>
      <c r="L74" s="185"/>
      <c r="M74" s="185"/>
      <c r="N74" s="185"/>
      <c r="O74" s="185"/>
      <c r="P74" s="185"/>
      <c r="Q74" s="186"/>
      <c r="R74" s="186"/>
      <c r="S74" s="186"/>
    </row>
    <row r="75" spans="1:19" ht="41.4" x14ac:dyDescent="0.3">
      <c r="A75" s="3" t="str">
        <f>IF(AND(E75=0,F75=0,G75=0,I75=0,J75=0,K75=0),"Do Not Print","Print")</f>
        <v>Do Not Print</v>
      </c>
      <c r="B75" s="3" t="s">
        <v>148</v>
      </c>
      <c r="C75" s="38" t="s">
        <v>948</v>
      </c>
      <c r="D75" s="3"/>
      <c r="E75" s="183">
        <f>IF(G75&gt;0,G75,0)</f>
        <v>0</v>
      </c>
      <c r="F75" s="183">
        <f>IF(G75&lt;0,G75,0)</f>
        <v>0</v>
      </c>
      <c r="G75" s="183">
        <f>'Notes 11c to 24'!J1032</f>
        <v>0</v>
      </c>
      <c r="H75" s="183"/>
      <c r="I75" s="184">
        <f>IF(K75&gt;0,K75,0)</f>
        <v>0</v>
      </c>
      <c r="J75" s="184">
        <f>IF(K75&lt;0,K75,0)</f>
        <v>0</v>
      </c>
      <c r="K75" s="184">
        <f>'Notes 11c to 24'!K1032</f>
        <v>0</v>
      </c>
      <c r="L75" s="183"/>
      <c r="M75" s="183"/>
      <c r="N75" s="185">
        <f>ROUND(E75,0)</f>
        <v>0</v>
      </c>
      <c r="O75" s="185">
        <f>ROUND(F75,0)</f>
        <v>0</v>
      </c>
      <c r="P75" s="185">
        <f>ROUND(G75,0)</f>
        <v>0</v>
      </c>
      <c r="Q75" s="186">
        <f>ROUND(I75,0)</f>
        <v>0</v>
      </c>
      <c r="R75" s="186">
        <f>ROUND(J75,0)</f>
        <v>0</v>
      </c>
      <c r="S75" s="186">
        <f t="shared" si="55"/>
        <v>0</v>
      </c>
    </row>
    <row r="76" spans="1:19" x14ac:dyDescent="0.3">
      <c r="A76" s="3" t="s">
        <v>448</v>
      </c>
      <c r="B76" s="3"/>
      <c r="C76" s="40"/>
      <c r="D76" s="3"/>
      <c r="E76" s="185"/>
      <c r="F76" s="185"/>
      <c r="G76" s="185"/>
      <c r="H76" s="185"/>
      <c r="I76" s="186"/>
      <c r="J76" s="186"/>
      <c r="K76" s="186"/>
      <c r="L76" s="185"/>
      <c r="M76" s="185"/>
      <c r="N76" s="185"/>
      <c r="O76" s="185"/>
      <c r="P76" s="185"/>
      <c r="Q76" s="186"/>
      <c r="R76" s="186"/>
      <c r="S76" s="186"/>
    </row>
    <row r="77" spans="1:19" x14ac:dyDescent="0.3">
      <c r="A77" s="3" t="s">
        <v>448</v>
      </c>
      <c r="B77" s="3"/>
      <c r="C77" s="38" t="s">
        <v>970</v>
      </c>
      <c r="D77" s="3"/>
      <c r="E77" s="185"/>
      <c r="F77" s="185"/>
      <c r="G77" s="185"/>
      <c r="H77" s="185"/>
      <c r="I77" s="186"/>
      <c r="J77" s="186"/>
      <c r="K77" s="186"/>
      <c r="L77" s="185"/>
      <c r="M77" s="185"/>
      <c r="N77" s="185"/>
      <c r="O77" s="185"/>
      <c r="P77" s="185"/>
      <c r="Q77" s="186"/>
      <c r="R77" s="186"/>
      <c r="S77" s="186"/>
    </row>
    <row r="78" spans="1:19" x14ac:dyDescent="0.3">
      <c r="A78" s="3" t="str">
        <f>IF(AND(E78=0,F78=0,G78=0,I78=0,J78=0,K78=0),"Do Not Print","Print")</f>
        <v>Do Not Print</v>
      </c>
      <c r="B78" s="3" t="s">
        <v>149</v>
      </c>
      <c r="C78" s="2" t="s">
        <v>182</v>
      </c>
      <c r="D78" s="3"/>
      <c r="E78" s="185">
        <f>IF(VLOOKUP($C78,TO,5,0)&gt;0,VLOOKUP($C78,TO,5,0),0)</f>
        <v>0</v>
      </c>
      <c r="F78" s="185">
        <f>IF(VLOOKUP($C78,TO,5,0)&lt;0,-VLOOKUP($C78,TO,5,0),0)</f>
        <v>0</v>
      </c>
      <c r="G78" s="185">
        <f>E78-F78</f>
        <v>0</v>
      </c>
      <c r="H78" s="185"/>
      <c r="I78" s="186">
        <f>IF(VLOOKUP($C78,TO,11,0)&gt;0,VLOOKUP($C78,TO,11,0),0)</f>
        <v>0</v>
      </c>
      <c r="J78" s="186">
        <f>IF(VLOOKUP($C78,TO,11,0)&lt;0,-VLOOKUP($C78,TO,11,0),0)</f>
        <v>0</v>
      </c>
      <c r="K78" s="186">
        <f>I78-J78</f>
        <v>0</v>
      </c>
      <c r="L78" s="185"/>
      <c r="M78" s="185"/>
      <c r="N78" s="185">
        <f t="shared" ref="N78:P79" si="63">ROUND(E78,0)</f>
        <v>0</v>
      </c>
      <c r="O78" s="185">
        <f t="shared" si="63"/>
        <v>0</v>
      </c>
      <c r="P78" s="185">
        <f t="shared" si="63"/>
        <v>0</v>
      </c>
      <c r="Q78" s="186">
        <f>ROUND(I78,0)</f>
        <v>0</v>
      </c>
      <c r="R78" s="186">
        <f>ROUND(J78,0)</f>
        <v>0</v>
      </c>
      <c r="S78" s="186">
        <f t="shared" si="55"/>
        <v>0</v>
      </c>
    </row>
    <row r="79" spans="1:19" x14ac:dyDescent="0.3">
      <c r="A79" s="3" t="str">
        <f>IF(AND(E79=0,F79=0,G79=0,I79=0,J79=0,K79=0),"Do Not Print","Print")</f>
        <v>Do Not Print</v>
      </c>
      <c r="B79" s="3" t="s">
        <v>149</v>
      </c>
      <c r="C79" s="18" t="s">
        <v>659</v>
      </c>
      <c r="D79" s="3"/>
      <c r="E79" s="185">
        <f>IF(VLOOKUP($C79,TO,5,0)&gt;0,VLOOKUP($C79,TO,5,0),0)</f>
        <v>0</v>
      </c>
      <c r="F79" s="185">
        <f>IF(VLOOKUP($C79,TO,5,0)&lt;0,-VLOOKUP($C79,TO,5,0),0)</f>
        <v>0</v>
      </c>
      <c r="G79" s="185">
        <f>E79-F79</f>
        <v>0</v>
      </c>
      <c r="H79" s="185"/>
      <c r="I79" s="186">
        <f>IF(VLOOKUP($C79,TO,11,0)&gt;0,VLOOKUP($C79,TO,11,0),0)</f>
        <v>0</v>
      </c>
      <c r="J79" s="186">
        <f>IF(VLOOKUP($C79,TO,11,0)&lt;0,-VLOOKUP($C79,TO,11,0),0)</f>
        <v>0</v>
      </c>
      <c r="K79" s="186">
        <f>I79-J79</f>
        <v>0</v>
      </c>
      <c r="L79" s="185"/>
      <c r="M79" s="185"/>
      <c r="N79" s="185">
        <f t="shared" si="63"/>
        <v>0</v>
      </c>
      <c r="O79" s="185">
        <f t="shared" si="63"/>
        <v>0</v>
      </c>
      <c r="P79" s="185">
        <f t="shared" si="63"/>
        <v>0</v>
      </c>
      <c r="Q79" s="186">
        <f>ROUND(I79,0)</f>
        <v>0</v>
      </c>
      <c r="R79" s="186">
        <f>ROUND(J79,0)</f>
        <v>0</v>
      </c>
      <c r="S79" s="186">
        <f t="shared" si="55"/>
        <v>0</v>
      </c>
    </row>
    <row r="80" spans="1:19" x14ac:dyDescent="0.3">
      <c r="A80" s="3" t="s">
        <v>448</v>
      </c>
      <c r="B80" s="3"/>
      <c r="C80" s="18"/>
      <c r="D80" s="3"/>
      <c r="E80" s="185"/>
      <c r="F80" s="185"/>
      <c r="G80" s="185"/>
      <c r="H80" s="185"/>
      <c r="I80" s="186"/>
      <c r="J80" s="186"/>
      <c r="K80" s="186"/>
      <c r="L80" s="185"/>
      <c r="M80" s="185"/>
      <c r="N80" s="185"/>
      <c r="O80" s="185"/>
      <c r="P80" s="185"/>
      <c r="Q80" s="186"/>
      <c r="R80" s="186"/>
      <c r="S80" s="186"/>
    </row>
    <row r="81" spans="1:19" ht="27.6" x14ac:dyDescent="0.3">
      <c r="A81" s="3" t="str">
        <f>IF(AND(E81=0,F81=0,G81=0,I81=0,J81=0,K81=0),"Do Not Print","Print")</f>
        <v>Do Not Print</v>
      </c>
      <c r="B81" s="3" t="s">
        <v>149</v>
      </c>
      <c r="C81" s="38" t="s">
        <v>2931</v>
      </c>
      <c r="D81" s="3"/>
      <c r="E81" s="183">
        <f t="shared" ref="E81:K81" si="64">SUM(E78:E80)</f>
        <v>0</v>
      </c>
      <c r="F81" s="183">
        <f t="shared" si="64"/>
        <v>0</v>
      </c>
      <c r="G81" s="183">
        <f t="shared" si="64"/>
        <v>0</v>
      </c>
      <c r="H81" s="183"/>
      <c r="I81" s="184">
        <f t="shared" si="64"/>
        <v>0</v>
      </c>
      <c r="J81" s="184">
        <f t="shared" si="64"/>
        <v>0</v>
      </c>
      <c r="K81" s="184">
        <f t="shared" si="64"/>
        <v>0</v>
      </c>
      <c r="L81" s="183"/>
      <c r="M81" s="183"/>
      <c r="N81" s="183">
        <f>ROUND(E81,0)</f>
        <v>0</v>
      </c>
      <c r="O81" s="183">
        <f>ROUND(F81,0)</f>
        <v>0</v>
      </c>
      <c r="P81" s="183">
        <f>ROUND(G81,0)</f>
        <v>0</v>
      </c>
      <c r="Q81" s="184">
        <f>ROUND(I81,0)</f>
        <v>0</v>
      </c>
      <c r="R81" s="184">
        <f>ROUND(J81,0)</f>
        <v>0</v>
      </c>
      <c r="S81" s="186">
        <f t="shared" si="55"/>
        <v>0</v>
      </c>
    </row>
    <row r="82" spans="1:19" x14ac:dyDescent="0.3">
      <c r="A82" s="3" t="s">
        <v>448</v>
      </c>
      <c r="B82" s="3"/>
      <c r="C82" s="18"/>
      <c r="D82" s="3"/>
      <c r="E82" s="185"/>
      <c r="F82" s="185"/>
      <c r="G82" s="185"/>
      <c r="H82" s="185"/>
      <c r="I82" s="186"/>
      <c r="J82" s="186"/>
      <c r="K82" s="186"/>
      <c r="L82" s="185"/>
      <c r="M82" s="185"/>
      <c r="N82" s="185"/>
      <c r="O82" s="185"/>
      <c r="P82" s="185"/>
      <c r="Q82" s="186"/>
      <c r="R82" s="186"/>
      <c r="S82" s="186"/>
    </row>
    <row r="83" spans="1:19" ht="41.4" x14ac:dyDescent="0.3">
      <c r="A83" s="3" t="str">
        <f>IF(AND(A81="Do Not Print",A82="Do Not Print"),"Do Not Print","Print")</f>
        <v>Print</v>
      </c>
      <c r="B83" s="3" t="s">
        <v>153</v>
      </c>
      <c r="C83" s="38" t="s">
        <v>2987</v>
      </c>
      <c r="D83" s="3"/>
      <c r="E83" s="185"/>
      <c r="F83" s="185"/>
      <c r="G83" s="185"/>
      <c r="H83" s="185"/>
      <c r="I83" s="186"/>
      <c r="J83" s="186"/>
      <c r="K83" s="186"/>
      <c r="L83" s="185"/>
      <c r="M83" s="185"/>
      <c r="N83" s="185"/>
      <c r="O83" s="185"/>
      <c r="P83" s="185"/>
      <c r="Q83" s="186"/>
      <c r="R83" s="186"/>
      <c r="S83" s="186"/>
    </row>
    <row r="84" spans="1:19" ht="27.6" x14ac:dyDescent="0.3">
      <c r="A84" s="3" t="str">
        <f>IF(AND(E84=0,F84=0,G84=0,I84=0,J84=0,K84=0),"Do Not Print","Print")</f>
        <v>Do Not Print</v>
      </c>
      <c r="B84" s="3" t="s">
        <v>153</v>
      </c>
      <c r="C84" s="18" t="s">
        <v>660</v>
      </c>
      <c r="D84" s="3"/>
      <c r="E84" s="185">
        <f>IF(VLOOKUP($C84,PI,5,0)&gt;0,VLOOKUP($C84,PI,5,0),0)</f>
        <v>0</v>
      </c>
      <c r="F84" s="185">
        <f>-IF(VLOOKUP($C84,PI,5,0)&lt;0,-VLOOKUP($C84,PI,5,0),0)</f>
        <v>0</v>
      </c>
      <c r="G84" s="185">
        <f>IF(F84&lt;0,F84,E84)</f>
        <v>0</v>
      </c>
      <c r="H84" s="185"/>
      <c r="I84" s="186">
        <f>IF(VLOOKUP($C84,PI,11,0)&gt;0,VLOOKUP($C84,PI,11,0),0)</f>
        <v>0</v>
      </c>
      <c r="J84" s="186">
        <f>-IF(VLOOKUP($C84,PI,11,0)&lt;0,-VLOOKUP($C84,PI,11,0),0)</f>
        <v>0</v>
      </c>
      <c r="K84" s="186">
        <f>IF(J84&lt;0,J84,I84)</f>
        <v>0</v>
      </c>
      <c r="L84" s="185"/>
      <c r="M84" s="185"/>
      <c r="N84" s="185">
        <f t="shared" ref="N84:P85" si="65">ROUND(E84,0)</f>
        <v>0</v>
      </c>
      <c r="O84" s="185">
        <f t="shared" si="65"/>
        <v>0</v>
      </c>
      <c r="P84" s="185">
        <f t="shared" si="65"/>
        <v>0</v>
      </c>
      <c r="Q84" s="186">
        <f t="shared" ref="Q84:S85" si="66">ROUND(I84,0)</f>
        <v>0</v>
      </c>
      <c r="R84" s="186">
        <f t="shared" si="66"/>
        <v>0</v>
      </c>
      <c r="S84" s="186">
        <f t="shared" si="66"/>
        <v>0</v>
      </c>
    </row>
    <row r="85" spans="1:19" ht="27.6" x14ac:dyDescent="0.3">
      <c r="A85" s="3" t="str">
        <f t="shared" ref="A85:A89" si="67">IF(AND(E85=0,F85=0,G85=0,I85=0,J85=0,K85=0),"Do Not Print","Print")</f>
        <v>Do Not Print</v>
      </c>
      <c r="B85" s="3" t="s">
        <v>153</v>
      </c>
      <c r="C85" s="18" t="s">
        <v>661</v>
      </c>
      <c r="D85" s="3"/>
      <c r="E85" s="185">
        <f>IF(VLOOKUP($C85,PI,5,0)&gt;0,VLOOKUP($C85,PI,5,0),0)</f>
        <v>0</v>
      </c>
      <c r="F85" s="185">
        <f>IF(VLOOKUP($C85,PI,5,0)&lt;0,-VLOOKUP($C85,PI,5,0),0)</f>
        <v>0</v>
      </c>
      <c r="G85" s="185">
        <f>IF(E85&gt;0,E85,F85)</f>
        <v>0</v>
      </c>
      <c r="H85" s="185"/>
      <c r="I85" s="186">
        <f>IF(VLOOKUP($C85,PI,11,0)&gt;0,VLOOKUP($C85,PI,11,0),0)</f>
        <v>0</v>
      </c>
      <c r="J85" s="186">
        <f>IF(VLOOKUP($C85,PI,11,0)&lt;0,-VLOOKUP($C85,PI,11,0),0)</f>
        <v>0</v>
      </c>
      <c r="K85" s="186">
        <f>I85-J85</f>
        <v>0</v>
      </c>
      <c r="L85" s="185"/>
      <c r="M85" s="185"/>
      <c r="N85" s="185">
        <f t="shared" si="65"/>
        <v>0</v>
      </c>
      <c r="O85" s="185">
        <f t="shared" si="65"/>
        <v>0</v>
      </c>
      <c r="P85" s="185">
        <f t="shared" si="65"/>
        <v>0</v>
      </c>
      <c r="Q85" s="186">
        <f t="shared" si="66"/>
        <v>0</v>
      </c>
      <c r="R85" s="186">
        <f t="shared" si="66"/>
        <v>0</v>
      </c>
      <c r="S85" s="186">
        <f t="shared" si="66"/>
        <v>0</v>
      </c>
    </row>
    <row r="86" spans="1:19" x14ac:dyDescent="0.3">
      <c r="A86" s="3" t="s">
        <v>448</v>
      </c>
      <c r="B86" s="3"/>
      <c r="C86" s="18"/>
      <c r="D86" s="3"/>
      <c r="E86" s="185"/>
      <c r="F86" s="185"/>
      <c r="G86" s="185"/>
      <c r="H86" s="185"/>
      <c r="I86" s="186"/>
      <c r="J86" s="186"/>
      <c r="K86" s="186"/>
      <c r="L86" s="185"/>
      <c r="M86" s="185"/>
      <c r="N86" s="185"/>
      <c r="O86" s="185"/>
      <c r="P86" s="185"/>
      <c r="Q86" s="186"/>
      <c r="R86" s="186"/>
      <c r="S86" s="186"/>
    </row>
    <row r="87" spans="1:19" ht="27.6" x14ac:dyDescent="0.3">
      <c r="A87" s="3" t="str">
        <f t="shared" si="67"/>
        <v>Do Not Print</v>
      </c>
      <c r="B87" s="3"/>
      <c r="C87" s="38" t="s">
        <v>949</v>
      </c>
      <c r="D87" s="3"/>
      <c r="E87" s="183">
        <f>SUM(E84:E85)</f>
        <v>0</v>
      </c>
      <c r="F87" s="183">
        <f>SUM(F84:F85)</f>
        <v>0</v>
      </c>
      <c r="G87" s="183">
        <f>SUM(G84:G85)</f>
        <v>0</v>
      </c>
      <c r="H87" s="183"/>
      <c r="I87" s="184">
        <f>SUM(I84:I85)</f>
        <v>0</v>
      </c>
      <c r="J87" s="184">
        <f>SUM(J84:J85)</f>
        <v>0</v>
      </c>
      <c r="K87" s="184">
        <f>SUM(K84:K85)</f>
        <v>0</v>
      </c>
      <c r="L87" s="183"/>
      <c r="M87" s="183"/>
      <c r="N87" s="183">
        <f>ROUND(E87,0)</f>
        <v>0</v>
      </c>
      <c r="O87" s="183">
        <f>ROUND(F87,0)</f>
        <v>0</v>
      </c>
      <c r="P87" s="183">
        <f>ROUND(G87,0)</f>
        <v>0</v>
      </c>
      <c r="Q87" s="184">
        <f>ROUND(I87,0)</f>
        <v>0</v>
      </c>
      <c r="R87" s="184">
        <f>ROUND(J87,0)</f>
        <v>0</v>
      </c>
      <c r="S87" s="184">
        <f>ROUND(K87,0)</f>
        <v>0</v>
      </c>
    </row>
    <row r="88" spans="1:19" x14ac:dyDescent="0.3">
      <c r="A88" s="3" t="s">
        <v>448</v>
      </c>
      <c r="B88" s="3"/>
      <c r="C88" s="18"/>
      <c r="D88" s="3"/>
      <c r="E88" s="185"/>
      <c r="F88" s="185"/>
      <c r="G88" s="185"/>
      <c r="H88" s="185"/>
      <c r="I88" s="186"/>
      <c r="J88" s="186"/>
      <c r="K88" s="186"/>
      <c r="L88" s="185"/>
      <c r="M88" s="185"/>
      <c r="N88" s="185"/>
      <c r="O88" s="185"/>
      <c r="P88" s="185"/>
      <c r="Q88" s="186"/>
      <c r="R88" s="186"/>
      <c r="S88" s="186"/>
    </row>
    <row r="89" spans="1:19" ht="27.6" x14ac:dyDescent="0.3">
      <c r="A89" s="3" t="str">
        <f t="shared" si="67"/>
        <v>Do Not Print</v>
      </c>
      <c r="B89" s="3" t="s">
        <v>153</v>
      </c>
      <c r="C89" s="18" t="s">
        <v>663</v>
      </c>
      <c r="D89" s="3"/>
      <c r="E89" s="185">
        <f>IF(VLOOKUP($C89,PI,5,0)&gt;0,VLOOKUP($C89,PI,5,0),0)</f>
        <v>0</v>
      </c>
      <c r="F89" s="185">
        <f>IF(VLOOKUP($C89,PI,5,0)&lt;0,-VLOOKUP($C89,PI,5,0),0)</f>
        <v>0</v>
      </c>
      <c r="G89" s="185">
        <f>E89-F89</f>
        <v>0</v>
      </c>
      <c r="H89" s="185"/>
      <c r="I89" s="186">
        <f>IF(VLOOKUP($C89,PI,11,0)&gt;0,VLOOKUP($C89,PI,11,0),0)</f>
        <v>0</v>
      </c>
      <c r="J89" s="186">
        <f>IF(VLOOKUP($C89,PI,11,0)&lt;0,-VLOOKUP($C89,PI,11,0),0)</f>
        <v>0</v>
      </c>
      <c r="K89" s="186">
        <f>I89-J89</f>
        <v>0</v>
      </c>
      <c r="L89" s="185"/>
      <c r="M89" s="185"/>
      <c r="N89" s="185">
        <f t="shared" ref="N89:P90" si="68">ROUND(E89,0)</f>
        <v>0</v>
      </c>
      <c r="O89" s="185">
        <f t="shared" si="68"/>
        <v>0</v>
      </c>
      <c r="P89" s="185">
        <f t="shared" si="68"/>
        <v>0</v>
      </c>
      <c r="Q89" s="186">
        <f>ROUND(I89,0)</f>
        <v>0</v>
      </c>
      <c r="R89" s="186">
        <f>ROUND(J89,0)</f>
        <v>0</v>
      </c>
      <c r="S89" s="186">
        <f>ROUND(K89,0)</f>
        <v>0</v>
      </c>
    </row>
    <row r="90" spans="1:19" ht="27.6" x14ac:dyDescent="0.3">
      <c r="A90" s="3" t="str">
        <f>IF(AND(E90=0,F90=0,G90=0,I90=0,J90=0,K90=0),"Do Not Print","Print")</f>
        <v>Do Not Print</v>
      </c>
      <c r="B90" s="3" t="s">
        <v>153</v>
      </c>
      <c r="C90" s="18" t="s">
        <v>662</v>
      </c>
      <c r="D90" s="3"/>
      <c r="E90" s="185">
        <f>G90</f>
        <v>0</v>
      </c>
      <c r="F90" s="185"/>
      <c r="G90" s="185">
        <f>'Det BS '!J225</f>
        <v>0</v>
      </c>
      <c r="H90" s="185"/>
      <c r="I90" s="186">
        <f>K90</f>
        <v>0</v>
      </c>
      <c r="J90" s="186"/>
      <c r="K90" s="186">
        <f>'Det BS '!K225</f>
        <v>0</v>
      </c>
      <c r="L90" s="185"/>
      <c r="M90" s="185"/>
      <c r="N90" s="185">
        <f t="shared" si="68"/>
        <v>0</v>
      </c>
      <c r="O90" s="185">
        <f t="shared" si="68"/>
        <v>0</v>
      </c>
      <c r="P90" s="185">
        <f t="shared" si="68"/>
        <v>0</v>
      </c>
      <c r="Q90" s="186"/>
      <c r="R90" s="186"/>
      <c r="S90" s="186">
        <f>ROUND(K90,0)</f>
        <v>0</v>
      </c>
    </row>
    <row r="91" spans="1:19" x14ac:dyDescent="0.3">
      <c r="A91" s="3" t="s">
        <v>448</v>
      </c>
      <c r="B91" s="3"/>
      <c r="C91" s="44"/>
      <c r="D91" s="3"/>
      <c r="E91" s="187"/>
      <c r="F91" s="185"/>
      <c r="G91" s="185"/>
      <c r="H91" s="185"/>
      <c r="I91" s="186"/>
      <c r="J91" s="186"/>
      <c r="K91" s="186"/>
      <c r="L91" s="185"/>
      <c r="M91" s="185"/>
      <c r="N91" s="185"/>
      <c r="O91" s="185"/>
      <c r="P91" s="185"/>
      <c r="Q91" s="186"/>
      <c r="R91" s="186"/>
      <c r="S91" s="186"/>
    </row>
    <row r="92" spans="1:19" s="3" customFormat="1" x14ac:dyDescent="0.3">
      <c r="A92" s="3" t="s">
        <v>448</v>
      </c>
      <c r="C92" s="18"/>
      <c r="E92" s="185"/>
      <c r="F92" s="185"/>
      <c r="G92" s="185"/>
      <c r="H92" s="185"/>
      <c r="I92" s="186"/>
      <c r="J92" s="186"/>
      <c r="K92" s="186"/>
      <c r="L92" s="185"/>
      <c r="M92" s="185"/>
      <c r="N92" s="185"/>
      <c r="O92" s="185"/>
      <c r="P92" s="185"/>
      <c r="Q92" s="186"/>
      <c r="R92" s="186"/>
      <c r="S92" s="186"/>
    </row>
    <row r="93" spans="1:19" s="3" customFormat="1" ht="27.6" x14ac:dyDescent="0.3">
      <c r="A93" s="3" t="str">
        <f>IF(AND(E93=0,F93=0,G93=0,I93=0,J93=0,K93=0),"Do Not Print","Print")</f>
        <v>Do Not Print</v>
      </c>
      <c r="B93" s="3" t="s">
        <v>153</v>
      </c>
      <c r="C93" s="38" t="s">
        <v>85</v>
      </c>
      <c r="E93" s="183">
        <f>IF(G93&gt;0,G93,0)</f>
        <v>0</v>
      </c>
      <c r="F93" s="183">
        <f>IF(G93&lt;0,G93,0)</f>
        <v>0</v>
      </c>
      <c r="G93" s="183">
        <f>-'Det BS '!J226</f>
        <v>0</v>
      </c>
      <c r="H93" s="183"/>
      <c r="I93" s="184">
        <f>IF(K93&gt;0,K93,0)</f>
        <v>0</v>
      </c>
      <c r="J93" s="184">
        <f>IF(K93&lt;0,K93,0)</f>
        <v>0</v>
      </c>
      <c r="K93" s="184">
        <f>-'Det BS '!K226</f>
        <v>0</v>
      </c>
      <c r="L93" s="183"/>
      <c r="M93" s="183"/>
      <c r="N93" s="185">
        <f>ROUND(E93,0)</f>
        <v>0</v>
      </c>
      <c r="O93" s="185">
        <f>ROUND(F93,0)</f>
        <v>0</v>
      </c>
      <c r="P93" s="183">
        <f>ROUND(G93,0)</f>
        <v>0</v>
      </c>
      <c r="Q93" s="186">
        <f>ROUND(I93,0)</f>
        <v>0</v>
      </c>
      <c r="R93" s="186">
        <f>ROUND(J93,0)</f>
        <v>0</v>
      </c>
      <c r="S93" s="184">
        <f>ROUND(K93,0)</f>
        <v>0</v>
      </c>
    </row>
    <row r="94" spans="1:19" s="3" customFormat="1" x14ac:dyDescent="0.3">
      <c r="A94" s="3" t="s">
        <v>448</v>
      </c>
      <c r="C94" s="18"/>
      <c r="E94" s="185"/>
      <c r="F94" s="185"/>
      <c r="G94" s="185"/>
      <c r="H94" s="185"/>
      <c r="I94" s="186"/>
      <c r="J94" s="186"/>
      <c r="K94" s="186"/>
      <c r="L94" s="185"/>
      <c r="M94" s="185"/>
      <c r="N94" s="185"/>
      <c r="O94" s="185"/>
      <c r="P94" s="185"/>
      <c r="Q94" s="186"/>
      <c r="R94" s="186"/>
      <c r="S94" s="186"/>
    </row>
    <row r="95" spans="1:19" s="3" customFormat="1" ht="41.4" x14ac:dyDescent="0.3">
      <c r="A95" s="3" t="str">
        <f>IF(AND(E95=0,F95=0,G95=0,I95=0,J95=0,K95=0),"Do Not Print","Print")</f>
        <v>Do Not Print</v>
      </c>
      <c r="B95" s="3" t="s">
        <v>153</v>
      </c>
      <c r="C95" s="38" t="s">
        <v>164</v>
      </c>
      <c r="E95" s="183">
        <f>E61+E73+E75+E87+E81+E93+E90</f>
        <v>0</v>
      </c>
      <c r="F95" s="183">
        <f>F61+F73+F75+F87+F81+F93</f>
        <v>0</v>
      </c>
      <c r="G95" s="183">
        <f>G61+G73+G75+G87+G81+G93+G90</f>
        <v>0</v>
      </c>
      <c r="H95" s="183"/>
      <c r="I95" s="184">
        <f>I61+I73+I75+I81+I87+I93+I90</f>
        <v>0</v>
      </c>
      <c r="J95" s="184">
        <f>J61+J73+J75+J81+J87+J93</f>
        <v>0</v>
      </c>
      <c r="K95" s="184">
        <f>K61+K73+K75+K81+K87+K93</f>
        <v>0</v>
      </c>
      <c r="L95" s="183"/>
      <c r="M95" s="185"/>
      <c r="N95" s="183">
        <f>ROUND(E95,0)</f>
        <v>0</v>
      </c>
      <c r="O95" s="183">
        <f>ROUND(F95,0)</f>
        <v>0</v>
      </c>
      <c r="P95" s="183">
        <f>ROUND(G95,0)</f>
        <v>0</v>
      </c>
      <c r="Q95" s="183">
        <f>ROUND(I95,0)</f>
        <v>0</v>
      </c>
      <c r="R95" s="183">
        <f>ROUND(J95,0)</f>
        <v>0</v>
      </c>
      <c r="S95" s="183">
        <f>ROUND(K95,0)</f>
        <v>0</v>
      </c>
    </row>
    <row r="96" spans="1:19" x14ac:dyDescent="0.3">
      <c r="A96" s="3" t="s">
        <v>448</v>
      </c>
      <c r="B96" s="3"/>
      <c r="D96" s="3"/>
      <c r="E96" s="187"/>
      <c r="F96" s="185"/>
      <c r="G96" s="185"/>
      <c r="H96" s="185"/>
      <c r="I96" s="186"/>
      <c r="J96" s="186"/>
      <c r="K96" s="186"/>
      <c r="L96" s="185"/>
      <c r="M96" s="185"/>
      <c r="N96" s="185"/>
      <c r="O96" s="185"/>
      <c r="P96" s="185"/>
      <c r="Q96" s="186"/>
      <c r="R96" s="186"/>
      <c r="S96" s="186"/>
    </row>
    <row r="97" spans="1:19" ht="27.6" x14ac:dyDescent="0.3">
      <c r="A97" s="3" t="str">
        <f>IF(AND(G97=0,K97=0),"Do Not Print","Print")</f>
        <v>Do Not Print</v>
      </c>
      <c r="B97" t="s">
        <v>1482</v>
      </c>
      <c r="C97" s="38" t="s">
        <v>1483</v>
      </c>
      <c r="D97" s="3"/>
      <c r="E97" s="187"/>
      <c r="F97" s="185"/>
      <c r="G97" s="188">
        <f>'Input -CIES'!O98</f>
        <v>0</v>
      </c>
      <c r="H97" s="188"/>
      <c r="I97" s="186"/>
      <c r="J97" s="186"/>
      <c r="K97" s="189">
        <f>'Input -CIES'!U98</f>
        <v>0</v>
      </c>
      <c r="L97" s="185"/>
      <c r="M97" s="185"/>
      <c r="N97" s="185"/>
      <c r="O97" s="185"/>
      <c r="P97" s="185">
        <f>ROUND(G97,0)</f>
        <v>0</v>
      </c>
      <c r="Q97" s="186"/>
      <c r="R97" s="186"/>
      <c r="S97" s="186">
        <f>ROUND(K97,0)</f>
        <v>0</v>
      </c>
    </row>
    <row r="98" spans="1:19" x14ac:dyDescent="0.3">
      <c r="A98" s="3" t="s">
        <v>448</v>
      </c>
      <c r="B98" s="3"/>
      <c r="D98" s="3"/>
      <c r="E98" s="187"/>
      <c r="F98" s="185"/>
      <c r="G98" s="185"/>
      <c r="H98" s="185"/>
      <c r="I98" s="186"/>
      <c r="J98" s="186"/>
      <c r="K98" s="186"/>
      <c r="L98" s="185"/>
      <c r="M98" s="185"/>
      <c r="N98" s="185"/>
      <c r="O98" s="185"/>
      <c r="P98" s="185"/>
      <c r="Q98" s="186"/>
      <c r="R98" s="186"/>
      <c r="S98" s="186"/>
    </row>
    <row r="99" spans="1:19" ht="41.4" x14ac:dyDescent="0.3">
      <c r="A99" s="3" t="s">
        <v>448</v>
      </c>
      <c r="B99" s="3" t="s">
        <v>1665</v>
      </c>
      <c r="C99" s="38" t="s">
        <v>1664</v>
      </c>
      <c r="D99" s="3"/>
      <c r="E99" s="187"/>
      <c r="F99" s="185"/>
      <c r="G99" s="185"/>
      <c r="H99" s="185"/>
      <c r="I99" s="186"/>
      <c r="J99" s="186"/>
      <c r="K99" s="186"/>
      <c r="L99" s="185"/>
      <c r="M99" s="185"/>
      <c r="N99" s="185"/>
      <c r="O99" s="185"/>
      <c r="P99" s="185"/>
      <c r="Q99" s="186"/>
      <c r="R99" s="186"/>
      <c r="S99" s="186"/>
    </row>
    <row r="100" spans="1:19" x14ac:dyDescent="0.3">
      <c r="A100" s="3" t="str">
        <f>IF(AND(G100=0,K100=0),"Do Not Print","Print")</f>
        <v>Do Not Print</v>
      </c>
      <c r="B100" s="3" t="s">
        <v>1665</v>
      </c>
      <c r="C100" s="39" t="str">
        <f>'Input -CIES'!H99</f>
        <v>Sales</v>
      </c>
      <c r="D100" s="3"/>
      <c r="E100" s="187">
        <v>0</v>
      </c>
      <c r="F100" s="185">
        <f>VLOOKUP($C100,ORAJV,5,0)</f>
        <v>0</v>
      </c>
      <c r="G100" s="185">
        <f>E100-F100</f>
        <v>0</v>
      </c>
      <c r="H100" s="185"/>
      <c r="I100" s="186">
        <v>0</v>
      </c>
      <c r="J100" s="186">
        <f>VLOOKUP($C100,ORAJV,11,0)</f>
        <v>0</v>
      </c>
      <c r="K100" s="186">
        <f>I100-J100</f>
        <v>0</v>
      </c>
      <c r="L100" s="185"/>
      <c r="M100" s="185"/>
      <c r="N100" s="185">
        <f>ROUND(E100,0)</f>
        <v>0</v>
      </c>
      <c r="O100" s="185">
        <f t="shared" ref="O100:P103" si="69">ROUND(F100,0)</f>
        <v>0</v>
      </c>
      <c r="P100" s="185">
        <f t="shared" si="69"/>
        <v>0</v>
      </c>
      <c r="Q100" s="185">
        <f>ROUND(I100,0)</f>
        <v>0</v>
      </c>
      <c r="R100" s="185">
        <f t="shared" ref="R100:S108" si="70">ROUND(J100,0)</f>
        <v>0</v>
      </c>
      <c r="S100" s="185">
        <f t="shared" si="70"/>
        <v>0</v>
      </c>
    </row>
    <row r="101" spans="1:19" x14ac:dyDescent="0.3">
      <c r="A101" s="3" t="str">
        <f>IF(AND(G101=0,K101=0),"Do Not Print","Print")</f>
        <v>Do Not Print</v>
      </c>
      <c r="B101" s="3" t="s">
        <v>1665</v>
      </c>
      <c r="C101" s="39" t="str">
        <f>'Input -CIES'!H100</f>
        <v>Gas Income</v>
      </c>
      <c r="D101" s="3"/>
      <c r="E101" s="187">
        <v>0</v>
      </c>
      <c r="F101" s="185">
        <f>VLOOKUP($C101,ORAJV,5,0)</f>
        <v>0</v>
      </c>
      <c r="G101" s="185">
        <f>E101-F101</f>
        <v>0</v>
      </c>
      <c r="H101" s="185"/>
      <c r="I101" s="186">
        <v>0</v>
      </c>
      <c r="J101" s="186">
        <f>VLOOKUP($C101,ORAJV,11,0)</f>
        <v>0</v>
      </c>
      <c r="K101" s="186">
        <f>I101-J101</f>
        <v>0</v>
      </c>
      <c r="L101" s="185"/>
      <c r="M101" s="185"/>
      <c r="N101" s="185">
        <f t="shared" ref="N101:N107" si="71">ROUND(E101,0)</f>
        <v>0</v>
      </c>
      <c r="O101" s="185">
        <f t="shared" si="69"/>
        <v>0</v>
      </c>
      <c r="P101" s="185">
        <f t="shared" si="69"/>
        <v>0</v>
      </c>
      <c r="Q101" s="185">
        <f t="shared" ref="Q101:Q107" si="72">ROUND(I101,0)</f>
        <v>0</v>
      </c>
      <c r="R101" s="185">
        <f t="shared" si="70"/>
        <v>0</v>
      </c>
      <c r="S101" s="185">
        <f t="shared" si="70"/>
        <v>0</v>
      </c>
    </row>
    <row r="102" spans="1:19" x14ac:dyDescent="0.3">
      <c r="A102" s="3" t="str">
        <f>IF(AND(G102=0,K102=0),"Do Not Print","Print")</f>
        <v>Do Not Print</v>
      </c>
      <c r="B102" s="3" t="s">
        <v>1665</v>
      </c>
      <c r="C102" s="39" t="str">
        <f>'Input -CIES'!H101</f>
        <v>Other</v>
      </c>
      <c r="D102" s="3"/>
      <c r="E102" s="187">
        <v>0</v>
      </c>
      <c r="F102" s="185">
        <f>VLOOKUP($C102,ORAJV,5,0)</f>
        <v>0</v>
      </c>
      <c r="G102" s="185">
        <f>E102-F102</f>
        <v>0</v>
      </c>
      <c r="H102" s="185"/>
      <c r="I102" s="186">
        <v>0</v>
      </c>
      <c r="J102" s="186">
        <f>VLOOKUP($C102,ORAJV,11,0)</f>
        <v>0</v>
      </c>
      <c r="K102" s="186">
        <f>I102-J102</f>
        <v>0</v>
      </c>
      <c r="L102" s="185"/>
      <c r="M102" s="185"/>
      <c r="N102" s="185">
        <f t="shared" si="71"/>
        <v>0</v>
      </c>
      <c r="O102" s="185">
        <f t="shared" si="69"/>
        <v>0</v>
      </c>
      <c r="P102" s="185">
        <f t="shared" si="69"/>
        <v>0</v>
      </c>
      <c r="Q102" s="185">
        <f t="shared" si="72"/>
        <v>0</v>
      </c>
      <c r="R102" s="185">
        <f t="shared" si="70"/>
        <v>0</v>
      </c>
      <c r="S102" s="185">
        <f t="shared" si="70"/>
        <v>0</v>
      </c>
    </row>
    <row r="103" spans="1:19" s="6" customFormat="1" x14ac:dyDescent="0.3">
      <c r="A103" s="6" t="str">
        <f>IF(AND(G103=0,K103=0),"Do Not Print","Print")</f>
        <v>Do Not Print</v>
      </c>
      <c r="C103" s="38" t="s">
        <v>1654</v>
      </c>
      <c r="E103" s="420">
        <v>0</v>
      </c>
      <c r="F103" s="183">
        <v>0</v>
      </c>
      <c r="G103" s="183">
        <f>E103-F103</f>
        <v>0</v>
      </c>
      <c r="H103" s="183"/>
      <c r="I103" s="184">
        <f>SUM(I100:I102)</f>
        <v>0</v>
      </c>
      <c r="J103" s="184">
        <f>SUM(J100:J102)</f>
        <v>0</v>
      </c>
      <c r="K103" s="184">
        <f>I103-J103</f>
        <v>0</v>
      </c>
      <c r="L103" s="183"/>
      <c r="M103" s="183"/>
      <c r="N103" s="183">
        <f t="shared" si="71"/>
        <v>0</v>
      </c>
      <c r="O103" s="183">
        <f t="shared" si="69"/>
        <v>0</v>
      </c>
      <c r="P103" s="183">
        <f t="shared" si="69"/>
        <v>0</v>
      </c>
      <c r="Q103" s="183">
        <f t="shared" si="72"/>
        <v>0</v>
      </c>
      <c r="R103" s="183">
        <f t="shared" si="70"/>
        <v>0</v>
      </c>
      <c r="S103" s="183">
        <f t="shared" si="70"/>
        <v>0</v>
      </c>
    </row>
    <row r="104" spans="1:19" x14ac:dyDescent="0.3">
      <c r="A104" s="3" t="s">
        <v>448</v>
      </c>
      <c r="B104" s="3"/>
      <c r="D104" s="3"/>
      <c r="E104" s="187"/>
      <c r="F104" s="185"/>
      <c r="G104" s="185"/>
      <c r="H104" s="185"/>
      <c r="I104" s="186"/>
      <c r="J104" s="186"/>
      <c r="K104" s="186"/>
      <c r="L104" s="185"/>
      <c r="M104" s="185"/>
      <c r="N104" s="185"/>
      <c r="O104" s="185"/>
      <c r="P104" s="185"/>
      <c r="Q104" s="185"/>
      <c r="R104" s="185"/>
      <c r="S104" s="185"/>
    </row>
    <row r="105" spans="1:19" x14ac:dyDescent="0.3">
      <c r="A105" s="3" t="str">
        <f>IF(AND(G105=0,K105=0),"Do Not Print","Print")</f>
        <v>Do Not Print</v>
      </c>
      <c r="B105" s="3" t="s">
        <v>1665</v>
      </c>
      <c r="C105" s="39" t="str">
        <f>'Input -CIES'!H102</f>
        <v>Administration Costs</v>
      </c>
      <c r="D105" s="3"/>
      <c r="E105" s="185">
        <f>VLOOKUP($C105,ORAJV,5,0)</f>
        <v>0</v>
      </c>
      <c r="F105" s="185">
        <v>0</v>
      </c>
      <c r="G105" s="185">
        <f>E105-F105</f>
        <v>0</v>
      </c>
      <c r="H105" s="185"/>
      <c r="I105" s="186">
        <f>VLOOKUP($C105,ORAJV,11,0)</f>
        <v>0</v>
      </c>
      <c r="J105" s="186">
        <v>0</v>
      </c>
      <c r="K105" s="186">
        <f>I105-J105</f>
        <v>0</v>
      </c>
      <c r="L105" s="185"/>
      <c r="M105" s="185"/>
      <c r="N105" s="185">
        <f t="shared" si="71"/>
        <v>0</v>
      </c>
      <c r="O105" s="185">
        <f t="shared" ref="O105:P107" si="73">ROUND(F105,0)</f>
        <v>0</v>
      </c>
      <c r="P105" s="185">
        <f t="shared" si="73"/>
        <v>0</v>
      </c>
      <c r="Q105" s="185">
        <f t="shared" si="72"/>
        <v>0</v>
      </c>
      <c r="R105" s="185">
        <f t="shared" si="70"/>
        <v>0</v>
      </c>
      <c r="S105" s="185">
        <f t="shared" si="70"/>
        <v>0</v>
      </c>
    </row>
    <row r="106" spans="1:19" x14ac:dyDescent="0.3">
      <c r="A106" s="3" t="str">
        <f>IF(AND(G106=0,K106=0),"Do Not Print","Print")</f>
        <v>Do Not Print</v>
      </c>
      <c r="B106" s="3" t="s">
        <v>1665</v>
      </c>
      <c r="C106" s="39" t="str">
        <f>'Input -CIES'!H103</f>
        <v>Operating Costs</v>
      </c>
      <c r="D106" s="3"/>
      <c r="E106" s="185">
        <f>VLOOKUP($C106,ORAJV,5,0)</f>
        <v>0</v>
      </c>
      <c r="F106" s="185">
        <v>0</v>
      </c>
      <c r="G106" s="185">
        <f>E106-F106</f>
        <v>0</v>
      </c>
      <c r="H106" s="185"/>
      <c r="I106" s="186">
        <f>VLOOKUP($C106,ORAJV,11,0)</f>
        <v>0</v>
      </c>
      <c r="J106" s="186">
        <v>0</v>
      </c>
      <c r="K106" s="186">
        <f>I106-J106</f>
        <v>0</v>
      </c>
      <c r="L106" s="185"/>
      <c r="M106" s="185"/>
      <c r="N106" s="185">
        <f t="shared" si="71"/>
        <v>0</v>
      </c>
      <c r="O106" s="185">
        <f t="shared" si="73"/>
        <v>0</v>
      </c>
      <c r="P106" s="185">
        <f t="shared" si="73"/>
        <v>0</v>
      </c>
      <c r="Q106" s="185">
        <f t="shared" si="72"/>
        <v>0</v>
      </c>
      <c r="R106" s="185">
        <f t="shared" si="70"/>
        <v>0</v>
      </c>
      <c r="S106" s="185">
        <f t="shared" si="70"/>
        <v>0</v>
      </c>
    </row>
    <row r="107" spans="1:19" s="6" customFormat="1" x14ac:dyDescent="0.3">
      <c r="A107" s="6" t="str">
        <f>IF(AND(G107=0,K107=0),"Do Not Print","Print")</f>
        <v>Do Not Print</v>
      </c>
      <c r="C107" s="38" t="s">
        <v>1657</v>
      </c>
      <c r="E107" s="183">
        <v>0</v>
      </c>
      <c r="F107" s="183"/>
      <c r="G107" s="183">
        <f>E107-F107</f>
        <v>0</v>
      </c>
      <c r="H107" s="183"/>
      <c r="I107" s="184">
        <f>SUM(I105:I106)</f>
        <v>0</v>
      </c>
      <c r="J107" s="184">
        <f>SUM(J105:J106)</f>
        <v>0</v>
      </c>
      <c r="K107" s="184">
        <f>I107-J107</f>
        <v>0</v>
      </c>
      <c r="L107" s="183"/>
      <c r="M107" s="183"/>
      <c r="N107" s="183">
        <f t="shared" si="71"/>
        <v>0</v>
      </c>
      <c r="O107" s="183">
        <f t="shared" si="73"/>
        <v>0</v>
      </c>
      <c r="P107" s="183">
        <f t="shared" si="73"/>
        <v>0</v>
      </c>
      <c r="Q107" s="183">
        <f t="shared" si="72"/>
        <v>0</v>
      </c>
      <c r="R107" s="183">
        <f t="shared" si="70"/>
        <v>0</v>
      </c>
      <c r="S107" s="183">
        <f t="shared" si="70"/>
        <v>0</v>
      </c>
    </row>
    <row r="108" spans="1:19" x14ac:dyDescent="0.3">
      <c r="A108" s="3" t="s">
        <v>448</v>
      </c>
      <c r="B108" s="3"/>
      <c r="D108" s="3"/>
      <c r="E108" s="187"/>
      <c r="F108" s="185"/>
      <c r="G108" s="185">
        <f>G107+G103</f>
        <v>0</v>
      </c>
      <c r="H108" s="185"/>
      <c r="I108" s="186"/>
      <c r="J108" s="186"/>
      <c r="K108" s="186">
        <f>K107+K103</f>
        <v>0</v>
      </c>
      <c r="L108" s="185"/>
      <c r="M108" s="185"/>
      <c r="N108" s="185"/>
      <c r="O108" s="185"/>
      <c r="P108" s="185">
        <f>ROUND(G108,0)</f>
        <v>0</v>
      </c>
      <c r="Q108" s="186"/>
      <c r="R108" s="186"/>
      <c r="S108" s="185">
        <f t="shared" si="70"/>
        <v>0</v>
      </c>
    </row>
    <row r="109" spans="1:19" x14ac:dyDescent="0.3">
      <c r="A109" s="3" t="s">
        <v>448</v>
      </c>
      <c r="B109" s="3"/>
      <c r="D109" s="3"/>
      <c r="E109" s="187"/>
      <c r="F109" s="185"/>
      <c r="G109" s="185"/>
      <c r="H109" s="185"/>
      <c r="I109" s="186"/>
      <c r="J109" s="186"/>
      <c r="K109" s="186"/>
      <c r="L109" s="185"/>
      <c r="M109" s="185"/>
      <c r="N109" s="185"/>
      <c r="O109" s="185"/>
      <c r="P109" s="185"/>
      <c r="Q109" s="186"/>
      <c r="R109" s="186"/>
      <c r="S109" s="186"/>
    </row>
    <row r="110" spans="1:19" ht="27.6" x14ac:dyDescent="0.3">
      <c r="A110" s="3" t="s">
        <v>448</v>
      </c>
      <c r="B110" s="3"/>
      <c r="C110" s="40" t="s">
        <v>120</v>
      </c>
      <c r="D110" s="3"/>
      <c r="E110" s="185"/>
      <c r="F110" s="185"/>
      <c r="G110" s="185"/>
      <c r="H110" s="185"/>
      <c r="I110" s="186"/>
      <c r="J110" s="186"/>
      <c r="K110" s="186"/>
      <c r="L110" s="185"/>
      <c r="M110" s="185"/>
      <c r="N110" s="185"/>
      <c r="O110" s="185"/>
      <c r="P110" s="185"/>
      <c r="Q110" s="186"/>
      <c r="R110" s="186"/>
      <c r="S110" s="186"/>
    </row>
    <row r="111" spans="1:19" x14ac:dyDescent="0.3">
      <c r="A111" s="3" t="s">
        <v>448</v>
      </c>
      <c r="B111" s="3"/>
      <c r="C111" s="38" t="s">
        <v>286</v>
      </c>
      <c r="D111" s="3"/>
      <c r="E111" s="185"/>
      <c r="F111" s="185"/>
      <c r="G111" s="185"/>
      <c r="H111" s="185"/>
      <c r="I111" s="186"/>
      <c r="J111" s="186"/>
      <c r="K111" s="186"/>
      <c r="L111" s="185"/>
      <c r="M111" s="185"/>
      <c r="N111" s="185"/>
      <c r="O111" s="185"/>
      <c r="P111" s="185"/>
      <c r="Q111" s="186"/>
      <c r="R111" s="186"/>
      <c r="S111" s="186"/>
    </row>
    <row r="112" spans="1:19" x14ac:dyDescent="0.3">
      <c r="A112" s="3" t="str">
        <f>IF(AND(E112=0,F112=0,G112=0,I112=0,J112=0,K112=0),"Do Not Print","Print")</f>
        <v>Do Not Print</v>
      </c>
      <c r="B112" s="3" t="s">
        <v>150</v>
      </c>
      <c r="C112" s="18" t="s">
        <v>666</v>
      </c>
      <c r="D112" s="3"/>
      <c r="E112" s="185">
        <f>IF(VLOOKUP($C112,TI,5,0)&gt;0,VLOOKUP($C112,TI,5,0),0)</f>
        <v>0</v>
      </c>
      <c r="F112" s="185">
        <f>IF(VLOOKUP($C112,TI,5,0)&lt;0,-VLOOKUP($C112,TI,5,0),0)</f>
        <v>0</v>
      </c>
      <c r="G112" s="185">
        <f>E112-F112</f>
        <v>0</v>
      </c>
      <c r="H112" s="185"/>
      <c r="I112" s="186">
        <f>IF(VLOOKUP($C112,TI,11,0)&gt;0,VLOOKUP($C112,TI,11,0),0)</f>
        <v>0</v>
      </c>
      <c r="J112" s="186">
        <f>IF(VLOOKUP($C112,TI,11,0)&lt;0,-VLOOKUP($C112,TI,11,0),0)</f>
        <v>0</v>
      </c>
      <c r="K112" s="186">
        <f>I112-J112</f>
        <v>0</v>
      </c>
      <c r="L112" s="185"/>
      <c r="M112" s="185"/>
      <c r="N112" s="185">
        <f t="shared" ref="N112:P115" si="74">ROUND(E112,0)</f>
        <v>0</v>
      </c>
      <c r="O112" s="185">
        <f t="shared" si="74"/>
        <v>0</v>
      </c>
      <c r="P112" s="185">
        <f t="shared" si="74"/>
        <v>0</v>
      </c>
      <c r="Q112" s="186">
        <f t="shared" ref="Q112:S117" si="75">ROUND(I112,0)</f>
        <v>0</v>
      </c>
      <c r="R112" s="186">
        <f t="shared" si="75"/>
        <v>0</v>
      </c>
      <c r="S112" s="186">
        <f t="shared" si="75"/>
        <v>0</v>
      </c>
    </row>
    <row r="113" spans="1:19" x14ac:dyDescent="0.3">
      <c r="A113" s="3" t="str">
        <f>IF(AND(E113=0,F113=0,G113=0,I113=0,J113=0,K113=0),"Do Not Print","Print")</f>
        <v>Do Not Print</v>
      </c>
      <c r="B113" s="3" t="s">
        <v>150</v>
      </c>
      <c r="C113" s="18" t="s">
        <v>950</v>
      </c>
      <c r="D113" s="3"/>
      <c r="E113" s="185">
        <f>IF(VLOOKUP($C113,TI,5,0)&gt;0,VLOOKUP($C113,TI,5,0),0)</f>
        <v>0</v>
      </c>
      <c r="F113" s="185">
        <f>IF(VLOOKUP($C113,TI,5,0)&lt;0,-VLOOKUP($C113,TI,5,0),0)</f>
        <v>0</v>
      </c>
      <c r="G113" s="185">
        <f>E113-F113</f>
        <v>0</v>
      </c>
      <c r="H113" s="185"/>
      <c r="I113" s="186">
        <f>IF(VLOOKUP($C113,TI,11,0)&gt;0,VLOOKUP($C113,TI,11,0),0)</f>
        <v>0</v>
      </c>
      <c r="J113" s="186">
        <f>IF(VLOOKUP($C113,TI,11,0)&lt;0,-VLOOKUP($C113,TI,11,0),0)</f>
        <v>0</v>
      </c>
      <c r="K113" s="186">
        <f>I113-J113</f>
        <v>0</v>
      </c>
      <c r="L113" s="185"/>
      <c r="M113" s="185"/>
      <c r="N113" s="185">
        <f t="shared" si="74"/>
        <v>0</v>
      </c>
      <c r="O113" s="185">
        <f t="shared" si="74"/>
        <v>0</v>
      </c>
      <c r="P113" s="185">
        <f t="shared" si="74"/>
        <v>0</v>
      </c>
      <c r="Q113" s="186">
        <f>ROUND(I113,0)</f>
        <v>0</v>
      </c>
      <c r="R113" s="186">
        <f>ROUND(J113,0)</f>
        <v>0</v>
      </c>
      <c r="S113" s="186">
        <f>ROUND(K113,0)</f>
        <v>0</v>
      </c>
    </row>
    <row r="114" spans="1:19" ht="27.6" x14ac:dyDescent="0.3">
      <c r="A114" s="3" t="str">
        <f>IF(AND(E114=0,F114=0,G114=0,I114=0,J114=0,K114=0),"Do Not Print","Print")</f>
        <v>Do Not Print</v>
      </c>
      <c r="B114" s="3" t="s">
        <v>150</v>
      </c>
      <c r="C114" s="18" t="s">
        <v>667</v>
      </c>
      <c r="D114" s="3"/>
      <c r="E114" s="185">
        <f>IF(VLOOKUP($C114,TI,5,0)&gt;0,VLOOKUP($C114,TI,5,0),0)</f>
        <v>0</v>
      </c>
      <c r="F114" s="185">
        <f>IF(VLOOKUP($C114,TI,5,0)&lt;0,-VLOOKUP($C114,TI,5,0),0)</f>
        <v>0</v>
      </c>
      <c r="G114" s="185">
        <f>E114-F114</f>
        <v>0</v>
      </c>
      <c r="H114" s="185"/>
      <c r="I114" s="186">
        <f>IF(VLOOKUP($C114,TI,11,0)&gt;0,VLOOKUP($C114,TI,11,0),0)</f>
        <v>0</v>
      </c>
      <c r="J114" s="186">
        <f>IF(VLOOKUP($C114,TI,11,0)&lt;0,-VLOOKUP($C114,TI,11,0),0)</f>
        <v>0</v>
      </c>
      <c r="K114" s="186">
        <f>I114-J114</f>
        <v>0</v>
      </c>
      <c r="L114" s="185"/>
      <c r="M114" s="185"/>
      <c r="N114" s="185">
        <f t="shared" si="74"/>
        <v>0</v>
      </c>
      <c r="O114" s="185">
        <f t="shared" si="74"/>
        <v>0</v>
      </c>
      <c r="P114" s="185">
        <f t="shared" si="74"/>
        <v>0</v>
      </c>
      <c r="Q114" s="186">
        <f t="shared" si="75"/>
        <v>0</v>
      </c>
      <c r="R114" s="186">
        <f t="shared" si="75"/>
        <v>0</v>
      </c>
      <c r="S114" s="186">
        <f t="shared" si="75"/>
        <v>0</v>
      </c>
    </row>
    <row r="115" spans="1:19" x14ac:dyDescent="0.3">
      <c r="A115" s="3" t="str">
        <f>IF(AND(E115=0,F115=0,G115=0,I115=0,J115=0,K115=0),"Do Not Print","Print")</f>
        <v>Do Not Print</v>
      </c>
      <c r="B115" s="3" t="s">
        <v>150</v>
      </c>
      <c r="C115" s="18" t="s">
        <v>668</v>
      </c>
      <c r="D115" s="3"/>
      <c r="E115" s="185">
        <f>IF(VLOOKUP($C115,TI,5,0)&gt;0,0,VLOOKUP($C115,TI,5,0))</f>
        <v>0</v>
      </c>
      <c r="F115" s="185">
        <f>IF(VLOOKUP($C115,TI,5,0)&gt;0,-VLOOKUP($C115,TI,5,0),0)</f>
        <v>0</v>
      </c>
      <c r="G115" s="185">
        <f>E115-F115</f>
        <v>0</v>
      </c>
      <c r="H115" s="185"/>
      <c r="I115" s="186">
        <f>IF(VLOOKUP($C115,TI,11,0)&gt;0,0,VLOOKUP($C115,TI,11,0))</f>
        <v>0</v>
      </c>
      <c r="J115" s="186">
        <f>IF(VLOOKUP($C115,TI,11,0)&gt;0,-VLOOKUP($C115,TI,11,0),0)</f>
        <v>0</v>
      </c>
      <c r="K115" s="186">
        <f>I115-J115</f>
        <v>0</v>
      </c>
      <c r="L115" s="185"/>
      <c r="M115" s="185"/>
      <c r="N115" s="185">
        <f t="shared" si="74"/>
        <v>0</v>
      </c>
      <c r="O115" s="185">
        <f t="shared" si="74"/>
        <v>0</v>
      </c>
      <c r="P115" s="185">
        <f t="shared" si="74"/>
        <v>0</v>
      </c>
      <c r="Q115" s="186">
        <f t="shared" si="75"/>
        <v>0</v>
      </c>
      <c r="R115" s="186">
        <f t="shared" si="75"/>
        <v>0</v>
      </c>
      <c r="S115" s="186">
        <f t="shared" si="75"/>
        <v>0</v>
      </c>
    </row>
    <row r="116" spans="1:19" x14ac:dyDescent="0.3">
      <c r="A116" s="3" t="s">
        <v>448</v>
      </c>
      <c r="B116" s="3"/>
      <c r="C116" s="18"/>
      <c r="D116" s="3"/>
      <c r="E116" s="185"/>
      <c r="F116" s="185"/>
      <c r="G116" s="185"/>
      <c r="H116" s="185"/>
      <c r="I116" s="186"/>
      <c r="J116" s="186"/>
      <c r="K116" s="186"/>
      <c r="L116" s="185"/>
      <c r="M116" s="185"/>
      <c r="N116" s="185"/>
      <c r="O116" s="185"/>
      <c r="P116" s="185"/>
      <c r="Q116" s="186"/>
      <c r="R116" s="186"/>
      <c r="S116" s="186"/>
    </row>
    <row r="117" spans="1:19" x14ac:dyDescent="0.3">
      <c r="A117" s="3" t="str">
        <f>IF(AND(E117=0,F117=0,G117=0,I117=0,J117=0,K117=0),"Do Not Print","Print")</f>
        <v>Do Not Print</v>
      </c>
      <c r="B117" s="3"/>
      <c r="C117" s="38" t="s">
        <v>286</v>
      </c>
      <c r="D117" s="6"/>
      <c r="E117" s="183">
        <f t="shared" ref="E117:K117" si="76">SUM(E112:E115)</f>
        <v>0</v>
      </c>
      <c r="F117" s="183">
        <f t="shared" si="76"/>
        <v>0</v>
      </c>
      <c r="G117" s="183">
        <f t="shared" si="76"/>
        <v>0</v>
      </c>
      <c r="H117" s="183"/>
      <c r="I117" s="184">
        <f t="shared" si="76"/>
        <v>0</v>
      </c>
      <c r="J117" s="184">
        <f t="shared" si="76"/>
        <v>0</v>
      </c>
      <c r="K117" s="184">
        <f t="shared" si="76"/>
        <v>0</v>
      </c>
      <c r="L117" s="185"/>
      <c r="M117" s="185"/>
      <c r="N117" s="185">
        <f>ROUND(E117,0)</f>
        <v>0</v>
      </c>
      <c r="O117" s="185">
        <f>ROUND(F117,0)</f>
        <v>0</v>
      </c>
      <c r="P117" s="185">
        <f>ROUND(G117,0)</f>
        <v>0</v>
      </c>
      <c r="Q117" s="186">
        <f t="shared" si="75"/>
        <v>0</v>
      </c>
      <c r="R117" s="186">
        <f>ROUND(J117,0)</f>
        <v>0</v>
      </c>
      <c r="S117" s="186">
        <f>ROUND(K117,0)</f>
        <v>0</v>
      </c>
    </row>
    <row r="118" spans="1:19" x14ac:dyDescent="0.3">
      <c r="A118" s="3" t="s">
        <v>448</v>
      </c>
      <c r="B118" s="3"/>
      <c r="C118" s="18"/>
      <c r="D118" s="3"/>
      <c r="E118" s="185"/>
      <c r="F118" s="185"/>
      <c r="G118" s="185"/>
      <c r="H118" s="185"/>
      <c r="I118" s="186"/>
      <c r="J118" s="186"/>
      <c r="K118" s="186"/>
      <c r="L118" s="185"/>
      <c r="M118" s="185"/>
      <c r="N118" s="185"/>
      <c r="O118" s="185"/>
      <c r="P118" s="185"/>
      <c r="Q118" s="186"/>
      <c r="R118" s="186"/>
      <c r="S118" s="186"/>
    </row>
    <row r="119" spans="1:19" x14ac:dyDescent="0.3">
      <c r="A119" s="3" t="s">
        <v>448</v>
      </c>
      <c r="B119" s="3"/>
      <c r="C119" s="38" t="s">
        <v>971</v>
      </c>
      <c r="D119" s="3"/>
      <c r="E119" s="185"/>
      <c r="F119" s="185"/>
      <c r="G119" s="185"/>
      <c r="H119" s="185"/>
      <c r="I119" s="186"/>
      <c r="J119" s="186"/>
      <c r="K119" s="186"/>
      <c r="L119" s="185"/>
      <c r="M119" s="185"/>
      <c r="N119" s="185"/>
      <c r="O119" s="185"/>
      <c r="P119" s="185"/>
      <c r="Q119" s="186"/>
      <c r="R119" s="186"/>
      <c r="S119" s="186"/>
    </row>
    <row r="120" spans="1:19" x14ac:dyDescent="0.3">
      <c r="A120" s="3" t="str">
        <f t="shared" ref="A120:A125" si="77">IF(AND(E120=0,F120=0,G120=0,I120=0,J120=0,K120=0),"Do Not Print","Print")</f>
        <v>Do Not Print</v>
      </c>
      <c r="B120" s="3" t="s">
        <v>150</v>
      </c>
      <c r="C120" s="18" t="s">
        <v>665</v>
      </c>
      <c r="D120" s="3"/>
      <c r="E120" s="185">
        <f>IF(VLOOKUP($C120,TI,5,0)&gt;0,VLOOKUP($C120,TI,5,0),0)</f>
        <v>0</v>
      </c>
      <c r="F120" s="185">
        <f>IF(VLOOKUP($C120,TI,5,0)&lt;0,-VLOOKUP($C120,TI,5,0),0)</f>
        <v>0</v>
      </c>
      <c r="G120" s="185">
        <f>E120-F120</f>
        <v>0</v>
      </c>
      <c r="H120" s="185"/>
      <c r="I120" s="186">
        <f>IF(VLOOKUP($C120,TI,11,0)&gt;0,VLOOKUP($C120,TI,11,0),0)</f>
        <v>0</v>
      </c>
      <c r="J120" s="186">
        <f>IF(VLOOKUP($C120,TI,11,0)&lt;0,-VLOOKUP($C120,TI,11,0),0)</f>
        <v>0</v>
      </c>
      <c r="K120" s="186">
        <f>I120-J120</f>
        <v>0</v>
      </c>
      <c r="L120" s="185"/>
      <c r="M120" s="185"/>
      <c r="N120" s="185">
        <f t="shared" ref="N120:P121" si="78">ROUND(E120,0)</f>
        <v>0</v>
      </c>
      <c r="O120" s="185">
        <f t="shared" si="78"/>
        <v>0</v>
      </c>
      <c r="P120" s="185">
        <f t="shared" si="78"/>
        <v>0</v>
      </c>
      <c r="Q120" s="186">
        <f t="shared" ref="Q120:S121" si="79">ROUND(I120,0)</f>
        <v>0</v>
      </c>
      <c r="R120" s="186">
        <f t="shared" si="79"/>
        <v>0</v>
      </c>
      <c r="S120" s="186">
        <f t="shared" si="79"/>
        <v>0</v>
      </c>
    </row>
    <row r="121" spans="1:19" x14ac:dyDescent="0.3">
      <c r="A121" s="3" t="str">
        <f t="shared" si="77"/>
        <v>Do Not Print</v>
      </c>
      <c r="B121" s="3" t="s">
        <v>150</v>
      </c>
      <c r="C121" s="18" t="s">
        <v>373</v>
      </c>
      <c r="D121" s="3"/>
      <c r="E121" s="185">
        <f>IF(VLOOKUP(C121,TI,5,0)&gt;0,VLOOKUP(C121,TI,5,0),0)</f>
        <v>0</v>
      </c>
      <c r="F121" s="185">
        <f>IF(VLOOKUP($C121,TI,5,0)&lt;0,-VLOOKUP($C121,TI,5,0),0)</f>
        <v>0</v>
      </c>
      <c r="G121" s="185">
        <f>E121-F121</f>
        <v>0</v>
      </c>
      <c r="H121" s="185"/>
      <c r="I121" s="186">
        <f>IF(VLOOKUP($C121,TI,11,0)&gt;0,VLOOKUP($C121,TI,11,0),0)</f>
        <v>0</v>
      </c>
      <c r="J121" s="186">
        <f>IF(VLOOKUP($C121,TI,11,0)&lt;0,-VLOOKUP($C121,TI,11,0),0)</f>
        <v>0</v>
      </c>
      <c r="K121" s="186">
        <f>I121-J121</f>
        <v>0</v>
      </c>
      <c r="L121" s="185"/>
      <c r="M121" s="185"/>
      <c r="N121" s="185">
        <f t="shared" si="78"/>
        <v>0</v>
      </c>
      <c r="O121" s="185">
        <f t="shared" si="78"/>
        <v>0</v>
      </c>
      <c r="P121" s="185">
        <f t="shared" si="78"/>
        <v>0</v>
      </c>
      <c r="Q121" s="186">
        <f t="shared" si="79"/>
        <v>0</v>
      </c>
      <c r="R121" s="186">
        <f t="shared" si="79"/>
        <v>0</v>
      </c>
      <c r="S121" s="186">
        <f t="shared" si="79"/>
        <v>0</v>
      </c>
    </row>
    <row r="122" spans="1:19" x14ac:dyDescent="0.3">
      <c r="A122" s="3" t="str">
        <f t="shared" si="77"/>
        <v>Do Not Print</v>
      </c>
      <c r="B122" s="3"/>
      <c r="C122" s="18"/>
      <c r="D122" s="3"/>
      <c r="E122" s="185"/>
      <c r="F122" s="185"/>
      <c r="G122" s="185"/>
      <c r="H122" s="185"/>
      <c r="I122" s="186"/>
      <c r="J122" s="186"/>
      <c r="K122" s="186"/>
      <c r="L122" s="185"/>
      <c r="M122" s="185"/>
      <c r="N122" s="185"/>
      <c r="O122" s="185"/>
      <c r="P122" s="185"/>
      <c r="Q122" s="186"/>
      <c r="R122" s="186"/>
      <c r="S122" s="186"/>
    </row>
    <row r="123" spans="1:19" x14ac:dyDescent="0.3">
      <c r="A123" s="3" t="str">
        <f t="shared" si="77"/>
        <v>Do Not Print</v>
      </c>
      <c r="B123" s="3"/>
      <c r="C123" s="18" t="s">
        <v>665</v>
      </c>
      <c r="D123" s="3"/>
      <c r="E123" s="183">
        <f>E120+E121</f>
        <v>0</v>
      </c>
      <c r="F123" s="183">
        <f t="shared" ref="F123:K123" si="80">F120+F121</f>
        <v>0</v>
      </c>
      <c r="G123" s="183">
        <f t="shared" si="80"/>
        <v>0</v>
      </c>
      <c r="H123" s="183"/>
      <c r="I123" s="183">
        <f t="shared" si="80"/>
        <v>0</v>
      </c>
      <c r="J123" s="183">
        <f t="shared" si="80"/>
        <v>0</v>
      </c>
      <c r="K123" s="183">
        <f t="shared" si="80"/>
        <v>0</v>
      </c>
      <c r="L123" s="185"/>
      <c r="M123" s="185"/>
      <c r="N123" s="183">
        <f>ROUND(E123,0)</f>
        <v>0</v>
      </c>
      <c r="O123" s="183">
        <f>ROUND(F123,0)</f>
        <v>0</v>
      </c>
      <c r="P123" s="183">
        <f>ROUND(G123,0)</f>
        <v>0</v>
      </c>
      <c r="Q123" s="183">
        <f>ROUND(I123,0)</f>
        <v>0</v>
      </c>
      <c r="R123" s="183">
        <f>ROUND(J123,0)</f>
        <v>0</v>
      </c>
      <c r="S123" s="183">
        <f>ROUND(K123,0)</f>
        <v>0</v>
      </c>
    </row>
    <row r="124" spans="1:19" x14ac:dyDescent="0.3">
      <c r="A124" s="3" t="str">
        <f t="shared" si="77"/>
        <v>Do Not Print</v>
      </c>
      <c r="B124" s="3"/>
      <c r="C124" s="18"/>
      <c r="D124" s="3"/>
      <c r="E124" s="185"/>
      <c r="F124" s="185"/>
      <c r="G124" s="185"/>
      <c r="H124" s="185"/>
      <c r="I124" s="186"/>
      <c r="J124" s="186"/>
      <c r="K124" s="186"/>
      <c r="L124" s="185"/>
      <c r="M124" s="185"/>
      <c r="N124" s="185"/>
      <c r="O124" s="185"/>
      <c r="P124" s="185"/>
      <c r="Q124" s="186"/>
      <c r="R124" s="186"/>
      <c r="S124" s="186"/>
    </row>
    <row r="125" spans="1:19" x14ac:dyDescent="0.3">
      <c r="A125" s="3" t="str">
        <f t="shared" si="77"/>
        <v>Do Not Print</v>
      </c>
      <c r="B125" s="3" t="s">
        <v>150</v>
      </c>
      <c r="C125" s="18" t="s">
        <v>669</v>
      </c>
      <c r="D125" s="3"/>
      <c r="E125" s="185">
        <f t="shared" ref="E125:E131" si="81">IF(VLOOKUP($C125,TI,5,0)&gt;0,VLOOKUP($C125,TI,5,0),0)</f>
        <v>0</v>
      </c>
      <c r="F125" s="185">
        <f t="shared" ref="F125:F131" si="82">IF(VLOOKUP($C125,TI,5,0)&lt;0,-VLOOKUP($C125,TI,5,0),0)</f>
        <v>0</v>
      </c>
      <c r="G125" s="185">
        <f>E125-F125</f>
        <v>0</v>
      </c>
      <c r="H125" s="185"/>
      <c r="I125" s="186">
        <f t="shared" ref="I125:I131" si="83">IF(VLOOKUP($C125,TI,11,0)&gt;0,VLOOKUP($C125,TI,11,0),0)</f>
        <v>0</v>
      </c>
      <c r="J125" s="186">
        <f t="shared" ref="J125:J131" si="84">IF(VLOOKUP($C125,TI,11,0)&lt;0,-VLOOKUP($C125,TI,11,0),0)</f>
        <v>0</v>
      </c>
      <c r="K125" s="186">
        <f>I125-J125</f>
        <v>0</v>
      </c>
      <c r="L125" s="185"/>
      <c r="M125" s="185"/>
      <c r="N125" s="185">
        <f>ROUND(E125,0)</f>
        <v>0</v>
      </c>
      <c r="O125" s="185">
        <f>ROUND(F125,0)</f>
        <v>0</v>
      </c>
      <c r="P125" s="185">
        <f>ROUND(G125,0)</f>
        <v>0</v>
      </c>
      <c r="Q125" s="186">
        <f>ROUND(I125,0)</f>
        <v>0</v>
      </c>
      <c r="R125" s="186">
        <f>ROUND(J125,0)</f>
        <v>0</v>
      </c>
      <c r="S125" s="186">
        <f>ROUND(K125,0)</f>
        <v>0</v>
      </c>
    </row>
    <row r="126" spans="1:19" ht="41.4" x14ac:dyDescent="0.3">
      <c r="A126" s="3" t="str">
        <f t="shared" ref="A126:A132" si="85">IF(AND(E126=0,F126=0,G126=0,I126=0,J126=0,K126=0),"Do Not Print","Print")</f>
        <v>Do Not Print</v>
      </c>
      <c r="B126" s="3" t="s">
        <v>150</v>
      </c>
      <c r="C126" s="18" t="s">
        <v>952</v>
      </c>
      <c r="D126" s="3"/>
      <c r="E126" s="185">
        <f t="shared" si="81"/>
        <v>0</v>
      </c>
      <c r="F126" s="185">
        <f t="shared" si="82"/>
        <v>0</v>
      </c>
      <c r="G126" s="185">
        <f t="shared" ref="G126:G131" si="86">E126-F126</f>
        <v>0</v>
      </c>
      <c r="H126" s="185"/>
      <c r="I126" s="186">
        <f t="shared" si="83"/>
        <v>0</v>
      </c>
      <c r="J126" s="186">
        <f t="shared" si="84"/>
        <v>0</v>
      </c>
      <c r="K126" s="186">
        <f t="shared" ref="K126:K131" si="87">I126-J126</f>
        <v>0</v>
      </c>
      <c r="L126" s="185"/>
      <c r="M126" s="185"/>
      <c r="N126" s="185">
        <f t="shared" ref="N126:N131" si="88">ROUND(E126,0)</f>
        <v>0</v>
      </c>
      <c r="O126" s="185">
        <f t="shared" ref="O126:P132" si="89">ROUND(F126,0)</f>
        <v>0</v>
      </c>
      <c r="P126" s="185">
        <f t="shared" si="89"/>
        <v>0</v>
      </c>
      <c r="Q126" s="186">
        <f t="shared" ref="Q126:Q131" si="90">ROUND(I126,0)</f>
        <v>0</v>
      </c>
      <c r="R126" s="186">
        <f t="shared" ref="R126:S131" si="91">ROUND(J126,0)</f>
        <v>0</v>
      </c>
      <c r="S126" s="186">
        <f t="shared" si="91"/>
        <v>0</v>
      </c>
    </row>
    <row r="127" spans="1:19" ht="41.4" x14ac:dyDescent="0.3">
      <c r="A127" s="3" t="str">
        <f t="shared" si="85"/>
        <v>Do Not Print</v>
      </c>
      <c r="B127" s="3" t="s">
        <v>150</v>
      </c>
      <c r="C127" s="18" t="s">
        <v>953</v>
      </c>
      <c r="D127" s="3"/>
      <c r="E127" s="185">
        <f t="shared" si="81"/>
        <v>0</v>
      </c>
      <c r="F127" s="185">
        <f t="shared" si="82"/>
        <v>0</v>
      </c>
      <c r="G127" s="185">
        <f t="shared" si="86"/>
        <v>0</v>
      </c>
      <c r="H127" s="185"/>
      <c r="I127" s="186">
        <f t="shared" si="83"/>
        <v>0</v>
      </c>
      <c r="J127" s="186">
        <f t="shared" si="84"/>
        <v>0</v>
      </c>
      <c r="K127" s="186">
        <f t="shared" si="87"/>
        <v>0</v>
      </c>
      <c r="L127" s="185"/>
      <c r="M127" s="185"/>
      <c r="N127" s="185">
        <f t="shared" si="88"/>
        <v>0</v>
      </c>
      <c r="O127" s="185">
        <f t="shared" si="89"/>
        <v>0</v>
      </c>
      <c r="P127" s="185">
        <f t="shared" si="89"/>
        <v>0</v>
      </c>
      <c r="Q127" s="186">
        <f t="shared" si="90"/>
        <v>0</v>
      </c>
      <c r="R127" s="186">
        <f t="shared" si="91"/>
        <v>0</v>
      </c>
      <c r="S127" s="186">
        <f t="shared" si="91"/>
        <v>0</v>
      </c>
    </row>
    <row r="128" spans="1:19" ht="27.6" x14ac:dyDescent="0.3">
      <c r="A128" s="3" t="str">
        <f t="shared" si="85"/>
        <v>Do Not Print</v>
      </c>
      <c r="B128" s="3" t="s">
        <v>150</v>
      </c>
      <c r="C128" s="18" t="s">
        <v>954</v>
      </c>
      <c r="D128" s="3"/>
      <c r="E128" s="185">
        <f t="shared" si="81"/>
        <v>0</v>
      </c>
      <c r="F128" s="185">
        <f t="shared" si="82"/>
        <v>0</v>
      </c>
      <c r="G128" s="185">
        <f t="shared" si="86"/>
        <v>0</v>
      </c>
      <c r="H128" s="185"/>
      <c r="I128" s="186">
        <f t="shared" si="83"/>
        <v>0</v>
      </c>
      <c r="J128" s="186">
        <f t="shared" si="84"/>
        <v>0</v>
      </c>
      <c r="K128" s="186">
        <f t="shared" si="87"/>
        <v>0</v>
      </c>
      <c r="L128" s="185"/>
      <c r="M128" s="185"/>
      <c r="N128" s="185">
        <f t="shared" si="88"/>
        <v>0</v>
      </c>
      <c r="O128" s="185">
        <f t="shared" si="89"/>
        <v>0</v>
      </c>
      <c r="P128" s="185">
        <f t="shared" si="89"/>
        <v>0</v>
      </c>
      <c r="Q128" s="186">
        <f t="shared" si="90"/>
        <v>0</v>
      </c>
      <c r="R128" s="186">
        <f t="shared" si="91"/>
        <v>0</v>
      </c>
      <c r="S128" s="186">
        <f t="shared" si="91"/>
        <v>0</v>
      </c>
    </row>
    <row r="129" spans="1:20" ht="41.4" x14ac:dyDescent="0.3">
      <c r="A129" s="3" t="str">
        <f t="shared" si="85"/>
        <v>Do Not Print</v>
      </c>
      <c r="B129" s="3" t="s">
        <v>150</v>
      </c>
      <c r="C129" s="18" t="s">
        <v>955</v>
      </c>
      <c r="D129" s="3"/>
      <c r="E129" s="185">
        <f t="shared" si="81"/>
        <v>0</v>
      </c>
      <c r="F129" s="185">
        <f t="shared" si="82"/>
        <v>0</v>
      </c>
      <c r="G129" s="185">
        <f t="shared" si="86"/>
        <v>0</v>
      </c>
      <c r="H129" s="185"/>
      <c r="I129" s="186">
        <f t="shared" si="83"/>
        <v>0</v>
      </c>
      <c r="J129" s="186">
        <f t="shared" si="84"/>
        <v>0</v>
      </c>
      <c r="K129" s="186">
        <f t="shared" si="87"/>
        <v>0</v>
      </c>
      <c r="L129" s="185"/>
      <c r="M129" s="185"/>
      <c r="N129" s="185">
        <f t="shared" si="88"/>
        <v>0</v>
      </c>
      <c r="O129" s="185">
        <f t="shared" si="89"/>
        <v>0</v>
      </c>
      <c r="P129" s="185">
        <f t="shared" si="89"/>
        <v>0</v>
      </c>
      <c r="Q129" s="186">
        <f t="shared" si="90"/>
        <v>0</v>
      </c>
      <c r="R129" s="186">
        <f t="shared" si="91"/>
        <v>0</v>
      </c>
      <c r="S129" s="186">
        <f t="shared" si="91"/>
        <v>0</v>
      </c>
    </row>
    <row r="130" spans="1:20" ht="41.4" x14ac:dyDescent="0.3">
      <c r="A130" s="3" t="str">
        <f t="shared" si="85"/>
        <v>Do Not Print</v>
      </c>
      <c r="B130" s="3" t="s">
        <v>150</v>
      </c>
      <c r="C130" s="18" t="s">
        <v>956</v>
      </c>
      <c r="D130" s="3"/>
      <c r="E130" s="185">
        <f t="shared" si="81"/>
        <v>0</v>
      </c>
      <c r="F130" s="185">
        <f t="shared" si="82"/>
        <v>0</v>
      </c>
      <c r="G130" s="185">
        <f t="shared" si="86"/>
        <v>0</v>
      </c>
      <c r="H130" s="185"/>
      <c r="I130" s="186">
        <f t="shared" si="83"/>
        <v>0</v>
      </c>
      <c r="J130" s="186">
        <f t="shared" si="84"/>
        <v>0</v>
      </c>
      <c r="K130" s="186">
        <f t="shared" si="87"/>
        <v>0</v>
      </c>
      <c r="L130" s="185"/>
      <c r="M130" s="185"/>
      <c r="N130" s="185">
        <f t="shared" si="88"/>
        <v>0</v>
      </c>
      <c r="O130" s="185">
        <f t="shared" si="89"/>
        <v>0</v>
      </c>
      <c r="P130" s="185">
        <f t="shared" si="89"/>
        <v>0</v>
      </c>
      <c r="Q130" s="186">
        <f t="shared" si="90"/>
        <v>0</v>
      </c>
      <c r="R130" s="186">
        <f t="shared" si="91"/>
        <v>0</v>
      </c>
      <c r="S130" s="186">
        <f t="shared" si="91"/>
        <v>0</v>
      </c>
    </row>
    <row r="131" spans="1:20" ht="27.6" x14ac:dyDescent="0.3">
      <c r="A131" s="3" t="str">
        <f t="shared" si="85"/>
        <v>Do Not Print</v>
      </c>
      <c r="B131" s="3" t="s">
        <v>150</v>
      </c>
      <c r="C131" s="18" t="s">
        <v>957</v>
      </c>
      <c r="D131" s="3"/>
      <c r="E131" s="185">
        <f t="shared" si="81"/>
        <v>0</v>
      </c>
      <c r="F131" s="185">
        <f t="shared" si="82"/>
        <v>0</v>
      </c>
      <c r="G131" s="185">
        <f t="shared" si="86"/>
        <v>0</v>
      </c>
      <c r="H131" s="185"/>
      <c r="I131" s="186">
        <f t="shared" si="83"/>
        <v>0</v>
      </c>
      <c r="J131" s="186">
        <f t="shared" si="84"/>
        <v>0</v>
      </c>
      <c r="K131" s="186">
        <f t="shared" si="87"/>
        <v>0</v>
      </c>
      <c r="L131" s="185"/>
      <c r="M131" s="185"/>
      <c r="N131" s="185">
        <f t="shared" si="88"/>
        <v>0</v>
      </c>
      <c r="O131" s="185">
        <f t="shared" si="89"/>
        <v>0</v>
      </c>
      <c r="P131" s="185">
        <f t="shared" si="89"/>
        <v>0</v>
      </c>
      <c r="Q131" s="186">
        <f t="shared" si="90"/>
        <v>0</v>
      </c>
      <c r="R131" s="186">
        <f t="shared" si="91"/>
        <v>0</v>
      </c>
      <c r="S131" s="186">
        <f t="shared" si="91"/>
        <v>0</v>
      </c>
    </row>
    <row r="132" spans="1:20" ht="27.6" x14ac:dyDescent="0.3">
      <c r="A132" s="3" t="str">
        <f t="shared" si="85"/>
        <v>Do Not Print</v>
      </c>
      <c r="B132" s="3"/>
      <c r="C132" s="38" t="s">
        <v>1111</v>
      </c>
      <c r="D132" s="3"/>
      <c r="E132" s="185">
        <f>SUM(E125:E131)</f>
        <v>0</v>
      </c>
      <c r="F132" s="185">
        <f t="shared" ref="F132:K132" si="92">SUM(F125:F131)</f>
        <v>0</v>
      </c>
      <c r="G132" s="185">
        <f t="shared" si="92"/>
        <v>0</v>
      </c>
      <c r="H132" s="185"/>
      <c r="I132" s="185">
        <f t="shared" si="92"/>
        <v>0</v>
      </c>
      <c r="J132" s="185">
        <f t="shared" si="92"/>
        <v>0</v>
      </c>
      <c r="K132" s="185">
        <f t="shared" si="92"/>
        <v>0</v>
      </c>
      <c r="L132" s="185"/>
      <c r="M132" s="185"/>
      <c r="N132" s="185">
        <f>ROUND(E132,0)</f>
        <v>0</v>
      </c>
      <c r="O132" s="185">
        <f t="shared" si="89"/>
        <v>0</v>
      </c>
      <c r="P132" s="185">
        <f t="shared" si="89"/>
        <v>0</v>
      </c>
      <c r="Q132" s="186">
        <f>ROUND(I132,0)</f>
        <v>0</v>
      </c>
      <c r="R132" s="186">
        <f>ROUND(J132,0)</f>
        <v>0</v>
      </c>
      <c r="S132" s="186">
        <f>ROUND(K132,0)</f>
        <v>0</v>
      </c>
    </row>
    <row r="133" spans="1:20" x14ac:dyDescent="0.3">
      <c r="A133" s="3" t="s">
        <v>448</v>
      </c>
      <c r="B133" s="3"/>
      <c r="C133" s="18"/>
      <c r="D133" s="3"/>
      <c r="E133" s="185"/>
      <c r="F133" s="185"/>
      <c r="G133" s="185"/>
      <c r="H133" s="185"/>
      <c r="I133" s="186"/>
      <c r="J133" s="186"/>
      <c r="K133" s="186"/>
      <c r="L133" s="185"/>
      <c r="M133" s="185"/>
      <c r="N133" s="185"/>
      <c r="O133" s="185"/>
      <c r="P133" s="185"/>
      <c r="Q133" s="186"/>
      <c r="R133" s="186"/>
      <c r="S133" s="186"/>
    </row>
    <row r="134" spans="1:20" ht="27.6" x14ac:dyDescent="0.3">
      <c r="A134" s="3" t="str">
        <f>IF(AND(E134=0,F134=0,G134=0,I134=0,J134=0,K134=0),"Do Not Print","Print")</f>
        <v>Do Not Print</v>
      </c>
      <c r="B134" s="3"/>
      <c r="C134" s="40" t="s">
        <v>120</v>
      </c>
      <c r="D134" s="3"/>
      <c r="E134" s="190">
        <f>E117+E132+E123</f>
        <v>0</v>
      </c>
      <c r="F134" s="190">
        <f>F117+F132+F123</f>
        <v>0</v>
      </c>
      <c r="G134" s="190">
        <f>G117+G132+G123</f>
        <v>0</v>
      </c>
      <c r="H134" s="190"/>
      <c r="I134" s="190">
        <f>I117+I132+I123</f>
        <v>0</v>
      </c>
      <c r="J134" s="190">
        <f>J117+J132+J123</f>
        <v>0</v>
      </c>
      <c r="K134" s="190">
        <f>K117+K132+K123</f>
        <v>0</v>
      </c>
      <c r="L134" s="190"/>
      <c r="M134" s="185"/>
      <c r="N134" s="185">
        <f>ROUND(E134,0)</f>
        <v>0</v>
      </c>
      <c r="O134" s="185">
        <f>ROUND(F134,0)</f>
        <v>0</v>
      </c>
      <c r="P134" s="185">
        <f>ROUND(G134,0)</f>
        <v>0</v>
      </c>
      <c r="Q134" s="186">
        <f>ROUND(I134,0)</f>
        <v>0</v>
      </c>
      <c r="R134" s="186">
        <f>ROUND(J134,0)</f>
        <v>0</v>
      </c>
      <c r="S134" s="186">
        <f>ROUND(K134,0)</f>
        <v>0</v>
      </c>
    </row>
    <row r="135" spans="1:20" x14ac:dyDescent="0.3">
      <c r="A135" s="3" t="s">
        <v>448</v>
      </c>
      <c r="B135" s="3"/>
      <c r="C135" s="18"/>
      <c r="D135" s="3"/>
      <c r="E135" s="185"/>
      <c r="F135" s="185"/>
      <c r="G135" s="185"/>
      <c r="H135" s="185"/>
      <c r="I135" s="186"/>
      <c r="J135" s="186"/>
      <c r="K135" s="186"/>
      <c r="L135" s="185"/>
      <c r="M135" s="185"/>
      <c r="N135" s="185"/>
      <c r="O135" s="185"/>
      <c r="P135" s="185"/>
      <c r="Q135" s="186"/>
      <c r="R135" s="186"/>
      <c r="S135" s="186"/>
    </row>
    <row r="136" spans="1:20" ht="27.6" x14ac:dyDescent="0.3">
      <c r="A136" s="3" t="str">
        <f>IF(AND(E136=0,F136=0,G136=0,I136=0,J136=0,K136=0),"Do Not Print","Print")</f>
        <v>Do Not Print</v>
      </c>
      <c r="B136" s="3"/>
      <c r="C136" s="40" t="s">
        <v>347</v>
      </c>
      <c r="D136" s="3"/>
      <c r="E136" s="190">
        <f>E43+E51+E95+E134</f>
        <v>0</v>
      </c>
      <c r="F136" s="190">
        <f>F43+F51+F95+F134</f>
        <v>0</v>
      </c>
      <c r="G136" s="190">
        <f>G43+G51+G95+G134+G108</f>
        <v>0</v>
      </c>
      <c r="H136" s="190"/>
      <c r="I136" s="190">
        <f>I43+I51+I95+I134</f>
        <v>0</v>
      </c>
      <c r="J136" s="190">
        <f>J43+J51+J95+J134</f>
        <v>0</v>
      </c>
      <c r="K136" s="190">
        <f>K43+K51+K95+K134+K108</f>
        <v>0</v>
      </c>
      <c r="L136" s="190"/>
      <c r="M136" s="185"/>
      <c r="N136" s="185">
        <f>ROUND(E136,0)</f>
        <v>0</v>
      </c>
      <c r="O136" s="185">
        <f>ROUND(F136,0)</f>
        <v>0</v>
      </c>
      <c r="P136" s="185">
        <f>ROUND(G136,0)</f>
        <v>0</v>
      </c>
      <c r="Q136" s="186">
        <f>ROUND(I136,0)</f>
        <v>0</v>
      </c>
      <c r="R136" s="186">
        <f>ROUND(J136,0)</f>
        <v>0</v>
      </c>
      <c r="S136" s="186">
        <f>ROUND(K136,0)</f>
        <v>0</v>
      </c>
    </row>
    <row r="137" spans="1:20" x14ac:dyDescent="0.3">
      <c r="A137" s="3" t="str">
        <f>IF(AND(E137=0,F137=0,G137=0,I137=0,J137=0,K137=0),"Do Not Print","Print")</f>
        <v>Do Not Print</v>
      </c>
      <c r="B137" s="3"/>
      <c r="C137" s="18"/>
      <c r="D137" s="3"/>
      <c r="E137" s="185"/>
      <c r="F137" s="185"/>
      <c r="G137" s="185">
        <f>SUM(E136-F136)</f>
        <v>0</v>
      </c>
      <c r="H137" s="185"/>
      <c r="I137" s="186"/>
      <c r="J137" s="186"/>
      <c r="K137" s="186"/>
      <c r="L137" s="185"/>
      <c r="M137" s="185"/>
      <c r="N137" s="185"/>
      <c r="O137" s="185"/>
      <c r="P137" s="185"/>
      <c r="Q137" s="186"/>
      <c r="R137" s="186"/>
      <c r="S137" s="186">
        <f>ROUND(K136,0)</f>
        <v>0</v>
      </c>
      <c r="T137" s="1496"/>
    </row>
    <row r="138" spans="1:20" ht="41.4" x14ac:dyDescent="0.3">
      <c r="A138" s="3" t="str">
        <f>IF(AND(E138=0,F138=0,G138=0,I138=0,J138=0,K138=0),"Do Not Print","Print")</f>
        <v>Do Not Print</v>
      </c>
      <c r="B138" s="3"/>
      <c r="C138" s="18" t="s">
        <v>905</v>
      </c>
      <c r="D138" s="3"/>
      <c r="E138" s="185"/>
      <c r="F138" s="185"/>
      <c r="G138" s="185">
        <f>'Note 11'!P14-'Note 11'!P28</f>
        <v>0</v>
      </c>
      <c r="H138" s="185"/>
      <c r="I138" s="186"/>
      <c r="J138" s="186"/>
      <c r="K138" s="186">
        <f>'Note 11'!P47-'Note 11'!P62</f>
        <v>0</v>
      </c>
      <c r="L138" s="185"/>
      <c r="M138" s="185"/>
      <c r="N138" s="185"/>
      <c r="O138" s="185"/>
      <c r="P138" s="185">
        <f>ROUND(G138,0)</f>
        <v>0</v>
      </c>
      <c r="Q138" s="186"/>
      <c r="R138" s="186"/>
      <c r="S138" s="186">
        <f>ROUND(K138,0)</f>
        <v>0</v>
      </c>
      <c r="T138" s="1496"/>
    </row>
    <row r="139" spans="1:20" x14ac:dyDescent="0.3">
      <c r="A139" s="3" t="s">
        <v>448</v>
      </c>
      <c r="B139" s="3"/>
      <c r="C139" s="18"/>
      <c r="D139" s="3"/>
      <c r="E139" s="185"/>
      <c r="F139" s="185"/>
      <c r="G139" s="185"/>
      <c r="H139" s="185"/>
      <c r="I139" s="186"/>
      <c r="J139" s="186"/>
      <c r="K139" s="186"/>
      <c r="L139" s="185"/>
      <c r="M139" s="185"/>
      <c r="N139" s="185"/>
      <c r="O139" s="185"/>
      <c r="P139" s="185"/>
      <c r="Q139" s="186"/>
      <c r="R139" s="186"/>
      <c r="S139" s="186"/>
    </row>
    <row r="140" spans="1:20" ht="55.2" x14ac:dyDescent="0.3">
      <c r="A140" s="3" t="s">
        <v>448</v>
      </c>
      <c r="B140" s="3"/>
      <c r="C140" s="18" t="s">
        <v>959</v>
      </c>
      <c r="D140" s="3"/>
      <c r="E140" s="185"/>
      <c r="F140" s="185"/>
      <c r="G140" s="185">
        <f>-'Note 11'!P30</f>
        <v>0</v>
      </c>
      <c r="H140" s="185"/>
      <c r="I140" s="186"/>
      <c r="J140" s="186"/>
      <c r="K140" s="186">
        <f>-'Note 11'!P64</f>
        <v>0</v>
      </c>
      <c r="L140" s="185"/>
      <c r="M140" s="185"/>
      <c r="N140" s="185"/>
      <c r="O140" s="185"/>
      <c r="P140" s="185">
        <f>ROUND(G140,0)</f>
        <v>0</v>
      </c>
      <c r="Q140" s="186"/>
      <c r="R140" s="186"/>
      <c r="S140" s="186">
        <f>ROUND(K140,0)</f>
        <v>0</v>
      </c>
    </row>
    <row r="141" spans="1:20" x14ac:dyDescent="0.3">
      <c r="A141" s="3" t="s">
        <v>448</v>
      </c>
      <c r="B141" s="3"/>
      <c r="C141" s="18"/>
      <c r="D141" s="3"/>
      <c r="E141" s="185"/>
      <c r="F141" s="185"/>
      <c r="G141" s="185"/>
      <c r="H141" s="185"/>
      <c r="I141" s="186"/>
      <c r="J141" s="186"/>
      <c r="K141" s="186"/>
      <c r="L141" s="185"/>
      <c r="M141" s="185"/>
      <c r="N141" s="185"/>
      <c r="O141" s="185"/>
      <c r="P141" s="185"/>
      <c r="Q141" s="186"/>
      <c r="R141" s="186"/>
      <c r="S141" s="186"/>
    </row>
    <row r="142" spans="1:20" ht="96.6" x14ac:dyDescent="0.3">
      <c r="A142" s="3" t="str">
        <f>IF(AND(E142=0,F142=0,G142=0,I142=0,J142=0,K142=0),"Do Not Print","Print")</f>
        <v>Do Not Print</v>
      </c>
      <c r="B142" s="3"/>
      <c r="C142" s="18" t="s">
        <v>2775</v>
      </c>
      <c r="D142" s="3"/>
      <c r="E142" s="185"/>
      <c r="F142" s="185"/>
      <c r="G142" s="188">
        <f>-'Note 25 to end'!J305</f>
        <v>0</v>
      </c>
      <c r="H142" s="188"/>
      <c r="I142" s="186"/>
      <c r="J142" s="186"/>
      <c r="K142" s="189">
        <f>-'Note 25 to end'!K297</f>
        <v>0</v>
      </c>
      <c r="L142" s="185"/>
      <c r="M142" s="185"/>
      <c r="N142" s="185"/>
      <c r="O142" s="185"/>
      <c r="P142" s="185">
        <f>ROUND(G142,0)</f>
        <v>0</v>
      </c>
      <c r="Q142" s="186"/>
      <c r="R142" s="186"/>
      <c r="S142" s="186">
        <f>ROUND(K142,0)</f>
        <v>0</v>
      </c>
    </row>
    <row r="143" spans="1:20" x14ac:dyDescent="0.3">
      <c r="A143" s="3" t="s">
        <v>448</v>
      </c>
      <c r="B143" s="3"/>
      <c r="C143" s="18"/>
      <c r="D143" s="3"/>
      <c r="E143" s="185"/>
      <c r="F143" s="185"/>
      <c r="G143" s="185"/>
      <c r="H143" s="185"/>
      <c r="I143" s="186"/>
      <c r="J143" s="186"/>
      <c r="K143" s="186"/>
      <c r="L143" s="185"/>
      <c r="M143" s="185"/>
      <c r="N143" s="185"/>
      <c r="O143" s="185"/>
      <c r="P143" s="185"/>
      <c r="Q143" s="186"/>
      <c r="R143" s="186"/>
      <c r="S143" s="186"/>
    </row>
    <row r="144" spans="1:20" ht="41.4" x14ac:dyDescent="0.3">
      <c r="A144" s="3" t="str">
        <f>IF(AND(E144=0,F144=0,G144=0,I144=0,J144=0,K144=0),"Do Not Print","Print")</f>
        <v>Do Not Print</v>
      </c>
      <c r="B144" s="3"/>
      <c r="C144" s="18" t="s">
        <v>348</v>
      </c>
      <c r="D144" s="3"/>
      <c r="E144" s="185"/>
      <c r="F144" s="185"/>
      <c r="G144" s="188">
        <f>'Notes 11c to 24'!J1053</f>
        <v>0</v>
      </c>
      <c r="H144" s="185"/>
      <c r="I144" s="186"/>
      <c r="J144" s="186"/>
      <c r="K144" s="186">
        <f>'Notes 11c to 24'!K1053</f>
        <v>0</v>
      </c>
      <c r="L144" s="185"/>
      <c r="M144" s="185"/>
      <c r="N144" s="185"/>
      <c r="O144" s="185"/>
      <c r="P144" s="185">
        <f>ROUND(G144,0)</f>
        <v>0</v>
      </c>
      <c r="Q144" s="186"/>
      <c r="R144" s="186"/>
      <c r="S144" s="186">
        <f>ROUND(K144,0)</f>
        <v>0</v>
      </c>
    </row>
    <row r="145" spans="1:19" x14ac:dyDescent="0.3">
      <c r="A145" s="3" t="s">
        <v>448</v>
      </c>
      <c r="B145" s="3"/>
      <c r="C145" s="18"/>
      <c r="D145" s="3"/>
      <c r="E145" s="185"/>
      <c r="F145" s="185"/>
      <c r="G145" s="185"/>
      <c r="H145" s="185"/>
      <c r="I145" s="186"/>
      <c r="J145" s="186"/>
      <c r="K145" s="186"/>
      <c r="L145" s="185"/>
      <c r="M145" s="185"/>
      <c r="N145" s="185"/>
      <c r="O145" s="185"/>
      <c r="P145" s="185"/>
      <c r="Q145" s="186"/>
      <c r="R145" s="186"/>
      <c r="S145" s="186">
        <f>ROUND(K145,0)</f>
        <v>0</v>
      </c>
    </row>
    <row r="146" spans="1:19" ht="69" x14ac:dyDescent="0.3">
      <c r="A146" s="3" t="s">
        <v>448</v>
      </c>
      <c r="B146" s="3"/>
      <c r="C146" s="38" t="s">
        <v>1662</v>
      </c>
      <c r="D146" s="3"/>
      <c r="E146" s="185"/>
      <c r="F146" s="185"/>
      <c r="G146" s="185"/>
      <c r="H146" s="185"/>
      <c r="I146" s="186"/>
      <c r="J146" s="186"/>
      <c r="K146" s="186"/>
      <c r="L146" s="185"/>
      <c r="M146" s="185"/>
      <c r="N146" s="185"/>
      <c r="O146" s="185"/>
      <c r="P146" s="185"/>
      <c r="Q146" s="186"/>
      <c r="R146" s="186"/>
      <c r="S146" s="186"/>
    </row>
    <row r="147" spans="1:19" x14ac:dyDescent="0.3">
      <c r="A147" s="3" t="str">
        <f>IF(AND(G147=0,K147=0),"Do Not Print","Print")</f>
        <v>Do Not Print</v>
      </c>
      <c r="B147" s="3" t="s">
        <v>1667</v>
      </c>
      <c r="C147" s="18" t="s">
        <v>1658</v>
      </c>
      <c r="D147" s="3"/>
      <c r="E147" s="185"/>
      <c r="F147" s="185"/>
      <c r="G147" s="185"/>
      <c r="H147" s="185"/>
      <c r="I147" s="186"/>
      <c r="J147" s="186"/>
      <c r="K147" s="186">
        <f>VLOOKUP($C147,OCEIAJV,11,0)</f>
        <v>0</v>
      </c>
      <c r="L147" s="185"/>
      <c r="M147" s="185"/>
      <c r="N147" s="185"/>
      <c r="O147" s="185"/>
      <c r="P147" s="185">
        <f>ROUND(G147,0)</f>
        <v>0</v>
      </c>
      <c r="Q147" s="186"/>
      <c r="R147" s="186"/>
      <c r="S147" s="186">
        <f>ROUND(K147,0)</f>
        <v>0</v>
      </c>
    </row>
    <row r="148" spans="1:19" ht="27.6" x14ac:dyDescent="0.3">
      <c r="A148" s="3" t="str">
        <f>IF(AND(G148=0,K148=0),"Do Not Print","Print")</f>
        <v>Do Not Print</v>
      </c>
      <c r="B148" s="3" t="s">
        <v>1667</v>
      </c>
      <c r="C148" s="18" t="s">
        <v>1659</v>
      </c>
      <c r="D148" s="3"/>
      <c r="E148" s="185"/>
      <c r="F148" s="185">
        <v>0</v>
      </c>
      <c r="G148" s="183">
        <f>E148-F148</f>
        <v>0</v>
      </c>
      <c r="H148" s="185"/>
      <c r="I148" s="186"/>
      <c r="J148" s="186"/>
      <c r="K148" s="186">
        <v>0</v>
      </c>
      <c r="L148" s="185"/>
      <c r="M148" s="185"/>
      <c r="N148" s="185"/>
      <c r="O148" s="185"/>
      <c r="P148" s="185">
        <f>ROUND(G148,0)</f>
        <v>0</v>
      </c>
      <c r="Q148" s="186"/>
      <c r="R148" s="186"/>
      <c r="S148" s="186">
        <f>ROUND(K148,0)</f>
        <v>0</v>
      </c>
    </row>
    <row r="149" spans="1:19" x14ac:dyDescent="0.3">
      <c r="A149" s="3" t="str">
        <f>IF(AND(G149=0,K149=0),"Do Not Print","Print")</f>
        <v>Do Not Print</v>
      </c>
      <c r="B149" s="3"/>
      <c r="C149" s="18"/>
      <c r="D149" s="3"/>
      <c r="E149" s="185"/>
      <c r="F149" s="185"/>
      <c r="G149" s="185">
        <f>SUM(G147:G148)</f>
        <v>0</v>
      </c>
      <c r="H149" s="185"/>
      <c r="I149" s="186"/>
      <c r="J149" s="186"/>
      <c r="K149" s="186">
        <f>SUM(K147:K148)</f>
        <v>0</v>
      </c>
      <c r="L149" s="185"/>
      <c r="M149" s="185"/>
      <c r="N149" s="185"/>
      <c r="O149" s="185"/>
      <c r="P149" s="185">
        <f>ROUND(G149,0)</f>
        <v>0</v>
      </c>
      <c r="Q149" s="186"/>
      <c r="R149" s="186"/>
      <c r="S149" s="186">
        <f>ROUND(K149,0)</f>
        <v>0</v>
      </c>
    </row>
    <row r="150" spans="1:19" ht="27.6" x14ac:dyDescent="0.3">
      <c r="A150" s="3" t="str">
        <f>IF(AND(E150=0,F150=0,G150=0,I150=0,J150=0,K150=0),"Do Not Print","Print")</f>
        <v>Do Not Print</v>
      </c>
      <c r="B150" s="3"/>
      <c r="C150" s="38" t="s">
        <v>559</v>
      </c>
      <c r="D150" s="3"/>
      <c r="E150" s="185"/>
      <c r="F150" s="185"/>
      <c r="G150" s="185">
        <f>SUM(G138:G145)</f>
        <v>0</v>
      </c>
      <c r="H150" s="185"/>
      <c r="I150" s="186"/>
      <c r="J150" s="186"/>
      <c r="K150" s="186">
        <f>SUM(K138:K145)</f>
        <v>0</v>
      </c>
      <c r="L150" s="185"/>
      <c r="M150" s="185"/>
      <c r="N150" s="185"/>
      <c r="O150" s="185"/>
      <c r="P150" s="185">
        <f>ROUND(G150,0)</f>
        <v>0</v>
      </c>
      <c r="Q150" s="186"/>
      <c r="R150" s="186"/>
      <c r="S150" s="186">
        <f>ROUND(K150,0)</f>
        <v>0</v>
      </c>
    </row>
    <row r="151" spans="1:19" x14ac:dyDescent="0.3">
      <c r="A151" s="3" t="s">
        <v>448</v>
      </c>
      <c r="B151" s="3"/>
      <c r="C151" s="18"/>
      <c r="D151" s="3"/>
      <c r="E151" s="185"/>
      <c r="F151" s="185"/>
      <c r="G151" s="185"/>
      <c r="H151" s="185"/>
      <c r="I151" s="186"/>
      <c r="J151" s="186"/>
      <c r="K151" s="186"/>
      <c r="L151" s="185"/>
      <c r="M151" s="185"/>
      <c r="N151" s="185"/>
      <c r="O151" s="185"/>
      <c r="P151" s="185"/>
      <c r="Q151" s="186"/>
      <c r="R151" s="186"/>
      <c r="S151" s="186"/>
    </row>
    <row r="152" spans="1:19" ht="27.6" x14ac:dyDescent="0.3">
      <c r="A152" s="3" t="str">
        <f>IF(AND(E152=0,F152=0,G152=0,I152=0,J152=0,K152=0),"Do Not Print","Print")</f>
        <v>Do Not Print</v>
      </c>
      <c r="B152" s="3"/>
      <c r="C152" s="38" t="s">
        <v>560</v>
      </c>
      <c r="D152" s="3"/>
      <c r="E152" s="185"/>
      <c r="F152" s="185"/>
      <c r="G152" s="185">
        <f>G136+G150</f>
        <v>0</v>
      </c>
      <c r="H152" s="185"/>
      <c r="I152" s="186"/>
      <c r="J152" s="186"/>
      <c r="K152" s="186">
        <f>K136+K150</f>
        <v>0</v>
      </c>
      <c r="L152" s="185"/>
      <c r="M152" s="185"/>
      <c r="N152" s="185"/>
      <c r="O152" s="185"/>
      <c r="P152" s="185">
        <f>ROUND(G152,0)</f>
        <v>0</v>
      </c>
      <c r="Q152" s="186"/>
      <c r="R152" s="186"/>
      <c r="S152" s="186">
        <f>ROUND(K152,0)</f>
        <v>0</v>
      </c>
    </row>
    <row r="153" spans="1:19" x14ac:dyDescent="0.3">
      <c r="A153" s="3" t="s">
        <v>448</v>
      </c>
      <c r="B153" s="3"/>
      <c r="C153" s="18"/>
      <c r="D153" s="3"/>
      <c r="E153" s="185"/>
      <c r="F153" s="185"/>
      <c r="G153" s="185"/>
      <c r="H153" s="185"/>
      <c r="I153" s="186"/>
      <c r="J153" s="186"/>
      <c r="K153" s="186"/>
      <c r="L153" s="185"/>
      <c r="M153" s="185"/>
      <c r="N153" s="185"/>
      <c r="O153" s="185"/>
      <c r="P153" s="185"/>
      <c r="Q153" s="186"/>
      <c r="R153" s="186"/>
      <c r="S153" s="186"/>
    </row>
    <row r="154" spans="1:19" x14ac:dyDescent="0.3">
      <c r="A154" s="3" t="str">
        <f>IF(AND(E154=0,F154=0,G154=0,I154=0,J154=0),"Do Not Print","Print")</f>
        <v>Do Not Print</v>
      </c>
      <c r="B154" s="3"/>
      <c r="C154" s="18" t="s">
        <v>591</v>
      </c>
      <c r="D154" s="3"/>
      <c r="E154" s="185"/>
      <c r="F154" s="185"/>
      <c r="G154" s="188">
        <f>'Det BS '!J558</f>
        <v>0</v>
      </c>
      <c r="H154" s="188"/>
      <c r="I154" s="186"/>
      <c r="J154" s="186"/>
      <c r="K154" s="189">
        <f>'Det BS '!K558</f>
        <v>0</v>
      </c>
      <c r="L154" s="185"/>
      <c r="M154" s="185"/>
      <c r="N154" s="185"/>
      <c r="O154" s="185"/>
      <c r="P154" s="185">
        <f t="shared" ref="P154:P158" si="93">ROUND(G154,0)</f>
        <v>0</v>
      </c>
      <c r="Q154" s="186"/>
      <c r="R154" s="186"/>
      <c r="S154" s="186">
        <f t="shared" ref="S154:S158" si="94">ROUND(K154,0)</f>
        <v>0</v>
      </c>
    </row>
    <row r="155" spans="1:19" x14ac:dyDescent="0.3">
      <c r="A155" s="3" t="s">
        <v>448</v>
      </c>
      <c r="B155" s="3"/>
      <c r="C155" s="18"/>
      <c r="D155" s="3"/>
      <c r="E155" s="185"/>
      <c r="F155" s="185"/>
      <c r="G155" s="185"/>
      <c r="H155" s="185"/>
      <c r="I155" s="186"/>
      <c r="J155" s="186"/>
      <c r="K155" s="186"/>
      <c r="L155" s="185"/>
      <c r="M155" s="185"/>
      <c r="N155" s="185"/>
      <c r="O155" s="185"/>
      <c r="P155" s="185"/>
      <c r="Q155" s="186"/>
      <c r="R155" s="186"/>
      <c r="S155" s="186"/>
    </row>
    <row r="156" spans="1:19" ht="27.6" x14ac:dyDescent="0.3">
      <c r="A156" s="3" t="str">
        <f>IF(AND(E156=0,F156=0,G156=0,I156=0,J156=0),"Do Not Print","Print")</f>
        <v>Do Not Print</v>
      </c>
      <c r="B156" s="3"/>
      <c r="C156" s="39" t="s">
        <v>706</v>
      </c>
      <c r="D156" s="3"/>
      <c r="E156" s="185"/>
      <c r="F156" s="185"/>
      <c r="G156" s="185">
        <f>-G152+G154</f>
        <v>0</v>
      </c>
      <c r="H156" s="185"/>
      <c r="I156" s="186"/>
      <c r="J156" s="186"/>
      <c r="K156" s="186">
        <f>-K152+K154</f>
        <v>0</v>
      </c>
      <c r="L156" s="185"/>
      <c r="M156" s="185"/>
      <c r="N156" s="185"/>
      <c r="O156" s="185"/>
      <c r="P156" s="185">
        <f t="shared" si="93"/>
        <v>0</v>
      </c>
      <c r="Q156" s="186"/>
      <c r="R156" s="186"/>
      <c r="S156" s="186">
        <f>ROUND(K156,0)</f>
        <v>0</v>
      </c>
    </row>
    <row r="157" spans="1:19" x14ac:dyDescent="0.3">
      <c r="A157" t="s">
        <v>448</v>
      </c>
      <c r="E157" s="165"/>
      <c r="F157" s="165"/>
      <c r="G157" s="165"/>
      <c r="H157" s="165"/>
      <c r="I157" s="191"/>
      <c r="J157" s="191"/>
      <c r="K157" s="191"/>
      <c r="L157" s="165"/>
      <c r="M157" s="165"/>
      <c r="N157" s="165"/>
      <c r="O157" s="165"/>
      <c r="P157" s="185"/>
      <c r="Q157" s="191"/>
      <c r="R157" s="191"/>
      <c r="S157" s="186"/>
    </row>
    <row r="158" spans="1:19" ht="27.6" x14ac:dyDescent="0.3">
      <c r="A158" s="3" t="str">
        <f>IF(AND(E158=0,F158=0,G158=0,I158=0,J158=0),"Do Not Print","Print")</f>
        <v>Do Not Print</v>
      </c>
      <c r="C158" s="39" t="s">
        <v>707</v>
      </c>
      <c r="E158" s="165"/>
      <c r="F158" s="165"/>
      <c r="G158" s="165">
        <f>ROUND(G156,0)</f>
        <v>0</v>
      </c>
      <c r="H158" s="165"/>
      <c r="I158" s="191"/>
      <c r="J158" s="191"/>
      <c r="K158" s="191">
        <f>ROUND(K156,0)</f>
        <v>0</v>
      </c>
      <c r="L158" s="165"/>
      <c r="M158" s="165"/>
      <c r="N158" s="165"/>
      <c r="O158" s="165"/>
      <c r="P158" s="185">
        <f t="shared" si="93"/>
        <v>0</v>
      </c>
      <c r="Q158" s="191"/>
      <c r="R158" s="191"/>
      <c r="S158" s="186">
        <f t="shared" si="94"/>
        <v>0</v>
      </c>
    </row>
    <row r="159" spans="1:19" x14ac:dyDescent="0.3">
      <c r="E159" s="165"/>
      <c r="F159" s="165"/>
      <c r="G159" s="165"/>
      <c r="H159" s="165"/>
      <c r="I159" s="191"/>
      <c r="J159" s="191"/>
      <c r="K159" s="191"/>
      <c r="L159" s="165"/>
      <c r="M159" s="165"/>
      <c r="N159" s="165"/>
      <c r="O159" s="165"/>
      <c r="P159" s="165"/>
      <c r="Q159" s="191"/>
      <c r="R159" s="191"/>
      <c r="S159" s="191"/>
    </row>
    <row r="160" spans="1:19" x14ac:dyDescent="0.3">
      <c r="E160" s="165"/>
      <c r="F160" s="165"/>
      <c r="G160" s="165"/>
      <c r="H160" s="165"/>
      <c r="I160" s="191"/>
      <c r="J160" s="191"/>
      <c r="K160" s="191"/>
      <c r="L160" s="165"/>
      <c r="M160" s="165"/>
      <c r="N160" s="165"/>
      <c r="O160" s="165"/>
      <c r="P160" s="165"/>
      <c r="Q160" s="191"/>
      <c r="R160" s="191"/>
      <c r="S160" s="191"/>
    </row>
    <row r="161" spans="5:19" x14ac:dyDescent="0.3">
      <c r="E161" s="165"/>
      <c r="F161" s="165"/>
      <c r="G161" s="165"/>
      <c r="H161" s="165"/>
      <c r="I161" s="191"/>
      <c r="J161" s="191"/>
      <c r="K161" s="191"/>
      <c r="L161" s="165"/>
      <c r="M161" s="165"/>
      <c r="N161" s="165"/>
      <c r="O161" s="165"/>
      <c r="P161" s="165"/>
      <c r="Q161" s="191"/>
      <c r="R161" s="191"/>
      <c r="S161" s="191"/>
    </row>
    <row r="162" spans="5:19" x14ac:dyDescent="0.3">
      <c r="E162" s="165"/>
      <c r="F162" s="165"/>
      <c r="G162" s="165"/>
      <c r="H162" s="165"/>
      <c r="I162" s="191"/>
      <c r="J162" s="191"/>
      <c r="K162" s="191"/>
      <c r="L162" s="165"/>
      <c r="M162" s="165"/>
      <c r="N162" s="165"/>
      <c r="O162" s="165"/>
      <c r="P162" s="165"/>
      <c r="Q162" s="191"/>
      <c r="R162" s="191"/>
      <c r="S162" s="191"/>
    </row>
    <row r="163" spans="5:19" x14ac:dyDescent="0.3">
      <c r="E163" s="165"/>
      <c r="F163" s="165"/>
      <c r="G163" s="165"/>
      <c r="H163" s="165"/>
      <c r="I163" s="191"/>
      <c r="J163" s="191"/>
      <c r="K163" s="191"/>
      <c r="L163" s="165"/>
      <c r="M163" s="165"/>
      <c r="N163" s="165"/>
      <c r="O163" s="165"/>
      <c r="P163" s="165"/>
      <c r="Q163" s="191"/>
      <c r="R163" s="191"/>
      <c r="S163" s="191"/>
    </row>
    <row r="164" spans="5:19" x14ac:dyDescent="0.3">
      <c r="E164" s="165"/>
      <c r="F164" s="165"/>
      <c r="G164" s="165"/>
      <c r="H164" s="165"/>
      <c r="I164" s="191"/>
      <c r="J164" s="191"/>
      <c r="K164" s="191"/>
      <c r="L164" s="165"/>
      <c r="M164" s="165"/>
      <c r="N164" s="165"/>
      <c r="O164" s="165"/>
      <c r="P164" s="165"/>
      <c r="Q164" s="191"/>
      <c r="R164" s="191"/>
      <c r="S164" s="191"/>
    </row>
    <row r="165" spans="5:19" x14ac:dyDescent="0.3">
      <c r="E165" s="165"/>
      <c r="F165" s="165"/>
      <c r="G165" s="165"/>
      <c r="H165" s="165"/>
      <c r="I165" s="191"/>
      <c r="J165" s="191"/>
      <c r="K165" s="191"/>
      <c r="L165" s="165"/>
      <c r="M165" s="165"/>
      <c r="N165" s="165"/>
      <c r="O165" s="165"/>
      <c r="P165" s="165"/>
      <c r="Q165" s="191"/>
      <c r="R165" s="191"/>
      <c r="S165" s="191"/>
    </row>
    <row r="166" spans="5:19" x14ac:dyDescent="0.3">
      <c r="E166" s="165"/>
      <c r="F166" s="165"/>
      <c r="G166" s="165"/>
      <c r="H166" s="165"/>
      <c r="I166" s="191"/>
      <c r="J166" s="191"/>
      <c r="K166" s="191"/>
      <c r="L166" s="165"/>
      <c r="M166" s="165"/>
      <c r="N166" s="165"/>
      <c r="O166" s="165"/>
      <c r="P166" s="165"/>
      <c r="Q166" s="191"/>
      <c r="R166" s="191"/>
      <c r="S166" s="191"/>
    </row>
    <row r="167" spans="5:19" x14ac:dyDescent="0.3">
      <c r="E167" s="165"/>
      <c r="F167" s="165"/>
      <c r="G167" s="165"/>
      <c r="H167" s="165"/>
      <c r="I167" s="191"/>
      <c r="J167" s="191"/>
      <c r="K167" s="191"/>
      <c r="L167" s="165"/>
      <c r="M167" s="165"/>
      <c r="N167" s="165"/>
      <c r="O167" s="165"/>
      <c r="P167" s="165"/>
      <c r="Q167" s="191"/>
      <c r="R167" s="191"/>
      <c r="S167" s="191"/>
    </row>
    <row r="168" spans="5:19" x14ac:dyDescent="0.3">
      <c r="E168" s="165"/>
      <c r="F168" s="165"/>
      <c r="G168" s="165"/>
      <c r="H168" s="165"/>
      <c r="I168" s="191"/>
      <c r="J168" s="191"/>
      <c r="K168" s="191"/>
      <c r="L168" s="165"/>
      <c r="M168" s="165"/>
      <c r="N168" s="165"/>
      <c r="O168" s="165"/>
      <c r="P168" s="165"/>
      <c r="Q168" s="191"/>
      <c r="R168" s="191"/>
      <c r="S168" s="191"/>
    </row>
    <row r="169" spans="5:19" x14ac:dyDescent="0.3">
      <c r="E169" s="165"/>
      <c r="F169" s="165"/>
      <c r="G169" s="165"/>
      <c r="H169" s="165"/>
      <c r="I169" s="191"/>
      <c r="J169" s="191"/>
      <c r="K169" s="191"/>
      <c r="L169" s="165"/>
      <c r="M169" s="165"/>
      <c r="N169" s="165"/>
      <c r="O169" s="165"/>
      <c r="P169" s="165"/>
      <c r="Q169" s="191"/>
      <c r="R169" s="191"/>
      <c r="S169" s="191"/>
    </row>
    <row r="170" spans="5:19" x14ac:dyDescent="0.3">
      <c r="E170" s="165"/>
      <c r="F170" s="165"/>
      <c r="G170" s="165"/>
      <c r="H170" s="165"/>
      <c r="I170" s="191"/>
      <c r="J170" s="191"/>
      <c r="K170" s="191"/>
      <c r="L170" s="165"/>
      <c r="M170" s="165"/>
      <c r="N170" s="165"/>
      <c r="O170" s="165"/>
      <c r="P170" s="165"/>
      <c r="Q170" s="191"/>
      <c r="R170" s="191"/>
      <c r="S170" s="191"/>
    </row>
    <row r="171" spans="5:19" x14ac:dyDescent="0.3">
      <c r="E171" s="165"/>
      <c r="F171" s="165"/>
      <c r="G171" s="165"/>
      <c r="H171" s="165"/>
      <c r="I171" s="191"/>
      <c r="J171" s="191"/>
      <c r="K171" s="191"/>
      <c r="L171" s="165"/>
      <c r="M171" s="165"/>
      <c r="N171" s="165"/>
      <c r="O171" s="165"/>
      <c r="P171" s="165"/>
      <c r="Q171" s="191"/>
      <c r="R171" s="191"/>
      <c r="S171" s="191"/>
    </row>
    <row r="172" spans="5:19" x14ac:dyDescent="0.3">
      <c r="E172" s="165"/>
      <c r="F172" s="165"/>
      <c r="G172" s="165"/>
      <c r="H172" s="165"/>
      <c r="I172" s="191"/>
      <c r="J172" s="191"/>
      <c r="K172" s="191"/>
      <c r="L172" s="165"/>
      <c r="M172" s="165"/>
      <c r="N172" s="165"/>
      <c r="O172" s="165"/>
      <c r="P172" s="165"/>
      <c r="Q172" s="191"/>
      <c r="R172" s="191"/>
      <c r="S172" s="191"/>
    </row>
    <row r="173" spans="5:19" x14ac:dyDescent="0.3">
      <c r="E173" s="165"/>
      <c r="F173" s="165"/>
      <c r="G173" s="165"/>
      <c r="H173" s="165"/>
      <c r="I173" s="191"/>
      <c r="J173" s="191"/>
      <c r="K173" s="191"/>
      <c r="L173" s="165"/>
      <c r="M173" s="165"/>
      <c r="N173" s="165"/>
      <c r="O173" s="165"/>
      <c r="P173" s="165"/>
      <c r="Q173" s="191"/>
      <c r="R173" s="191"/>
      <c r="S173" s="191"/>
    </row>
    <row r="174" spans="5:19" x14ac:dyDescent="0.3">
      <c r="E174" s="165"/>
      <c r="F174" s="165"/>
      <c r="G174" s="165"/>
      <c r="H174" s="165"/>
      <c r="I174" s="191"/>
      <c r="J174" s="191"/>
      <c r="K174" s="191"/>
      <c r="L174" s="165"/>
      <c r="M174" s="165"/>
      <c r="N174" s="165"/>
      <c r="O174" s="165"/>
      <c r="P174" s="165"/>
      <c r="Q174" s="191"/>
      <c r="R174" s="191"/>
      <c r="S174" s="191"/>
    </row>
    <row r="175" spans="5:19" x14ac:dyDescent="0.3">
      <c r="E175" s="165"/>
      <c r="F175" s="165"/>
      <c r="G175" s="165"/>
      <c r="H175" s="165"/>
      <c r="I175" s="191"/>
      <c r="J175" s="191"/>
      <c r="K175" s="191"/>
      <c r="L175" s="165"/>
      <c r="M175" s="165"/>
      <c r="N175" s="165"/>
      <c r="O175" s="165"/>
      <c r="P175" s="165"/>
      <c r="Q175" s="191"/>
      <c r="R175" s="191"/>
      <c r="S175" s="191"/>
    </row>
    <row r="176" spans="5:19" x14ac:dyDescent="0.3">
      <c r="E176" s="165"/>
      <c r="F176" s="165"/>
      <c r="G176" s="165"/>
      <c r="H176" s="165"/>
      <c r="I176" s="191"/>
      <c r="J176" s="191"/>
      <c r="K176" s="191"/>
      <c r="L176" s="165"/>
      <c r="M176" s="165"/>
      <c r="N176" s="165"/>
      <c r="O176" s="165"/>
      <c r="P176" s="165"/>
      <c r="Q176" s="191"/>
      <c r="R176" s="191"/>
      <c r="S176" s="191"/>
    </row>
    <row r="177" spans="5:19" x14ac:dyDescent="0.3">
      <c r="E177" s="165"/>
      <c r="F177" s="165"/>
      <c r="G177" s="165"/>
      <c r="H177" s="165"/>
      <c r="I177" s="191"/>
      <c r="J177" s="191"/>
      <c r="K177" s="191"/>
      <c r="L177" s="165"/>
      <c r="M177" s="165"/>
      <c r="N177" s="165"/>
      <c r="O177" s="165"/>
      <c r="P177" s="165"/>
      <c r="Q177" s="191"/>
      <c r="R177" s="191"/>
      <c r="S177" s="191"/>
    </row>
    <row r="178" spans="5:19" x14ac:dyDescent="0.3">
      <c r="E178" s="165"/>
      <c r="F178" s="165"/>
      <c r="G178" s="165"/>
      <c r="H178" s="165"/>
      <c r="I178" s="191"/>
      <c r="J178" s="191"/>
      <c r="K178" s="191"/>
      <c r="L178" s="165"/>
      <c r="M178" s="165"/>
      <c r="N178" s="165"/>
      <c r="O178" s="165"/>
      <c r="P178" s="165"/>
      <c r="Q178" s="191"/>
      <c r="R178" s="191"/>
      <c r="S178" s="191"/>
    </row>
    <row r="179" spans="5:19" x14ac:dyDescent="0.3">
      <c r="E179" s="165"/>
      <c r="F179" s="165"/>
      <c r="G179" s="165"/>
      <c r="H179" s="165"/>
      <c r="I179" s="191"/>
      <c r="J179" s="191"/>
      <c r="K179" s="191"/>
      <c r="L179" s="165"/>
      <c r="M179" s="165"/>
      <c r="N179" s="165"/>
      <c r="O179" s="165"/>
      <c r="P179" s="165"/>
      <c r="Q179" s="191"/>
      <c r="R179" s="191"/>
      <c r="S179" s="191"/>
    </row>
    <row r="180" spans="5:19" x14ac:dyDescent="0.3">
      <c r="E180" s="165"/>
      <c r="F180" s="165"/>
      <c r="G180" s="165"/>
      <c r="H180" s="165"/>
      <c r="I180" s="191"/>
      <c r="J180" s="191"/>
      <c r="K180" s="191"/>
      <c r="L180" s="165"/>
      <c r="M180" s="165"/>
      <c r="N180" s="165"/>
      <c r="O180" s="165"/>
      <c r="P180" s="165"/>
      <c r="Q180" s="191"/>
      <c r="R180" s="191"/>
      <c r="S180" s="191"/>
    </row>
    <row r="181" spans="5:19" x14ac:dyDescent="0.3">
      <c r="E181" s="165"/>
      <c r="F181" s="165"/>
      <c r="G181" s="165"/>
      <c r="H181" s="165"/>
      <c r="I181" s="191"/>
      <c r="J181" s="191"/>
      <c r="K181" s="191"/>
      <c r="L181" s="165"/>
      <c r="M181" s="165"/>
      <c r="N181" s="165"/>
      <c r="O181" s="165"/>
      <c r="P181" s="165"/>
      <c r="Q181" s="191"/>
      <c r="R181" s="191"/>
      <c r="S181" s="191"/>
    </row>
    <row r="182" spans="5:19" x14ac:dyDescent="0.3">
      <c r="E182" s="165"/>
      <c r="F182" s="165"/>
      <c r="G182" s="165"/>
      <c r="H182" s="165"/>
      <c r="I182" s="191"/>
      <c r="J182" s="191"/>
      <c r="K182" s="191"/>
      <c r="L182" s="165"/>
      <c r="M182" s="165"/>
      <c r="N182" s="165"/>
      <c r="O182" s="165"/>
      <c r="P182" s="165"/>
      <c r="Q182" s="191"/>
      <c r="R182" s="191"/>
      <c r="S182" s="191"/>
    </row>
    <row r="183" spans="5:19" x14ac:dyDescent="0.3">
      <c r="E183" s="165"/>
      <c r="F183" s="165"/>
      <c r="G183" s="165"/>
      <c r="H183" s="165"/>
      <c r="I183" s="191"/>
      <c r="J183" s="191"/>
      <c r="K183" s="191"/>
      <c r="L183" s="165"/>
      <c r="M183" s="165"/>
      <c r="N183" s="165"/>
      <c r="O183" s="165"/>
      <c r="P183" s="165"/>
      <c r="Q183" s="191"/>
      <c r="R183" s="191"/>
      <c r="S183" s="191"/>
    </row>
    <row r="184" spans="5:19" x14ac:dyDescent="0.3">
      <c r="E184" s="165"/>
      <c r="F184" s="165"/>
      <c r="G184" s="165"/>
      <c r="H184" s="165"/>
      <c r="I184" s="191"/>
      <c r="J184" s="191"/>
      <c r="K184" s="191"/>
      <c r="L184" s="165"/>
      <c r="M184" s="165"/>
      <c r="N184" s="165"/>
      <c r="O184" s="165"/>
      <c r="P184" s="165"/>
      <c r="Q184" s="191"/>
      <c r="R184" s="191"/>
      <c r="S184" s="191"/>
    </row>
    <row r="185" spans="5:19" x14ac:dyDescent="0.3">
      <c r="E185" s="165"/>
      <c r="F185" s="165"/>
      <c r="G185" s="165"/>
      <c r="H185" s="165"/>
      <c r="I185" s="191"/>
      <c r="J185" s="191"/>
      <c r="K185" s="191"/>
      <c r="L185" s="165"/>
      <c r="M185" s="165"/>
      <c r="N185" s="165"/>
      <c r="O185" s="165"/>
      <c r="P185" s="165"/>
      <c r="Q185" s="191"/>
      <c r="R185" s="191"/>
      <c r="S185" s="191"/>
    </row>
    <row r="186" spans="5:19" x14ac:dyDescent="0.3">
      <c r="E186" s="165"/>
      <c r="F186" s="165"/>
      <c r="G186" s="165"/>
      <c r="H186" s="165"/>
      <c r="I186" s="191"/>
      <c r="J186" s="191"/>
      <c r="K186" s="191"/>
      <c r="L186" s="165"/>
      <c r="M186" s="165"/>
      <c r="N186" s="165"/>
      <c r="O186" s="165"/>
      <c r="P186" s="165"/>
      <c r="Q186" s="191"/>
      <c r="R186" s="191"/>
      <c r="S186" s="191"/>
    </row>
    <row r="187" spans="5:19" x14ac:dyDescent="0.3">
      <c r="E187" s="165"/>
      <c r="F187" s="165"/>
      <c r="G187" s="165"/>
      <c r="H187" s="165"/>
      <c r="I187" s="191"/>
      <c r="J187" s="191"/>
      <c r="K187" s="191"/>
      <c r="L187" s="165"/>
      <c r="M187" s="165"/>
      <c r="N187" s="165"/>
      <c r="O187" s="165"/>
      <c r="P187" s="165"/>
      <c r="Q187" s="191"/>
      <c r="R187" s="191"/>
      <c r="S187" s="191"/>
    </row>
    <row r="188" spans="5:19" x14ac:dyDescent="0.3">
      <c r="E188" s="165"/>
      <c r="F188" s="165"/>
      <c r="G188" s="165"/>
      <c r="H188" s="165"/>
      <c r="I188" s="191"/>
      <c r="J188" s="191"/>
      <c r="K188" s="191"/>
      <c r="L188" s="165"/>
      <c r="M188" s="165"/>
      <c r="N188" s="165"/>
      <c r="O188" s="165"/>
      <c r="P188" s="165"/>
      <c r="Q188" s="191"/>
      <c r="R188" s="191"/>
      <c r="S188" s="191"/>
    </row>
    <row r="189" spans="5:19" x14ac:dyDescent="0.3">
      <c r="E189" s="165"/>
      <c r="F189" s="165"/>
      <c r="G189" s="165"/>
      <c r="H189" s="165"/>
      <c r="I189" s="191"/>
      <c r="J189" s="191"/>
      <c r="K189" s="191"/>
      <c r="L189" s="165"/>
      <c r="M189" s="165"/>
      <c r="N189" s="165"/>
      <c r="O189" s="165"/>
      <c r="P189" s="165"/>
      <c r="Q189" s="191"/>
      <c r="R189" s="191"/>
      <c r="S189" s="191"/>
    </row>
    <row r="190" spans="5:19" x14ac:dyDescent="0.3">
      <c r="E190" s="165"/>
      <c r="F190" s="165"/>
      <c r="G190" s="165"/>
      <c r="H190" s="165"/>
      <c r="I190" s="191"/>
      <c r="J190" s="191"/>
      <c r="K190" s="191"/>
      <c r="L190" s="165"/>
      <c r="M190" s="165"/>
      <c r="N190" s="165"/>
      <c r="O190" s="165"/>
      <c r="P190" s="165"/>
      <c r="Q190" s="191"/>
      <c r="R190" s="191"/>
      <c r="S190" s="191"/>
    </row>
    <row r="191" spans="5:19" x14ac:dyDescent="0.3">
      <c r="E191" s="165"/>
      <c r="F191" s="165"/>
      <c r="G191" s="165"/>
      <c r="H191" s="165"/>
      <c r="I191" s="191"/>
      <c r="J191" s="191"/>
      <c r="K191" s="191"/>
      <c r="L191" s="165"/>
      <c r="M191" s="165"/>
      <c r="N191" s="165"/>
      <c r="O191" s="165"/>
      <c r="P191" s="165"/>
      <c r="Q191" s="191"/>
      <c r="R191" s="191"/>
      <c r="S191" s="191"/>
    </row>
    <row r="192" spans="5:19" x14ac:dyDescent="0.3">
      <c r="E192" s="165"/>
      <c r="F192" s="165"/>
      <c r="G192" s="165"/>
      <c r="H192" s="165"/>
      <c r="I192" s="191"/>
      <c r="J192" s="191"/>
      <c r="K192" s="191"/>
      <c r="L192" s="165"/>
      <c r="M192" s="165"/>
      <c r="N192" s="165"/>
      <c r="O192" s="165"/>
      <c r="P192" s="165"/>
      <c r="Q192" s="191"/>
      <c r="R192" s="191"/>
      <c r="S192" s="191"/>
    </row>
    <row r="193" spans="5:19" x14ac:dyDescent="0.3">
      <c r="E193" s="165"/>
      <c r="F193" s="165"/>
      <c r="G193" s="165"/>
      <c r="H193" s="165"/>
      <c r="I193" s="191"/>
      <c r="J193" s="191"/>
      <c r="K193" s="191"/>
      <c r="L193" s="165"/>
      <c r="M193" s="165"/>
      <c r="N193" s="165"/>
      <c r="O193" s="165"/>
      <c r="P193" s="165"/>
      <c r="Q193" s="191"/>
      <c r="R193" s="191"/>
      <c r="S193" s="191"/>
    </row>
    <row r="194" spans="5:19" x14ac:dyDescent="0.3">
      <c r="E194" s="165"/>
      <c r="F194" s="165"/>
      <c r="G194" s="165"/>
      <c r="H194" s="165"/>
      <c r="I194" s="191"/>
      <c r="J194" s="191"/>
      <c r="K194" s="191"/>
      <c r="L194" s="165"/>
      <c r="M194" s="165"/>
      <c r="N194" s="165"/>
      <c r="O194" s="165"/>
      <c r="P194" s="165"/>
      <c r="Q194" s="191"/>
      <c r="R194" s="191"/>
      <c r="S194" s="191"/>
    </row>
    <row r="195" spans="5:19" x14ac:dyDescent="0.3">
      <c r="E195" s="165"/>
      <c r="F195" s="165"/>
      <c r="G195" s="165"/>
      <c r="H195" s="165"/>
      <c r="I195" s="191"/>
      <c r="J195" s="191"/>
      <c r="K195" s="191"/>
      <c r="L195" s="165"/>
      <c r="M195" s="165"/>
      <c r="N195" s="165"/>
      <c r="O195" s="165"/>
      <c r="P195" s="165"/>
      <c r="Q195" s="191"/>
      <c r="R195" s="191"/>
      <c r="S195" s="191"/>
    </row>
    <row r="196" spans="5:19" x14ac:dyDescent="0.3">
      <c r="E196" s="165"/>
      <c r="F196" s="165"/>
      <c r="G196" s="165"/>
      <c r="H196" s="165"/>
      <c r="I196" s="191"/>
      <c r="J196" s="191"/>
      <c r="K196" s="191"/>
      <c r="L196" s="165"/>
      <c r="M196" s="165"/>
      <c r="N196" s="165"/>
      <c r="O196" s="165"/>
      <c r="P196" s="165"/>
      <c r="Q196" s="191"/>
      <c r="R196" s="191"/>
      <c r="S196" s="191"/>
    </row>
    <row r="197" spans="5:19" x14ac:dyDescent="0.3">
      <c r="E197" s="165"/>
      <c r="F197" s="165"/>
      <c r="G197" s="165"/>
      <c r="H197" s="165"/>
      <c r="I197" s="191"/>
      <c r="J197" s="191"/>
      <c r="K197" s="191"/>
      <c r="L197" s="165"/>
      <c r="M197" s="165"/>
      <c r="N197" s="165"/>
      <c r="O197" s="165"/>
      <c r="P197" s="165"/>
      <c r="Q197" s="191"/>
      <c r="R197" s="191"/>
      <c r="S197" s="191"/>
    </row>
    <row r="198" spans="5:19" x14ac:dyDescent="0.3">
      <c r="E198" s="165"/>
      <c r="F198" s="165"/>
      <c r="G198" s="165"/>
      <c r="H198" s="165"/>
      <c r="I198" s="191"/>
      <c r="J198" s="191"/>
      <c r="K198" s="191"/>
      <c r="L198" s="165"/>
      <c r="M198" s="165"/>
      <c r="N198" s="165"/>
      <c r="O198" s="165"/>
      <c r="P198" s="165"/>
      <c r="Q198" s="191"/>
      <c r="R198" s="191"/>
      <c r="S198" s="191"/>
    </row>
    <row r="199" spans="5:19" x14ac:dyDescent="0.3">
      <c r="E199" s="165"/>
      <c r="F199" s="165"/>
      <c r="G199" s="165"/>
      <c r="H199" s="165"/>
      <c r="I199" s="191"/>
      <c r="J199" s="191"/>
      <c r="K199" s="191"/>
      <c r="L199" s="165"/>
      <c r="M199" s="165"/>
      <c r="N199" s="165"/>
      <c r="O199" s="165"/>
      <c r="P199" s="165"/>
      <c r="Q199" s="191"/>
      <c r="R199" s="191"/>
      <c r="S199" s="191"/>
    </row>
    <row r="200" spans="5:19" x14ac:dyDescent="0.3">
      <c r="E200" s="165"/>
      <c r="F200" s="165"/>
      <c r="G200" s="165"/>
      <c r="H200" s="165"/>
      <c r="I200" s="191"/>
      <c r="J200" s="191"/>
      <c r="K200" s="191"/>
      <c r="L200" s="165"/>
      <c r="M200" s="165"/>
      <c r="N200" s="165"/>
      <c r="O200" s="165"/>
      <c r="P200" s="165"/>
      <c r="Q200" s="191"/>
      <c r="R200" s="191"/>
      <c r="S200" s="191"/>
    </row>
    <row r="201" spans="5:19" x14ac:dyDescent="0.3">
      <c r="E201" s="165"/>
      <c r="F201" s="165"/>
      <c r="G201" s="165"/>
      <c r="H201" s="165"/>
      <c r="I201" s="191"/>
      <c r="J201" s="191"/>
      <c r="K201" s="191"/>
      <c r="L201" s="165"/>
      <c r="M201" s="165"/>
      <c r="N201" s="165"/>
      <c r="O201" s="165"/>
      <c r="P201" s="165"/>
      <c r="Q201" s="191"/>
      <c r="R201" s="191"/>
      <c r="S201" s="191"/>
    </row>
    <row r="202" spans="5:19" x14ac:dyDescent="0.3">
      <c r="E202" s="165"/>
      <c r="F202" s="165"/>
      <c r="G202" s="165"/>
      <c r="H202" s="165"/>
      <c r="I202" s="191"/>
      <c r="J202" s="191"/>
      <c r="K202" s="191"/>
      <c r="L202" s="165"/>
      <c r="M202" s="165"/>
      <c r="N202" s="165"/>
      <c r="O202" s="165"/>
      <c r="P202" s="165"/>
      <c r="Q202" s="191"/>
      <c r="R202" s="191"/>
      <c r="S202" s="191"/>
    </row>
    <row r="203" spans="5:19" x14ac:dyDescent="0.3">
      <c r="E203" s="165"/>
      <c r="F203" s="165"/>
      <c r="G203" s="165"/>
      <c r="H203" s="165"/>
      <c r="I203" s="191"/>
      <c r="J203" s="191"/>
      <c r="K203" s="191"/>
      <c r="L203" s="165"/>
      <c r="M203" s="165"/>
      <c r="N203" s="165"/>
      <c r="O203" s="165"/>
      <c r="P203" s="165"/>
      <c r="Q203" s="191"/>
      <c r="R203" s="191"/>
      <c r="S203" s="191"/>
    </row>
    <row r="204" spans="5:19" x14ac:dyDescent="0.3">
      <c r="E204" s="165"/>
      <c r="F204" s="165"/>
      <c r="G204" s="165"/>
      <c r="H204" s="165"/>
      <c r="I204" s="191"/>
      <c r="J204" s="191"/>
      <c r="K204" s="191"/>
      <c r="L204" s="165"/>
      <c r="M204" s="165"/>
      <c r="N204" s="165"/>
      <c r="O204" s="165"/>
      <c r="P204" s="165"/>
      <c r="Q204" s="191"/>
      <c r="R204" s="191"/>
      <c r="S204" s="191"/>
    </row>
    <row r="205" spans="5:19" x14ac:dyDescent="0.3">
      <c r="E205" s="165"/>
      <c r="F205" s="165"/>
      <c r="G205" s="165"/>
      <c r="H205" s="165"/>
      <c r="I205" s="191"/>
      <c r="J205" s="191"/>
      <c r="K205" s="191"/>
      <c r="L205" s="165"/>
      <c r="M205" s="165"/>
      <c r="N205" s="165"/>
      <c r="O205" s="165"/>
      <c r="P205" s="165"/>
      <c r="Q205" s="191"/>
      <c r="R205" s="191"/>
      <c r="S205" s="191"/>
    </row>
    <row r="206" spans="5:19" x14ac:dyDescent="0.3">
      <c r="E206" s="165"/>
      <c r="F206" s="165"/>
      <c r="G206" s="165"/>
      <c r="H206" s="165"/>
      <c r="I206" s="191"/>
      <c r="J206" s="191"/>
      <c r="K206" s="191"/>
      <c r="L206" s="165"/>
      <c r="M206" s="165"/>
      <c r="N206" s="165"/>
      <c r="O206" s="165"/>
      <c r="P206" s="165"/>
      <c r="Q206" s="191"/>
      <c r="R206" s="191"/>
      <c r="S206" s="191"/>
    </row>
    <row r="207" spans="5:19" x14ac:dyDescent="0.3">
      <c r="E207" s="165"/>
      <c r="F207" s="165"/>
      <c r="G207" s="165"/>
      <c r="H207" s="165"/>
      <c r="I207" s="191"/>
      <c r="J207" s="191"/>
      <c r="K207" s="191"/>
      <c r="L207" s="165"/>
      <c r="M207" s="165"/>
      <c r="N207" s="165"/>
      <c r="O207" s="165"/>
      <c r="P207" s="165"/>
      <c r="Q207" s="191"/>
      <c r="R207" s="191"/>
      <c r="S207" s="191"/>
    </row>
    <row r="208" spans="5:19" x14ac:dyDescent="0.3">
      <c r="E208" s="165"/>
      <c r="F208" s="165"/>
      <c r="G208" s="165"/>
      <c r="H208" s="165"/>
      <c r="I208" s="191"/>
      <c r="J208" s="191"/>
      <c r="K208" s="191"/>
      <c r="L208" s="165"/>
      <c r="M208" s="165"/>
      <c r="N208" s="165"/>
      <c r="O208" s="165"/>
      <c r="P208" s="165"/>
      <c r="Q208" s="191"/>
      <c r="R208" s="191"/>
      <c r="S208" s="191"/>
    </row>
    <row r="209" spans="5:19" x14ac:dyDescent="0.3">
      <c r="E209" s="165"/>
      <c r="F209" s="165"/>
      <c r="G209" s="165"/>
      <c r="H209" s="165"/>
      <c r="I209" s="191"/>
      <c r="J209" s="191"/>
      <c r="K209" s="191"/>
      <c r="L209" s="165"/>
      <c r="M209" s="165"/>
      <c r="N209" s="165"/>
      <c r="O209" s="165"/>
      <c r="P209" s="165"/>
      <c r="Q209" s="191"/>
      <c r="R209" s="191"/>
      <c r="S209" s="191"/>
    </row>
    <row r="210" spans="5:19" x14ac:dyDescent="0.3">
      <c r="E210" s="165"/>
      <c r="F210" s="165"/>
      <c r="G210" s="165"/>
      <c r="H210" s="165"/>
      <c r="I210" s="191"/>
      <c r="J210" s="191"/>
      <c r="K210" s="191"/>
      <c r="L210" s="165"/>
      <c r="M210" s="165"/>
      <c r="N210" s="165"/>
      <c r="O210" s="165"/>
      <c r="P210" s="165"/>
      <c r="Q210" s="191"/>
      <c r="R210" s="191"/>
      <c r="S210" s="191"/>
    </row>
    <row r="211" spans="5:19" x14ac:dyDescent="0.3">
      <c r="E211" s="165"/>
      <c r="F211" s="165"/>
      <c r="G211" s="165"/>
      <c r="H211" s="165"/>
      <c r="I211" s="191"/>
      <c r="J211" s="191"/>
      <c r="K211" s="191"/>
      <c r="L211" s="165"/>
      <c r="M211" s="165"/>
      <c r="N211" s="165"/>
      <c r="O211" s="165"/>
      <c r="P211" s="165"/>
      <c r="Q211" s="191"/>
      <c r="R211" s="191"/>
      <c r="S211" s="191"/>
    </row>
    <row r="212" spans="5:19" x14ac:dyDescent="0.3">
      <c r="E212" s="165"/>
      <c r="F212" s="165"/>
      <c r="G212" s="165"/>
      <c r="H212" s="165"/>
      <c r="I212" s="191"/>
      <c r="J212" s="191"/>
      <c r="K212" s="191"/>
      <c r="L212" s="165"/>
      <c r="M212" s="165"/>
      <c r="N212" s="165"/>
      <c r="O212" s="165"/>
      <c r="P212" s="165"/>
      <c r="Q212" s="191"/>
      <c r="R212" s="191"/>
      <c r="S212" s="191"/>
    </row>
    <row r="213" spans="5:19" x14ac:dyDescent="0.3">
      <c r="E213" s="165"/>
      <c r="F213" s="165"/>
      <c r="G213" s="165"/>
      <c r="H213" s="165"/>
      <c r="I213" s="191"/>
      <c r="J213" s="191"/>
      <c r="K213" s="191"/>
      <c r="L213" s="165"/>
      <c r="M213" s="165"/>
      <c r="N213" s="165"/>
      <c r="O213" s="165"/>
      <c r="P213" s="165"/>
      <c r="Q213" s="191"/>
      <c r="R213" s="191"/>
      <c r="S213" s="191"/>
    </row>
    <row r="214" spans="5:19" x14ac:dyDescent="0.3">
      <c r="E214" s="165"/>
      <c r="F214" s="165"/>
      <c r="G214" s="165"/>
      <c r="H214" s="165"/>
      <c r="I214" s="191"/>
      <c r="J214" s="191"/>
      <c r="K214" s="191"/>
      <c r="L214" s="165"/>
      <c r="M214" s="165"/>
      <c r="N214" s="165"/>
      <c r="O214" s="165"/>
      <c r="P214" s="165"/>
      <c r="Q214" s="191"/>
      <c r="R214" s="191"/>
      <c r="S214" s="191"/>
    </row>
    <row r="215" spans="5:19" x14ac:dyDescent="0.3">
      <c r="E215" s="165"/>
      <c r="F215" s="165"/>
      <c r="G215" s="165"/>
      <c r="H215" s="165"/>
      <c r="I215" s="191"/>
      <c r="J215" s="191"/>
      <c r="K215" s="191"/>
      <c r="L215" s="165"/>
      <c r="M215" s="165"/>
      <c r="N215" s="165"/>
      <c r="O215" s="165"/>
      <c r="P215" s="165"/>
      <c r="Q215" s="191"/>
      <c r="R215" s="191"/>
      <c r="S215" s="191"/>
    </row>
    <row r="216" spans="5:19" x14ac:dyDescent="0.3">
      <c r="E216" s="165"/>
      <c r="F216" s="165"/>
      <c r="G216" s="165"/>
      <c r="H216" s="165"/>
      <c r="I216" s="191"/>
      <c r="J216" s="191"/>
      <c r="K216" s="191"/>
      <c r="L216" s="165"/>
      <c r="M216" s="165"/>
      <c r="N216" s="165"/>
      <c r="O216" s="165"/>
      <c r="P216" s="165"/>
      <c r="Q216" s="191"/>
      <c r="R216" s="191"/>
      <c r="S216" s="191"/>
    </row>
    <row r="217" spans="5:19" x14ac:dyDescent="0.3">
      <c r="E217" s="165"/>
      <c r="F217" s="165"/>
      <c r="G217" s="165"/>
      <c r="H217" s="165"/>
      <c r="I217" s="191"/>
      <c r="J217" s="191"/>
      <c r="K217" s="191"/>
      <c r="L217" s="165"/>
      <c r="M217" s="165"/>
      <c r="N217" s="165"/>
      <c r="O217" s="165"/>
      <c r="P217" s="165"/>
      <c r="Q217" s="191"/>
      <c r="R217" s="191"/>
      <c r="S217" s="191"/>
    </row>
    <row r="218" spans="5:19" x14ac:dyDescent="0.3">
      <c r="E218" s="165"/>
      <c r="F218" s="165"/>
      <c r="G218" s="165"/>
      <c r="H218" s="165"/>
      <c r="I218" s="191"/>
      <c r="J218" s="191"/>
      <c r="K218" s="191"/>
      <c r="L218" s="165"/>
      <c r="M218" s="165"/>
      <c r="N218" s="165"/>
      <c r="O218" s="165"/>
      <c r="P218" s="165"/>
      <c r="Q218" s="191"/>
      <c r="R218" s="191"/>
      <c r="S218" s="191"/>
    </row>
    <row r="219" spans="5:19" x14ac:dyDescent="0.3">
      <c r="E219" s="165"/>
      <c r="F219" s="165"/>
      <c r="G219" s="165"/>
      <c r="H219" s="165"/>
      <c r="I219" s="191"/>
      <c r="J219" s="191"/>
      <c r="K219" s="191"/>
      <c r="L219" s="165"/>
      <c r="M219" s="165"/>
      <c r="N219" s="165"/>
      <c r="O219" s="165"/>
      <c r="P219" s="165"/>
      <c r="Q219" s="191"/>
      <c r="R219" s="191"/>
      <c r="S219" s="191"/>
    </row>
    <row r="220" spans="5:19" x14ac:dyDescent="0.3">
      <c r="E220" s="165"/>
      <c r="F220" s="165"/>
      <c r="G220" s="165"/>
      <c r="H220" s="165"/>
      <c r="I220" s="191"/>
      <c r="J220" s="191"/>
      <c r="K220" s="191"/>
      <c r="L220" s="165"/>
      <c r="M220" s="165"/>
      <c r="N220" s="165"/>
      <c r="O220" s="165"/>
      <c r="P220" s="165"/>
      <c r="Q220" s="191"/>
      <c r="R220" s="191"/>
      <c r="S220" s="191"/>
    </row>
    <row r="221" spans="5:19" x14ac:dyDescent="0.3">
      <c r="E221" s="165"/>
      <c r="F221" s="165"/>
      <c r="G221" s="165"/>
      <c r="H221" s="165"/>
      <c r="I221" s="191"/>
      <c r="J221" s="191"/>
      <c r="K221" s="191"/>
      <c r="L221" s="165"/>
      <c r="M221" s="165"/>
      <c r="N221" s="165"/>
      <c r="O221" s="165"/>
      <c r="P221" s="165"/>
      <c r="Q221" s="191"/>
      <c r="R221" s="191"/>
      <c r="S221" s="191"/>
    </row>
    <row r="222" spans="5:19" x14ac:dyDescent="0.3">
      <c r="E222" s="165"/>
      <c r="F222" s="165"/>
      <c r="G222" s="165"/>
      <c r="H222" s="165"/>
      <c r="I222" s="191"/>
      <c r="J222" s="191"/>
      <c r="K222" s="191"/>
      <c r="L222" s="165"/>
      <c r="M222" s="165"/>
      <c r="N222" s="165"/>
      <c r="O222" s="165"/>
      <c r="P222" s="165"/>
      <c r="Q222" s="191"/>
      <c r="R222" s="191"/>
      <c r="S222" s="191"/>
    </row>
    <row r="223" spans="5:19" x14ac:dyDescent="0.3">
      <c r="E223" s="165"/>
      <c r="F223" s="165"/>
      <c r="G223" s="165"/>
      <c r="H223" s="165"/>
      <c r="I223" s="191"/>
      <c r="J223" s="191"/>
      <c r="K223" s="191"/>
      <c r="L223" s="165"/>
      <c r="M223" s="165"/>
      <c r="N223" s="165"/>
      <c r="O223" s="165"/>
      <c r="P223" s="165"/>
      <c r="Q223" s="191"/>
      <c r="R223" s="191"/>
      <c r="S223" s="191"/>
    </row>
    <row r="224" spans="5:19" x14ac:dyDescent="0.3">
      <c r="E224" s="165"/>
      <c r="F224" s="165"/>
      <c r="G224" s="165"/>
      <c r="H224" s="165"/>
      <c r="I224" s="191"/>
      <c r="J224" s="191"/>
      <c r="K224" s="191"/>
      <c r="L224" s="165"/>
      <c r="M224" s="165"/>
      <c r="N224" s="165"/>
      <c r="O224" s="165"/>
      <c r="P224" s="165"/>
      <c r="Q224" s="191"/>
      <c r="R224" s="191"/>
      <c r="S224" s="191"/>
    </row>
    <row r="225" spans="5:19" x14ac:dyDescent="0.3">
      <c r="E225" s="165"/>
      <c r="F225" s="165"/>
      <c r="G225" s="165"/>
      <c r="H225" s="165"/>
      <c r="I225" s="191"/>
      <c r="J225" s="191"/>
      <c r="K225" s="191"/>
      <c r="L225" s="165"/>
      <c r="M225" s="165"/>
      <c r="N225" s="165"/>
      <c r="O225" s="165"/>
      <c r="P225" s="165"/>
      <c r="Q225" s="191"/>
      <c r="R225" s="191"/>
      <c r="S225" s="191"/>
    </row>
    <row r="226" spans="5:19" x14ac:dyDescent="0.3">
      <c r="E226" s="165"/>
      <c r="F226" s="165"/>
      <c r="G226" s="165"/>
      <c r="H226" s="165"/>
      <c r="I226" s="191"/>
      <c r="J226" s="191"/>
      <c r="K226" s="191"/>
      <c r="L226" s="165"/>
      <c r="M226" s="165"/>
      <c r="N226" s="165"/>
      <c r="O226" s="165"/>
      <c r="P226" s="165"/>
      <c r="Q226" s="191"/>
      <c r="R226" s="191"/>
      <c r="S226" s="191"/>
    </row>
    <row r="227" spans="5:19" x14ac:dyDescent="0.3">
      <c r="E227" s="165"/>
      <c r="F227" s="165"/>
      <c r="G227" s="165"/>
      <c r="H227" s="165"/>
      <c r="I227" s="191"/>
      <c r="J227" s="191"/>
      <c r="K227" s="191"/>
      <c r="L227" s="165"/>
      <c r="M227" s="165"/>
      <c r="N227" s="165"/>
      <c r="O227" s="165"/>
      <c r="P227" s="165"/>
      <c r="Q227" s="191"/>
      <c r="R227" s="191"/>
      <c r="S227" s="191"/>
    </row>
    <row r="228" spans="5:19" x14ac:dyDescent="0.3">
      <c r="E228" s="165"/>
      <c r="F228" s="165"/>
      <c r="G228" s="165"/>
      <c r="H228" s="165"/>
      <c r="I228" s="191"/>
      <c r="J228" s="191"/>
      <c r="K228" s="191"/>
      <c r="L228" s="165"/>
      <c r="M228" s="165"/>
      <c r="N228" s="165"/>
      <c r="O228" s="165"/>
      <c r="P228" s="165"/>
      <c r="Q228" s="191"/>
      <c r="R228" s="191"/>
      <c r="S228" s="191"/>
    </row>
    <row r="229" spans="5:19" x14ac:dyDescent="0.3">
      <c r="E229" s="165"/>
      <c r="F229" s="165"/>
      <c r="G229" s="165"/>
      <c r="H229" s="165"/>
      <c r="I229" s="191"/>
      <c r="J229" s="191"/>
      <c r="K229" s="191"/>
      <c r="L229" s="165"/>
      <c r="M229" s="165"/>
      <c r="N229" s="165"/>
      <c r="O229" s="165"/>
      <c r="P229" s="165"/>
      <c r="Q229" s="191"/>
      <c r="R229" s="191"/>
      <c r="S229" s="191"/>
    </row>
    <row r="230" spans="5:19" x14ac:dyDescent="0.3">
      <c r="E230" s="165"/>
      <c r="F230" s="165"/>
      <c r="G230" s="165"/>
      <c r="H230" s="165"/>
      <c r="I230" s="191"/>
      <c r="J230" s="191"/>
      <c r="K230" s="191"/>
      <c r="L230" s="165"/>
      <c r="M230" s="165"/>
      <c r="N230" s="165"/>
      <c r="O230" s="165"/>
      <c r="P230" s="165"/>
      <c r="Q230" s="191"/>
      <c r="R230" s="191"/>
      <c r="S230" s="191"/>
    </row>
    <row r="231" spans="5:19" x14ac:dyDescent="0.3">
      <c r="E231" s="165"/>
      <c r="F231" s="165"/>
      <c r="G231" s="165"/>
      <c r="H231" s="165"/>
      <c r="I231" s="191"/>
      <c r="J231" s="191"/>
      <c r="K231" s="191"/>
      <c r="L231" s="165"/>
      <c r="M231" s="165"/>
      <c r="N231" s="165"/>
      <c r="O231" s="165"/>
      <c r="P231" s="165"/>
      <c r="Q231" s="191"/>
      <c r="R231" s="191"/>
      <c r="S231" s="191"/>
    </row>
    <row r="232" spans="5:19" x14ac:dyDescent="0.3">
      <c r="E232" s="165"/>
      <c r="F232" s="165"/>
      <c r="G232" s="165"/>
      <c r="H232" s="165"/>
      <c r="I232" s="191"/>
      <c r="J232" s="191"/>
      <c r="K232" s="191"/>
      <c r="L232" s="165"/>
      <c r="M232" s="165"/>
      <c r="N232" s="165"/>
      <c r="O232" s="165"/>
      <c r="P232" s="165"/>
      <c r="Q232" s="191"/>
      <c r="R232" s="191"/>
      <c r="S232" s="191"/>
    </row>
    <row r="233" spans="5:19" x14ac:dyDescent="0.3">
      <c r="E233" s="165"/>
      <c r="F233" s="165"/>
      <c r="G233" s="165"/>
      <c r="H233" s="165"/>
      <c r="I233" s="191"/>
      <c r="J233" s="191"/>
      <c r="K233" s="191"/>
      <c r="L233" s="165"/>
      <c r="M233" s="165"/>
      <c r="N233" s="165"/>
      <c r="O233" s="165"/>
      <c r="P233" s="165"/>
      <c r="Q233" s="191"/>
      <c r="R233" s="191"/>
      <c r="S233" s="191"/>
    </row>
    <row r="234" spans="5:19" x14ac:dyDescent="0.3">
      <c r="E234" s="165"/>
      <c r="F234" s="165"/>
      <c r="G234" s="165"/>
      <c r="H234" s="165"/>
      <c r="I234" s="191"/>
      <c r="J234" s="191"/>
      <c r="K234" s="191"/>
      <c r="L234" s="165"/>
      <c r="M234" s="165"/>
      <c r="N234" s="165"/>
      <c r="O234" s="165"/>
      <c r="P234" s="165"/>
      <c r="Q234" s="191"/>
      <c r="R234" s="191"/>
      <c r="S234" s="191"/>
    </row>
    <row r="235" spans="5:19" x14ac:dyDescent="0.3">
      <c r="E235" s="165"/>
      <c r="F235" s="165"/>
      <c r="G235" s="165"/>
      <c r="H235" s="165"/>
      <c r="I235" s="191"/>
      <c r="J235" s="191"/>
      <c r="K235" s="191"/>
      <c r="L235" s="165"/>
      <c r="M235" s="165"/>
      <c r="N235" s="165"/>
      <c r="O235" s="165"/>
      <c r="P235" s="165"/>
      <c r="Q235" s="191"/>
      <c r="R235" s="191"/>
      <c r="S235" s="191"/>
    </row>
    <row r="236" spans="5:19" x14ac:dyDescent="0.3">
      <c r="E236" s="165"/>
      <c r="F236" s="165"/>
      <c r="G236" s="165"/>
      <c r="H236" s="165"/>
      <c r="I236" s="191"/>
      <c r="J236" s="191"/>
      <c r="K236" s="191"/>
      <c r="L236" s="165"/>
      <c r="M236" s="165"/>
      <c r="N236" s="165"/>
      <c r="O236" s="165"/>
      <c r="P236" s="165"/>
      <c r="Q236" s="191"/>
      <c r="R236" s="191"/>
      <c r="S236" s="191"/>
    </row>
    <row r="237" spans="5:19" x14ac:dyDescent="0.3">
      <c r="E237" s="165"/>
      <c r="F237" s="165"/>
      <c r="G237" s="165"/>
      <c r="H237" s="165"/>
      <c r="I237" s="191"/>
      <c r="J237" s="191"/>
      <c r="K237" s="191"/>
      <c r="L237" s="165"/>
      <c r="M237" s="165"/>
      <c r="N237" s="165"/>
      <c r="O237" s="165"/>
      <c r="P237" s="165"/>
      <c r="Q237" s="191"/>
      <c r="R237" s="191"/>
      <c r="S237" s="191"/>
    </row>
    <row r="238" spans="5:19" x14ac:dyDescent="0.3">
      <c r="E238" s="165"/>
      <c r="F238" s="165"/>
      <c r="G238" s="165"/>
      <c r="H238" s="165"/>
      <c r="I238" s="191"/>
      <c r="J238" s="191"/>
      <c r="K238" s="191"/>
      <c r="L238" s="165"/>
      <c r="M238" s="165"/>
      <c r="N238" s="165"/>
      <c r="O238" s="165"/>
      <c r="P238" s="165"/>
      <c r="Q238" s="191"/>
      <c r="R238" s="191"/>
      <c r="S238" s="191"/>
    </row>
    <row r="239" spans="5:19" x14ac:dyDescent="0.3">
      <c r="E239" s="165"/>
      <c r="F239" s="165"/>
      <c r="G239" s="165"/>
      <c r="H239" s="165"/>
      <c r="I239" s="191"/>
      <c r="J239" s="191"/>
      <c r="K239" s="191"/>
      <c r="L239" s="165"/>
      <c r="M239" s="165"/>
      <c r="N239" s="165"/>
      <c r="O239" s="165"/>
      <c r="P239" s="165"/>
      <c r="Q239" s="191"/>
      <c r="R239" s="191"/>
      <c r="S239" s="191"/>
    </row>
    <row r="240" spans="5:19" x14ac:dyDescent="0.3">
      <c r="E240" s="165"/>
      <c r="F240" s="165"/>
      <c r="G240" s="165"/>
      <c r="H240" s="165"/>
      <c r="I240" s="191"/>
      <c r="J240" s="191"/>
      <c r="K240" s="191"/>
      <c r="L240" s="165"/>
      <c r="M240" s="165"/>
      <c r="N240" s="165"/>
      <c r="O240" s="165"/>
      <c r="P240" s="165"/>
      <c r="Q240" s="191"/>
      <c r="R240" s="191"/>
      <c r="S240" s="191"/>
    </row>
    <row r="241" spans="5:19" x14ac:dyDescent="0.3">
      <c r="E241" s="165"/>
      <c r="F241" s="165"/>
      <c r="G241" s="165"/>
      <c r="H241" s="165"/>
      <c r="I241" s="191"/>
      <c r="J241" s="191"/>
      <c r="K241" s="191"/>
      <c r="L241" s="165"/>
      <c r="M241" s="165"/>
      <c r="N241" s="165"/>
      <c r="O241" s="165"/>
      <c r="P241" s="165"/>
      <c r="Q241" s="191"/>
      <c r="R241" s="191"/>
      <c r="S241" s="191"/>
    </row>
    <row r="242" spans="5:19" x14ac:dyDescent="0.3">
      <c r="E242" s="165"/>
      <c r="F242" s="165"/>
      <c r="G242" s="165"/>
      <c r="H242" s="165"/>
      <c r="I242" s="191"/>
      <c r="J242" s="191"/>
      <c r="K242" s="191"/>
      <c r="L242" s="165"/>
      <c r="M242" s="165"/>
      <c r="N242" s="165"/>
      <c r="O242" s="165"/>
      <c r="P242" s="165"/>
      <c r="Q242" s="191"/>
      <c r="R242" s="191"/>
      <c r="S242" s="191"/>
    </row>
    <row r="243" spans="5:19" x14ac:dyDescent="0.3">
      <c r="E243" s="165"/>
      <c r="F243" s="165"/>
      <c r="G243" s="165"/>
      <c r="H243" s="165"/>
      <c r="I243" s="191"/>
      <c r="J243" s="191"/>
      <c r="K243" s="191"/>
      <c r="L243" s="165"/>
      <c r="M243" s="165"/>
      <c r="N243" s="165"/>
      <c r="O243" s="165"/>
      <c r="P243" s="165"/>
      <c r="Q243" s="191"/>
      <c r="R243" s="191"/>
      <c r="S243" s="191"/>
    </row>
    <row r="244" spans="5:19" x14ac:dyDescent="0.3">
      <c r="E244" s="165"/>
      <c r="F244" s="165"/>
      <c r="G244" s="165"/>
      <c r="H244" s="165"/>
      <c r="I244" s="191"/>
      <c r="J244" s="191"/>
      <c r="K244" s="191"/>
      <c r="L244" s="165"/>
      <c r="M244" s="165"/>
      <c r="N244" s="165"/>
      <c r="O244" s="165"/>
      <c r="P244" s="165"/>
      <c r="Q244" s="191"/>
      <c r="R244" s="191"/>
      <c r="S244" s="191"/>
    </row>
    <row r="245" spans="5:19" x14ac:dyDescent="0.3">
      <c r="E245" s="165"/>
      <c r="F245" s="165"/>
      <c r="G245" s="165"/>
      <c r="H245" s="165"/>
      <c r="I245" s="191"/>
      <c r="J245" s="191"/>
      <c r="K245" s="191"/>
      <c r="L245" s="165"/>
      <c r="M245" s="165"/>
      <c r="N245" s="165"/>
      <c r="O245" s="165"/>
      <c r="P245" s="165"/>
      <c r="Q245" s="191"/>
      <c r="R245" s="191"/>
      <c r="S245" s="191"/>
    </row>
    <row r="246" spans="5:19" x14ac:dyDescent="0.3">
      <c r="E246" s="165"/>
      <c r="F246" s="165"/>
      <c r="G246" s="165"/>
      <c r="H246" s="165"/>
      <c r="I246" s="191"/>
      <c r="J246" s="191"/>
      <c r="K246" s="191"/>
      <c r="L246" s="165"/>
      <c r="M246" s="165"/>
      <c r="N246" s="165"/>
      <c r="O246" s="165"/>
      <c r="P246" s="165"/>
      <c r="Q246" s="191"/>
      <c r="R246" s="191"/>
      <c r="S246" s="191"/>
    </row>
    <row r="247" spans="5:19" x14ac:dyDescent="0.3">
      <c r="E247" s="165"/>
      <c r="F247" s="165"/>
      <c r="G247" s="165"/>
      <c r="H247" s="165"/>
      <c r="I247" s="191"/>
      <c r="J247" s="191"/>
      <c r="K247" s="191"/>
      <c r="L247" s="165"/>
      <c r="M247" s="165"/>
      <c r="N247" s="165"/>
      <c r="O247" s="165"/>
      <c r="P247" s="165"/>
      <c r="Q247" s="191"/>
      <c r="R247" s="191"/>
      <c r="S247" s="191"/>
    </row>
    <row r="248" spans="5:19" x14ac:dyDescent="0.3">
      <c r="E248" s="165"/>
      <c r="F248" s="165"/>
      <c r="G248" s="165"/>
      <c r="H248" s="165"/>
      <c r="I248" s="191"/>
      <c r="J248" s="191"/>
      <c r="K248" s="191"/>
      <c r="L248" s="165"/>
      <c r="M248" s="165"/>
      <c r="N248" s="165"/>
      <c r="O248" s="165"/>
      <c r="P248" s="165"/>
      <c r="Q248" s="191"/>
      <c r="R248" s="191"/>
      <c r="S248" s="191"/>
    </row>
    <row r="249" spans="5:19" x14ac:dyDescent="0.3">
      <c r="E249" s="165"/>
      <c r="F249" s="165"/>
      <c r="G249" s="165"/>
      <c r="H249" s="165"/>
      <c r="I249" s="191"/>
      <c r="J249" s="191"/>
      <c r="K249" s="191"/>
      <c r="L249" s="165"/>
      <c r="M249" s="165"/>
      <c r="N249" s="165"/>
      <c r="O249" s="165"/>
      <c r="P249" s="165"/>
      <c r="Q249" s="191"/>
      <c r="R249" s="191"/>
      <c r="S249" s="191"/>
    </row>
    <row r="250" spans="5:19" x14ac:dyDescent="0.3">
      <c r="E250" s="165"/>
      <c r="F250" s="165"/>
      <c r="G250" s="165"/>
      <c r="H250" s="165"/>
      <c r="I250" s="191"/>
      <c r="J250" s="191"/>
      <c r="K250" s="191"/>
      <c r="L250" s="165"/>
      <c r="M250" s="165"/>
      <c r="N250" s="165"/>
      <c r="O250" s="165"/>
      <c r="P250" s="165"/>
      <c r="Q250" s="191"/>
      <c r="R250" s="191"/>
      <c r="S250" s="191"/>
    </row>
    <row r="251" spans="5:19" x14ac:dyDescent="0.3">
      <c r="E251" s="165"/>
      <c r="F251" s="165"/>
      <c r="G251" s="165"/>
      <c r="H251" s="165"/>
      <c r="I251" s="191"/>
      <c r="J251" s="191"/>
      <c r="K251" s="191"/>
      <c r="L251" s="165"/>
      <c r="M251" s="165"/>
      <c r="N251" s="165"/>
      <c r="O251" s="165"/>
      <c r="P251" s="165"/>
      <c r="Q251" s="191"/>
      <c r="R251" s="191"/>
      <c r="S251" s="191"/>
    </row>
    <row r="252" spans="5:19" x14ac:dyDescent="0.3">
      <c r="E252" s="165"/>
      <c r="F252" s="165"/>
      <c r="G252" s="165"/>
      <c r="H252" s="165"/>
      <c r="I252" s="191"/>
      <c r="J252" s="191"/>
      <c r="K252" s="191"/>
      <c r="L252" s="165"/>
      <c r="M252" s="165"/>
      <c r="N252" s="165"/>
      <c r="O252" s="165"/>
      <c r="P252" s="165"/>
      <c r="Q252" s="191"/>
      <c r="R252" s="191"/>
      <c r="S252" s="191"/>
    </row>
    <row r="253" spans="5:19" x14ac:dyDescent="0.3">
      <c r="E253" s="165"/>
      <c r="F253" s="165"/>
      <c r="G253" s="165"/>
      <c r="H253" s="165"/>
      <c r="I253" s="191"/>
      <c r="J253" s="191"/>
      <c r="K253" s="191"/>
      <c r="L253" s="165"/>
      <c r="M253" s="165"/>
      <c r="N253" s="165"/>
      <c r="O253" s="165"/>
      <c r="P253" s="165"/>
      <c r="Q253" s="191"/>
      <c r="R253" s="191"/>
      <c r="S253" s="191"/>
    </row>
    <row r="254" spans="5:19" x14ac:dyDescent="0.3">
      <c r="E254" s="165"/>
      <c r="F254" s="165"/>
      <c r="G254" s="165"/>
      <c r="H254" s="165"/>
      <c r="I254" s="191"/>
      <c r="J254" s="191"/>
      <c r="K254" s="191"/>
      <c r="L254" s="165"/>
      <c r="M254" s="165"/>
      <c r="N254" s="165"/>
      <c r="O254" s="165"/>
      <c r="P254" s="165"/>
      <c r="Q254" s="191"/>
      <c r="R254" s="191"/>
      <c r="S254" s="191"/>
    </row>
    <row r="255" spans="5:19" x14ac:dyDescent="0.3">
      <c r="E255" s="165"/>
      <c r="F255" s="165"/>
      <c r="G255" s="165"/>
      <c r="H255" s="165"/>
      <c r="I255" s="191"/>
      <c r="J255" s="191"/>
      <c r="K255" s="191"/>
      <c r="L255" s="165"/>
      <c r="M255" s="165"/>
      <c r="N255" s="165"/>
      <c r="O255" s="165"/>
      <c r="P255" s="165"/>
      <c r="Q255" s="191"/>
      <c r="R255" s="191"/>
      <c r="S255" s="191"/>
    </row>
    <row r="256" spans="5:19" x14ac:dyDescent="0.3">
      <c r="E256" s="165"/>
      <c r="F256" s="165"/>
      <c r="G256" s="165"/>
      <c r="H256" s="165"/>
      <c r="I256" s="191"/>
      <c r="J256" s="191"/>
      <c r="K256" s="191"/>
      <c r="L256" s="165"/>
      <c r="M256" s="165"/>
      <c r="N256" s="165"/>
      <c r="O256" s="165"/>
      <c r="P256" s="165"/>
      <c r="Q256" s="191"/>
      <c r="R256" s="191"/>
      <c r="S256" s="191"/>
    </row>
    <row r="257" spans="5:19" x14ac:dyDescent="0.3">
      <c r="E257" s="165"/>
      <c r="F257" s="165"/>
      <c r="G257" s="165"/>
      <c r="H257" s="165"/>
      <c r="I257" s="191"/>
      <c r="J257" s="191"/>
      <c r="K257" s="191"/>
      <c r="L257" s="165"/>
      <c r="M257" s="165"/>
      <c r="N257" s="165"/>
      <c r="O257" s="165"/>
      <c r="P257" s="165"/>
      <c r="Q257" s="191"/>
      <c r="R257" s="191"/>
      <c r="S257" s="191"/>
    </row>
    <row r="258" spans="5:19" x14ac:dyDescent="0.3">
      <c r="E258" s="165"/>
      <c r="F258" s="165"/>
      <c r="G258" s="165"/>
      <c r="H258" s="165"/>
      <c r="I258" s="191"/>
      <c r="J258" s="191"/>
      <c r="K258" s="191"/>
      <c r="L258" s="165"/>
      <c r="M258" s="165"/>
      <c r="N258" s="165"/>
      <c r="O258" s="165"/>
      <c r="P258" s="165"/>
      <c r="Q258" s="191"/>
      <c r="R258" s="191"/>
      <c r="S258" s="191"/>
    </row>
    <row r="259" spans="5:19" x14ac:dyDescent="0.3">
      <c r="E259" s="165"/>
      <c r="F259" s="165"/>
      <c r="G259" s="165"/>
      <c r="H259" s="165"/>
      <c r="I259" s="191"/>
      <c r="J259" s="191"/>
      <c r="K259" s="191"/>
      <c r="L259" s="165"/>
      <c r="M259" s="165"/>
      <c r="N259" s="165"/>
      <c r="O259" s="165"/>
      <c r="P259" s="165"/>
      <c r="Q259" s="191"/>
      <c r="R259" s="191"/>
      <c r="S259" s="191"/>
    </row>
    <row r="260" spans="5:19" x14ac:dyDescent="0.3">
      <c r="E260" s="165"/>
      <c r="F260" s="165"/>
      <c r="G260" s="165"/>
      <c r="H260" s="165"/>
      <c r="I260" s="191"/>
      <c r="J260" s="191"/>
      <c r="K260" s="191"/>
      <c r="L260" s="165"/>
      <c r="M260" s="165"/>
      <c r="N260" s="165"/>
      <c r="O260" s="165"/>
      <c r="P260" s="165"/>
      <c r="Q260" s="191"/>
      <c r="R260" s="191"/>
      <c r="S260" s="191"/>
    </row>
    <row r="261" spans="5:19" x14ac:dyDescent="0.3">
      <c r="E261" s="165"/>
      <c r="F261" s="165"/>
      <c r="G261" s="165"/>
      <c r="H261" s="165"/>
      <c r="I261" s="191"/>
      <c r="J261" s="191"/>
      <c r="K261" s="191"/>
      <c r="L261" s="165"/>
      <c r="M261" s="165"/>
      <c r="N261" s="165"/>
      <c r="O261" s="165"/>
      <c r="P261" s="165"/>
      <c r="Q261" s="191"/>
      <c r="R261" s="191"/>
      <c r="S261" s="191"/>
    </row>
    <row r="262" spans="5:19" x14ac:dyDescent="0.3">
      <c r="E262" s="165"/>
      <c r="F262" s="165"/>
      <c r="G262" s="165"/>
      <c r="H262" s="165"/>
      <c r="I262" s="191"/>
      <c r="J262" s="191"/>
      <c r="K262" s="191"/>
      <c r="L262" s="165"/>
      <c r="M262" s="165"/>
      <c r="N262" s="165"/>
      <c r="O262" s="165"/>
      <c r="P262" s="165"/>
      <c r="Q262" s="191"/>
      <c r="R262" s="191"/>
      <c r="S262" s="191"/>
    </row>
    <row r="263" spans="5:19" x14ac:dyDescent="0.3">
      <c r="E263" s="165"/>
      <c r="F263" s="165"/>
      <c r="G263" s="165"/>
      <c r="H263" s="165"/>
      <c r="I263" s="191"/>
      <c r="J263" s="191"/>
      <c r="K263" s="191"/>
      <c r="L263" s="165"/>
      <c r="M263" s="165"/>
      <c r="N263" s="165"/>
      <c r="O263" s="165"/>
      <c r="P263" s="165"/>
      <c r="Q263" s="191"/>
      <c r="R263" s="191"/>
      <c r="S263" s="191"/>
    </row>
    <row r="264" spans="5:19" x14ac:dyDescent="0.3">
      <c r="E264" s="165"/>
      <c r="F264" s="165"/>
      <c r="G264" s="165"/>
      <c r="H264" s="165"/>
      <c r="I264" s="191"/>
      <c r="J264" s="191"/>
      <c r="K264" s="191"/>
      <c r="L264" s="165"/>
      <c r="M264" s="165"/>
      <c r="N264" s="165"/>
      <c r="O264" s="165"/>
      <c r="P264" s="165"/>
      <c r="Q264" s="191"/>
      <c r="R264" s="191"/>
      <c r="S264" s="191"/>
    </row>
    <row r="265" spans="5:19" x14ac:dyDescent="0.3">
      <c r="E265" s="165"/>
      <c r="F265" s="165"/>
      <c r="G265" s="165"/>
      <c r="H265" s="165"/>
      <c r="I265" s="191"/>
      <c r="J265" s="191"/>
      <c r="K265" s="191"/>
      <c r="L265" s="165"/>
      <c r="M265" s="165"/>
      <c r="N265" s="165"/>
      <c r="O265" s="165"/>
      <c r="P265" s="165"/>
      <c r="Q265" s="191"/>
      <c r="R265" s="191"/>
      <c r="S265" s="191"/>
    </row>
    <row r="266" spans="5:19" x14ac:dyDescent="0.3">
      <c r="E266" s="165"/>
      <c r="F266" s="165"/>
      <c r="G266" s="165"/>
      <c r="H266" s="165"/>
      <c r="I266" s="191"/>
      <c r="J266" s="191"/>
      <c r="K266" s="191"/>
      <c r="L266" s="165"/>
      <c r="M266" s="165"/>
      <c r="N266" s="165"/>
      <c r="O266" s="165"/>
      <c r="P266" s="165"/>
      <c r="Q266" s="191"/>
      <c r="R266" s="191"/>
      <c r="S266" s="191"/>
    </row>
    <row r="267" spans="5:19" x14ac:dyDescent="0.3">
      <c r="E267" s="165"/>
      <c r="F267" s="165"/>
      <c r="G267" s="165"/>
      <c r="H267" s="165"/>
      <c r="I267" s="191"/>
      <c r="J267" s="191"/>
      <c r="K267" s="191"/>
      <c r="L267" s="165"/>
      <c r="M267" s="165"/>
      <c r="N267" s="165"/>
      <c r="O267" s="165"/>
      <c r="P267" s="165"/>
      <c r="Q267" s="191"/>
      <c r="R267" s="191"/>
      <c r="S267" s="191"/>
    </row>
    <row r="268" spans="5:19" x14ac:dyDescent="0.3">
      <c r="E268" s="165"/>
      <c r="F268" s="165"/>
      <c r="G268" s="165"/>
      <c r="H268" s="165"/>
      <c r="I268" s="191"/>
      <c r="J268" s="191"/>
      <c r="K268" s="191"/>
      <c r="L268" s="165"/>
      <c r="M268" s="165"/>
      <c r="N268" s="165"/>
      <c r="O268" s="165"/>
      <c r="P268" s="165"/>
      <c r="Q268" s="191"/>
      <c r="R268" s="191"/>
      <c r="S268" s="191"/>
    </row>
    <row r="269" spans="5:19" x14ac:dyDescent="0.3">
      <c r="E269" s="165"/>
      <c r="F269" s="165"/>
      <c r="G269" s="165"/>
      <c r="H269" s="165"/>
      <c r="I269" s="191"/>
      <c r="J269" s="191"/>
      <c r="K269" s="191"/>
      <c r="L269" s="165"/>
      <c r="M269" s="165"/>
      <c r="N269" s="165"/>
      <c r="O269" s="165"/>
      <c r="P269" s="165"/>
      <c r="Q269" s="191"/>
      <c r="R269" s="191"/>
      <c r="S269" s="191"/>
    </row>
    <row r="270" spans="5:19" x14ac:dyDescent="0.3">
      <c r="E270" s="165"/>
      <c r="F270" s="165"/>
      <c r="G270" s="165"/>
      <c r="H270" s="165"/>
      <c r="I270" s="191"/>
      <c r="J270" s="191"/>
      <c r="K270" s="191"/>
      <c r="L270" s="165"/>
      <c r="M270" s="165"/>
      <c r="N270" s="165"/>
      <c r="O270" s="165"/>
      <c r="P270" s="165"/>
      <c r="Q270" s="191"/>
      <c r="R270" s="191"/>
      <c r="S270" s="191"/>
    </row>
    <row r="271" spans="5:19" x14ac:dyDescent="0.3">
      <c r="E271" s="165"/>
      <c r="F271" s="165"/>
      <c r="G271" s="165"/>
      <c r="H271" s="165"/>
      <c r="I271" s="191"/>
      <c r="J271" s="191"/>
      <c r="K271" s="191"/>
      <c r="L271" s="165"/>
      <c r="M271" s="165"/>
      <c r="N271" s="165"/>
      <c r="O271" s="165"/>
      <c r="P271" s="165"/>
      <c r="Q271" s="191"/>
      <c r="R271" s="191"/>
      <c r="S271" s="191"/>
    </row>
    <row r="272" spans="5:19" x14ac:dyDescent="0.3">
      <c r="E272" s="165"/>
      <c r="F272" s="165"/>
      <c r="G272" s="165"/>
      <c r="H272" s="165"/>
      <c r="I272" s="191"/>
      <c r="J272" s="191"/>
      <c r="K272" s="191"/>
      <c r="L272" s="165"/>
      <c r="M272" s="165"/>
      <c r="N272" s="165"/>
      <c r="O272" s="165"/>
      <c r="P272" s="165"/>
      <c r="Q272" s="191"/>
      <c r="R272" s="191"/>
      <c r="S272" s="191"/>
    </row>
    <row r="273" spans="5:19" x14ac:dyDescent="0.3">
      <c r="E273" s="165"/>
      <c r="F273" s="165"/>
      <c r="G273" s="165"/>
      <c r="H273" s="165"/>
      <c r="I273" s="191"/>
      <c r="J273" s="191"/>
      <c r="K273" s="191"/>
      <c r="L273" s="165"/>
      <c r="M273" s="165"/>
      <c r="N273" s="165"/>
      <c r="O273" s="165"/>
      <c r="P273" s="165"/>
      <c r="Q273" s="191"/>
      <c r="R273" s="191"/>
      <c r="S273" s="191"/>
    </row>
    <row r="274" spans="5:19" x14ac:dyDescent="0.3">
      <c r="E274" s="165"/>
      <c r="F274" s="165"/>
      <c r="G274" s="165"/>
      <c r="H274" s="165"/>
      <c r="I274" s="191"/>
      <c r="J274" s="191"/>
      <c r="K274" s="191"/>
      <c r="L274" s="165"/>
      <c r="M274" s="165"/>
      <c r="N274" s="165"/>
      <c r="O274" s="165"/>
      <c r="P274" s="165"/>
      <c r="Q274" s="191"/>
      <c r="R274" s="191"/>
      <c r="S274" s="191"/>
    </row>
    <row r="275" spans="5:19" x14ac:dyDescent="0.3">
      <c r="E275" s="165"/>
      <c r="F275" s="165"/>
      <c r="G275" s="165"/>
      <c r="H275" s="165"/>
      <c r="I275" s="191"/>
      <c r="J275" s="191"/>
      <c r="K275" s="191"/>
      <c r="L275" s="165"/>
      <c r="M275" s="165"/>
      <c r="N275" s="165"/>
      <c r="O275" s="165"/>
      <c r="P275" s="165"/>
      <c r="Q275" s="191"/>
      <c r="R275" s="191"/>
      <c r="S275" s="191"/>
    </row>
    <row r="276" spans="5:19" x14ac:dyDescent="0.3">
      <c r="E276" s="165"/>
      <c r="F276" s="165"/>
      <c r="G276" s="165"/>
      <c r="H276" s="165"/>
      <c r="I276" s="191"/>
      <c r="J276" s="191"/>
      <c r="K276" s="191"/>
      <c r="L276" s="165"/>
      <c r="M276" s="165"/>
      <c r="N276" s="165"/>
      <c r="O276" s="165"/>
      <c r="P276" s="165"/>
      <c r="Q276" s="191"/>
      <c r="R276" s="191"/>
      <c r="S276" s="191"/>
    </row>
    <row r="277" spans="5:19" x14ac:dyDescent="0.3">
      <c r="E277" s="165"/>
      <c r="F277" s="165"/>
      <c r="G277" s="165"/>
      <c r="H277" s="165"/>
      <c r="I277" s="191"/>
      <c r="J277" s="191"/>
      <c r="K277" s="191"/>
      <c r="L277" s="165"/>
      <c r="M277" s="165"/>
      <c r="N277" s="165"/>
      <c r="O277" s="165"/>
      <c r="P277" s="165"/>
      <c r="Q277" s="191"/>
      <c r="R277" s="191"/>
      <c r="S277" s="191"/>
    </row>
    <row r="278" spans="5:19" x14ac:dyDescent="0.3">
      <c r="E278" s="165"/>
      <c r="F278" s="165"/>
      <c r="G278" s="165"/>
      <c r="H278" s="165"/>
      <c r="I278" s="191"/>
      <c r="J278" s="191"/>
      <c r="K278" s="191"/>
      <c r="L278" s="165"/>
      <c r="M278" s="165"/>
      <c r="N278" s="165"/>
      <c r="O278" s="165"/>
      <c r="P278" s="165"/>
      <c r="Q278" s="191"/>
      <c r="R278" s="191"/>
      <c r="S278" s="191"/>
    </row>
    <row r="279" spans="5:19" x14ac:dyDescent="0.3">
      <c r="E279" s="165"/>
      <c r="F279" s="165"/>
      <c r="G279" s="165"/>
      <c r="H279" s="165"/>
      <c r="I279" s="191"/>
      <c r="J279" s="191"/>
      <c r="K279" s="191"/>
      <c r="L279" s="165"/>
      <c r="M279" s="165"/>
      <c r="N279" s="165"/>
      <c r="O279" s="165"/>
      <c r="P279" s="165"/>
      <c r="Q279" s="191"/>
      <c r="R279" s="191"/>
      <c r="S279" s="191"/>
    </row>
    <row r="280" spans="5:19" x14ac:dyDescent="0.3">
      <c r="E280" s="165"/>
      <c r="F280" s="165"/>
      <c r="G280" s="165"/>
      <c r="H280" s="165"/>
      <c r="I280" s="191"/>
      <c r="J280" s="191"/>
      <c r="K280" s="191"/>
      <c r="L280" s="165"/>
      <c r="M280" s="165"/>
      <c r="N280" s="165"/>
      <c r="O280" s="165"/>
      <c r="P280" s="165"/>
      <c r="Q280" s="191"/>
      <c r="R280" s="191"/>
      <c r="S280" s="191"/>
    </row>
    <row r="281" spans="5:19" x14ac:dyDescent="0.3">
      <c r="E281" s="165"/>
      <c r="F281" s="165"/>
      <c r="G281" s="165"/>
      <c r="H281" s="165"/>
      <c r="I281" s="191"/>
      <c r="J281" s="191"/>
      <c r="K281" s="191"/>
      <c r="L281" s="165"/>
      <c r="M281" s="165"/>
      <c r="N281" s="165"/>
      <c r="O281" s="165"/>
      <c r="P281" s="165"/>
      <c r="Q281" s="191"/>
      <c r="R281" s="191"/>
      <c r="S281" s="191"/>
    </row>
    <row r="282" spans="5:19" x14ac:dyDescent="0.3">
      <c r="E282" s="165"/>
      <c r="F282" s="165"/>
      <c r="G282" s="165"/>
      <c r="H282" s="165"/>
      <c r="I282" s="191"/>
      <c r="J282" s="191"/>
      <c r="K282" s="191"/>
      <c r="L282" s="165"/>
      <c r="M282" s="165"/>
      <c r="N282" s="165"/>
      <c r="O282" s="165"/>
      <c r="P282" s="165"/>
      <c r="Q282" s="191"/>
      <c r="R282" s="191"/>
      <c r="S282" s="191"/>
    </row>
    <row r="283" spans="5:19" x14ac:dyDescent="0.3">
      <c r="E283" s="165"/>
      <c r="F283" s="165"/>
      <c r="G283" s="165"/>
      <c r="H283" s="165"/>
      <c r="I283" s="191"/>
      <c r="J283" s="191"/>
      <c r="K283" s="191"/>
      <c r="L283" s="165"/>
      <c r="M283" s="165"/>
      <c r="N283" s="165"/>
      <c r="O283" s="165"/>
      <c r="P283" s="165"/>
      <c r="Q283" s="191"/>
      <c r="R283" s="191"/>
      <c r="S283" s="191"/>
    </row>
    <row r="284" spans="5:19" x14ac:dyDescent="0.3">
      <c r="E284" s="165"/>
      <c r="F284" s="165"/>
      <c r="G284" s="165"/>
      <c r="H284" s="165"/>
      <c r="I284" s="191"/>
      <c r="J284" s="191"/>
      <c r="K284" s="191"/>
      <c r="L284" s="165"/>
      <c r="M284" s="165"/>
      <c r="N284" s="165"/>
      <c r="O284" s="165"/>
      <c r="P284" s="165"/>
      <c r="Q284" s="191"/>
      <c r="R284" s="191"/>
      <c r="S284" s="191"/>
    </row>
    <row r="285" spans="5:19" x14ac:dyDescent="0.3">
      <c r="E285" s="165"/>
      <c r="F285" s="165"/>
      <c r="G285" s="165"/>
      <c r="H285" s="165"/>
      <c r="I285" s="191"/>
      <c r="J285" s="191"/>
      <c r="K285" s="191"/>
      <c r="L285" s="165"/>
      <c r="M285" s="165"/>
      <c r="N285" s="165"/>
      <c r="O285" s="165"/>
      <c r="P285" s="165"/>
      <c r="Q285" s="191"/>
      <c r="R285" s="191"/>
      <c r="S285" s="191"/>
    </row>
    <row r="286" spans="5:19" x14ac:dyDescent="0.3">
      <c r="E286" s="165"/>
      <c r="F286" s="165"/>
      <c r="G286" s="165"/>
      <c r="H286" s="165"/>
      <c r="I286" s="191"/>
      <c r="J286" s="191"/>
      <c r="K286" s="191"/>
      <c r="L286" s="165"/>
      <c r="M286" s="165"/>
      <c r="N286" s="165"/>
      <c r="O286" s="165"/>
      <c r="P286" s="165"/>
      <c r="Q286" s="191"/>
      <c r="R286" s="191"/>
      <c r="S286" s="191"/>
    </row>
    <row r="287" spans="5:19" x14ac:dyDescent="0.3">
      <c r="E287" s="165"/>
      <c r="F287" s="165"/>
      <c r="G287" s="165"/>
      <c r="H287" s="165"/>
      <c r="I287" s="191"/>
      <c r="J287" s="191"/>
      <c r="K287" s="191"/>
      <c r="L287" s="165"/>
      <c r="M287" s="165"/>
      <c r="N287" s="165"/>
      <c r="O287" s="165"/>
      <c r="P287" s="165"/>
      <c r="Q287" s="191"/>
      <c r="R287" s="191"/>
      <c r="S287" s="191"/>
    </row>
    <row r="288" spans="5:19" x14ac:dyDescent="0.3">
      <c r="E288" s="165"/>
      <c r="F288" s="165"/>
      <c r="G288" s="165"/>
      <c r="H288" s="165"/>
      <c r="I288" s="191"/>
      <c r="J288" s="191"/>
      <c r="K288" s="191"/>
      <c r="L288" s="165"/>
      <c r="M288" s="165"/>
      <c r="N288" s="165"/>
      <c r="O288" s="165"/>
      <c r="P288" s="165"/>
      <c r="Q288" s="191"/>
      <c r="R288" s="191"/>
      <c r="S288" s="191"/>
    </row>
    <row r="289" spans="5:19" x14ac:dyDescent="0.3">
      <c r="E289" s="165"/>
      <c r="F289" s="165"/>
      <c r="G289" s="165"/>
      <c r="H289" s="165"/>
      <c r="I289" s="191"/>
      <c r="J289" s="191"/>
      <c r="K289" s="191"/>
      <c r="L289" s="165"/>
      <c r="M289" s="165"/>
      <c r="N289" s="165"/>
      <c r="O289" s="165"/>
      <c r="P289" s="165"/>
      <c r="Q289" s="191"/>
      <c r="R289" s="191"/>
      <c r="S289" s="191"/>
    </row>
    <row r="290" spans="5:19" x14ac:dyDescent="0.3">
      <c r="E290" s="165"/>
      <c r="F290" s="165"/>
      <c r="G290" s="165"/>
      <c r="H290" s="165"/>
      <c r="I290" s="191"/>
      <c r="J290" s="191"/>
      <c r="K290" s="191"/>
      <c r="L290" s="165"/>
      <c r="M290" s="165"/>
      <c r="N290" s="165"/>
      <c r="O290" s="165"/>
      <c r="P290" s="165"/>
      <c r="Q290" s="191"/>
      <c r="R290" s="191"/>
      <c r="S290" s="191"/>
    </row>
    <row r="291" spans="5:19" x14ac:dyDescent="0.3">
      <c r="E291" s="165"/>
      <c r="F291" s="165"/>
      <c r="G291" s="165"/>
      <c r="H291" s="165"/>
      <c r="I291" s="191"/>
      <c r="J291" s="191"/>
      <c r="K291" s="191"/>
      <c r="L291" s="165"/>
      <c r="M291" s="165"/>
      <c r="N291" s="165"/>
      <c r="O291" s="165"/>
      <c r="P291" s="165"/>
      <c r="Q291" s="191"/>
      <c r="R291" s="191"/>
      <c r="S291" s="191"/>
    </row>
    <row r="292" spans="5:19" x14ac:dyDescent="0.3">
      <c r="E292" s="165"/>
      <c r="F292" s="165"/>
      <c r="G292" s="165"/>
      <c r="H292" s="165"/>
      <c r="I292" s="191"/>
      <c r="J292" s="191"/>
      <c r="K292" s="191"/>
      <c r="L292" s="165"/>
      <c r="M292" s="165"/>
      <c r="N292" s="165"/>
      <c r="O292" s="165"/>
      <c r="P292" s="165"/>
      <c r="Q292" s="191"/>
      <c r="R292" s="191"/>
      <c r="S292" s="191"/>
    </row>
    <row r="293" spans="5:19" x14ac:dyDescent="0.3">
      <c r="E293" s="165"/>
      <c r="F293" s="165"/>
      <c r="G293" s="165"/>
      <c r="H293" s="165"/>
      <c r="I293" s="191"/>
      <c r="J293" s="191"/>
      <c r="K293" s="191"/>
      <c r="L293" s="165"/>
      <c r="M293" s="165"/>
      <c r="N293" s="165"/>
      <c r="O293" s="165"/>
      <c r="P293" s="165"/>
      <c r="Q293" s="191"/>
      <c r="R293" s="191"/>
      <c r="S293" s="191"/>
    </row>
    <row r="294" spans="5:19" x14ac:dyDescent="0.3">
      <c r="E294" s="165"/>
      <c r="F294" s="165"/>
      <c r="G294" s="165"/>
      <c r="H294" s="165"/>
      <c r="I294" s="191"/>
      <c r="J294" s="191"/>
      <c r="K294" s="191"/>
      <c r="L294" s="165"/>
      <c r="M294" s="165"/>
      <c r="N294" s="165"/>
      <c r="O294" s="165"/>
      <c r="P294" s="165"/>
      <c r="Q294" s="191"/>
      <c r="R294" s="191"/>
      <c r="S294" s="191"/>
    </row>
    <row r="295" spans="5:19" x14ac:dyDescent="0.3">
      <c r="E295" s="165"/>
      <c r="F295" s="165"/>
      <c r="G295" s="165"/>
      <c r="H295" s="165"/>
      <c r="I295" s="191"/>
      <c r="J295" s="191"/>
      <c r="K295" s="191"/>
      <c r="L295" s="165"/>
      <c r="M295" s="165"/>
      <c r="N295" s="165"/>
      <c r="O295" s="165"/>
      <c r="P295" s="165"/>
      <c r="Q295" s="191"/>
      <c r="R295" s="191"/>
      <c r="S295" s="191"/>
    </row>
    <row r="296" spans="5:19" x14ac:dyDescent="0.3">
      <c r="E296" s="165"/>
      <c r="F296" s="165"/>
      <c r="G296" s="165"/>
      <c r="H296" s="165"/>
      <c r="I296" s="191"/>
      <c r="J296" s="191"/>
      <c r="K296" s="191"/>
      <c r="L296" s="165"/>
      <c r="M296" s="165"/>
      <c r="N296" s="165"/>
      <c r="O296" s="165"/>
      <c r="P296" s="165"/>
      <c r="Q296" s="191"/>
      <c r="R296" s="191"/>
      <c r="S296" s="191"/>
    </row>
    <row r="297" spans="5:19" x14ac:dyDescent="0.3">
      <c r="E297" s="165"/>
      <c r="F297" s="165"/>
      <c r="G297" s="165"/>
      <c r="H297" s="165"/>
      <c r="I297" s="191"/>
      <c r="J297" s="191"/>
      <c r="K297" s="191"/>
      <c r="L297" s="165"/>
      <c r="M297" s="165"/>
      <c r="N297" s="165"/>
      <c r="O297" s="165"/>
      <c r="P297" s="165"/>
      <c r="Q297" s="191"/>
      <c r="R297" s="191"/>
      <c r="S297" s="191"/>
    </row>
    <row r="298" spans="5:19" x14ac:dyDescent="0.3">
      <c r="E298" s="165"/>
      <c r="F298" s="165"/>
      <c r="G298" s="165"/>
      <c r="H298" s="165"/>
      <c r="I298" s="191"/>
      <c r="J298" s="191"/>
      <c r="K298" s="191"/>
      <c r="L298" s="165"/>
      <c r="M298" s="165"/>
      <c r="N298" s="165"/>
      <c r="O298" s="165"/>
      <c r="P298" s="165"/>
      <c r="Q298" s="191"/>
      <c r="R298" s="191"/>
      <c r="S298" s="191"/>
    </row>
    <row r="299" spans="5:19" x14ac:dyDescent="0.3">
      <c r="E299" s="165"/>
      <c r="F299" s="165"/>
      <c r="G299" s="165"/>
      <c r="H299" s="165"/>
      <c r="I299" s="191"/>
      <c r="J299" s="191"/>
      <c r="K299" s="191"/>
      <c r="L299" s="165"/>
      <c r="M299" s="165"/>
      <c r="N299" s="165"/>
      <c r="O299" s="165"/>
      <c r="P299" s="165"/>
      <c r="Q299" s="191"/>
      <c r="R299" s="191"/>
      <c r="S299" s="191"/>
    </row>
    <row r="300" spans="5:19" x14ac:dyDescent="0.3">
      <c r="E300" s="165"/>
      <c r="F300" s="165"/>
      <c r="G300" s="165"/>
      <c r="H300" s="165"/>
      <c r="I300" s="191"/>
      <c r="J300" s="191"/>
      <c r="K300" s="191"/>
      <c r="L300" s="165"/>
      <c r="M300" s="165"/>
      <c r="N300" s="165"/>
      <c r="O300" s="165"/>
      <c r="P300" s="165"/>
      <c r="Q300" s="191"/>
      <c r="R300" s="191"/>
      <c r="S300" s="191"/>
    </row>
    <row r="301" spans="5:19" x14ac:dyDescent="0.3">
      <c r="E301" s="165"/>
      <c r="F301" s="165"/>
      <c r="G301" s="165"/>
      <c r="H301" s="165"/>
      <c r="I301" s="191"/>
      <c r="J301" s="191"/>
      <c r="K301" s="191"/>
      <c r="L301" s="165"/>
      <c r="M301" s="165"/>
      <c r="N301" s="165"/>
      <c r="O301" s="165"/>
      <c r="P301" s="165"/>
      <c r="Q301" s="191"/>
      <c r="R301" s="191"/>
      <c r="S301" s="191"/>
    </row>
    <row r="302" spans="5:19" x14ac:dyDescent="0.3">
      <c r="E302" s="165"/>
      <c r="F302" s="165"/>
      <c r="G302" s="165"/>
      <c r="H302" s="165"/>
      <c r="I302" s="191"/>
      <c r="J302" s="191"/>
      <c r="K302" s="191"/>
      <c r="L302" s="165"/>
      <c r="M302" s="165"/>
      <c r="N302" s="165"/>
      <c r="O302" s="165"/>
      <c r="P302" s="165"/>
      <c r="Q302" s="191"/>
      <c r="R302" s="191"/>
      <c r="S302" s="191"/>
    </row>
    <row r="303" spans="5:19" x14ac:dyDescent="0.3">
      <c r="E303" s="165"/>
      <c r="F303" s="165"/>
      <c r="G303" s="165"/>
      <c r="H303" s="165"/>
      <c r="I303" s="191"/>
      <c r="J303" s="191"/>
      <c r="K303" s="191"/>
      <c r="L303" s="165"/>
      <c r="M303" s="165"/>
      <c r="N303" s="165"/>
      <c r="O303" s="165"/>
      <c r="P303" s="165"/>
      <c r="Q303" s="191"/>
      <c r="R303" s="191"/>
      <c r="S303" s="191"/>
    </row>
    <row r="304" spans="5:19" x14ac:dyDescent="0.3">
      <c r="E304" s="165"/>
      <c r="F304" s="165"/>
      <c r="G304" s="165"/>
      <c r="H304" s="165"/>
      <c r="I304" s="191"/>
      <c r="J304" s="191"/>
      <c r="K304" s="191"/>
      <c r="L304" s="165"/>
      <c r="M304" s="165"/>
      <c r="N304" s="165"/>
      <c r="O304" s="165"/>
      <c r="P304" s="165"/>
      <c r="Q304" s="191"/>
      <c r="R304" s="191"/>
      <c r="S304" s="191"/>
    </row>
    <row r="305" spans="5:19" x14ac:dyDescent="0.3">
      <c r="E305" s="165"/>
      <c r="F305" s="165"/>
      <c r="G305" s="165"/>
      <c r="H305" s="165"/>
      <c r="I305" s="191"/>
      <c r="J305" s="191"/>
      <c r="K305" s="191"/>
      <c r="L305" s="165"/>
      <c r="M305" s="165"/>
      <c r="N305" s="165"/>
      <c r="O305" s="165"/>
      <c r="P305" s="165"/>
      <c r="Q305" s="191"/>
      <c r="R305" s="191"/>
      <c r="S305" s="191"/>
    </row>
    <row r="306" spans="5:19" x14ac:dyDescent="0.3">
      <c r="E306" s="165"/>
      <c r="F306" s="165"/>
      <c r="G306" s="165"/>
      <c r="H306" s="165"/>
      <c r="I306" s="191"/>
      <c r="J306" s="191"/>
      <c r="K306" s="191"/>
      <c r="L306" s="165"/>
      <c r="M306" s="165"/>
      <c r="N306" s="165"/>
      <c r="O306" s="165"/>
      <c r="P306" s="165"/>
      <c r="Q306" s="191"/>
      <c r="R306" s="191"/>
      <c r="S306" s="191"/>
    </row>
    <row r="307" spans="5:19" x14ac:dyDescent="0.3">
      <c r="E307" s="165"/>
      <c r="F307" s="165"/>
      <c r="G307" s="165"/>
      <c r="H307" s="165"/>
      <c r="I307" s="191"/>
      <c r="J307" s="191"/>
      <c r="K307" s="191"/>
      <c r="L307" s="165"/>
      <c r="M307" s="165"/>
      <c r="N307" s="165"/>
      <c r="O307" s="165"/>
      <c r="P307" s="165"/>
      <c r="Q307" s="191"/>
      <c r="R307" s="191"/>
      <c r="S307" s="191"/>
    </row>
    <row r="308" spans="5:19" x14ac:dyDescent="0.3">
      <c r="E308" s="165"/>
      <c r="F308" s="165"/>
      <c r="G308" s="165"/>
      <c r="H308" s="165"/>
      <c r="I308" s="191"/>
      <c r="J308" s="191"/>
      <c r="K308" s="191"/>
      <c r="L308" s="165"/>
      <c r="M308" s="165"/>
      <c r="N308" s="165"/>
      <c r="O308" s="165"/>
      <c r="P308" s="165"/>
      <c r="Q308" s="191"/>
      <c r="R308" s="191"/>
      <c r="S308" s="191"/>
    </row>
    <row r="309" spans="5:19" x14ac:dyDescent="0.3">
      <c r="E309" s="165"/>
      <c r="F309" s="165"/>
      <c r="G309" s="165"/>
      <c r="H309" s="165"/>
      <c r="I309" s="191"/>
      <c r="J309" s="191"/>
      <c r="K309" s="191"/>
      <c r="L309" s="165"/>
      <c r="M309" s="165"/>
      <c r="N309" s="165"/>
      <c r="O309" s="165"/>
      <c r="P309" s="165"/>
      <c r="Q309" s="191"/>
      <c r="R309" s="191"/>
      <c r="S309" s="191"/>
    </row>
    <row r="310" spans="5:19" x14ac:dyDescent="0.3">
      <c r="E310" s="165"/>
      <c r="F310" s="165"/>
      <c r="G310" s="165"/>
      <c r="H310" s="165"/>
      <c r="I310" s="191"/>
      <c r="J310" s="191"/>
      <c r="K310" s="191"/>
      <c r="L310" s="165"/>
      <c r="M310" s="165"/>
      <c r="N310" s="165"/>
      <c r="O310" s="165"/>
      <c r="P310" s="165"/>
      <c r="Q310" s="191"/>
      <c r="R310" s="191"/>
      <c r="S310" s="191"/>
    </row>
    <row r="311" spans="5:19" x14ac:dyDescent="0.3">
      <c r="E311" s="165"/>
      <c r="F311" s="165"/>
      <c r="G311" s="165"/>
      <c r="H311" s="165"/>
      <c r="I311" s="191"/>
      <c r="J311" s="191"/>
      <c r="K311" s="191"/>
      <c r="L311" s="165"/>
      <c r="M311" s="165"/>
      <c r="N311" s="165"/>
      <c r="O311" s="165"/>
      <c r="P311" s="165"/>
      <c r="Q311" s="191"/>
      <c r="R311" s="191"/>
      <c r="S311" s="191"/>
    </row>
    <row r="312" spans="5:19" x14ac:dyDescent="0.3">
      <c r="E312" s="165"/>
      <c r="F312" s="165"/>
      <c r="G312" s="165"/>
      <c r="H312" s="165"/>
      <c r="I312" s="191"/>
      <c r="J312" s="191"/>
      <c r="K312" s="191"/>
      <c r="L312" s="165"/>
      <c r="M312" s="165"/>
      <c r="N312" s="165"/>
      <c r="O312" s="165"/>
      <c r="P312" s="165"/>
      <c r="Q312" s="191"/>
      <c r="R312" s="191"/>
      <c r="S312" s="191"/>
    </row>
    <row r="313" spans="5:19" x14ac:dyDescent="0.3">
      <c r="E313" s="165"/>
      <c r="F313" s="165"/>
      <c r="G313" s="165"/>
      <c r="H313" s="165"/>
      <c r="I313" s="191"/>
      <c r="J313" s="191"/>
      <c r="K313" s="191"/>
      <c r="L313" s="165"/>
      <c r="M313" s="165"/>
      <c r="N313" s="165"/>
      <c r="O313" s="165"/>
      <c r="P313" s="165"/>
      <c r="Q313" s="191"/>
      <c r="R313" s="191"/>
      <c r="S313" s="191"/>
    </row>
    <row r="314" spans="5:19" x14ac:dyDescent="0.3">
      <c r="E314" s="165"/>
      <c r="F314" s="165"/>
      <c r="G314" s="165"/>
      <c r="H314" s="165"/>
      <c r="I314" s="191"/>
      <c r="J314" s="191"/>
      <c r="K314" s="191"/>
      <c r="L314" s="165"/>
      <c r="M314" s="165"/>
      <c r="N314" s="165"/>
      <c r="O314" s="165"/>
      <c r="P314" s="165"/>
      <c r="Q314" s="191"/>
      <c r="R314" s="191"/>
      <c r="S314" s="191"/>
    </row>
    <row r="315" spans="5:19" x14ac:dyDescent="0.3">
      <c r="E315" s="165"/>
      <c r="F315" s="165"/>
      <c r="G315" s="165"/>
      <c r="H315" s="165"/>
      <c r="I315" s="191"/>
      <c r="J315" s="191"/>
      <c r="K315" s="191"/>
      <c r="L315" s="165"/>
      <c r="M315" s="165"/>
      <c r="N315" s="165"/>
      <c r="O315" s="165"/>
      <c r="P315" s="165"/>
      <c r="Q315" s="191"/>
      <c r="R315" s="191"/>
      <c r="S315" s="191"/>
    </row>
    <row r="316" spans="5:19" x14ac:dyDescent="0.3">
      <c r="E316" s="165"/>
      <c r="F316" s="165"/>
      <c r="G316" s="165"/>
      <c r="H316" s="165"/>
      <c r="I316" s="191"/>
      <c r="J316" s="191"/>
      <c r="K316" s="191"/>
      <c r="L316" s="165"/>
      <c r="M316" s="165"/>
      <c r="N316" s="165"/>
      <c r="O316" s="165"/>
      <c r="P316" s="165"/>
      <c r="Q316" s="191"/>
      <c r="R316" s="191"/>
      <c r="S316" s="191"/>
    </row>
    <row r="317" spans="5:19" x14ac:dyDescent="0.3">
      <c r="E317" s="165"/>
      <c r="F317" s="165"/>
      <c r="G317" s="165"/>
      <c r="H317" s="165"/>
      <c r="I317" s="191"/>
      <c r="J317" s="191"/>
      <c r="K317" s="191"/>
      <c r="L317" s="165"/>
      <c r="M317" s="165"/>
      <c r="N317" s="165"/>
      <c r="O317" s="165"/>
      <c r="P317" s="165"/>
      <c r="Q317" s="191"/>
      <c r="R317" s="191"/>
      <c r="S317" s="191"/>
    </row>
    <row r="318" spans="5:19" x14ac:dyDescent="0.3">
      <c r="E318" s="165"/>
      <c r="F318" s="165"/>
      <c r="G318" s="165"/>
      <c r="H318" s="165"/>
      <c r="I318" s="191"/>
      <c r="J318" s="191"/>
      <c r="K318" s="191"/>
      <c r="L318" s="165"/>
      <c r="M318" s="165"/>
      <c r="N318" s="165"/>
      <c r="O318" s="165"/>
      <c r="P318" s="165"/>
      <c r="Q318" s="191"/>
      <c r="R318" s="191"/>
      <c r="S318" s="191"/>
    </row>
    <row r="319" spans="5:19" x14ac:dyDescent="0.3">
      <c r="E319" s="165"/>
      <c r="F319" s="165"/>
      <c r="G319" s="165"/>
      <c r="H319" s="165"/>
      <c r="I319" s="191"/>
      <c r="J319" s="191"/>
      <c r="K319" s="191"/>
      <c r="L319" s="165"/>
      <c r="M319" s="165"/>
      <c r="N319" s="165"/>
      <c r="O319" s="165"/>
      <c r="P319" s="165"/>
      <c r="Q319" s="191"/>
      <c r="R319" s="191"/>
      <c r="S319" s="191"/>
    </row>
    <row r="320" spans="5:19" x14ac:dyDescent="0.3">
      <c r="E320" s="165"/>
      <c r="F320" s="165"/>
      <c r="G320" s="165"/>
      <c r="H320" s="165"/>
      <c r="I320" s="191"/>
      <c r="J320" s="191"/>
      <c r="K320" s="191"/>
      <c r="L320" s="165"/>
      <c r="M320" s="165"/>
      <c r="N320" s="165"/>
      <c r="O320" s="165"/>
      <c r="P320" s="165"/>
      <c r="Q320" s="191"/>
      <c r="R320" s="191"/>
      <c r="S320" s="191"/>
    </row>
    <row r="321" spans="5:19" x14ac:dyDescent="0.3">
      <c r="E321" s="165"/>
      <c r="F321" s="165"/>
      <c r="G321" s="165"/>
      <c r="H321" s="165"/>
      <c r="I321" s="191"/>
      <c r="J321" s="191"/>
      <c r="K321" s="191"/>
      <c r="L321" s="165"/>
      <c r="M321" s="165"/>
      <c r="N321" s="165"/>
      <c r="O321" s="165"/>
      <c r="P321" s="165"/>
      <c r="Q321" s="191"/>
      <c r="R321" s="191"/>
      <c r="S321" s="191"/>
    </row>
    <row r="322" spans="5:19" x14ac:dyDescent="0.3">
      <c r="E322" s="165"/>
      <c r="F322" s="165"/>
      <c r="G322" s="165"/>
      <c r="H322" s="165"/>
      <c r="I322" s="191"/>
      <c r="J322" s="191"/>
      <c r="K322" s="191"/>
      <c r="L322" s="165"/>
      <c r="M322" s="165"/>
      <c r="N322" s="165"/>
      <c r="O322" s="165"/>
      <c r="P322" s="165"/>
      <c r="Q322" s="191"/>
      <c r="R322" s="191"/>
      <c r="S322" s="191"/>
    </row>
    <row r="323" spans="5:19" x14ac:dyDescent="0.3">
      <c r="E323" s="165"/>
      <c r="F323" s="165"/>
      <c r="G323" s="165"/>
      <c r="H323" s="165"/>
      <c r="I323" s="191"/>
      <c r="J323" s="191"/>
      <c r="K323" s="191"/>
      <c r="L323" s="165"/>
      <c r="M323" s="165"/>
      <c r="N323" s="165"/>
      <c r="O323" s="165"/>
      <c r="P323" s="165"/>
      <c r="Q323" s="191"/>
      <c r="R323" s="191"/>
      <c r="S323" s="191"/>
    </row>
    <row r="324" spans="5:19" x14ac:dyDescent="0.3">
      <c r="E324" s="165"/>
      <c r="F324" s="165"/>
      <c r="G324" s="165"/>
      <c r="H324" s="165"/>
      <c r="I324" s="191"/>
      <c r="J324" s="191"/>
      <c r="K324" s="191"/>
      <c r="L324" s="165"/>
      <c r="M324" s="165"/>
      <c r="N324" s="165"/>
      <c r="O324" s="165"/>
      <c r="P324" s="165"/>
      <c r="Q324" s="191"/>
      <c r="R324" s="191"/>
      <c r="S324" s="191"/>
    </row>
    <row r="325" spans="5:19" x14ac:dyDescent="0.3">
      <c r="E325" s="165"/>
      <c r="F325" s="165"/>
      <c r="G325" s="165"/>
      <c r="H325" s="165"/>
      <c r="I325" s="191"/>
      <c r="J325" s="191"/>
      <c r="K325" s="191"/>
      <c r="L325" s="165"/>
      <c r="M325" s="165"/>
      <c r="N325" s="165"/>
      <c r="O325" s="165"/>
      <c r="P325" s="165"/>
      <c r="Q325" s="191"/>
      <c r="R325" s="191"/>
      <c r="S325" s="191"/>
    </row>
    <row r="326" spans="5:19" x14ac:dyDescent="0.3">
      <c r="E326" s="165"/>
      <c r="F326" s="165"/>
      <c r="G326" s="165"/>
      <c r="H326" s="165"/>
      <c r="I326" s="191"/>
      <c r="J326" s="191"/>
      <c r="K326" s="191"/>
      <c r="L326" s="165"/>
      <c r="M326" s="165"/>
      <c r="N326" s="165"/>
      <c r="O326" s="165"/>
      <c r="P326" s="165"/>
      <c r="Q326" s="191"/>
      <c r="R326" s="191"/>
      <c r="S326" s="191"/>
    </row>
    <row r="327" spans="5:19" x14ac:dyDescent="0.3">
      <c r="E327" s="165"/>
      <c r="F327" s="165"/>
      <c r="G327" s="165"/>
      <c r="H327" s="165"/>
      <c r="I327" s="191"/>
      <c r="J327" s="191"/>
      <c r="K327" s="191"/>
      <c r="L327" s="165"/>
      <c r="M327" s="165"/>
      <c r="N327" s="165"/>
      <c r="O327" s="165"/>
      <c r="P327" s="165"/>
      <c r="Q327" s="191"/>
      <c r="R327" s="191"/>
      <c r="S327" s="191"/>
    </row>
    <row r="328" spans="5:19" x14ac:dyDescent="0.3">
      <c r="E328" s="165"/>
      <c r="F328" s="165"/>
      <c r="G328" s="165"/>
      <c r="H328" s="165"/>
      <c r="I328" s="191"/>
      <c r="J328" s="191"/>
      <c r="K328" s="191"/>
      <c r="L328" s="165"/>
      <c r="M328" s="165"/>
      <c r="N328" s="165"/>
      <c r="O328" s="165"/>
      <c r="P328" s="165"/>
      <c r="Q328" s="191"/>
      <c r="R328" s="191"/>
      <c r="S328" s="191"/>
    </row>
    <row r="329" spans="5:19" x14ac:dyDescent="0.3">
      <c r="E329" s="165"/>
      <c r="F329" s="165"/>
      <c r="G329" s="165"/>
      <c r="H329" s="165"/>
      <c r="I329" s="191"/>
      <c r="J329" s="191"/>
      <c r="K329" s="191"/>
      <c r="L329" s="165"/>
      <c r="M329" s="165"/>
      <c r="N329" s="165"/>
      <c r="O329" s="165"/>
      <c r="P329" s="165"/>
      <c r="Q329" s="191"/>
      <c r="R329" s="191"/>
      <c r="S329" s="191"/>
    </row>
    <row r="330" spans="5:19" x14ac:dyDescent="0.3">
      <c r="E330" s="165"/>
      <c r="F330" s="165"/>
      <c r="G330" s="165"/>
      <c r="H330" s="165"/>
      <c r="I330" s="191"/>
      <c r="J330" s="191"/>
      <c r="K330" s="191"/>
      <c r="L330" s="165"/>
      <c r="M330" s="165"/>
      <c r="N330" s="165"/>
      <c r="O330" s="165"/>
      <c r="P330" s="165"/>
      <c r="Q330" s="191"/>
      <c r="R330" s="191"/>
      <c r="S330" s="191"/>
    </row>
    <row r="331" spans="5:19" x14ac:dyDescent="0.3">
      <c r="E331" s="165"/>
      <c r="F331" s="165"/>
      <c r="G331" s="165"/>
      <c r="H331" s="165"/>
      <c r="I331" s="191"/>
      <c r="J331" s="191"/>
      <c r="K331" s="191"/>
      <c r="L331" s="165"/>
      <c r="M331" s="165"/>
      <c r="N331" s="165"/>
      <c r="O331" s="165"/>
      <c r="P331" s="165"/>
      <c r="Q331" s="191"/>
      <c r="R331" s="191"/>
      <c r="S331" s="191"/>
    </row>
    <row r="332" spans="5:19" x14ac:dyDescent="0.3">
      <c r="E332" s="165"/>
      <c r="F332" s="165"/>
      <c r="G332" s="165"/>
      <c r="H332" s="165"/>
      <c r="I332" s="191"/>
      <c r="J332" s="191"/>
      <c r="K332" s="191"/>
      <c r="L332" s="165"/>
      <c r="M332" s="165"/>
      <c r="N332" s="165"/>
      <c r="O332" s="165"/>
      <c r="P332" s="165"/>
      <c r="Q332" s="191"/>
      <c r="R332" s="191"/>
      <c r="S332" s="191"/>
    </row>
    <row r="333" spans="5:19" x14ac:dyDescent="0.3">
      <c r="E333" s="165"/>
      <c r="F333" s="165"/>
      <c r="G333" s="165"/>
      <c r="H333" s="165"/>
      <c r="I333" s="191"/>
      <c r="J333" s="191"/>
      <c r="K333" s="191"/>
      <c r="L333" s="165"/>
      <c r="M333" s="165"/>
      <c r="N333" s="165"/>
      <c r="O333" s="165"/>
      <c r="P333" s="165"/>
      <c r="Q333" s="191"/>
      <c r="R333" s="191"/>
      <c r="S333" s="191"/>
    </row>
    <row r="334" spans="5:19" x14ac:dyDescent="0.3">
      <c r="E334" s="165"/>
      <c r="F334" s="165"/>
      <c r="G334" s="165"/>
      <c r="H334" s="165"/>
      <c r="I334" s="191"/>
      <c r="J334" s="191"/>
      <c r="K334" s="191"/>
      <c r="L334" s="165"/>
      <c r="M334" s="165"/>
      <c r="N334" s="165"/>
      <c r="O334" s="165"/>
      <c r="P334" s="165"/>
      <c r="Q334" s="191"/>
      <c r="R334" s="191"/>
      <c r="S334" s="191"/>
    </row>
    <row r="335" spans="5:19" x14ac:dyDescent="0.3">
      <c r="E335" s="165"/>
      <c r="F335" s="165"/>
      <c r="G335" s="165"/>
      <c r="H335" s="165"/>
      <c r="I335" s="191"/>
      <c r="J335" s="191"/>
      <c r="K335" s="191"/>
      <c r="L335" s="165"/>
      <c r="M335" s="165"/>
      <c r="N335" s="165"/>
      <c r="O335" s="165"/>
      <c r="P335" s="165"/>
      <c r="Q335" s="191"/>
      <c r="R335" s="191"/>
      <c r="S335" s="191"/>
    </row>
    <row r="336" spans="5:19" x14ac:dyDescent="0.3">
      <c r="E336" s="165"/>
      <c r="F336" s="165"/>
      <c r="G336" s="165"/>
      <c r="H336" s="165"/>
      <c r="I336" s="191"/>
      <c r="J336" s="191"/>
      <c r="K336" s="191"/>
      <c r="L336" s="165"/>
      <c r="M336" s="165"/>
      <c r="N336" s="165"/>
      <c r="O336" s="165"/>
      <c r="P336" s="165"/>
      <c r="Q336" s="191"/>
      <c r="R336" s="191"/>
      <c r="S336" s="191"/>
    </row>
    <row r="337" spans="5:19" x14ac:dyDescent="0.3">
      <c r="E337" s="165"/>
      <c r="F337" s="165"/>
      <c r="G337" s="165"/>
      <c r="H337" s="165"/>
      <c r="I337" s="191"/>
      <c r="J337" s="191"/>
      <c r="K337" s="191"/>
      <c r="L337" s="165"/>
      <c r="M337" s="165"/>
      <c r="N337" s="165"/>
      <c r="O337" s="165"/>
      <c r="P337" s="165"/>
      <c r="Q337" s="191"/>
      <c r="R337" s="191"/>
      <c r="S337" s="191"/>
    </row>
    <row r="338" spans="5:19" x14ac:dyDescent="0.3">
      <c r="E338" s="165"/>
      <c r="F338" s="165"/>
      <c r="G338" s="165"/>
      <c r="H338" s="165"/>
      <c r="I338" s="191"/>
      <c r="J338" s="191"/>
      <c r="K338" s="191"/>
      <c r="L338" s="165"/>
      <c r="M338" s="165"/>
      <c r="N338" s="165"/>
      <c r="O338" s="165"/>
      <c r="P338" s="165"/>
      <c r="Q338" s="191"/>
      <c r="R338" s="191"/>
      <c r="S338" s="191"/>
    </row>
    <row r="339" spans="5:19" x14ac:dyDescent="0.3">
      <c r="E339" s="165"/>
      <c r="F339" s="165"/>
      <c r="G339" s="165"/>
      <c r="H339" s="165"/>
      <c r="I339" s="191"/>
      <c r="J339" s="191"/>
      <c r="K339" s="191"/>
      <c r="L339" s="165"/>
      <c r="M339" s="165"/>
      <c r="N339" s="165"/>
      <c r="O339" s="165"/>
      <c r="P339" s="165"/>
      <c r="Q339" s="191"/>
      <c r="R339" s="191"/>
      <c r="S339" s="191"/>
    </row>
    <row r="340" spans="5:19" x14ac:dyDescent="0.3">
      <c r="E340" s="165"/>
      <c r="F340" s="165"/>
      <c r="G340" s="165"/>
      <c r="H340" s="165"/>
      <c r="I340" s="191"/>
      <c r="J340" s="191"/>
      <c r="K340" s="191"/>
      <c r="L340" s="165"/>
      <c r="M340" s="165"/>
      <c r="N340" s="165"/>
      <c r="O340" s="165"/>
      <c r="P340" s="165"/>
      <c r="Q340" s="191"/>
      <c r="R340" s="191"/>
      <c r="S340" s="191"/>
    </row>
    <row r="341" spans="5:19" x14ac:dyDescent="0.3">
      <c r="E341" s="165"/>
      <c r="F341" s="165"/>
      <c r="G341" s="165"/>
      <c r="H341" s="165"/>
      <c r="I341" s="191"/>
      <c r="J341" s="191"/>
      <c r="K341" s="191"/>
      <c r="L341" s="165"/>
      <c r="M341" s="165"/>
      <c r="N341" s="165"/>
      <c r="O341" s="165"/>
      <c r="P341" s="165"/>
      <c r="Q341" s="191"/>
      <c r="R341" s="191"/>
      <c r="S341" s="191"/>
    </row>
    <row r="342" spans="5:19" x14ac:dyDescent="0.3">
      <c r="E342" s="165"/>
      <c r="F342" s="165"/>
      <c r="G342" s="165"/>
      <c r="H342" s="165"/>
      <c r="I342" s="191"/>
      <c r="J342" s="191"/>
      <c r="K342" s="191"/>
      <c r="L342" s="165"/>
      <c r="M342" s="165"/>
      <c r="N342" s="165"/>
      <c r="O342" s="165"/>
      <c r="P342" s="165"/>
      <c r="Q342" s="191"/>
      <c r="R342" s="191"/>
      <c r="S342" s="191"/>
    </row>
    <row r="343" spans="5:19" x14ac:dyDescent="0.3">
      <c r="E343" s="165"/>
      <c r="F343" s="165"/>
      <c r="G343" s="165"/>
      <c r="H343" s="165"/>
      <c r="I343" s="191"/>
      <c r="J343" s="191"/>
      <c r="K343" s="191"/>
      <c r="L343" s="165"/>
      <c r="M343" s="165"/>
      <c r="N343" s="165"/>
      <c r="O343" s="165"/>
      <c r="P343" s="165"/>
      <c r="Q343" s="191"/>
      <c r="R343" s="191"/>
      <c r="S343" s="191"/>
    </row>
    <row r="344" spans="5:19" x14ac:dyDescent="0.3">
      <c r="E344" s="165"/>
      <c r="F344" s="165"/>
      <c r="G344" s="165"/>
      <c r="H344" s="165"/>
      <c r="I344" s="191"/>
      <c r="J344" s="191"/>
      <c r="K344" s="191"/>
      <c r="L344" s="165"/>
      <c r="M344" s="165"/>
      <c r="N344" s="165"/>
      <c r="O344" s="165"/>
      <c r="P344" s="165"/>
      <c r="Q344" s="191"/>
      <c r="R344" s="191"/>
      <c r="S344" s="191"/>
    </row>
    <row r="345" spans="5:19" x14ac:dyDescent="0.3">
      <c r="E345" s="165"/>
      <c r="F345" s="165"/>
      <c r="G345" s="165"/>
      <c r="H345" s="165"/>
      <c r="I345" s="191"/>
      <c r="J345" s="191"/>
      <c r="K345" s="191"/>
      <c r="L345" s="165"/>
      <c r="M345" s="165"/>
      <c r="N345" s="165"/>
      <c r="O345" s="165"/>
      <c r="P345" s="165"/>
      <c r="Q345" s="191"/>
      <c r="R345" s="191"/>
      <c r="S345" s="191"/>
    </row>
    <row r="346" spans="5:19" x14ac:dyDescent="0.3">
      <c r="E346" s="165"/>
      <c r="F346" s="165"/>
      <c r="G346" s="165"/>
      <c r="H346" s="165"/>
      <c r="I346" s="191"/>
      <c r="J346" s="191"/>
      <c r="K346" s="191"/>
      <c r="L346" s="165"/>
      <c r="M346" s="165"/>
      <c r="N346" s="165"/>
      <c r="O346" s="165"/>
      <c r="P346" s="165"/>
      <c r="Q346" s="191"/>
      <c r="R346" s="191"/>
      <c r="S346" s="191"/>
    </row>
    <row r="347" spans="5:19" x14ac:dyDescent="0.3">
      <c r="E347" s="165"/>
      <c r="F347" s="165"/>
      <c r="G347" s="165"/>
      <c r="H347" s="165"/>
      <c r="I347" s="191"/>
      <c r="J347" s="191"/>
      <c r="K347" s="191"/>
      <c r="L347" s="165"/>
      <c r="M347" s="165"/>
      <c r="N347" s="165"/>
      <c r="O347" s="165"/>
      <c r="P347" s="165"/>
      <c r="Q347" s="191"/>
      <c r="R347" s="191"/>
      <c r="S347" s="191"/>
    </row>
    <row r="348" spans="5:19" x14ac:dyDescent="0.3">
      <c r="E348" s="165"/>
      <c r="F348" s="165"/>
      <c r="G348" s="165"/>
      <c r="H348" s="165"/>
      <c r="I348" s="191"/>
      <c r="J348" s="191"/>
      <c r="K348" s="191"/>
      <c r="L348" s="165"/>
      <c r="M348" s="165"/>
      <c r="N348" s="165"/>
      <c r="O348" s="165"/>
      <c r="P348" s="165"/>
      <c r="Q348" s="191"/>
      <c r="R348" s="191"/>
      <c r="S348" s="191"/>
    </row>
    <row r="349" spans="5:19" x14ac:dyDescent="0.3">
      <c r="E349" s="165"/>
      <c r="F349" s="165"/>
      <c r="G349" s="165"/>
      <c r="H349" s="165"/>
      <c r="I349" s="191"/>
      <c r="J349" s="191"/>
      <c r="K349" s="191"/>
      <c r="L349" s="165"/>
      <c r="M349" s="165"/>
      <c r="N349" s="165"/>
      <c r="O349" s="165"/>
      <c r="P349" s="165"/>
      <c r="Q349" s="191"/>
      <c r="R349" s="191"/>
      <c r="S349" s="191"/>
    </row>
    <row r="350" spans="5:19" x14ac:dyDescent="0.3">
      <c r="E350" s="165"/>
      <c r="F350" s="165"/>
      <c r="G350" s="165"/>
      <c r="H350" s="165"/>
      <c r="I350" s="191"/>
      <c r="J350" s="191"/>
      <c r="K350" s="191"/>
      <c r="L350" s="165"/>
      <c r="M350" s="165"/>
      <c r="N350" s="165"/>
      <c r="O350" s="165"/>
      <c r="P350" s="165"/>
      <c r="Q350" s="191"/>
      <c r="R350" s="191"/>
      <c r="S350" s="191"/>
    </row>
    <row r="351" spans="5:19" x14ac:dyDescent="0.3">
      <c r="E351" s="165"/>
      <c r="F351" s="165"/>
      <c r="G351" s="165"/>
      <c r="H351" s="165"/>
      <c r="I351" s="191"/>
      <c r="J351" s="191"/>
      <c r="K351" s="191"/>
      <c r="L351" s="165"/>
      <c r="M351" s="165"/>
      <c r="N351" s="165"/>
      <c r="O351" s="165"/>
      <c r="P351" s="165"/>
      <c r="Q351" s="191"/>
      <c r="R351" s="191"/>
      <c r="S351" s="191"/>
    </row>
    <row r="352" spans="5:19" x14ac:dyDescent="0.3">
      <c r="E352" s="165"/>
      <c r="F352" s="165"/>
      <c r="G352" s="165"/>
      <c r="H352" s="165"/>
      <c r="I352" s="191"/>
      <c r="J352" s="191"/>
      <c r="K352" s="191"/>
      <c r="L352" s="165"/>
      <c r="M352" s="165"/>
      <c r="N352" s="165"/>
      <c r="O352" s="165"/>
      <c r="P352" s="165"/>
      <c r="Q352" s="191"/>
      <c r="R352" s="191"/>
      <c r="S352" s="191"/>
    </row>
    <row r="353" spans="5:19" x14ac:dyDescent="0.3">
      <c r="E353" s="165"/>
      <c r="F353" s="165"/>
      <c r="G353" s="165"/>
      <c r="H353" s="165"/>
      <c r="I353" s="191"/>
      <c r="J353" s="191"/>
      <c r="K353" s="191"/>
      <c r="L353" s="165"/>
      <c r="M353" s="165"/>
      <c r="N353" s="165"/>
      <c r="O353" s="165"/>
      <c r="P353" s="165"/>
      <c r="Q353" s="191"/>
      <c r="R353" s="191"/>
      <c r="S353" s="191"/>
    </row>
    <row r="354" spans="5:19" x14ac:dyDescent="0.3">
      <c r="E354" s="165"/>
      <c r="F354" s="165"/>
      <c r="G354" s="165"/>
      <c r="H354" s="165"/>
      <c r="I354" s="191"/>
      <c r="J354" s="191"/>
      <c r="K354" s="191"/>
      <c r="L354" s="165"/>
      <c r="M354" s="165"/>
      <c r="N354" s="165"/>
      <c r="O354" s="165"/>
      <c r="P354" s="165"/>
      <c r="Q354" s="191"/>
      <c r="R354" s="191"/>
      <c r="S354" s="191"/>
    </row>
    <row r="355" spans="5:19" x14ac:dyDescent="0.3">
      <c r="E355" s="165"/>
      <c r="F355" s="165"/>
      <c r="G355" s="165"/>
      <c r="H355" s="165"/>
      <c r="I355" s="191"/>
      <c r="J355" s="191"/>
      <c r="K355" s="191"/>
      <c r="L355" s="165"/>
      <c r="M355" s="165"/>
      <c r="N355" s="165"/>
      <c r="O355" s="165"/>
      <c r="P355" s="165"/>
      <c r="Q355" s="191"/>
      <c r="R355" s="191"/>
      <c r="S355" s="191"/>
    </row>
    <row r="356" spans="5:19" x14ac:dyDescent="0.3">
      <c r="E356" s="165"/>
      <c r="F356" s="165"/>
      <c r="G356" s="165"/>
      <c r="H356" s="165"/>
      <c r="I356" s="191"/>
      <c r="J356" s="191"/>
      <c r="K356" s="191"/>
      <c r="L356" s="165"/>
      <c r="M356" s="165"/>
      <c r="N356" s="165"/>
      <c r="O356" s="165"/>
      <c r="P356" s="165"/>
      <c r="Q356" s="191"/>
      <c r="R356" s="191"/>
      <c r="S356" s="191"/>
    </row>
    <row r="357" spans="5:19" x14ac:dyDescent="0.3">
      <c r="E357" s="165"/>
      <c r="F357" s="165"/>
      <c r="G357" s="165"/>
      <c r="H357" s="165"/>
      <c r="I357" s="191"/>
      <c r="J357" s="191"/>
      <c r="K357" s="191"/>
      <c r="L357" s="165"/>
      <c r="M357" s="165"/>
      <c r="N357" s="165"/>
      <c r="O357" s="165"/>
      <c r="P357" s="165"/>
      <c r="Q357" s="191"/>
      <c r="R357" s="191"/>
      <c r="S357" s="191"/>
    </row>
    <row r="358" spans="5:19" x14ac:dyDescent="0.3">
      <c r="E358" s="165"/>
      <c r="F358" s="165"/>
      <c r="G358" s="165"/>
      <c r="H358" s="165"/>
      <c r="I358" s="191"/>
      <c r="J358" s="191"/>
      <c r="K358" s="191"/>
      <c r="L358" s="165"/>
      <c r="M358" s="165"/>
      <c r="N358" s="165"/>
      <c r="O358" s="165"/>
      <c r="P358" s="165"/>
      <c r="Q358" s="191"/>
      <c r="R358" s="191"/>
      <c r="S358" s="191"/>
    </row>
    <row r="359" spans="5:19" x14ac:dyDescent="0.3">
      <c r="E359" s="165"/>
      <c r="F359" s="165"/>
      <c r="G359" s="165"/>
      <c r="H359" s="165"/>
      <c r="I359" s="191"/>
      <c r="J359" s="191"/>
      <c r="K359" s="191"/>
      <c r="L359" s="165"/>
      <c r="M359" s="165"/>
      <c r="N359" s="165"/>
      <c r="O359" s="165"/>
      <c r="P359" s="165"/>
      <c r="Q359" s="191"/>
      <c r="R359" s="191"/>
      <c r="S359" s="191"/>
    </row>
    <row r="360" spans="5:19" x14ac:dyDescent="0.3">
      <c r="E360" s="165"/>
      <c r="F360" s="165"/>
      <c r="G360" s="165"/>
      <c r="H360" s="165"/>
      <c r="I360" s="191"/>
      <c r="J360" s="191"/>
      <c r="K360" s="191"/>
      <c r="L360" s="165"/>
      <c r="M360" s="165"/>
      <c r="N360" s="165"/>
      <c r="O360" s="165"/>
      <c r="P360" s="165"/>
      <c r="Q360" s="191"/>
      <c r="R360" s="191"/>
      <c r="S360" s="191"/>
    </row>
    <row r="361" spans="5:19" x14ac:dyDescent="0.3">
      <c r="E361" s="165"/>
      <c r="F361" s="165"/>
      <c r="G361" s="165"/>
      <c r="H361" s="165"/>
      <c r="I361" s="191"/>
      <c r="J361" s="191"/>
      <c r="K361" s="191"/>
      <c r="L361" s="165"/>
      <c r="M361" s="165"/>
      <c r="N361" s="165"/>
      <c r="O361" s="165"/>
      <c r="P361" s="165"/>
      <c r="Q361" s="191"/>
      <c r="R361" s="191"/>
      <c r="S361" s="191"/>
    </row>
    <row r="362" spans="5:19" x14ac:dyDescent="0.3">
      <c r="E362" s="165"/>
      <c r="F362" s="165"/>
      <c r="G362" s="165"/>
      <c r="H362" s="165"/>
      <c r="I362" s="191"/>
      <c r="J362" s="191"/>
      <c r="K362" s="191"/>
      <c r="L362" s="165"/>
      <c r="M362" s="165"/>
      <c r="N362" s="165"/>
      <c r="O362" s="165"/>
      <c r="P362" s="165"/>
      <c r="Q362" s="191"/>
      <c r="R362" s="191"/>
      <c r="S362" s="191"/>
    </row>
    <row r="363" spans="5:19" x14ac:dyDescent="0.3">
      <c r="E363" s="165"/>
      <c r="F363" s="165"/>
      <c r="G363" s="165"/>
      <c r="H363" s="165"/>
      <c r="I363" s="191"/>
      <c r="J363" s="191"/>
      <c r="K363" s="191"/>
      <c r="L363" s="165"/>
      <c r="M363" s="165"/>
      <c r="N363" s="165"/>
      <c r="O363" s="165"/>
      <c r="P363" s="165"/>
      <c r="Q363" s="191"/>
      <c r="R363" s="191"/>
      <c r="S363" s="191"/>
    </row>
    <row r="364" spans="5:19" x14ac:dyDescent="0.3">
      <c r="E364" s="165"/>
      <c r="F364" s="165"/>
      <c r="G364" s="165"/>
      <c r="H364" s="165"/>
      <c r="I364" s="191"/>
      <c r="J364" s="191"/>
      <c r="K364" s="191"/>
      <c r="L364" s="165"/>
      <c r="M364" s="165"/>
      <c r="N364" s="165"/>
      <c r="O364" s="165"/>
      <c r="P364" s="165"/>
      <c r="Q364" s="191"/>
      <c r="R364" s="191"/>
      <c r="S364" s="191"/>
    </row>
    <row r="365" spans="5:19" x14ac:dyDescent="0.3">
      <c r="E365" s="165"/>
      <c r="F365" s="165"/>
      <c r="G365" s="165"/>
      <c r="H365" s="165"/>
      <c r="I365" s="191"/>
      <c r="J365" s="191"/>
      <c r="K365" s="191"/>
      <c r="L365" s="165"/>
      <c r="M365" s="165"/>
      <c r="N365" s="165"/>
      <c r="O365" s="165"/>
      <c r="P365" s="165"/>
      <c r="Q365" s="191"/>
      <c r="R365" s="191"/>
      <c r="S365" s="191"/>
    </row>
    <row r="366" spans="5:19" x14ac:dyDescent="0.3">
      <c r="E366" s="165"/>
      <c r="F366" s="165"/>
      <c r="G366" s="165"/>
      <c r="H366" s="165"/>
      <c r="I366" s="191"/>
      <c r="J366" s="191"/>
      <c r="K366" s="191"/>
      <c r="L366" s="165"/>
      <c r="M366" s="165"/>
      <c r="N366" s="165"/>
      <c r="O366" s="165"/>
      <c r="P366" s="165"/>
      <c r="Q366" s="191"/>
      <c r="R366" s="191"/>
      <c r="S366" s="191"/>
    </row>
    <row r="367" spans="5:19" x14ac:dyDescent="0.3">
      <c r="E367" s="165"/>
      <c r="F367" s="165"/>
      <c r="G367" s="165"/>
      <c r="H367" s="165"/>
      <c r="I367" s="191"/>
      <c r="J367" s="191"/>
      <c r="K367" s="191"/>
      <c r="L367" s="165"/>
      <c r="M367" s="165"/>
      <c r="N367" s="165"/>
      <c r="O367" s="165"/>
      <c r="P367" s="165"/>
      <c r="Q367" s="191"/>
      <c r="R367" s="191"/>
      <c r="S367" s="191"/>
    </row>
    <row r="368" spans="5:19" x14ac:dyDescent="0.3">
      <c r="E368" s="165"/>
      <c r="F368" s="165"/>
      <c r="G368" s="165"/>
      <c r="H368" s="165"/>
      <c r="I368" s="191"/>
      <c r="J368" s="191"/>
      <c r="K368" s="191"/>
      <c r="L368" s="165"/>
      <c r="M368" s="165"/>
      <c r="N368" s="165"/>
      <c r="O368" s="165"/>
      <c r="P368" s="165"/>
      <c r="Q368" s="191"/>
      <c r="R368" s="191"/>
      <c r="S368" s="191"/>
    </row>
    <row r="369" spans="5:19" x14ac:dyDescent="0.3">
      <c r="E369" s="165"/>
      <c r="F369" s="165"/>
      <c r="G369" s="165"/>
      <c r="H369" s="165"/>
      <c r="I369" s="191"/>
      <c r="J369" s="191"/>
      <c r="K369" s="191"/>
      <c r="L369" s="165"/>
      <c r="M369" s="165"/>
      <c r="N369" s="165"/>
      <c r="O369" s="165"/>
      <c r="P369" s="165"/>
      <c r="Q369" s="191"/>
      <c r="R369" s="191"/>
      <c r="S369" s="191"/>
    </row>
    <row r="370" spans="5:19" x14ac:dyDescent="0.3">
      <c r="E370" s="165"/>
      <c r="F370" s="165"/>
      <c r="G370" s="165"/>
      <c r="H370" s="165"/>
      <c r="I370" s="191"/>
      <c r="J370" s="191"/>
      <c r="K370" s="191"/>
      <c r="L370" s="165"/>
      <c r="M370" s="165"/>
      <c r="N370" s="165"/>
      <c r="O370" s="165"/>
      <c r="P370" s="165"/>
      <c r="Q370" s="191"/>
      <c r="R370" s="191"/>
      <c r="S370" s="191"/>
    </row>
    <row r="371" spans="5:19" x14ac:dyDescent="0.3">
      <c r="E371" s="165"/>
      <c r="F371" s="165"/>
      <c r="G371" s="165"/>
      <c r="H371" s="165"/>
      <c r="I371" s="191"/>
      <c r="J371" s="191"/>
      <c r="K371" s="191"/>
      <c r="L371" s="165"/>
      <c r="M371" s="165"/>
      <c r="N371" s="165"/>
      <c r="O371" s="165"/>
      <c r="P371" s="165"/>
      <c r="Q371" s="191"/>
      <c r="R371" s="191"/>
      <c r="S371" s="191"/>
    </row>
    <row r="372" spans="5:19" x14ac:dyDescent="0.3">
      <c r="E372" s="165"/>
      <c r="F372" s="165"/>
      <c r="G372" s="165"/>
      <c r="H372" s="165"/>
      <c r="I372" s="191"/>
      <c r="J372" s="191"/>
      <c r="K372" s="191"/>
      <c r="L372" s="165"/>
      <c r="M372" s="165"/>
      <c r="N372" s="165"/>
      <c r="O372" s="165"/>
      <c r="P372" s="165"/>
      <c r="Q372" s="191"/>
      <c r="R372" s="191"/>
      <c r="S372" s="191"/>
    </row>
    <row r="373" spans="5:19" x14ac:dyDescent="0.3">
      <c r="E373" s="165"/>
      <c r="F373" s="165"/>
      <c r="G373" s="165"/>
      <c r="H373" s="165"/>
      <c r="I373" s="191"/>
      <c r="J373" s="191"/>
      <c r="K373" s="191"/>
      <c r="L373" s="165"/>
      <c r="M373" s="165"/>
      <c r="N373" s="165"/>
      <c r="O373" s="165"/>
      <c r="P373" s="165"/>
      <c r="Q373" s="191"/>
      <c r="R373" s="191"/>
      <c r="S373" s="191"/>
    </row>
    <row r="374" spans="5:19" x14ac:dyDescent="0.3">
      <c r="E374" s="165"/>
      <c r="F374" s="165"/>
      <c r="G374" s="165"/>
      <c r="H374" s="165"/>
      <c r="I374" s="191"/>
      <c r="J374" s="191"/>
      <c r="K374" s="191"/>
      <c r="L374" s="165"/>
      <c r="M374" s="165"/>
      <c r="N374" s="165"/>
      <c r="O374" s="165"/>
      <c r="P374" s="165"/>
      <c r="Q374" s="191"/>
      <c r="R374" s="191"/>
      <c r="S374" s="191"/>
    </row>
    <row r="375" spans="5:19" x14ac:dyDescent="0.3">
      <c r="E375" s="165"/>
      <c r="F375" s="165"/>
      <c r="G375" s="165"/>
      <c r="H375" s="165"/>
      <c r="I375" s="191"/>
      <c r="J375" s="191"/>
      <c r="K375" s="191"/>
      <c r="L375" s="165"/>
      <c r="M375" s="165"/>
      <c r="N375" s="165"/>
      <c r="O375" s="165"/>
      <c r="P375" s="165"/>
      <c r="Q375" s="191"/>
      <c r="R375" s="191"/>
      <c r="S375" s="191"/>
    </row>
    <row r="376" spans="5:19" x14ac:dyDescent="0.3">
      <c r="E376" s="165"/>
      <c r="F376" s="165"/>
      <c r="G376" s="165"/>
      <c r="H376" s="165"/>
      <c r="I376" s="191"/>
      <c r="J376" s="191"/>
      <c r="K376" s="191"/>
      <c r="L376" s="165"/>
      <c r="M376" s="165"/>
      <c r="N376" s="165"/>
      <c r="O376" s="165"/>
      <c r="P376" s="165"/>
      <c r="Q376" s="191"/>
      <c r="R376" s="191"/>
      <c r="S376" s="191"/>
    </row>
    <row r="377" spans="5:19" x14ac:dyDescent="0.3">
      <c r="E377" s="165"/>
      <c r="F377" s="165"/>
      <c r="G377" s="165"/>
      <c r="H377" s="165"/>
      <c r="I377" s="191"/>
      <c r="J377" s="191"/>
      <c r="K377" s="191"/>
      <c r="L377" s="165"/>
      <c r="M377" s="165"/>
      <c r="N377" s="165"/>
      <c r="O377" s="165"/>
      <c r="P377" s="165"/>
      <c r="Q377" s="191"/>
      <c r="R377" s="191"/>
      <c r="S377" s="191"/>
    </row>
    <row r="378" spans="5:19" x14ac:dyDescent="0.3">
      <c r="E378" s="165"/>
      <c r="F378" s="165"/>
      <c r="G378" s="165"/>
      <c r="H378" s="165"/>
      <c r="I378" s="191"/>
      <c r="J378" s="191"/>
      <c r="K378" s="191"/>
      <c r="L378" s="165"/>
      <c r="M378" s="165"/>
      <c r="N378" s="165"/>
      <c r="O378" s="165"/>
      <c r="P378" s="165"/>
      <c r="Q378" s="191"/>
      <c r="R378" s="191"/>
      <c r="S378" s="191"/>
    </row>
    <row r="379" spans="5:19" x14ac:dyDescent="0.3">
      <c r="E379" s="165"/>
      <c r="F379" s="165"/>
      <c r="G379" s="165"/>
      <c r="H379" s="165"/>
      <c r="I379" s="191"/>
      <c r="J379" s="191"/>
      <c r="K379" s="191"/>
      <c r="L379" s="165"/>
      <c r="M379" s="165"/>
      <c r="N379" s="165"/>
      <c r="O379" s="165"/>
      <c r="P379" s="165"/>
      <c r="Q379" s="191"/>
      <c r="R379" s="191"/>
      <c r="S379" s="191"/>
    </row>
    <row r="380" spans="5:19" x14ac:dyDescent="0.3">
      <c r="E380" s="165"/>
      <c r="F380" s="165"/>
      <c r="G380" s="165"/>
      <c r="H380" s="165"/>
      <c r="I380" s="191"/>
      <c r="J380" s="191"/>
      <c r="K380" s="191"/>
      <c r="L380" s="165"/>
      <c r="M380" s="165"/>
      <c r="N380" s="165"/>
      <c r="O380" s="165"/>
      <c r="P380" s="165"/>
      <c r="Q380" s="191"/>
      <c r="R380" s="191"/>
      <c r="S380" s="191"/>
    </row>
    <row r="381" spans="5:19" x14ac:dyDescent="0.3">
      <c r="E381" s="165"/>
      <c r="F381" s="165"/>
      <c r="G381" s="165"/>
      <c r="H381" s="165"/>
      <c r="I381" s="191"/>
      <c r="J381" s="191"/>
      <c r="K381" s="191"/>
      <c r="L381" s="165"/>
      <c r="M381" s="165"/>
      <c r="N381" s="165"/>
      <c r="O381" s="165"/>
      <c r="P381" s="165"/>
      <c r="Q381" s="191"/>
      <c r="R381" s="191"/>
      <c r="S381" s="191"/>
    </row>
    <row r="382" spans="5:19" x14ac:dyDescent="0.3">
      <c r="E382" s="165"/>
      <c r="F382" s="165"/>
      <c r="G382" s="165"/>
      <c r="H382" s="165"/>
      <c r="I382" s="191"/>
      <c r="J382" s="191"/>
      <c r="K382" s="191"/>
      <c r="L382" s="165"/>
      <c r="M382" s="165"/>
      <c r="N382" s="165"/>
      <c r="O382" s="165"/>
      <c r="P382" s="165"/>
      <c r="Q382" s="191"/>
      <c r="R382" s="191"/>
      <c r="S382" s="191"/>
    </row>
    <row r="383" spans="5:19" x14ac:dyDescent="0.3">
      <c r="E383" s="165"/>
      <c r="F383" s="165"/>
      <c r="G383" s="165"/>
      <c r="H383" s="165"/>
      <c r="I383" s="191"/>
      <c r="J383" s="191"/>
      <c r="K383" s="191"/>
      <c r="L383" s="165"/>
      <c r="M383" s="165"/>
      <c r="N383" s="165"/>
      <c r="O383" s="165"/>
      <c r="P383" s="165"/>
      <c r="Q383" s="191"/>
      <c r="R383" s="191"/>
      <c r="S383" s="191"/>
    </row>
    <row r="384" spans="5:19" x14ac:dyDescent="0.3">
      <c r="E384" s="165"/>
      <c r="F384" s="165"/>
      <c r="G384" s="165"/>
      <c r="H384" s="165"/>
      <c r="I384" s="191"/>
      <c r="J384" s="191"/>
      <c r="K384" s="191"/>
      <c r="L384" s="165"/>
      <c r="M384" s="165"/>
      <c r="N384" s="165"/>
      <c r="O384" s="165"/>
      <c r="P384" s="165"/>
      <c r="Q384" s="191"/>
      <c r="R384" s="191"/>
      <c r="S384" s="191"/>
    </row>
    <row r="385" spans="5:19" x14ac:dyDescent="0.3">
      <c r="E385" s="165"/>
      <c r="F385" s="165"/>
      <c r="G385" s="165"/>
      <c r="H385" s="165"/>
      <c r="I385" s="191"/>
      <c r="J385" s="191"/>
      <c r="K385" s="191"/>
      <c r="L385" s="165"/>
      <c r="M385" s="165"/>
      <c r="N385" s="165"/>
      <c r="O385" s="165"/>
      <c r="P385" s="165"/>
      <c r="Q385" s="191"/>
      <c r="R385" s="191"/>
      <c r="S385" s="191"/>
    </row>
    <row r="386" spans="5:19" x14ac:dyDescent="0.3">
      <c r="E386" s="165"/>
      <c r="F386" s="165"/>
      <c r="G386" s="165"/>
      <c r="H386" s="165"/>
      <c r="I386" s="191"/>
      <c r="J386" s="191"/>
      <c r="K386" s="191"/>
      <c r="L386" s="165"/>
      <c r="M386" s="165"/>
      <c r="N386" s="165"/>
      <c r="O386" s="165"/>
      <c r="P386" s="165"/>
      <c r="Q386" s="191"/>
      <c r="R386" s="191"/>
      <c r="S386" s="191"/>
    </row>
    <row r="387" spans="5:19" x14ac:dyDescent="0.3">
      <c r="E387" s="165"/>
      <c r="F387" s="165"/>
      <c r="G387" s="165"/>
      <c r="H387" s="165"/>
      <c r="I387" s="191"/>
      <c r="J387" s="191"/>
      <c r="K387" s="191"/>
      <c r="L387" s="165"/>
      <c r="M387" s="165"/>
      <c r="N387" s="165"/>
      <c r="O387" s="165"/>
      <c r="P387" s="165"/>
      <c r="Q387" s="191"/>
      <c r="R387" s="191"/>
      <c r="S387" s="191"/>
    </row>
    <row r="388" spans="5:19" x14ac:dyDescent="0.3">
      <c r="E388" s="165"/>
      <c r="F388" s="165"/>
      <c r="G388" s="165"/>
      <c r="H388" s="165"/>
      <c r="I388" s="191"/>
      <c r="J388" s="191"/>
      <c r="K388" s="191"/>
      <c r="L388" s="165"/>
      <c r="M388" s="165"/>
      <c r="N388" s="165"/>
      <c r="O388" s="165"/>
      <c r="P388" s="165"/>
      <c r="Q388" s="191"/>
      <c r="R388" s="191"/>
      <c r="S388" s="191"/>
    </row>
    <row r="389" spans="5:19" x14ac:dyDescent="0.3">
      <c r="E389" s="165"/>
      <c r="F389" s="165"/>
      <c r="G389" s="165"/>
      <c r="H389" s="165"/>
      <c r="I389" s="191"/>
      <c r="J389" s="191"/>
      <c r="K389" s="191"/>
      <c r="L389" s="165"/>
      <c r="M389" s="165"/>
      <c r="N389" s="165"/>
      <c r="O389" s="165"/>
      <c r="P389" s="165"/>
      <c r="Q389" s="191"/>
      <c r="R389" s="191"/>
      <c r="S389" s="191"/>
    </row>
    <row r="390" spans="5:19" x14ac:dyDescent="0.3">
      <c r="E390" s="165"/>
      <c r="F390" s="165"/>
      <c r="G390" s="165"/>
      <c r="H390" s="165"/>
      <c r="I390" s="191"/>
      <c r="J390" s="191"/>
      <c r="K390" s="191"/>
      <c r="L390" s="165"/>
      <c r="M390" s="165"/>
      <c r="N390" s="165"/>
      <c r="O390" s="165"/>
      <c r="P390" s="165"/>
      <c r="Q390" s="191"/>
      <c r="R390" s="191"/>
      <c r="S390" s="191"/>
    </row>
    <row r="391" spans="5:19" x14ac:dyDescent="0.3">
      <c r="E391" s="165"/>
      <c r="F391" s="165"/>
      <c r="G391" s="165"/>
      <c r="H391" s="165"/>
      <c r="I391" s="191"/>
      <c r="J391" s="191"/>
      <c r="K391" s="191"/>
      <c r="L391" s="165"/>
      <c r="M391" s="165"/>
      <c r="N391" s="165"/>
      <c r="O391" s="165"/>
      <c r="P391" s="165"/>
      <c r="Q391" s="191"/>
      <c r="R391" s="191"/>
      <c r="S391" s="191"/>
    </row>
    <row r="392" spans="5:19" x14ac:dyDescent="0.3">
      <c r="E392" s="165"/>
      <c r="F392" s="165"/>
      <c r="G392" s="165"/>
      <c r="H392" s="165"/>
      <c r="I392" s="191"/>
      <c r="J392" s="191"/>
      <c r="K392" s="191"/>
      <c r="L392" s="165"/>
      <c r="M392" s="165"/>
      <c r="N392" s="165"/>
      <c r="O392" s="165"/>
      <c r="P392" s="165"/>
      <c r="Q392" s="191"/>
      <c r="R392" s="191"/>
      <c r="S392" s="191"/>
    </row>
    <row r="393" spans="5:19" x14ac:dyDescent="0.3">
      <c r="E393" s="165"/>
      <c r="F393" s="165"/>
      <c r="G393" s="165"/>
      <c r="H393" s="165"/>
      <c r="I393" s="191"/>
      <c r="J393" s="191"/>
      <c r="K393" s="191"/>
      <c r="L393" s="165"/>
      <c r="M393" s="165"/>
      <c r="N393" s="165"/>
      <c r="O393" s="165"/>
      <c r="P393" s="165"/>
      <c r="Q393" s="191"/>
      <c r="R393" s="191"/>
      <c r="S393" s="191"/>
    </row>
    <row r="394" spans="5:19" x14ac:dyDescent="0.3">
      <c r="E394" s="165"/>
      <c r="F394" s="165"/>
      <c r="G394" s="165"/>
      <c r="H394" s="165"/>
      <c r="I394" s="191"/>
      <c r="J394" s="191"/>
      <c r="K394" s="191"/>
      <c r="L394" s="165"/>
      <c r="M394" s="165"/>
      <c r="N394" s="165"/>
      <c r="O394" s="165"/>
      <c r="P394" s="165"/>
      <c r="Q394" s="191"/>
      <c r="R394" s="191"/>
      <c r="S394" s="191"/>
    </row>
    <row r="395" spans="5:19" x14ac:dyDescent="0.3">
      <c r="E395" s="165"/>
      <c r="F395" s="165"/>
      <c r="G395" s="165"/>
      <c r="H395" s="165"/>
      <c r="I395" s="191"/>
      <c r="J395" s="191"/>
      <c r="K395" s="191"/>
      <c r="L395" s="165"/>
      <c r="M395" s="165"/>
      <c r="N395" s="165"/>
      <c r="O395" s="165"/>
      <c r="P395" s="165"/>
      <c r="Q395" s="191"/>
      <c r="R395" s="191"/>
      <c r="S395" s="191"/>
    </row>
    <row r="396" spans="5:19" x14ac:dyDescent="0.3">
      <c r="E396" s="165"/>
      <c r="F396" s="165"/>
      <c r="G396" s="165"/>
      <c r="H396" s="165"/>
      <c r="I396" s="191"/>
      <c r="J396" s="191"/>
      <c r="K396" s="191"/>
      <c r="L396" s="165"/>
      <c r="M396" s="165"/>
      <c r="N396" s="165"/>
      <c r="O396" s="165"/>
      <c r="P396" s="165"/>
      <c r="Q396" s="191"/>
      <c r="R396" s="191"/>
      <c r="S396" s="191"/>
    </row>
    <row r="397" spans="5:19" x14ac:dyDescent="0.3">
      <c r="E397" s="165"/>
      <c r="F397" s="165"/>
      <c r="G397" s="165"/>
      <c r="H397" s="165"/>
      <c r="I397" s="191"/>
      <c r="J397" s="191"/>
      <c r="K397" s="191"/>
      <c r="L397" s="165"/>
      <c r="M397" s="165"/>
      <c r="N397" s="165"/>
      <c r="O397" s="165"/>
      <c r="P397" s="165"/>
      <c r="Q397" s="191"/>
      <c r="R397" s="191"/>
      <c r="S397" s="191"/>
    </row>
    <row r="398" spans="5:19" x14ac:dyDescent="0.3">
      <c r="E398" s="165"/>
      <c r="F398" s="165"/>
      <c r="G398" s="165"/>
      <c r="H398" s="165"/>
      <c r="I398" s="191"/>
      <c r="J398" s="191"/>
      <c r="K398" s="191"/>
      <c r="L398" s="165"/>
      <c r="M398" s="165"/>
      <c r="N398" s="165"/>
      <c r="O398" s="165"/>
      <c r="P398" s="165"/>
      <c r="Q398" s="191"/>
      <c r="R398" s="191"/>
      <c r="S398" s="191"/>
    </row>
    <row r="399" spans="5:19" x14ac:dyDescent="0.3">
      <c r="E399" s="165"/>
      <c r="F399" s="165"/>
      <c r="G399" s="165"/>
      <c r="H399" s="165"/>
      <c r="I399" s="191"/>
      <c r="J399" s="191"/>
      <c r="K399" s="191"/>
      <c r="L399" s="165"/>
      <c r="M399" s="165"/>
      <c r="N399" s="165"/>
      <c r="O399" s="165"/>
      <c r="P399" s="165"/>
      <c r="Q399" s="191"/>
      <c r="R399" s="191"/>
      <c r="S399" s="191"/>
    </row>
    <row r="400" spans="5:19" x14ac:dyDescent="0.3">
      <c r="E400" s="165"/>
      <c r="F400" s="165"/>
      <c r="G400" s="165"/>
      <c r="H400" s="165"/>
      <c r="I400" s="191"/>
      <c r="J400" s="191"/>
      <c r="K400" s="191"/>
      <c r="L400" s="165"/>
      <c r="M400" s="165"/>
      <c r="N400" s="165"/>
      <c r="O400" s="165"/>
      <c r="P400" s="165"/>
      <c r="Q400" s="191"/>
      <c r="R400" s="191"/>
      <c r="S400" s="191"/>
    </row>
    <row r="401" spans="5:19" x14ac:dyDescent="0.3">
      <c r="E401" s="165"/>
      <c r="F401" s="165"/>
      <c r="G401" s="165"/>
      <c r="H401" s="165"/>
      <c r="I401" s="191"/>
      <c r="J401" s="191"/>
      <c r="K401" s="191"/>
      <c r="L401" s="165"/>
      <c r="M401" s="165"/>
      <c r="N401" s="165"/>
      <c r="O401" s="165"/>
      <c r="P401" s="165"/>
      <c r="Q401" s="191"/>
      <c r="R401" s="191"/>
      <c r="S401" s="191"/>
    </row>
    <row r="402" spans="5:19" x14ac:dyDescent="0.3">
      <c r="E402" s="165"/>
      <c r="F402" s="165"/>
      <c r="G402" s="165"/>
      <c r="H402" s="165"/>
      <c r="I402" s="191"/>
      <c r="J402" s="191"/>
      <c r="K402" s="191"/>
      <c r="L402" s="165"/>
      <c r="M402" s="165"/>
      <c r="N402" s="165"/>
      <c r="O402" s="165"/>
      <c r="P402" s="165"/>
      <c r="Q402" s="191"/>
      <c r="R402" s="191"/>
      <c r="S402" s="191"/>
    </row>
    <row r="403" spans="5:19" x14ac:dyDescent="0.3">
      <c r="E403" s="165"/>
      <c r="F403" s="165"/>
      <c r="G403" s="165"/>
      <c r="H403" s="165"/>
      <c r="I403" s="191"/>
      <c r="J403" s="191"/>
      <c r="K403" s="191"/>
      <c r="L403" s="165"/>
      <c r="M403" s="165"/>
      <c r="N403" s="165"/>
      <c r="O403" s="165"/>
      <c r="P403" s="165"/>
      <c r="Q403" s="191"/>
      <c r="R403" s="191"/>
      <c r="S403" s="191"/>
    </row>
    <row r="404" spans="5:19" x14ac:dyDescent="0.3">
      <c r="E404" s="165"/>
      <c r="F404" s="165"/>
      <c r="G404" s="165"/>
      <c r="H404" s="165"/>
      <c r="I404" s="191"/>
      <c r="J404" s="191"/>
      <c r="K404" s="191"/>
      <c r="L404" s="165"/>
      <c r="M404" s="165"/>
      <c r="N404" s="165"/>
      <c r="O404" s="165"/>
      <c r="P404" s="165"/>
      <c r="Q404" s="191"/>
      <c r="R404" s="191"/>
      <c r="S404" s="191"/>
    </row>
    <row r="405" spans="5:19" x14ac:dyDescent="0.3">
      <c r="E405" s="165"/>
      <c r="F405" s="165"/>
      <c r="G405" s="165"/>
      <c r="H405" s="165"/>
      <c r="I405" s="191"/>
      <c r="J405" s="191"/>
      <c r="K405" s="191"/>
      <c r="L405" s="165"/>
      <c r="M405" s="165"/>
      <c r="N405" s="165"/>
      <c r="O405" s="165"/>
      <c r="P405" s="165"/>
      <c r="Q405" s="191"/>
      <c r="R405" s="191"/>
      <c r="S405" s="191"/>
    </row>
    <row r="406" spans="5:19" x14ac:dyDescent="0.3">
      <c r="E406" s="165"/>
      <c r="F406" s="165"/>
      <c r="G406" s="165"/>
      <c r="H406" s="165"/>
      <c r="I406" s="191"/>
      <c r="J406" s="191"/>
      <c r="K406" s="191"/>
      <c r="L406" s="165"/>
      <c r="M406" s="165"/>
      <c r="N406" s="165"/>
      <c r="O406" s="165"/>
      <c r="P406" s="165"/>
      <c r="Q406" s="191"/>
      <c r="R406" s="191"/>
      <c r="S406" s="191"/>
    </row>
    <row r="407" spans="5:19" x14ac:dyDescent="0.3">
      <c r="E407" s="165"/>
      <c r="F407" s="165"/>
      <c r="G407" s="165"/>
      <c r="H407" s="165"/>
      <c r="I407" s="191"/>
      <c r="J407" s="191"/>
      <c r="K407" s="191"/>
      <c r="L407" s="165"/>
      <c r="M407" s="165"/>
      <c r="N407" s="165"/>
      <c r="O407" s="165"/>
      <c r="P407" s="165"/>
      <c r="Q407" s="191"/>
      <c r="R407" s="191"/>
      <c r="S407" s="191"/>
    </row>
    <row r="408" spans="5:19" x14ac:dyDescent="0.3">
      <c r="E408" s="165"/>
      <c r="F408" s="165"/>
      <c r="G408" s="165"/>
      <c r="H408" s="165"/>
      <c r="I408" s="191"/>
      <c r="J408" s="191"/>
      <c r="K408" s="191"/>
      <c r="L408" s="165"/>
      <c r="M408" s="165"/>
      <c r="N408" s="165"/>
      <c r="O408" s="165"/>
      <c r="P408" s="165"/>
      <c r="Q408" s="191"/>
      <c r="R408" s="191"/>
      <c r="S408" s="191"/>
    </row>
    <row r="409" spans="5:19" x14ac:dyDescent="0.3">
      <c r="E409" s="165"/>
      <c r="F409" s="165"/>
      <c r="G409" s="165"/>
      <c r="H409" s="165"/>
      <c r="I409" s="191"/>
      <c r="J409" s="191"/>
      <c r="K409" s="191"/>
      <c r="L409" s="165"/>
      <c r="M409" s="165"/>
      <c r="N409" s="165"/>
      <c r="O409" s="165"/>
      <c r="P409" s="165"/>
      <c r="Q409" s="191"/>
      <c r="R409" s="191"/>
      <c r="S409" s="191"/>
    </row>
    <row r="410" spans="5:19" x14ac:dyDescent="0.3">
      <c r="E410" s="165"/>
      <c r="F410" s="165"/>
      <c r="G410" s="165"/>
      <c r="H410" s="165"/>
      <c r="I410" s="191"/>
      <c r="J410" s="191"/>
      <c r="K410" s="191"/>
      <c r="L410" s="165"/>
      <c r="M410" s="165"/>
      <c r="N410" s="165"/>
      <c r="O410" s="165"/>
      <c r="P410" s="165"/>
      <c r="Q410" s="191"/>
      <c r="R410" s="191"/>
      <c r="S410" s="191"/>
    </row>
    <row r="411" spans="5:19" x14ac:dyDescent="0.3">
      <c r="E411" s="165"/>
      <c r="F411" s="165"/>
      <c r="G411" s="165"/>
      <c r="H411" s="165"/>
      <c r="I411" s="191"/>
      <c r="J411" s="191"/>
      <c r="K411" s="191"/>
      <c r="L411" s="165"/>
      <c r="M411" s="165"/>
      <c r="N411" s="165"/>
      <c r="O411" s="165"/>
      <c r="P411" s="165"/>
      <c r="Q411" s="191"/>
      <c r="R411" s="191"/>
      <c r="S411" s="191"/>
    </row>
    <row r="412" spans="5:19" x14ac:dyDescent="0.3">
      <c r="E412" s="165"/>
      <c r="F412" s="165"/>
      <c r="G412" s="165"/>
      <c r="H412" s="165"/>
      <c r="I412" s="191"/>
      <c r="J412" s="191"/>
      <c r="K412" s="191"/>
      <c r="L412" s="165"/>
      <c r="M412" s="165"/>
      <c r="N412" s="165"/>
      <c r="O412" s="165"/>
      <c r="P412" s="165"/>
      <c r="Q412" s="191"/>
      <c r="R412" s="191"/>
      <c r="S412" s="191"/>
    </row>
    <row r="413" spans="5:19" x14ac:dyDescent="0.3">
      <c r="E413" s="165"/>
      <c r="F413" s="165"/>
      <c r="G413" s="165"/>
      <c r="H413" s="165"/>
      <c r="I413" s="191"/>
      <c r="J413" s="191"/>
      <c r="K413" s="191"/>
      <c r="L413" s="165"/>
      <c r="M413" s="165"/>
      <c r="N413" s="165"/>
      <c r="O413" s="165"/>
      <c r="P413" s="165"/>
      <c r="Q413" s="191"/>
      <c r="R413" s="191"/>
      <c r="S413" s="191"/>
    </row>
    <row r="414" spans="5:19" x14ac:dyDescent="0.3">
      <c r="E414" s="165"/>
      <c r="F414" s="165"/>
      <c r="G414" s="165"/>
      <c r="H414" s="165"/>
      <c r="I414" s="191"/>
      <c r="J414" s="191"/>
      <c r="K414" s="191"/>
      <c r="L414" s="165"/>
      <c r="M414" s="165"/>
      <c r="N414" s="165"/>
      <c r="O414" s="165"/>
      <c r="P414" s="165"/>
      <c r="Q414" s="191"/>
      <c r="R414" s="191"/>
      <c r="S414" s="191"/>
    </row>
    <row r="415" spans="5:19" x14ac:dyDescent="0.3">
      <c r="E415" s="165"/>
      <c r="F415" s="165"/>
      <c r="G415" s="165"/>
      <c r="H415" s="165"/>
      <c r="I415" s="191"/>
      <c r="J415" s="191"/>
      <c r="K415" s="191"/>
      <c r="L415" s="165"/>
      <c r="M415" s="165"/>
      <c r="N415" s="165"/>
      <c r="O415" s="165"/>
      <c r="P415" s="165"/>
      <c r="Q415" s="191"/>
      <c r="R415" s="191"/>
      <c r="S415" s="191"/>
    </row>
    <row r="416" spans="5:19" x14ac:dyDescent="0.3">
      <c r="E416" s="165"/>
      <c r="F416" s="165"/>
      <c r="G416" s="165"/>
      <c r="H416" s="165"/>
      <c r="I416" s="191"/>
      <c r="J416" s="191"/>
      <c r="K416" s="191"/>
      <c r="L416" s="165"/>
      <c r="M416" s="165"/>
      <c r="N416" s="165"/>
      <c r="O416" s="165"/>
      <c r="P416" s="165"/>
      <c r="Q416" s="191"/>
      <c r="R416" s="191"/>
      <c r="S416" s="191"/>
    </row>
    <row r="417" spans="5:19" x14ac:dyDescent="0.3">
      <c r="E417" s="165"/>
      <c r="F417" s="165"/>
      <c r="G417" s="165"/>
      <c r="H417" s="165"/>
      <c r="I417" s="191"/>
      <c r="J417" s="191"/>
      <c r="K417" s="191"/>
      <c r="L417" s="165"/>
      <c r="M417" s="165"/>
      <c r="N417" s="165"/>
      <c r="O417" s="165"/>
      <c r="P417" s="165"/>
      <c r="Q417" s="191"/>
      <c r="R417" s="191"/>
      <c r="S417" s="191"/>
    </row>
    <row r="418" spans="5:19" x14ac:dyDescent="0.3">
      <c r="E418" s="165"/>
      <c r="F418" s="165"/>
      <c r="G418" s="165"/>
      <c r="H418" s="165"/>
      <c r="I418" s="191"/>
      <c r="J418" s="191"/>
      <c r="K418" s="191"/>
      <c r="L418" s="165"/>
      <c r="M418" s="165"/>
      <c r="N418" s="165"/>
      <c r="O418" s="165"/>
      <c r="P418" s="165"/>
      <c r="Q418" s="191"/>
      <c r="R418" s="191"/>
      <c r="S418" s="191"/>
    </row>
    <row r="419" spans="5:19" x14ac:dyDescent="0.3">
      <c r="E419" s="165"/>
      <c r="F419" s="165"/>
      <c r="G419" s="165"/>
      <c r="H419" s="165"/>
      <c r="I419" s="191"/>
      <c r="J419" s="191"/>
      <c r="K419" s="191"/>
      <c r="L419" s="165"/>
      <c r="M419" s="165"/>
      <c r="N419" s="165"/>
      <c r="O419" s="165"/>
      <c r="P419" s="165"/>
      <c r="Q419" s="191"/>
      <c r="R419" s="191"/>
      <c r="S419" s="191"/>
    </row>
    <row r="420" spans="5:19" x14ac:dyDescent="0.3">
      <c r="E420" s="165"/>
      <c r="F420" s="165"/>
      <c r="G420" s="165"/>
      <c r="H420" s="165"/>
      <c r="I420" s="191"/>
      <c r="J420" s="191"/>
      <c r="K420" s="191"/>
      <c r="L420" s="165"/>
      <c r="M420" s="165"/>
      <c r="N420" s="165"/>
      <c r="O420" s="165"/>
      <c r="P420" s="165"/>
      <c r="Q420" s="191"/>
      <c r="R420" s="191"/>
      <c r="S420" s="191"/>
    </row>
    <row r="421" spans="5:19" x14ac:dyDescent="0.3">
      <c r="E421" s="165"/>
      <c r="F421" s="165"/>
      <c r="G421" s="165"/>
      <c r="H421" s="165"/>
      <c r="I421" s="191"/>
      <c r="J421" s="191"/>
      <c r="K421" s="191"/>
      <c r="L421" s="165"/>
      <c r="M421" s="165"/>
      <c r="N421" s="165"/>
      <c r="O421" s="165"/>
      <c r="P421" s="165"/>
      <c r="Q421" s="191"/>
      <c r="R421" s="191"/>
      <c r="S421" s="191"/>
    </row>
  </sheetData>
  <autoFilter ref="A6:K61" xr:uid="{00000000-0009-0000-0000-00000F000000}"/>
  <mergeCells count="7">
    <mergeCell ref="N4:P4"/>
    <mergeCell ref="Q4:S4"/>
    <mergeCell ref="T137:T138"/>
    <mergeCell ref="E5:G5"/>
    <mergeCell ref="I5:K5"/>
    <mergeCell ref="N5:P5"/>
    <mergeCell ref="Q5:S5"/>
  </mergeCells>
  <phoneticPr fontId="9" type="noConversion"/>
  <pageMargins left="0.25" right="0.25" top="0.75" bottom="0.75" header="0.3" footer="0.3"/>
  <pageSetup paperSize="9" scale="77" fitToHeight="0" orientation="portrait" r:id="rId1"/>
  <headerFooter alignWithMargins="0"/>
  <rowBreaks count="1" manualBreakCount="1">
    <brk id="44" min="2" max="10"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L563"/>
  <sheetViews>
    <sheetView zoomScaleNormal="100" workbookViewId="0">
      <pane xSplit="4" ySplit="5" topLeftCell="E227" activePane="bottomRight" state="frozen"/>
      <selection activeCell="B2" sqref="B2:G2"/>
      <selection pane="topRight" activeCell="B2" sqref="B2:G2"/>
      <selection pane="bottomLeft" activeCell="B2" sqref="B2:G2"/>
      <selection pane="bottomRight" activeCell="H5" sqref="H5"/>
    </sheetView>
  </sheetViews>
  <sheetFormatPr defaultRowHeight="13.8" x14ac:dyDescent="0.3"/>
  <cols>
    <col min="1" max="1" width="9.109375" style="39"/>
    <col min="3" max="3" width="35.33203125" style="39" customWidth="1"/>
    <col min="4" max="4" width="6.6640625" customWidth="1"/>
    <col min="5" max="5" width="9.33203125" style="242" customWidth="1"/>
    <col min="6" max="6" width="16.109375" style="4" customWidth="1"/>
    <col min="7" max="7" width="14.109375" style="4" customWidth="1"/>
    <col min="8" max="8" width="11.88671875" style="21" customWidth="1"/>
    <col min="10" max="11" width="14" style="7" bestFit="1" customWidth="1"/>
    <col min="12" max="12" width="15.109375" customWidth="1"/>
  </cols>
  <sheetData>
    <row r="1" spans="1:12" x14ac:dyDescent="0.3">
      <c r="C1" s="38" t="str">
        <f>+'Standing Data'!D4</f>
        <v>NAME OF COUNCIL</v>
      </c>
      <c r="D1" s="6"/>
    </row>
    <row r="2" spans="1:12" x14ac:dyDescent="0.3">
      <c r="C2" s="38" t="s">
        <v>708</v>
      </c>
      <c r="D2" s="6"/>
    </row>
    <row r="3" spans="1:12" x14ac:dyDescent="0.3">
      <c r="C3" s="38" t="str">
        <f>+'Standing Data'!D20</f>
        <v>Balance Sheet as at 31 March 2026</v>
      </c>
      <c r="D3" s="6"/>
    </row>
    <row r="5" spans="1:12" ht="41.4" x14ac:dyDescent="0.3">
      <c r="A5" s="39" t="s">
        <v>448</v>
      </c>
      <c r="C5" s="38" t="s">
        <v>716</v>
      </c>
      <c r="D5" s="1260" t="s">
        <v>2988</v>
      </c>
      <c r="E5" s="5" t="s">
        <v>444</v>
      </c>
      <c r="F5" s="95">
        <f>+'Standing Data'!D44</f>
        <v>46112</v>
      </c>
      <c r="G5" s="95">
        <f>'Standing Data'!D72</f>
        <v>45747</v>
      </c>
      <c r="H5" s="95">
        <f>'Standing Data'!D76</f>
        <v>45382</v>
      </c>
      <c r="I5" s="101"/>
      <c r="J5" s="95">
        <f>+'Standing Data'!D44</f>
        <v>46112</v>
      </c>
      <c r="K5" s="95">
        <f>'Standing Data'!D72</f>
        <v>45747</v>
      </c>
      <c r="L5" s="95">
        <f>'Standing Data'!D76</f>
        <v>45382</v>
      </c>
    </row>
    <row r="6" spans="1:12" ht="14.4" x14ac:dyDescent="0.3">
      <c r="A6" s="39" t="s">
        <v>448</v>
      </c>
      <c r="C6" s="45" t="s">
        <v>672</v>
      </c>
      <c r="D6" s="14"/>
      <c r="E6" s="5"/>
      <c r="F6" s="22"/>
      <c r="G6" s="22"/>
      <c r="H6" s="24"/>
      <c r="J6" s="22"/>
      <c r="K6" s="22"/>
    </row>
    <row r="7" spans="1:12" ht="27.6" x14ac:dyDescent="0.3">
      <c r="A7" s="250" t="str">
        <f>IF(AND(F7=0,G7=0),"Do Not Print","Print")</f>
        <v>Do Not Print</v>
      </c>
      <c r="B7" s="249" t="s">
        <v>890</v>
      </c>
      <c r="C7" s="250" t="s">
        <v>673</v>
      </c>
      <c r="D7" s="249"/>
      <c r="E7" s="251" t="s">
        <v>709</v>
      </c>
      <c r="F7" s="255">
        <f t="shared" ref="F7:F20" si="0">VLOOKUP($C7,LASS,5,0)</f>
        <v>0</v>
      </c>
      <c r="G7" s="257">
        <f t="shared" ref="G7:G20" si="1">VLOOKUP($C7,LASS,11,0)</f>
        <v>0</v>
      </c>
      <c r="H7" s="198"/>
      <c r="I7" s="165"/>
      <c r="J7" s="165">
        <f t="shared" ref="J7:K11" si="2">ROUND(F7,0)</f>
        <v>0</v>
      </c>
      <c r="K7" s="165">
        <f t="shared" si="2"/>
        <v>0</v>
      </c>
      <c r="L7" s="165"/>
    </row>
    <row r="8" spans="1:12" ht="27.6" x14ac:dyDescent="0.3">
      <c r="A8" s="250" t="str">
        <f t="shared" ref="A8:A75" si="3">IF(AND(F8=0,G8=0),"Do Not Print","Print")</f>
        <v>Do Not Print</v>
      </c>
      <c r="B8" s="249" t="s">
        <v>890</v>
      </c>
      <c r="C8" s="250" t="s">
        <v>101</v>
      </c>
      <c r="D8" s="249"/>
      <c r="E8" s="251" t="s">
        <v>709</v>
      </c>
      <c r="F8" s="255">
        <f t="shared" si="0"/>
        <v>0</v>
      </c>
      <c r="G8" s="257">
        <f t="shared" si="1"/>
        <v>0</v>
      </c>
      <c r="H8" s="198"/>
      <c r="I8" s="165"/>
      <c r="J8" s="165">
        <f t="shared" si="2"/>
        <v>0</v>
      </c>
      <c r="K8" s="165">
        <f t="shared" si="2"/>
        <v>0</v>
      </c>
      <c r="L8" s="165"/>
    </row>
    <row r="9" spans="1:12" ht="27.6" x14ac:dyDescent="0.3">
      <c r="A9" s="250" t="str">
        <f t="shared" si="3"/>
        <v>Do Not Print</v>
      </c>
      <c r="B9" s="249" t="s">
        <v>890</v>
      </c>
      <c r="C9" s="250" t="s">
        <v>972</v>
      </c>
      <c r="D9" s="249"/>
      <c r="E9" s="251" t="s">
        <v>709</v>
      </c>
      <c r="F9" s="255">
        <f t="shared" si="0"/>
        <v>0</v>
      </c>
      <c r="G9" s="257">
        <f t="shared" si="1"/>
        <v>0</v>
      </c>
      <c r="H9" s="198"/>
      <c r="I9" s="165"/>
      <c r="J9" s="165">
        <f t="shared" si="2"/>
        <v>0</v>
      </c>
      <c r="K9" s="165">
        <f t="shared" si="2"/>
        <v>0</v>
      </c>
      <c r="L9" s="165"/>
    </row>
    <row r="10" spans="1:12" ht="27.6" x14ac:dyDescent="0.3">
      <c r="A10" s="250" t="str">
        <f t="shared" si="3"/>
        <v>Do Not Print</v>
      </c>
      <c r="B10" s="249" t="s">
        <v>890</v>
      </c>
      <c r="C10" s="250" t="s">
        <v>974</v>
      </c>
      <c r="D10" s="249"/>
      <c r="E10" s="251" t="s">
        <v>709</v>
      </c>
      <c r="F10" s="255">
        <f t="shared" si="0"/>
        <v>0</v>
      </c>
      <c r="G10" s="257">
        <f t="shared" si="1"/>
        <v>0</v>
      </c>
      <c r="H10" s="198"/>
      <c r="I10" s="165"/>
      <c r="J10" s="165">
        <f t="shared" si="2"/>
        <v>0</v>
      </c>
      <c r="K10" s="165">
        <f t="shared" si="2"/>
        <v>0</v>
      </c>
      <c r="L10" s="165"/>
    </row>
    <row r="11" spans="1:12" ht="27.6" x14ac:dyDescent="0.3">
      <c r="A11" s="250" t="str">
        <f t="shared" si="3"/>
        <v>Do Not Print</v>
      </c>
      <c r="B11" s="249" t="s">
        <v>890</v>
      </c>
      <c r="C11" s="250" t="s">
        <v>975</v>
      </c>
      <c r="D11" s="249"/>
      <c r="E11" s="251" t="s">
        <v>709</v>
      </c>
      <c r="F11" s="255">
        <f t="shared" si="0"/>
        <v>0</v>
      </c>
      <c r="G11" s="257">
        <f t="shared" si="1"/>
        <v>0</v>
      </c>
      <c r="H11" s="198"/>
      <c r="I11" s="165"/>
      <c r="J11" s="165">
        <f t="shared" si="2"/>
        <v>0</v>
      </c>
      <c r="K11" s="165">
        <f t="shared" si="2"/>
        <v>0</v>
      </c>
      <c r="L11" s="165"/>
    </row>
    <row r="12" spans="1:12" ht="41.4" x14ac:dyDescent="0.3">
      <c r="A12" s="250" t="str">
        <f t="shared" si="3"/>
        <v>Do Not Print</v>
      </c>
      <c r="B12" s="249" t="s">
        <v>890</v>
      </c>
      <c r="C12" s="250" t="s">
        <v>976</v>
      </c>
      <c r="D12" s="249"/>
      <c r="E12" s="251" t="s">
        <v>709</v>
      </c>
      <c r="F12" s="255">
        <f t="shared" si="0"/>
        <v>0</v>
      </c>
      <c r="G12" s="257">
        <f t="shared" si="1"/>
        <v>0</v>
      </c>
      <c r="H12" s="198"/>
      <c r="I12" s="165"/>
      <c r="J12" s="165">
        <f t="shared" ref="J12:J29" si="4">ROUND(F12,0)</f>
        <v>0</v>
      </c>
      <c r="K12" s="165">
        <f t="shared" ref="K12:K35" si="5">ROUND(G12,0)</f>
        <v>0</v>
      </c>
      <c r="L12" s="165"/>
    </row>
    <row r="13" spans="1:12" ht="27.6" x14ac:dyDescent="0.3">
      <c r="A13" s="250" t="str">
        <f t="shared" si="3"/>
        <v>Do Not Print</v>
      </c>
      <c r="B13" s="249" t="s">
        <v>890</v>
      </c>
      <c r="C13" s="250" t="s">
        <v>674</v>
      </c>
      <c r="D13" s="249"/>
      <c r="E13" s="251" t="s">
        <v>709</v>
      </c>
      <c r="F13" s="255">
        <f t="shared" si="0"/>
        <v>0</v>
      </c>
      <c r="G13" s="257">
        <f t="shared" si="1"/>
        <v>0</v>
      </c>
      <c r="H13" s="198"/>
      <c r="I13" s="165"/>
      <c r="J13" s="165">
        <f t="shared" si="4"/>
        <v>0</v>
      </c>
      <c r="K13" s="165">
        <f t="shared" si="5"/>
        <v>0</v>
      </c>
      <c r="L13" s="165"/>
    </row>
    <row r="14" spans="1:12" ht="27.6" x14ac:dyDescent="0.3">
      <c r="A14" s="250" t="str">
        <f t="shared" si="3"/>
        <v>Do Not Print</v>
      </c>
      <c r="B14" s="249" t="s">
        <v>890</v>
      </c>
      <c r="C14" s="252" t="s">
        <v>978</v>
      </c>
      <c r="D14" s="249"/>
      <c r="E14" s="251" t="s">
        <v>709</v>
      </c>
      <c r="F14" s="255">
        <f t="shared" si="0"/>
        <v>0</v>
      </c>
      <c r="G14" s="257">
        <f t="shared" si="1"/>
        <v>0</v>
      </c>
      <c r="H14" s="198"/>
      <c r="I14" s="165"/>
      <c r="J14" s="165">
        <f t="shared" si="4"/>
        <v>0</v>
      </c>
      <c r="K14" s="165">
        <f t="shared" si="5"/>
        <v>0</v>
      </c>
      <c r="L14" s="165"/>
    </row>
    <row r="15" spans="1:12" ht="27.6" x14ac:dyDescent="0.3">
      <c r="A15" s="250" t="str">
        <f t="shared" si="3"/>
        <v>Do Not Print</v>
      </c>
      <c r="B15" s="249" t="s">
        <v>890</v>
      </c>
      <c r="C15" s="252" t="s">
        <v>984</v>
      </c>
      <c r="D15" s="249"/>
      <c r="E15" s="251" t="s">
        <v>709</v>
      </c>
      <c r="F15" s="255">
        <f t="shared" si="0"/>
        <v>0</v>
      </c>
      <c r="G15" s="257">
        <f t="shared" si="1"/>
        <v>0</v>
      </c>
      <c r="H15" s="198"/>
      <c r="I15" s="165"/>
      <c r="J15" s="165">
        <f t="shared" si="4"/>
        <v>0</v>
      </c>
      <c r="K15" s="165">
        <f t="shared" si="5"/>
        <v>0</v>
      </c>
      <c r="L15" s="165"/>
    </row>
    <row r="16" spans="1:12" ht="27.6" x14ac:dyDescent="0.3">
      <c r="A16" s="250" t="str">
        <f t="shared" si="3"/>
        <v>Do Not Print</v>
      </c>
      <c r="B16" s="249" t="s">
        <v>890</v>
      </c>
      <c r="C16" s="252" t="s">
        <v>987</v>
      </c>
      <c r="D16" s="249"/>
      <c r="E16" s="251" t="s">
        <v>709</v>
      </c>
      <c r="F16" s="255">
        <f t="shared" si="0"/>
        <v>0</v>
      </c>
      <c r="G16" s="257">
        <f t="shared" si="1"/>
        <v>0</v>
      </c>
      <c r="H16" s="198"/>
      <c r="I16" s="165"/>
      <c r="J16" s="165">
        <f t="shared" si="4"/>
        <v>0</v>
      </c>
      <c r="K16" s="165">
        <f t="shared" si="5"/>
        <v>0</v>
      </c>
      <c r="L16" s="165"/>
    </row>
    <row r="17" spans="1:12" ht="27.6" x14ac:dyDescent="0.3">
      <c r="A17" s="250" t="str">
        <f t="shared" si="3"/>
        <v>Do Not Print</v>
      </c>
      <c r="B17" s="249" t="s">
        <v>890</v>
      </c>
      <c r="C17" s="252" t="s">
        <v>994</v>
      </c>
      <c r="D17" s="249"/>
      <c r="E17" s="251" t="s">
        <v>709</v>
      </c>
      <c r="F17" s="255">
        <f t="shared" si="0"/>
        <v>0</v>
      </c>
      <c r="G17" s="257">
        <f t="shared" si="1"/>
        <v>0</v>
      </c>
      <c r="H17" s="198"/>
      <c r="I17" s="165"/>
      <c r="J17" s="165">
        <f t="shared" si="4"/>
        <v>0</v>
      </c>
      <c r="K17" s="165">
        <f t="shared" si="5"/>
        <v>0</v>
      </c>
      <c r="L17" s="165"/>
    </row>
    <row r="18" spans="1:12" ht="27.6" x14ac:dyDescent="0.3">
      <c r="A18" s="250" t="str">
        <f t="shared" si="3"/>
        <v>Do Not Print</v>
      </c>
      <c r="B18" s="249" t="s">
        <v>890</v>
      </c>
      <c r="C18" s="250" t="s">
        <v>676</v>
      </c>
      <c r="D18" s="249"/>
      <c r="E18" s="251" t="s">
        <v>709</v>
      </c>
      <c r="F18" s="255">
        <f t="shared" si="0"/>
        <v>0</v>
      </c>
      <c r="G18" s="257">
        <f t="shared" si="1"/>
        <v>0</v>
      </c>
      <c r="H18" s="198"/>
      <c r="I18" s="165"/>
      <c r="J18" s="165">
        <f t="shared" si="4"/>
        <v>0</v>
      </c>
      <c r="K18" s="165">
        <f t="shared" si="5"/>
        <v>0</v>
      </c>
      <c r="L18" s="165"/>
    </row>
    <row r="19" spans="1:12" ht="27.6" x14ac:dyDescent="0.3">
      <c r="A19" s="250" t="str">
        <f t="shared" si="3"/>
        <v>Do Not Print</v>
      </c>
      <c r="B19" s="249" t="s">
        <v>890</v>
      </c>
      <c r="C19" s="250" t="s">
        <v>101</v>
      </c>
      <c r="D19" s="249"/>
      <c r="E19" s="251" t="s">
        <v>709</v>
      </c>
      <c r="F19" s="255">
        <f t="shared" si="0"/>
        <v>0</v>
      </c>
      <c r="G19" s="257">
        <f t="shared" si="1"/>
        <v>0</v>
      </c>
      <c r="H19" s="198"/>
      <c r="I19" s="165"/>
      <c r="J19" s="165">
        <f t="shared" si="4"/>
        <v>0</v>
      </c>
      <c r="K19" s="165">
        <f t="shared" si="5"/>
        <v>0</v>
      </c>
      <c r="L19" s="165"/>
    </row>
    <row r="20" spans="1:12" ht="27.6" x14ac:dyDescent="0.3">
      <c r="A20" s="250" t="str">
        <f t="shared" si="3"/>
        <v>Do Not Print</v>
      </c>
      <c r="B20" s="249" t="s">
        <v>890</v>
      </c>
      <c r="C20" s="250" t="s">
        <v>675</v>
      </c>
      <c r="D20" s="249"/>
      <c r="E20" s="251" t="s">
        <v>709</v>
      </c>
      <c r="F20" s="255">
        <f t="shared" si="0"/>
        <v>0</v>
      </c>
      <c r="G20" s="257">
        <f t="shared" si="1"/>
        <v>0</v>
      </c>
      <c r="H20" s="198"/>
      <c r="I20" s="165"/>
      <c r="J20" s="165">
        <f t="shared" si="4"/>
        <v>0</v>
      </c>
      <c r="K20" s="165">
        <f t="shared" si="5"/>
        <v>0</v>
      </c>
      <c r="L20" s="165"/>
    </row>
    <row r="21" spans="1:12" ht="27.6" x14ac:dyDescent="0.3">
      <c r="A21" s="250" t="str">
        <f t="shared" si="3"/>
        <v>Do Not Print</v>
      </c>
      <c r="B21" s="249" t="s">
        <v>890</v>
      </c>
      <c r="C21" s="252" t="s">
        <v>677</v>
      </c>
      <c r="D21" s="249"/>
      <c r="E21" s="251" t="s">
        <v>709</v>
      </c>
      <c r="F21" s="255">
        <f t="shared" ref="F21:F26" si="6">-VLOOKUP($C21,LASS,5,0)</f>
        <v>0</v>
      </c>
      <c r="G21" s="257">
        <f t="shared" ref="G21:G26" si="7">-VLOOKUP($C21,LASS,11,0)</f>
        <v>0</v>
      </c>
      <c r="H21" s="198"/>
      <c r="I21" s="165"/>
      <c r="J21" s="165">
        <f t="shared" si="4"/>
        <v>0</v>
      </c>
      <c r="K21" s="165">
        <f t="shared" si="5"/>
        <v>0</v>
      </c>
      <c r="L21" s="165"/>
    </row>
    <row r="22" spans="1:12" ht="41.4" x14ac:dyDescent="0.3">
      <c r="A22" s="250" t="str">
        <f t="shared" si="3"/>
        <v>Do Not Print</v>
      </c>
      <c r="B22" s="249" t="s">
        <v>890</v>
      </c>
      <c r="C22" s="250" t="s">
        <v>111</v>
      </c>
      <c r="D22" s="249"/>
      <c r="E22" s="251" t="s">
        <v>709</v>
      </c>
      <c r="F22" s="255">
        <f t="shared" si="6"/>
        <v>0</v>
      </c>
      <c r="G22" s="257">
        <f t="shared" si="7"/>
        <v>0</v>
      </c>
      <c r="H22" s="198"/>
      <c r="I22" s="165"/>
      <c r="J22" s="165">
        <f t="shared" si="4"/>
        <v>0</v>
      </c>
      <c r="K22" s="165">
        <f>ROUND(G22,0)</f>
        <v>0</v>
      </c>
      <c r="L22" s="165"/>
    </row>
    <row r="23" spans="1:12" ht="27.6" x14ac:dyDescent="0.3">
      <c r="A23" s="250" t="str">
        <f t="shared" si="3"/>
        <v>Do Not Print</v>
      </c>
      <c r="B23" s="249" t="s">
        <v>890</v>
      </c>
      <c r="C23" s="250" t="s">
        <v>678</v>
      </c>
      <c r="D23" s="249"/>
      <c r="E23" s="251" t="s">
        <v>709</v>
      </c>
      <c r="F23" s="255">
        <f t="shared" si="6"/>
        <v>0</v>
      </c>
      <c r="G23" s="257">
        <f t="shared" si="7"/>
        <v>0</v>
      </c>
      <c r="H23" s="198"/>
      <c r="I23" s="165"/>
      <c r="J23" s="165">
        <f t="shared" si="4"/>
        <v>0</v>
      </c>
      <c r="K23" s="165">
        <f t="shared" si="5"/>
        <v>0</v>
      </c>
      <c r="L23" s="165"/>
    </row>
    <row r="24" spans="1:12" ht="27.6" x14ac:dyDescent="0.3">
      <c r="A24" s="250" t="str">
        <f t="shared" si="3"/>
        <v>Do Not Print</v>
      </c>
      <c r="B24" s="249" t="s">
        <v>890</v>
      </c>
      <c r="C24" s="252" t="s">
        <v>983</v>
      </c>
      <c r="D24" s="249"/>
      <c r="E24" s="251" t="s">
        <v>709</v>
      </c>
      <c r="F24" s="255">
        <f t="shared" si="6"/>
        <v>0</v>
      </c>
      <c r="G24" s="257">
        <f t="shared" si="7"/>
        <v>0</v>
      </c>
      <c r="H24" s="198"/>
      <c r="I24" s="165"/>
      <c r="J24" s="165">
        <f t="shared" si="4"/>
        <v>0</v>
      </c>
      <c r="K24" s="165">
        <f t="shared" si="5"/>
        <v>0</v>
      </c>
      <c r="L24" s="165"/>
    </row>
    <row r="25" spans="1:12" ht="27.6" x14ac:dyDescent="0.3">
      <c r="A25" s="250" t="str">
        <f t="shared" si="3"/>
        <v>Do Not Print</v>
      </c>
      <c r="B25" s="249" t="s">
        <v>890</v>
      </c>
      <c r="C25" s="252" t="s">
        <v>985</v>
      </c>
      <c r="D25" s="249"/>
      <c r="E25" s="251" t="s">
        <v>709</v>
      </c>
      <c r="F25" s="255">
        <f t="shared" si="6"/>
        <v>0</v>
      </c>
      <c r="G25" s="257">
        <f t="shared" si="7"/>
        <v>0</v>
      </c>
      <c r="H25" s="198"/>
      <c r="I25" s="165"/>
      <c r="J25" s="165">
        <f t="shared" si="4"/>
        <v>0</v>
      </c>
      <c r="K25" s="165">
        <f t="shared" si="5"/>
        <v>0</v>
      </c>
      <c r="L25" s="165"/>
    </row>
    <row r="26" spans="1:12" ht="27.6" x14ac:dyDescent="0.3">
      <c r="A26" s="250" t="str">
        <f t="shared" si="3"/>
        <v>Do Not Print</v>
      </c>
      <c r="B26" s="249" t="s">
        <v>890</v>
      </c>
      <c r="C26" s="250" t="s">
        <v>679</v>
      </c>
      <c r="D26" s="249"/>
      <c r="E26" s="251" t="s">
        <v>709</v>
      </c>
      <c r="F26" s="255">
        <f t="shared" si="6"/>
        <v>0</v>
      </c>
      <c r="G26" s="257">
        <f t="shared" si="7"/>
        <v>0</v>
      </c>
      <c r="H26" s="198"/>
      <c r="I26" s="165"/>
      <c r="J26" s="165">
        <f t="shared" si="4"/>
        <v>0</v>
      </c>
      <c r="K26" s="165">
        <f t="shared" si="5"/>
        <v>0</v>
      </c>
      <c r="L26" s="165"/>
    </row>
    <row r="27" spans="1:12" ht="27.6" x14ac:dyDescent="0.3">
      <c r="A27" s="250" t="str">
        <f t="shared" si="3"/>
        <v>Do Not Print</v>
      </c>
      <c r="B27" s="249" t="s">
        <v>890</v>
      </c>
      <c r="C27" s="250" t="s">
        <v>680</v>
      </c>
      <c r="D27" s="249"/>
      <c r="E27" s="251" t="s">
        <v>709</v>
      </c>
      <c r="F27" s="255">
        <f>VLOOKUP($C27,LASS,5,0)</f>
        <v>0</v>
      </c>
      <c r="G27" s="257">
        <f>VLOOKUP($C27,LASS,11,0)</f>
        <v>0</v>
      </c>
      <c r="H27" s="198"/>
      <c r="I27" s="165"/>
      <c r="J27" s="165">
        <f t="shared" si="4"/>
        <v>0</v>
      </c>
      <c r="K27" s="165">
        <f t="shared" si="5"/>
        <v>0</v>
      </c>
      <c r="L27" s="165"/>
    </row>
    <row r="28" spans="1:12" ht="27.6" x14ac:dyDescent="0.3">
      <c r="A28" s="250" t="str">
        <f t="shared" si="3"/>
        <v>Do Not Print</v>
      </c>
      <c r="B28" s="249" t="s">
        <v>890</v>
      </c>
      <c r="C28" s="252" t="s">
        <v>988</v>
      </c>
      <c r="D28" s="249"/>
      <c r="E28" s="251" t="s">
        <v>709</v>
      </c>
      <c r="F28" s="255">
        <f>VLOOKUP($C28,LASS,5,0)</f>
        <v>0</v>
      </c>
      <c r="G28" s="257">
        <f>VLOOKUP($C28,LASS,11,0)</f>
        <v>0</v>
      </c>
      <c r="H28" s="198"/>
      <c r="I28" s="165"/>
      <c r="J28" s="165">
        <f t="shared" si="4"/>
        <v>0</v>
      </c>
      <c r="K28" s="165">
        <f t="shared" si="5"/>
        <v>0</v>
      </c>
      <c r="L28" s="165"/>
    </row>
    <row r="29" spans="1:12" s="14" customFormat="1" ht="14.4" x14ac:dyDescent="0.3">
      <c r="A29" s="45" t="s">
        <v>448</v>
      </c>
      <c r="C29" s="45" t="s">
        <v>1630</v>
      </c>
      <c r="E29" s="258"/>
      <c r="F29" s="259">
        <f>SUM(F7:F17)-SUM(F18:F28)</f>
        <v>0</v>
      </c>
      <c r="G29" s="259">
        <f>SUM(G7:G17)-SUM(G18:G28)</f>
        <v>0</v>
      </c>
      <c r="H29" s="202"/>
      <c r="I29" s="197"/>
      <c r="J29" s="197">
        <f t="shared" si="4"/>
        <v>0</v>
      </c>
      <c r="K29" s="197">
        <f>ROUND(G29,0)</f>
        <v>0</v>
      </c>
      <c r="L29" s="197"/>
    </row>
    <row r="30" spans="1:12" x14ac:dyDescent="0.3">
      <c r="A30" s="39" t="s">
        <v>448</v>
      </c>
      <c r="C30" s="18"/>
      <c r="F30" s="165"/>
      <c r="G30" s="165"/>
      <c r="H30" s="198"/>
      <c r="I30" s="165"/>
      <c r="J30" s="165"/>
      <c r="K30" s="165"/>
      <c r="L30" s="165"/>
    </row>
    <row r="31" spans="1:12" ht="27.6" x14ac:dyDescent="0.3">
      <c r="A31" s="260" t="str">
        <f t="shared" si="3"/>
        <v>Do Not Print</v>
      </c>
      <c r="B31" s="248" t="s">
        <v>891</v>
      </c>
      <c r="C31" s="260" t="s">
        <v>682</v>
      </c>
      <c r="D31" s="248"/>
      <c r="E31" s="261" t="s">
        <v>709</v>
      </c>
      <c r="F31" s="254">
        <f t="shared" ref="F31:F36" si="8">VLOOKUP($C31,BASS,5,0)</f>
        <v>0</v>
      </c>
      <c r="G31" s="265">
        <f t="shared" ref="G31:G44" si="9">VLOOKUP($C31,BASS,11,0)</f>
        <v>0</v>
      </c>
      <c r="H31" s="198"/>
      <c r="I31" s="165"/>
      <c r="J31" s="165">
        <f t="shared" ref="J31:J53" si="10">ROUND(F31,0)</f>
        <v>0</v>
      </c>
      <c r="K31" s="165">
        <f t="shared" si="5"/>
        <v>0</v>
      </c>
      <c r="L31" s="165"/>
    </row>
    <row r="32" spans="1:12" ht="27.6" x14ac:dyDescent="0.3">
      <c r="A32" s="260" t="str">
        <f t="shared" si="3"/>
        <v>Do Not Print</v>
      </c>
      <c r="B32" s="248" t="s">
        <v>891</v>
      </c>
      <c r="C32" s="260" t="s">
        <v>101</v>
      </c>
      <c r="D32" s="248"/>
      <c r="E32" s="261" t="s">
        <v>709</v>
      </c>
      <c r="F32" s="254">
        <f t="shared" si="8"/>
        <v>0</v>
      </c>
      <c r="G32" s="265">
        <f t="shared" si="9"/>
        <v>0</v>
      </c>
      <c r="H32" s="198"/>
      <c r="I32" s="165"/>
      <c r="J32" s="165">
        <f t="shared" si="10"/>
        <v>0</v>
      </c>
      <c r="K32" s="165">
        <f t="shared" si="5"/>
        <v>0</v>
      </c>
      <c r="L32" s="165"/>
    </row>
    <row r="33" spans="1:12" ht="27.6" x14ac:dyDescent="0.3">
      <c r="A33" s="260" t="str">
        <f t="shared" si="3"/>
        <v>Do Not Print</v>
      </c>
      <c r="B33" s="248" t="s">
        <v>891</v>
      </c>
      <c r="C33" s="260" t="s">
        <v>989</v>
      </c>
      <c r="D33" s="248"/>
      <c r="E33" s="261" t="s">
        <v>709</v>
      </c>
      <c r="F33" s="254">
        <f t="shared" si="8"/>
        <v>0</v>
      </c>
      <c r="G33" s="265">
        <f t="shared" si="9"/>
        <v>0</v>
      </c>
      <c r="H33" s="198"/>
      <c r="I33" s="165"/>
      <c r="J33" s="165">
        <f t="shared" si="10"/>
        <v>0</v>
      </c>
      <c r="K33" s="165">
        <f t="shared" si="5"/>
        <v>0</v>
      </c>
      <c r="L33" s="165"/>
    </row>
    <row r="34" spans="1:12" ht="27.6" x14ac:dyDescent="0.3">
      <c r="A34" s="260" t="str">
        <f t="shared" si="3"/>
        <v>Do Not Print</v>
      </c>
      <c r="B34" s="248" t="s">
        <v>891</v>
      </c>
      <c r="C34" s="260" t="s">
        <v>990</v>
      </c>
      <c r="D34" s="248"/>
      <c r="E34" s="261" t="s">
        <v>709</v>
      </c>
      <c r="F34" s="254">
        <f t="shared" si="8"/>
        <v>0</v>
      </c>
      <c r="G34" s="265">
        <f t="shared" si="9"/>
        <v>0</v>
      </c>
      <c r="H34" s="198"/>
      <c r="I34" s="165"/>
      <c r="J34" s="165">
        <f t="shared" si="10"/>
        <v>0</v>
      </c>
      <c r="K34" s="165">
        <f t="shared" si="5"/>
        <v>0</v>
      </c>
      <c r="L34" s="165"/>
    </row>
    <row r="35" spans="1:12" ht="27.6" x14ac:dyDescent="0.3">
      <c r="A35" s="260" t="str">
        <f t="shared" si="3"/>
        <v>Do Not Print</v>
      </c>
      <c r="B35" s="248" t="s">
        <v>891</v>
      </c>
      <c r="C35" s="262" t="s">
        <v>991</v>
      </c>
      <c r="D35" s="248"/>
      <c r="E35" s="261" t="s">
        <v>709</v>
      </c>
      <c r="F35" s="254">
        <f t="shared" si="8"/>
        <v>0</v>
      </c>
      <c r="G35" s="265">
        <f t="shared" si="9"/>
        <v>0</v>
      </c>
      <c r="H35" s="198"/>
      <c r="I35" s="165"/>
      <c r="J35" s="165">
        <f t="shared" si="10"/>
        <v>0</v>
      </c>
      <c r="K35" s="165">
        <f t="shared" si="5"/>
        <v>0</v>
      </c>
      <c r="L35" s="165"/>
    </row>
    <row r="36" spans="1:12" ht="41.4" x14ac:dyDescent="0.3">
      <c r="A36" s="260" t="str">
        <f t="shared" si="3"/>
        <v>Do Not Print</v>
      </c>
      <c r="B36" s="248" t="s">
        <v>891</v>
      </c>
      <c r="C36" s="262" t="s">
        <v>992</v>
      </c>
      <c r="D36" s="248"/>
      <c r="E36" s="261" t="s">
        <v>709</v>
      </c>
      <c r="F36" s="254">
        <f t="shared" si="8"/>
        <v>0</v>
      </c>
      <c r="G36" s="265">
        <f t="shared" si="9"/>
        <v>0</v>
      </c>
      <c r="H36" s="198"/>
      <c r="I36" s="165"/>
      <c r="J36" s="165">
        <f t="shared" si="10"/>
        <v>0</v>
      </c>
      <c r="K36" s="165">
        <f t="shared" ref="K36:K108" si="11">ROUND(G36,0)</f>
        <v>0</v>
      </c>
      <c r="L36" s="165"/>
    </row>
    <row r="37" spans="1:12" ht="27.6" x14ac:dyDescent="0.3">
      <c r="A37" s="260" t="str">
        <f t="shared" si="3"/>
        <v>Do Not Print</v>
      </c>
      <c r="B37" s="248" t="s">
        <v>891</v>
      </c>
      <c r="C37" s="260" t="s">
        <v>683</v>
      </c>
      <c r="D37" s="248"/>
      <c r="E37" s="261" t="s">
        <v>709</v>
      </c>
      <c r="F37" s="254">
        <f>-VLOOKUP($C37,BASS,5,0)</f>
        <v>0</v>
      </c>
      <c r="G37" s="265">
        <f t="shared" si="9"/>
        <v>0</v>
      </c>
      <c r="H37" s="198"/>
      <c r="I37" s="165"/>
      <c r="J37" s="165">
        <f t="shared" si="10"/>
        <v>0</v>
      </c>
      <c r="K37" s="165">
        <f t="shared" si="11"/>
        <v>0</v>
      </c>
      <c r="L37" s="165"/>
    </row>
    <row r="38" spans="1:12" ht="27.6" x14ac:dyDescent="0.3">
      <c r="A38" s="260" t="str">
        <f t="shared" si="3"/>
        <v>Do Not Print</v>
      </c>
      <c r="B38" s="248" t="s">
        <v>891</v>
      </c>
      <c r="C38" s="262" t="s">
        <v>993</v>
      </c>
      <c r="D38" s="248"/>
      <c r="E38" s="261" t="s">
        <v>709</v>
      </c>
      <c r="F38" s="254">
        <f t="shared" ref="F38:F44" si="12">VLOOKUP($C38,BASS,5,0)</f>
        <v>0</v>
      </c>
      <c r="G38" s="265">
        <f t="shared" si="9"/>
        <v>0</v>
      </c>
      <c r="H38" s="198"/>
      <c r="I38" s="165"/>
      <c r="J38" s="165">
        <f t="shared" si="10"/>
        <v>0</v>
      </c>
      <c r="K38" s="165">
        <f t="shared" si="11"/>
        <v>0</v>
      </c>
      <c r="L38" s="165"/>
    </row>
    <row r="39" spans="1:12" ht="27.6" x14ac:dyDescent="0.3">
      <c r="A39" s="260" t="str">
        <f t="shared" si="3"/>
        <v>Do Not Print</v>
      </c>
      <c r="B39" s="248" t="s">
        <v>891</v>
      </c>
      <c r="C39" s="260" t="s">
        <v>684</v>
      </c>
      <c r="D39" s="248"/>
      <c r="E39" s="261" t="s">
        <v>709</v>
      </c>
      <c r="F39" s="254">
        <f t="shared" si="12"/>
        <v>0</v>
      </c>
      <c r="G39" s="265">
        <f t="shared" si="9"/>
        <v>0</v>
      </c>
      <c r="H39" s="198"/>
      <c r="I39" s="165"/>
      <c r="J39" s="165">
        <f t="shared" si="10"/>
        <v>0</v>
      </c>
      <c r="K39" s="165">
        <f t="shared" si="11"/>
        <v>0</v>
      </c>
      <c r="L39" s="165"/>
    </row>
    <row r="40" spans="1:12" ht="27.6" x14ac:dyDescent="0.3">
      <c r="A40" s="260" t="str">
        <f t="shared" si="3"/>
        <v>Do Not Print</v>
      </c>
      <c r="B40" s="248" t="s">
        <v>891</v>
      </c>
      <c r="C40" s="260" t="s">
        <v>685</v>
      </c>
      <c r="D40" s="248"/>
      <c r="E40" s="261" t="s">
        <v>709</v>
      </c>
      <c r="F40" s="254">
        <f t="shared" si="12"/>
        <v>0</v>
      </c>
      <c r="G40" s="265">
        <f t="shared" si="9"/>
        <v>0</v>
      </c>
      <c r="H40" s="198"/>
      <c r="I40" s="165"/>
      <c r="J40" s="165">
        <f t="shared" si="10"/>
        <v>0</v>
      </c>
      <c r="K40" s="165">
        <f t="shared" si="11"/>
        <v>0</v>
      </c>
      <c r="L40" s="165"/>
    </row>
    <row r="41" spans="1:12" ht="27.6" x14ac:dyDescent="0.3">
      <c r="A41" s="260" t="str">
        <f t="shared" si="3"/>
        <v>Do Not Print</v>
      </c>
      <c r="B41" s="248" t="s">
        <v>891</v>
      </c>
      <c r="C41" s="262" t="s">
        <v>994</v>
      </c>
      <c r="D41" s="248"/>
      <c r="E41" s="261" t="s">
        <v>709</v>
      </c>
      <c r="F41" s="254">
        <f t="shared" si="12"/>
        <v>0</v>
      </c>
      <c r="G41" s="265">
        <f t="shared" si="9"/>
        <v>0</v>
      </c>
      <c r="H41" s="198"/>
      <c r="I41" s="165"/>
      <c r="J41" s="165">
        <f t="shared" si="10"/>
        <v>0</v>
      </c>
      <c r="K41" s="165">
        <f t="shared" si="11"/>
        <v>0</v>
      </c>
      <c r="L41" s="165"/>
    </row>
    <row r="42" spans="1:12" ht="27.6" x14ac:dyDescent="0.3">
      <c r="A42" s="260" t="str">
        <f t="shared" si="3"/>
        <v>Do Not Print</v>
      </c>
      <c r="B42" s="248" t="s">
        <v>891</v>
      </c>
      <c r="C42" s="260" t="s">
        <v>687</v>
      </c>
      <c r="D42" s="248"/>
      <c r="E42" s="261" t="s">
        <v>709</v>
      </c>
      <c r="F42" s="254">
        <f t="shared" si="12"/>
        <v>0</v>
      </c>
      <c r="G42" s="265">
        <f t="shared" si="9"/>
        <v>0</v>
      </c>
      <c r="H42" s="198"/>
      <c r="I42" s="165"/>
      <c r="J42" s="165">
        <f t="shared" si="10"/>
        <v>0</v>
      </c>
      <c r="K42" s="165">
        <f t="shared" si="11"/>
        <v>0</v>
      </c>
      <c r="L42" s="165"/>
    </row>
    <row r="43" spans="1:12" ht="27.6" x14ac:dyDescent="0.3">
      <c r="A43" s="260" t="str">
        <f t="shared" si="3"/>
        <v>Do Not Print</v>
      </c>
      <c r="B43" s="248" t="s">
        <v>891</v>
      </c>
      <c r="C43" s="260" t="s">
        <v>101</v>
      </c>
      <c r="D43" s="248"/>
      <c r="E43" s="261" t="s">
        <v>709</v>
      </c>
      <c r="F43" s="254">
        <f t="shared" si="12"/>
        <v>0</v>
      </c>
      <c r="G43" s="265">
        <f t="shared" si="9"/>
        <v>0</v>
      </c>
      <c r="H43" s="198"/>
      <c r="I43" s="165"/>
      <c r="J43" s="165">
        <f t="shared" si="10"/>
        <v>0</v>
      </c>
      <c r="K43" s="165">
        <f t="shared" si="11"/>
        <v>0</v>
      </c>
      <c r="L43" s="165"/>
    </row>
    <row r="44" spans="1:12" ht="27.6" x14ac:dyDescent="0.3">
      <c r="A44" s="260" t="str">
        <f t="shared" si="3"/>
        <v>Do Not Print</v>
      </c>
      <c r="B44" s="248" t="s">
        <v>891</v>
      </c>
      <c r="C44" s="260" t="s">
        <v>686</v>
      </c>
      <c r="D44" s="248"/>
      <c r="E44" s="261" t="s">
        <v>709</v>
      </c>
      <c r="F44" s="254">
        <f t="shared" si="12"/>
        <v>0</v>
      </c>
      <c r="G44" s="265">
        <f t="shared" si="9"/>
        <v>0</v>
      </c>
      <c r="H44" s="198"/>
      <c r="I44" s="165"/>
      <c r="J44" s="165">
        <f t="shared" si="10"/>
        <v>0</v>
      </c>
      <c r="K44" s="165">
        <f t="shared" si="11"/>
        <v>0</v>
      </c>
      <c r="L44" s="165"/>
    </row>
    <row r="45" spans="1:12" ht="27.6" x14ac:dyDescent="0.3">
      <c r="A45" s="260" t="str">
        <f t="shared" si="3"/>
        <v>Do Not Print</v>
      </c>
      <c r="B45" s="248" t="s">
        <v>891</v>
      </c>
      <c r="C45" s="260" t="s">
        <v>688</v>
      </c>
      <c r="D45" s="248"/>
      <c r="E45" s="261" t="s">
        <v>709</v>
      </c>
      <c r="F45" s="254">
        <f t="shared" ref="F45:F50" si="13">-VLOOKUP($C45,BASS,5,0)</f>
        <v>0</v>
      </c>
      <c r="G45" s="265">
        <f t="shared" ref="G45:G50" si="14">-VLOOKUP($C45,BASS,11,0)</f>
        <v>0</v>
      </c>
      <c r="H45" s="198"/>
      <c r="I45" s="165"/>
      <c r="J45" s="165">
        <f t="shared" si="10"/>
        <v>0</v>
      </c>
      <c r="K45" s="165">
        <f t="shared" si="11"/>
        <v>0</v>
      </c>
      <c r="L45" s="165"/>
    </row>
    <row r="46" spans="1:12" ht="41.4" x14ac:dyDescent="0.3">
      <c r="A46" s="260" t="str">
        <f t="shared" si="3"/>
        <v>Do Not Print</v>
      </c>
      <c r="B46" s="248" t="s">
        <v>891</v>
      </c>
      <c r="C46" s="260" t="s">
        <v>111</v>
      </c>
      <c r="D46" s="248"/>
      <c r="E46" s="261" t="s">
        <v>709</v>
      </c>
      <c r="F46" s="254">
        <f t="shared" si="13"/>
        <v>0</v>
      </c>
      <c r="G46" s="265">
        <f t="shared" si="14"/>
        <v>0</v>
      </c>
      <c r="H46" s="198"/>
      <c r="I46" s="165"/>
      <c r="J46" s="165">
        <f t="shared" si="10"/>
        <v>0</v>
      </c>
      <c r="K46" s="165">
        <f>ROUND(G46,0)</f>
        <v>0</v>
      </c>
      <c r="L46" s="165"/>
    </row>
    <row r="47" spans="1:12" ht="27.6" x14ac:dyDescent="0.3">
      <c r="A47" s="260" t="str">
        <f t="shared" si="3"/>
        <v>Do Not Print</v>
      </c>
      <c r="B47" s="248" t="s">
        <v>891</v>
      </c>
      <c r="C47" s="260" t="s">
        <v>689</v>
      </c>
      <c r="D47" s="248"/>
      <c r="E47" s="261" t="s">
        <v>709</v>
      </c>
      <c r="F47" s="254">
        <f t="shared" si="13"/>
        <v>0</v>
      </c>
      <c r="G47" s="265">
        <f t="shared" si="14"/>
        <v>0</v>
      </c>
      <c r="H47" s="198"/>
      <c r="I47" s="165"/>
      <c r="J47" s="165">
        <f t="shared" si="10"/>
        <v>0</v>
      </c>
      <c r="K47" s="165">
        <f t="shared" si="11"/>
        <v>0</v>
      </c>
      <c r="L47" s="165"/>
    </row>
    <row r="48" spans="1:12" ht="27.6" x14ac:dyDescent="0.3">
      <c r="A48" s="260" t="str">
        <f t="shared" si="3"/>
        <v>Do Not Print</v>
      </c>
      <c r="B48" s="248" t="s">
        <v>891</v>
      </c>
      <c r="C48" s="260" t="s">
        <v>995</v>
      </c>
      <c r="D48" s="248"/>
      <c r="E48" s="261" t="s">
        <v>709</v>
      </c>
      <c r="F48" s="254">
        <f t="shared" si="13"/>
        <v>0</v>
      </c>
      <c r="G48" s="265">
        <f t="shared" si="14"/>
        <v>0</v>
      </c>
      <c r="H48" s="198"/>
      <c r="I48" s="165"/>
      <c r="J48" s="165">
        <f t="shared" si="10"/>
        <v>0</v>
      </c>
      <c r="K48" s="165">
        <f t="shared" si="11"/>
        <v>0</v>
      </c>
      <c r="L48" s="165"/>
    </row>
    <row r="49" spans="1:12" ht="27.6" x14ac:dyDescent="0.3">
      <c r="A49" s="260" t="str">
        <f t="shared" si="3"/>
        <v>Do Not Print</v>
      </c>
      <c r="B49" s="248" t="s">
        <v>891</v>
      </c>
      <c r="C49" s="262" t="s">
        <v>996</v>
      </c>
      <c r="D49" s="248"/>
      <c r="E49" s="261" t="s">
        <v>709</v>
      </c>
      <c r="F49" s="254">
        <f t="shared" si="13"/>
        <v>0</v>
      </c>
      <c r="G49" s="265">
        <f t="shared" si="14"/>
        <v>0</v>
      </c>
      <c r="H49" s="198"/>
      <c r="I49" s="165"/>
      <c r="J49" s="165">
        <f t="shared" si="10"/>
        <v>0</v>
      </c>
      <c r="K49" s="165">
        <f t="shared" si="11"/>
        <v>0</v>
      </c>
      <c r="L49" s="165"/>
    </row>
    <row r="50" spans="1:12" ht="27.6" x14ac:dyDescent="0.3">
      <c r="A50" s="260" t="str">
        <f t="shared" si="3"/>
        <v>Do Not Print</v>
      </c>
      <c r="B50" s="248" t="s">
        <v>891</v>
      </c>
      <c r="C50" s="260" t="s">
        <v>690</v>
      </c>
      <c r="D50" s="248"/>
      <c r="E50" s="261" t="s">
        <v>709</v>
      </c>
      <c r="F50" s="254">
        <f t="shared" si="13"/>
        <v>0</v>
      </c>
      <c r="G50" s="265">
        <f t="shared" si="14"/>
        <v>0</v>
      </c>
      <c r="H50" s="198"/>
      <c r="I50" s="165"/>
      <c r="J50" s="165">
        <f t="shared" si="10"/>
        <v>0</v>
      </c>
      <c r="K50" s="165">
        <f t="shared" si="11"/>
        <v>0</v>
      </c>
      <c r="L50" s="165"/>
    </row>
    <row r="51" spans="1:12" ht="27.6" x14ac:dyDescent="0.3">
      <c r="A51" s="260" t="str">
        <f t="shared" si="3"/>
        <v>Do Not Print</v>
      </c>
      <c r="B51" s="248" t="s">
        <v>891</v>
      </c>
      <c r="C51" s="260" t="s">
        <v>691</v>
      </c>
      <c r="D51" s="248"/>
      <c r="E51" s="261" t="s">
        <v>709</v>
      </c>
      <c r="F51" s="254">
        <f>VLOOKUP($C51,BASS,5,0)</f>
        <v>0</v>
      </c>
      <c r="G51" s="265">
        <f>VLOOKUP($C51,BASS,11,0)</f>
        <v>0</v>
      </c>
      <c r="H51" s="198"/>
      <c r="I51" s="165"/>
      <c r="J51" s="165">
        <f t="shared" si="10"/>
        <v>0</v>
      </c>
      <c r="K51" s="165">
        <f t="shared" si="11"/>
        <v>0</v>
      </c>
      <c r="L51" s="165"/>
    </row>
    <row r="52" spans="1:12" ht="27.6" x14ac:dyDescent="0.3">
      <c r="A52" s="260" t="str">
        <f t="shared" si="3"/>
        <v>Do Not Print</v>
      </c>
      <c r="B52" s="248" t="s">
        <v>891</v>
      </c>
      <c r="C52" s="262" t="s">
        <v>997</v>
      </c>
      <c r="D52" s="248"/>
      <c r="E52" s="261" t="s">
        <v>709</v>
      </c>
      <c r="F52" s="254">
        <f>VLOOKUP($C52,BASS,5,0)</f>
        <v>0</v>
      </c>
      <c r="G52" s="265">
        <f>VLOOKUP($C52,BASS,11,0)</f>
        <v>0</v>
      </c>
      <c r="H52" s="198"/>
      <c r="I52" s="165"/>
      <c r="J52" s="165">
        <f t="shared" si="10"/>
        <v>0</v>
      </c>
      <c r="K52" s="165">
        <f t="shared" si="11"/>
        <v>0</v>
      </c>
      <c r="L52" s="165"/>
    </row>
    <row r="53" spans="1:12" s="6" customFormat="1" ht="14.4" x14ac:dyDescent="0.3">
      <c r="A53" s="38" t="s">
        <v>448</v>
      </c>
      <c r="C53" s="45" t="s">
        <v>1631</v>
      </c>
      <c r="E53" s="243"/>
      <c r="F53" s="266">
        <f>SUM(F31:F41)-SUM(F42:F52)</f>
        <v>0</v>
      </c>
      <c r="G53" s="266">
        <f>SUM(G31:G41)-SUM(G42:G52)</f>
        <v>0</v>
      </c>
      <c r="H53" s="199"/>
      <c r="I53" s="183"/>
      <c r="J53" s="183">
        <f t="shared" si="10"/>
        <v>0</v>
      </c>
      <c r="K53" s="183">
        <f>ROUND(G53,0)</f>
        <v>0</v>
      </c>
      <c r="L53" s="183"/>
    </row>
    <row r="54" spans="1:12" x14ac:dyDescent="0.3">
      <c r="A54" s="39" t="s">
        <v>448</v>
      </c>
      <c r="C54" s="18"/>
      <c r="F54" s="165"/>
      <c r="G54" s="165"/>
      <c r="H54" s="198"/>
      <c r="I54" s="165"/>
      <c r="J54" s="165"/>
      <c r="K54" s="165"/>
      <c r="L54" s="165"/>
    </row>
    <row r="55" spans="1:12" ht="27.6" x14ac:dyDescent="0.3">
      <c r="A55" s="271" t="str">
        <f t="shared" si="3"/>
        <v>Do Not Print</v>
      </c>
      <c r="B55" s="247" t="s">
        <v>892</v>
      </c>
      <c r="C55" s="271" t="s">
        <v>692</v>
      </c>
      <c r="D55" s="247"/>
      <c r="E55" s="272" t="s">
        <v>709</v>
      </c>
      <c r="F55" s="264">
        <f t="shared" ref="F55:F68" si="15">VLOOKUP($C55,IASS,5,0)</f>
        <v>0</v>
      </c>
      <c r="G55" s="256">
        <f t="shared" ref="G55:G68" si="16">VLOOKUP($C55,IASS,11,0)</f>
        <v>0</v>
      </c>
      <c r="H55" s="198"/>
      <c r="I55" s="200"/>
      <c r="J55" s="165">
        <f t="shared" ref="J55:J77" si="17">ROUND(F55,0)</f>
        <v>0</v>
      </c>
      <c r="K55" s="165">
        <f t="shared" si="11"/>
        <v>0</v>
      </c>
      <c r="L55" s="165"/>
    </row>
    <row r="56" spans="1:12" ht="27.6" x14ac:dyDescent="0.3">
      <c r="A56" s="271" t="str">
        <f t="shared" si="3"/>
        <v>Do Not Print</v>
      </c>
      <c r="B56" s="247" t="s">
        <v>892</v>
      </c>
      <c r="C56" s="271" t="s">
        <v>101</v>
      </c>
      <c r="D56" s="247"/>
      <c r="E56" s="272" t="s">
        <v>709</v>
      </c>
      <c r="F56" s="264">
        <f t="shared" si="15"/>
        <v>0</v>
      </c>
      <c r="G56" s="256">
        <f t="shared" si="16"/>
        <v>0</v>
      </c>
      <c r="H56" s="198"/>
      <c r="I56" s="200"/>
      <c r="J56" s="165">
        <f t="shared" si="17"/>
        <v>0</v>
      </c>
      <c r="K56" s="165">
        <f t="shared" si="11"/>
        <v>0</v>
      </c>
      <c r="L56" s="165"/>
    </row>
    <row r="57" spans="1:12" ht="27.6" x14ac:dyDescent="0.3">
      <c r="A57" s="271" t="str">
        <f t="shared" si="3"/>
        <v>Do Not Print</v>
      </c>
      <c r="B57" s="247" t="s">
        <v>892</v>
      </c>
      <c r="C57" s="273" t="s">
        <v>998</v>
      </c>
      <c r="D57" s="247"/>
      <c r="E57" s="272" t="s">
        <v>709</v>
      </c>
      <c r="F57" s="264">
        <f t="shared" si="15"/>
        <v>0</v>
      </c>
      <c r="G57" s="256">
        <f t="shared" si="16"/>
        <v>0</v>
      </c>
      <c r="H57" s="198"/>
      <c r="I57" s="200"/>
      <c r="J57" s="165">
        <f t="shared" si="17"/>
        <v>0</v>
      </c>
      <c r="K57" s="165">
        <f t="shared" si="11"/>
        <v>0</v>
      </c>
      <c r="L57" s="165"/>
    </row>
    <row r="58" spans="1:12" ht="27.6" x14ac:dyDescent="0.3">
      <c r="A58" s="271" t="str">
        <f t="shared" si="3"/>
        <v>Do Not Print</v>
      </c>
      <c r="B58" s="247" t="s">
        <v>892</v>
      </c>
      <c r="C58" s="273" t="s">
        <v>999</v>
      </c>
      <c r="D58" s="247"/>
      <c r="E58" s="272" t="s">
        <v>709</v>
      </c>
      <c r="F58" s="264">
        <f t="shared" si="15"/>
        <v>0</v>
      </c>
      <c r="G58" s="256">
        <f t="shared" si="16"/>
        <v>0</v>
      </c>
      <c r="H58" s="198"/>
      <c r="I58" s="200"/>
      <c r="J58" s="165">
        <f t="shared" si="17"/>
        <v>0</v>
      </c>
      <c r="K58" s="165">
        <f t="shared" si="11"/>
        <v>0</v>
      </c>
      <c r="L58" s="165"/>
    </row>
    <row r="59" spans="1:12" ht="27.6" x14ac:dyDescent="0.3">
      <c r="A59" s="271" t="str">
        <f t="shared" si="3"/>
        <v>Do Not Print</v>
      </c>
      <c r="B59" s="247" t="s">
        <v>892</v>
      </c>
      <c r="C59" s="273" t="s">
        <v>1000</v>
      </c>
      <c r="D59" s="247"/>
      <c r="E59" s="272" t="s">
        <v>709</v>
      </c>
      <c r="F59" s="264">
        <f t="shared" si="15"/>
        <v>0</v>
      </c>
      <c r="G59" s="256">
        <f t="shared" si="16"/>
        <v>0</v>
      </c>
      <c r="H59" s="198"/>
      <c r="I59" s="200"/>
      <c r="J59" s="165">
        <f t="shared" si="17"/>
        <v>0</v>
      </c>
      <c r="K59" s="165">
        <f t="shared" si="11"/>
        <v>0</v>
      </c>
      <c r="L59" s="165"/>
    </row>
    <row r="60" spans="1:12" ht="41.4" x14ac:dyDescent="0.3">
      <c r="A60" s="271" t="str">
        <f t="shared" si="3"/>
        <v>Do Not Print</v>
      </c>
      <c r="B60" s="247" t="s">
        <v>892</v>
      </c>
      <c r="C60" s="273" t="s">
        <v>1001</v>
      </c>
      <c r="D60" s="247"/>
      <c r="E60" s="272" t="s">
        <v>709</v>
      </c>
      <c r="F60" s="264">
        <f t="shared" si="15"/>
        <v>0</v>
      </c>
      <c r="G60" s="256">
        <f t="shared" si="16"/>
        <v>0</v>
      </c>
      <c r="H60" s="198"/>
      <c r="I60" s="200"/>
      <c r="J60" s="165">
        <f t="shared" si="17"/>
        <v>0</v>
      </c>
      <c r="K60" s="165">
        <f t="shared" si="11"/>
        <v>0</v>
      </c>
      <c r="L60" s="165"/>
    </row>
    <row r="61" spans="1:12" ht="27.6" x14ac:dyDescent="0.3">
      <c r="A61" s="271" t="str">
        <f t="shared" si="3"/>
        <v>Do Not Print</v>
      </c>
      <c r="B61" s="247" t="s">
        <v>892</v>
      </c>
      <c r="C61" s="271" t="s">
        <v>693</v>
      </c>
      <c r="D61" s="247"/>
      <c r="E61" s="272" t="s">
        <v>709</v>
      </c>
      <c r="F61" s="264">
        <f t="shared" si="15"/>
        <v>0</v>
      </c>
      <c r="G61" s="256">
        <f t="shared" si="16"/>
        <v>0</v>
      </c>
      <c r="H61" s="198"/>
      <c r="I61" s="200"/>
      <c r="J61" s="165">
        <f t="shared" si="17"/>
        <v>0</v>
      </c>
      <c r="K61" s="165">
        <f t="shared" si="11"/>
        <v>0</v>
      </c>
      <c r="L61" s="165"/>
    </row>
    <row r="62" spans="1:12" ht="27.6" x14ac:dyDescent="0.3">
      <c r="A62" s="271" t="str">
        <f t="shared" si="3"/>
        <v>Do Not Print</v>
      </c>
      <c r="B62" s="247" t="s">
        <v>892</v>
      </c>
      <c r="C62" s="273" t="s">
        <v>1002</v>
      </c>
      <c r="D62" s="247"/>
      <c r="E62" s="272" t="s">
        <v>709</v>
      </c>
      <c r="F62" s="264">
        <f t="shared" si="15"/>
        <v>0</v>
      </c>
      <c r="G62" s="256">
        <f t="shared" si="16"/>
        <v>0</v>
      </c>
      <c r="H62" s="198"/>
      <c r="I62" s="200"/>
      <c r="J62" s="165">
        <f t="shared" si="17"/>
        <v>0</v>
      </c>
      <c r="K62" s="165">
        <f t="shared" si="11"/>
        <v>0</v>
      </c>
      <c r="L62" s="165"/>
    </row>
    <row r="63" spans="1:12" ht="27.6" x14ac:dyDescent="0.3">
      <c r="A63" s="271" t="str">
        <f t="shared" si="3"/>
        <v>Do Not Print</v>
      </c>
      <c r="B63" s="247" t="s">
        <v>892</v>
      </c>
      <c r="C63" s="271" t="s">
        <v>694</v>
      </c>
      <c r="D63" s="247"/>
      <c r="E63" s="272" t="s">
        <v>709</v>
      </c>
      <c r="F63" s="264">
        <f t="shared" si="15"/>
        <v>0</v>
      </c>
      <c r="G63" s="256">
        <f t="shared" si="16"/>
        <v>0</v>
      </c>
      <c r="H63" s="198"/>
      <c r="I63" s="200"/>
      <c r="J63" s="165">
        <f t="shared" si="17"/>
        <v>0</v>
      </c>
      <c r="K63" s="165">
        <f t="shared" si="11"/>
        <v>0</v>
      </c>
      <c r="L63" s="165"/>
    </row>
    <row r="64" spans="1:12" ht="27.6" x14ac:dyDescent="0.3">
      <c r="A64" s="271" t="str">
        <f t="shared" si="3"/>
        <v>Do Not Print</v>
      </c>
      <c r="B64" s="247" t="s">
        <v>892</v>
      </c>
      <c r="C64" s="271" t="s">
        <v>695</v>
      </c>
      <c r="D64" s="247"/>
      <c r="E64" s="272" t="s">
        <v>709</v>
      </c>
      <c r="F64" s="264">
        <f t="shared" si="15"/>
        <v>0</v>
      </c>
      <c r="G64" s="256">
        <f t="shared" si="16"/>
        <v>0</v>
      </c>
      <c r="H64" s="198"/>
      <c r="I64" s="200"/>
      <c r="J64" s="165">
        <f t="shared" si="17"/>
        <v>0</v>
      </c>
      <c r="K64" s="165">
        <f t="shared" si="11"/>
        <v>0</v>
      </c>
      <c r="L64" s="165"/>
    </row>
    <row r="65" spans="1:12" ht="27.6" x14ac:dyDescent="0.3">
      <c r="A65" s="271" t="str">
        <f t="shared" si="3"/>
        <v>Do Not Print</v>
      </c>
      <c r="B65" s="247" t="s">
        <v>892</v>
      </c>
      <c r="C65" s="273" t="s">
        <v>994</v>
      </c>
      <c r="D65" s="247"/>
      <c r="E65" s="272" t="s">
        <v>709</v>
      </c>
      <c r="F65" s="264">
        <f t="shared" si="15"/>
        <v>0</v>
      </c>
      <c r="G65" s="256">
        <f t="shared" si="16"/>
        <v>0</v>
      </c>
      <c r="H65" s="198"/>
      <c r="I65" s="200"/>
      <c r="J65" s="165">
        <f t="shared" si="17"/>
        <v>0</v>
      </c>
      <c r="K65" s="165">
        <f t="shared" si="11"/>
        <v>0</v>
      </c>
      <c r="L65" s="165"/>
    </row>
    <row r="66" spans="1:12" ht="27.6" x14ac:dyDescent="0.3">
      <c r="A66" s="271" t="str">
        <f t="shared" si="3"/>
        <v>Do Not Print</v>
      </c>
      <c r="B66" s="247" t="s">
        <v>892</v>
      </c>
      <c r="C66" s="271" t="s">
        <v>697</v>
      </c>
      <c r="D66" s="247"/>
      <c r="E66" s="272" t="s">
        <v>709</v>
      </c>
      <c r="F66" s="264">
        <f t="shared" si="15"/>
        <v>0</v>
      </c>
      <c r="G66" s="256">
        <f t="shared" si="16"/>
        <v>0</v>
      </c>
      <c r="H66" s="198"/>
      <c r="I66" s="200"/>
      <c r="J66" s="165">
        <f t="shared" si="17"/>
        <v>0</v>
      </c>
      <c r="K66" s="165">
        <f t="shared" si="11"/>
        <v>0</v>
      </c>
      <c r="L66" s="165"/>
    </row>
    <row r="67" spans="1:12" ht="27.6" x14ac:dyDescent="0.3">
      <c r="A67" s="271" t="str">
        <f t="shared" si="3"/>
        <v>Do Not Print</v>
      </c>
      <c r="B67" s="247" t="s">
        <v>892</v>
      </c>
      <c r="C67" s="271" t="s">
        <v>101</v>
      </c>
      <c r="D67" s="247"/>
      <c r="E67" s="272" t="s">
        <v>709</v>
      </c>
      <c r="F67" s="264">
        <f t="shared" si="15"/>
        <v>0</v>
      </c>
      <c r="G67" s="256">
        <f t="shared" si="16"/>
        <v>0</v>
      </c>
      <c r="H67" s="198"/>
      <c r="I67" s="200"/>
      <c r="J67" s="165">
        <f t="shared" si="17"/>
        <v>0</v>
      </c>
      <c r="K67" s="165">
        <f t="shared" si="11"/>
        <v>0</v>
      </c>
      <c r="L67" s="165"/>
    </row>
    <row r="68" spans="1:12" ht="27.6" x14ac:dyDescent="0.3">
      <c r="A68" s="271" t="str">
        <f t="shared" si="3"/>
        <v>Do Not Print</v>
      </c>
      <c r="B68" s="247" t="s">
        <v>892</v>
      </c>
      <c r="C68" s="271" t="s">
        <v>696</v>
      </c>
      <c r="D68" s="247"/>
      <c r="E68" s="272" t="s">
        <v>709</v>
      </c>
      <c r="F68" s="264">
        <f t="shared" si="15"/>
        <v>0</v>
      </c>
      <c r="G68" s="256">
        <f t="shared" si="16"/>
        <v>0</v>
      </c>
      <c r="H68" s="198"/>
      <c r="I68" s="200"/>
      <c r="J68" s="165">
        <f t="shared" si="17"/>
        <v>0</v>
      </c>
      <c r="K68" s="165">
        <f t="shared" si="11"/>
        <v>0</v>
      </c>
      <c r="L68" s="165"/>
    </row>
    <row r="69" spans="1:12" ht="27.6" x14ac:dyDescent="0.3">
      <c r="A69" s="271" t="str">
        <f t="shared" si="3"/>
        <v>Do Not Print</v>
      </c>
      <c r="B69" s="247" t="s">
        <v>892</v>
      </c>
      <c r="C69" s="271" t="s">
        <v>698</v>
      </c>
      <c r="D69" s="247"/>
      <c r="E69" s="272" t="s">
        <v>709</v>
      </c>
      <c r="F69" s="264">
        <f t="shared" ref="F69:F74" si="18">-VLOOKUP($C69,IASS,5,0)</f>
        <v>0</v>
      </c>
      <c r="G69" s="256">
        <f t="shared" ref="G69:G74" si="19">-VLOOKUP($C69,IASS,11,0)</f>
        <v>0</v>
      </c>
      <c r="H69" s="198"/>
      <c r="I69" s="200"/>
      <c r="J69" s="165">
        <f t="shared" si="17"/>
        <v>0</v>
      </c>
      <c r="K69" s="165">
        <f t="shared" si="11"/>
        <v>0</v>
      </c>
      <c r="L69" s="165"/>
    </row>
    <row r="70" spans="1:12" ht="41.4" x14ac:dyDescent="0.3">
      <c r="A70" s="271" t="str">
        <f t="shared" si="3"/>
        <v>Do Not Print</v>
      </c>
      <c r="B70" s="247" t="s">
        <v>892</v>
      </c>
      <c r="C70" s="271" t="s">
        <v>111</v>
      </c>
      <c r="D70" s="247"/>
      <c r="E70" s="272" t="s">
        <v>709</v>
      </c>
      <c r="F70" s="264">
        <f t="shared" si="18"/>
        <v>0</v>
      </c>
      <c r="G70" s="256">
        <f t="shared" si="19"/>
        <v>0</v>
      </c>
      <c r="H70" s="198"/>
      <c r="I70" s="200"/>
      <c r="J70" s="165">
        <f t="shared" si="17"/>
        <v>0</v>
      </c>
      <c r="K70" s="165">
        <f>ROUND(G70,0)</f>
        <v>0</v>
      </c>
      <c r="L70" s="165"/>
    </row>
    <row r="71" spans="1:12" ht="27.6" x14ac:dyDescent="0.3">
      <c r="A71" s="271" t="str">
        <f t="shared" si="3"/>
        <v>Do Not Print</v>
      </c>
      <c r="B71" s="247" t="s">
        <v>892</v>
      </c>
      <c r="C71" s="271" t="s">
        <v>699</v>
      </c>
      <c r="D71" s="247"/>
      <c r="E71" s="272" t="s">
        <v>709</v>
      </c>
      <c r="F71" s="264">
        <f t="shared" si="18"/>
        <v>0</v>
      </c>
      <c r="G71" s="256">
        <f t="shared" si="19"/>
        <v>0</v>
      </c>
      <c r="H71" s="198"/>
      <c r="I71" s="200"/>
      <c r="J71" s="165">
        <f t="shared" si="17"/>
        <v>0</v>
      </c>
      <c r="K71" s="165">
        <f t="shared" si="11"/>
        <v>0</v>
      </c>
      <c r="L71" s="165"/>
    </row>
    <row r="72" spans="1:12" ht="27.6" x14ac:dyDescent="0.3">
      <c r="A72" s="271" t="str">
        <f t="shared" si="3"/>
        <v>Do Not Print</v>
      </c>
      <c r="B72" s="247" t="s">
        <v>892</v>
      </c>
      <c r="C72" s="271" t="s">
        <v>1003</v>
      </c>
      <c r="D72" s="247"/>
      <c r="E72" s="272" t="s">
        <v>709</v>
      </c>
      <c r="F72" s="264">
        <f t="shared" si="18"/>
        <v>0</v>
      </c>
      <c r="G72" s="256">
        <f t="shared" si="19"/>
        <v>0</v>
      </c>
      <c r="H72" s="198"/>
      <c r="I72" s="200"/>
      <c r="J72" s="165">
        <f t="shared" si="17"/>
        <v>0</v>
      </c>
      <c r="K72" s="165">
        <f t="shared" si="11"/>
        <v>0</v>
      </c>
      <c r="L72" s="165"/>
    </row>
    <row r="73" spans="1:12" ht="27.6" x14ac:dyDescent="0.3">
      <c r="A73" s="271" t="str">
        <f t="shared" si="3"/>
        <v>Do Not Print</v>
      </c>
      <c r="B73" s="247" t="s">
        <v>892</v>
      </c>
      <c r="C73" s="273" t="s">
        <v>1004</v>
      </c>
      <c r="D73" s="247"/>
      <c r="E73" s="272" t="s">
        <v>709</v>
      </c>
      <c r="F73" s="264">
        <f t="shared" si="18"/>
        <v>0</v>
      </c>
      <c r="G73" s="256">
        <f t="shared" si="19"/>
        <v>0</v>
      </c>
      <c r="H73" s="198"/>
      <c r="I73" s="200"/>
      <c r="J73" s="165">
        <f t="shared" si="17"/>
        <v>0</v>
      </c>
      <c r="K73" s="165">
        <f t="shared" si="11"/>
        <v>0</v>
      </c>
      <c r="L73" s="165"/>
    </row>
    <row r="74" spans="1:12" ht="27.6" x14ac:dyDescent="0.3">
      <c r="A74" s="271" t="str">
        <f t="shared" si="3"/>
        <v>Do Not Print</v>
      </c>
      <c r="B74" s="247" t="s">
        <v>892</v>
      </c>
      <c r="C74" s="271" t="s">
        <v>700</v>
      </c>
      <c r="D74" s="247"/>
      <c r="E74" s="272" t="s">
        <v>709</v>
      </c>
      <c r="F74" s="264">
        <f t="shared" si="18"/>
        <v>0</v>
      </c>
      <c r="G74" s="256">
        <f t="shared" si="19"/>
        <v>0</v>
      </c>
      <c r="H74" s="198"/>
      <c r="I74" s="200"/>
      <c r="J74" s="165">
        <f t="shared" si="17"/>
        <v>0</v>
      </c>
      <c r="K74" s="165">
        <f t="shared" si="11"/>
        <v>0</v>
      </c>
      <c r="L74" s="165"/>
    </row>
    <row r="75" spans="1:12" ht="27.6" x14ac:dyDescent="0.3">
      <c r="A75" s="271" t="str">
        <f t="shared" si="3"/>
        <v>Do Not Print</v>
      </c>
      <c r="B75" s="247" t="s">
        <v>892</v>
      </c>
      <c r="C75" s="271" t="s">
        <v>701</v>
      </c>
      <c r="D75" s="247"/>
      <c r="E75" s="272" t="s">
        <v>709</v>
      </c>
      <c r="F75" s="264">
        <f>VLOOKUP($C75,IASS,5,0)</f>
        <v>0</v>
      </c>
      <c r="G75" s="256">
        <f>VLOOKUP($C75,IASS,11,0)</f>
        <v>0</v>
      </c>
      <c r="H75" s="198"/>
      <c r="I75" s="200"/>
      <c r="J75" s="165">
        <f t="shared" si="17"/>
        <v>0</v>
      </c>
      <c r="K75" s="165">
        <f t="shared" si="11"/>
        <v>0</v>
      </c>
      <c r="L75" s="165"/>
    </row>
    <row r="76" spans="1:12" ht="27.6" x14ac:dyDescent="0.3">
      <c r="A76" s="271" t="str">
        <f t="shared" ref="A76:A145" si="20">IF(AND(F76=0,G76=0),"Do Not Print","Print")</f>
        <v>Do Not Print</v>
      </c>
      <c r="B76" s="247" t="s">
        <v>892</v>
      </c>
      <c r="C76" s="273" t="s">
        <v>997</v>
      </c>
      <c r="D76" s="247"/>
      <c r="E76" s="272" t="s">
        <v>709</v>
      </c>
      <c r="F76" s="264">
        <f>VLOOKUP($C76,IASS,5,0)</f>
        <v>0</v>
      </c>
      <c r="G76" s="256">
        <f>VLOOKUP($C76,IASS,11,0)</f>
        <v>0</v>
      </c>
      <c r="H76" s="198"/>
      <c r="I76" s="200"/>
      <c r="J76" s="165">
        <f t="shared" si="17"/>
        <v>0</v>
      </c>
      <c r="K76" s="165">
        <f t="shared" si="11"/>
        <v>0</v>
      </c>
      <c r="L76" s="165"/>
    </row>
    <row r="77" spans="1:12" s="14" customFormat="1" ht="14.4" x14ac:dyDescent="0.3">
      <c r="A77" s="45" t="s">
        <v>448</v>
      </c>
      <c r="C77" s="45" t="s">
        <v>1632</v>
      </c>
      <c r="E77" s="258"/>
      <c r="F77" s="275">
        <f>SUM(F55:F65)-SUM(F66:F76)</f>
        <v>0</v>
      </c>
      <c r="G77" s="275">
        <f>SUM(G55:G65)-SUM(G66:G76)</f>
        <v>0</v>
      </c>
      <c r="H77" s="202"/>
      <c r="I77" s="197"/>
      <c r="J77" s="197">
        <f t="shared" si="17"/>
        <v>0</v>
      </c>
      <c r="K77" s="197">
        <f>ROUND(G77,0)</f>
        <v>0</v>
      </c>
      <c r="L77" s="197"/>
    </row>
    <row r="78" spans="1:12" x14ac:dyDescent="0.3">
      <c r="A78" s="39" t="s">
        <v>448</v>
      </c>
      <c r="C78" s="18"/>
      <c r="F78" s="165"/>
      <c r="G78" s="165"/>
      <c r="H78" s="198"/>
      <c r="I78" s="200"/>
      <c r="J78" s="165"/>
      <c r="K78" s="165"/>
      <c r="L78" s="165"/>
    </row>
    <row r="79" spans="1:12" ht="27.6" x14ac:dyDescent="0.3">
      <c r="A79" s="267" t="str">
        <f t="shared" si="20"/>
        <v>Do Not Print</v>
      </c>
      <c r="B79" s="268" t="s">
        <v>1080</v>
      </c>
      <c r="C79" s="270" t="s">
        <v>1063</v>
      </c>
      <c r="D79" s="268"/>
      <c r="E79" s="269" t="s">
        <v>709</v>
      </c>
      <c r="F79" s="280">
        <f t="shared" ref="F79:F92" si="21">VLOOKUP($C79,LNFS,5,0)</f>
        <v>0</v>
      </c>
      <c r="G79" s="263">
        <f t="shared" ref="G79:G92" si="22">VLOOKUP($C79,LNFS,11,0)</f>
        <v>0</v>
      </c>
      <c r="H79" s="198"/>
      <c r="I79" s="200"/>
      <c r="J79" s="165">
        <f t="shared" ref="J79:J101" si="23">ROUND(F79,0)</f>
        <v>0</v>
      </c>
      <c r="K79" s="165">
        <f t="shared" si="11"/>
        <v>0</v>
      </c>
      <c r="L79" s="165"/>
    </row>
    <row r="80" spans="1:12" ht="27.6" x14ac:dyDescent="0.3">
      <c r="A80" s="267" t="str">
        <f t="shared" si="20"/>
        <v>Do Not Print</v>
      </c>
      <c r="B80" s="268" t="s">
        <v>1080</v>
      </c>
      <c r="C80" s="267" t="s">
        <v>101</v>
      </c>
      <c r="D80" s="268"/>
      <c r="E80" s="269" t="s">
        <v>709</v>
      </c>
      <c r="F80" s="280">
        <f t="shared" si="21"/>
        <v>0</v>
      </c>
      <c r="G80" s="263">
        <f t="shared" si="22"/>
        <v>0</v>
      </c>
      <c r="H80" s="198"/>
      <c r="I80" s="200"/>
      <c r="J80" s="165">
        <f t="shared" si="23"/>
        <v>0</v>
      </c>
      <c r="K80" s="165">
        <f t="shared" si="11"/>
        <v>0</v>
      </c>
      <c r="L80" s="165"/>
    </row>
    <row r="81" spans="1:12" ht="27.6" x14ac:dyDescent="0.3">
      <c r="A81" s="267" t="str">
        <f t="shared" si="20"/>
        <v>Do Not Print</v>
      </c>
      <c r="B81" s="268" t="s">
        <v>1080</v>
      </c>
      <c r="C81" s="270" t="s">
        <v>1064</v>
      </c>
      <c r="D81" s="268"/>
      <c r="E81" s="269" t="s">
        <v>709</v>
      </c>
      <c r="F81" s="280">
        <f t="shared" si="21"/>
        <v>0</v>
      </c>
      <c r="G81" s="263">
        <f t="shared" si="22"/>
        <v>0</v>
      </c>
      <c r="H81" s="198"/>
      <c r="I81" s="200"/>
      <c r="J81" s="165">
        <f t="shared" si="23"/>
        <v>0</v>
      </c>
      <c r="K81" s="165">
        <f t="shared" si="11"/>
        <v>0</v>
      </c>
      <c r="L81" s="165"/>
    </row>
    <row r="82" spans="1:12" ht="27.6" x14ac:dyDescent="0.3">
      <c r="A82" s="267" t="str">
        <f t="shared" si="20"/>
        <v>Do Not Print</v>
      </c>
      <c r="B82" s="268" t="s">
        <v>1080</v>
      </c>
      <c r="C82" s="270" t="s">
        <v>1065</v>
      </c>
      <c r="D82" s="268"/>
      <c r="E82" s="269" t="s">
        <v>709</v>
      </c>
      <c r="F82" s="280">
        <f t="shared" si="21"/>
        <v>0</v>
      </c>
      <c r="G82" s="263">
        <f t="shared" si="22"/>
        <v>0</v>
      </c>
      <c r="H82" s="198"/>
      <c r="I82" s="200"/>
      <c r="J82" s="165">
        <f t="shared" si="23"/>
        <v>0</v>
      </c>
      <c r="K82" s="165">
        <f t="shared" si="11"/>
        <v>0</v>
      </c>
      <c r="L82" s="165"/>
    </row>
    <row r="83" spans="1:12" ht="27.6" x14ac:dyDescent="0.3">
      <c r="A83" s="267" t="str">
        <f t="shared" si="20"/>
        <v>Do Not Print</v>
      </c>
      <c r="B83" s="268" t="s">
        <v>1080</v>
      </c>
      <c r="C83" s="270" t="s">
        <v>1066</v>
      </c>
      <c r="D83" s="268"/>
      <c r="E83" s="269" t="s">
        <v>709</v>
      </c>
      <c r="F83" s="280">
        <f t="shared" si="21"/>
        <v>0</v>
      </c>
      <c r="G83" s="263">
        <f t="shared" si="22"/>
        <v>0</v>
      </c>
      <c r="H83" s="198"/>
      <c r="I83" s="200"/>
      <c r="J83" s="165">
        <f t="shared" si="23"/>
        <v>0</v>
      </c>
      <c r="K83" s="165">
        <f t="shared" si="11"/>
        <v>0</v>
      </c>
      <c r="L83" s="165"/>
    </row>
    <row r="84" spans="1:12" ht="41.4" x14ac:dyDescent="0.3">
      <c r="A84" s="267" t="str">
        <f t="shared" si="20"/>
        <v>Do Not Print</v>
      </c>
      <c r="B84" s="268" t="s">
        <v>1080</v>
      </c>
      <c r="C84" s="270" t="s">
        <v>1067</v>
      </c>
      <c r="D84" s="268"/>
      <c r="E84" s="269" t="s">
        <v>709</v>
      </c>
      <c r="F84" s="280">
        <f t="shared" si="21"/>
        <v>0</v>
      </c>
      <c r="G84" s="263">
        <f t="shared" si="22"/>
        <v>0</v>
      </c>
      <c r="H84" s="198"/>
      <c r="I84" s="200"/>
      <c r="J84" s="165">
        <f t="shared" si="23"/>
        <v>0</v>
      </c>
      <c r="K84" s="165">
        <f t="shared" si="11"/>
        <v>0</v>
      </c>
      <c r="L84" s="165"/>
    </row>
    <row r="85" spans="1:12" ht="27.6" x14ac:dyDescent="0.3">
      <c r="A85" s="267" t="str">
        <f t="shared" si="20"/>
        <v>Do Not Print</v>
      </c>
      <c r="B85" s="268" t="s">
        <v>1080</v>
      </c>
      <c r="C85" s="270" t="s">
        <v>1068</v>
      </c>
      <c r="D85" s="268"/>
      <c r="E85" s="269" t="s">
        <v>709</v>
      </c>
      <c r="F85" s="280">
        <f t="shared" si="21"/>
        <v>0</v>
      </c>
      <c r="G85" s="263">
        <f t="shared" si="22"/>
        <v>0</v>
      </c>
      <c r="H85" s="198"/>
      <c r="I85" s="200"/>
      <c r="J85" s="165">
        <f t="shared" si="23"/>
        <v>0</v>
      </c>
      <c r="K85" s="165">
        <f t="shared" si="11"/>
        <v>0</v>
      </c>
      <c r="L85" s="165"/>
    </row>
    <row r="86" spans="1:12" ht="27.6" x14ac:dyDescent="0.3">
      <c r="A86" s="267" t="str">
        <f t="shared" si="20"/>
        <v>Do Not Print</v>
      </c>
      <c r="B86" s="268" t="s">
        <v>1080</v>
      </c>
      <c r="C86" s="270" t="s">
        <v>1069</v>
      </c>
      <c r="D86" s="268"/>
      <c r="E86" s="269" t="s">
        <v>709</v>
      </c>
      <c r="F86" s="280">
        <f t="shared" si="21"/>
        <v>0</v>
      </c>
      <c r="G86" s="263">
        <f t="shared" si="22"/>
        <v>0</v>
      </c>
      <c r="H86" s="198"/>
      <c r="I86" s="200"/>
      <c r="J86" s="165">
        <f t="shared" si="23"/>
        <v>0</v>
      </c>
      <c r="K86" s="165">
        <f t="shared" si="11"/>
        <v>0</v>
      </c>
      <c r="L86" s="165"/>
    </row>
    <row r="87" spans="1:12" ht="27.6" x14ac:dyDescent="0.3">
      <c r="A87" s="267" t="str">
        <f t="shared" si="20"/>
        <v>Do Not Print</v>
      </c>
      <c r="B87" s="268" t="s">
        <v>1080</v>
      </c>
      <c r="C87" s="270" t="s">
        <v>1070</v>
      </c>
      <c r="D87" s="268"/>
      <c r="E87" s="269" t="s">
        <v>709</v>
      </c>
      <c r="F87" s="280">
        <f t="shared" si="21"/>
        <v>0</v>
      </c>
      <c r="G87" s="263">
        <f t="shared" si="22"/>
        <v>0</v>
      </c>
      <c r="H87" s="198"/>
      <c r="I87" s="200"/>
      <c r="J87" s="165">
        <f t="shared" si="23"/>
        <v>0</v>
      </c>
      <c r="K87" s="165">
        <f t="shared" si="11"/>
        <v>0</v>
      </c>
      <c r="L87" s="165"/>
    </row>
    <row r="88" spans="1:12" ht="27.6" x14ac:dyDescent="0.3">
      <c r="A88" s="267" t="str">
        <f t="shared" si="20"/>
        <v>Do Not Print</v>
      </c>
      <c r="B88" s="268" t="s">
        <v>1080</v>
      </c>
      <c r="C88" s="270" t="s">
        <v>1071</v>
      </c>
      <c r="D88" s="268"/>
      <c r="E88" s="269" t="s">
        <v>709</v>
      </c>
      <c r="F88" s="280">
        <f t="shared" si="21"/>
        <v>0</v>
      </c>
      <c r="G88" s="263">
        <f t="shared" si="22"/>
        <v>0</v>
      </c>
      <c r="H88" s="198"/>
      <c r="I88" s="200"/>
      <c r="J88" s="165">
        <f t="shared" si="23"/>
        <v>0</v>
      </c>
      <c r="K88" s="165">
        <f t="shared" si="11"/>
        <v>0</v>
      </c>
      <c r="L88" s="165"/>
    </row>
    <row r="89" spans="1:12" ht="27.6" x14ac:dyDescent="0.3">
      <c r="A89" s="267" t="str">
        <f t="shared" si="20"/>
        <v>Do Not Print</v>
      </c>
      <c r="B89" s="268" t="s">
        <v>1080</v>
      </c>
      <c r="C89" s="270" t="s">
        <v>994</v>
      </c>
      <c r="D89" s="268"/>
      <c r="E89" s="269" t="s">
        <v>709</v>
      </c>
      <c r="F89" s="280">
        <f t="shared" si="21"/>
        <v>0</v>
      </c>
      <c r="G89" s="263">
        <f t="shared" si="22"/>
        <v>0</v>
      </c>
      <c r="H89" s="198"/>
      <c r="I89" s="200"/>
      <c r="J89" s="165">
        <f t="shared" si="23"/>
        <v>0</v>
      </c>
      <c r="K89" s="165">
        <f t="shared" si="11"/>
        <v>0</v>
      </c>
      <c r="L89" s="165"/>
    </row>
    <row r="90" spans="1:12" ht="27.6" x14ac:dyDescent="0.3">
      <c r="A90" s="267" t="str">
        <f t="shared" si="20"/>
        <v>Do Not Print</v>
      </c>
      <c r="B90" s="268" t="s">
        <v>1080</v>
      </c>
      <c r="C90" s="270" t="s">
        <v>1072</v>
      </c>
      <c r="D90" s="268"/>
      <c r="E90" s="269" t="s">
        <v>709</v>
      </c>
      <c r="F90" s="280">
        <f t="shared" si="21"/>
        <v>0</v>
      </c>
      <c r="G90" s="263">
        <f t="shared" si="22"/>
        <v>0</v>
      </c>
      <c r="H90" s="198"/>
      <c r="I90" s="200"/>
      <c r="J90" s="165">
        <f t="shared" si="23"/>
        <v>0</v>
      </c>
      <c r="K90" s="165">
        <f t="shared" si="11"/>
        <v>0</v>
      </c>
      <c r="L90" s="165"/>
    </row>
    <row r="91" spans="1:12" ht="27.6" x14ac:dyDescent="0.3">
      <c r="A91" s="267" t="str">
        <f t="shared" si="20"/>
        <v>Do Not Print</v>
      </c>
      <c r="B91" s="268" t="s">
        <v>1080</v>
      </c>
      <c r="C91" s="267" t="s">
        <v>101</v>
      </c>
      <c r="D91" s="268"/>
      <c r="E91" s="269" t="s">
        <v>709</v>
      </c>
      <c r="F91" s="280">
        <f t="shared" si="21"/>
        <v>0</v>
      </c>
      <c r="G91" s="263">
        <f t="shared" si="22"/>
        <v>0</v>
      </c>
      <c r="H91" s="198"/>
      <c r="I91" s="200"/>
      <c r="J91" s="165">
        <f t="shared" si="23"/>
        <v>0</v>
      </c>
      <c r="K91" s="165">
        <f t="shared" si="11"/>
        <v>0</v>
      </c>
      <c r="L91" s="165"/>
    </row>
    <row r="92" spans="1:12" ht="27.6" x14ac:dyDescent="0.3">
      <c r="A92" s="267" t="str">
        <f t="shared" si="20"/>
        <v>Do Not Print</v>
      </c>
      <c r="B92" s="268" t="s">
        <v>1080</v>
      </c>
      <c r="C92" s="270" t="s">
        <v>1073</v>
      </c>
      <c r="D92" s="268"/>
      <c r="E92" s="269" t="s">
        <v>709</v>
      </c>
      <c r="F92" s="280">
        <f t="shared" si="21"/>
        <v>0</v>
      </c>
      <c r="G92" s="263">
        <f t="shared" si="22"/>
        <v>0</v>
      </c>
      <c r="H92" s="198"/>
      <c r="I92" s="200"/>
      <c r="J92" s="165">
        <f t="shared" si="23"/>
        <v>0</v>
      </c>
      <c r="K92" s="165">
        <f t="shared" si="11"/>
        <v>0</v>
      </c>
      <c r="L92" s="165"/>
    </row>
    <row r="93" spans="1:12" ht="27.6" x14ac:dyDescent="0.3">
      <c r="A93" s="267" t="str">
        <f t="shared" si="20"/>
        <v>Do Not Print</v>
      </c>
      <c r="B93" s="268" t="s">
        <v>1080</v>
      </c>
      <c r="C93" s="270" t="s">
        <v>1074</v>
      </c>
      <c r="D93" s="268"/>
      <c r="E93" s="269" t="s">
        <v>709</v>
      </c>
      <c r="F93" s="280">
        <f t="shared" ref="F93:F98" si="24">-VLOOKUP($C93,LNFS,5,0)</f>
        <v>0</v>
      </c>
      <c r="G93" s="263">
        <f t="shared" ref="G93:G98" si="25">-VLOOKUP($C93,LNFS,11,0)</f>
        <v>0</v>
      </c>
      <c r="H93" s="198"/>
      <c r="I93" s="200"/>
      <c r="J93" s="165">
        <f t="shared" si="23"/>
        <v>0</v>
      </c>
      <c r="K93" s="165">
        <f t="shared" si="11"/>
        <v>0</v>
      </c>
      <c r="L93" s="165"/>
    </row>
    <row r="94" spans="1:12" ht="41.4" x14ac:dyDescent="0.3">
      <c r="A94" s="267" t="str">
        <f t="shared" si="20"/>
        <v>Do Not Print</v>
      </c>
      <c r="B94" s="268" t="s">
        <v>1080</v>
      </c>
      <c r="C94" s="267" t="s">
        <v>111</v>
      </c>
      <c r="D94" s="268"/>
      <c r="E94" s="269" t="s">
        <v>709</v>
      </c>
      <c r="F94" s="280">
        <f t="shared" si="24"/>
        <v>0</v>
      </c>
      <c r="G94" s="263">
        <f t="shared" si="25"/>
        <v>0</v>
      </c>
      <c r="H94" s="198"/>
      <c r="I94" s="200"/>
      <c r="J94" s="165">
        <f t="shared" si="23"/>
        <v>0</v>
      </c>
      <c r="K94" s="165">
        <f>ROUND(G94,0)</f>
        <v>0</v>
      </c>
      <c r="L94" s="165"/>
    </row>
    <row r="95" spans="1:12" ht="27.6" x14ac:dyDescent="0.3">
      <c r="A95" s="267" t="str">
        <f t="shared" si="20"/>
        <v>Do Not Print</v>
      </c>
      <c r="B95" s="268" t="s">
        <v>1080</v>
      </c>
      <c r="C95" s="270" t="s">
        <v>1075</v>
      </c>
      <c r="D95" s="268"/>
      <c r="E95" s="269" t="s">
        <v>709</v>
      </c>
      <c r="F95" s="280">
        <f t="shared" si="24"/>
        <v>0</v>
      </c>
      <c r="G95" s="263">
        <f t="shared" si="25"/>
        <v>0</v>
      </c>
      <c r="H95" s="198"/>
      <c r="I95" s="200"/>
      <c r="J95" s="165">
        <f t="shared" si="23"/>
        <v>0</v>
      </c>
      <c r="K95" s="165">
        <f t="shared" si="11"/>
        <v>0</v>
      </c>
      <c r="L95" s="165"/>
    </row>
    <row r="96" spans="1:12" ht="27.6" x14ac:dyDescent="0.3">
      <c r="A96" s="267" t="str">
        <f t="shared" si="20"/>
        <v>Do Not Print</v>
      </c>
      <c r="B96" s="268" t="s">
        <v>1080</v>
      </c>
      <c r="C96" s="270" t="s">
        <v>1076</v>
      </c>
      <c r="D96" s="268"/>
      <c r="E96" s="269" t="s">
        <v>709</v>
      </c>
      <c r="F96" s="280">
        <f t="shared" si="24"/>
        <v>0</v>
      </c>
      <c r="G96" s="263">
        <f t="shared" si="25"/>
        <v>0</v>
      </c>
      <c r="H96" s="198"/>
      <c r="I96" s="200"/>
      <c r="J96" s="165">
        <f t="shared" si="23"/>
        <v>0</v>
      </c>
      <c r="K96" s="165">
        <f t="shared" si="11"/>
        <v>0</v>
      </c>
      <c r="L96" s="165"/>
    </row>
    <row r="97" spans="1:12" ht="27.6" x14ac:dyDescent="0.3">
      <c r="A97" s="267" t="str">
        <f t="shared" si="20"/>
        <v>Do Not Print</v>
      </c>
      <c r="B97" s="268" t="s">
        <v>1080</v>
      </c>
      <c r="C97" s="270" t="s">
        <v>1077</v>
      </c>
      <c r="D97" s="268"/>
      <c r="E97" s="269" t="s">
        <v>709</v>
      </c>
      <c r="F97" s="280">
        <f t="shared" si="24"/>
        <v>0</v>
      </c>
      <c r="G97" s="263">
        <f t="shared" si="25"/>
        <v>0</v>
      </c>
      <c r="H97" s="198"/>
      <c r="I97" s="200"/>
      <c r="J97" s="165">
        <f t="shared" si="23"/>
        <v>0</v>
      </c>
      <c r="K97" s="165">
        <f t="shared" si="11"/>
        <v>0</v>
      </c>
      <c r="L97" s="165"/>
    </row>
    <row r="98" spans="1:12" ht="27.6" x14ac:dyDescent="0.3">
      <c r="A98" s="267" t="str">
        <f t="shared" si="20"/>
        <v>Do Not Print</v>
      </c>
      <c r="B98" s="268" t="s">
        <v>1080</v>
      </c>
      <c r="C98" s="270" t="s">
        <v>1078</v>
      </c>
      <c r="D98" s="268"/>
      <c r="E98" s="269" t="s">
        <v>709</v>
      </c>
      <c r="F98" s="280">
        <f t="shared" si="24"/>
        <v>0</v>
      </c>
      <c r="G98" s="263">
        <f t="shared" si="25"/>
        <v>0</v>
      </c>
      <c r="H98" s="198"/>
      <c r="I98" s="200"/>
      <c r="J98" s="165">
        <f t="shared" si="23"/>
        <v>0</v>
      </c>
      <c r="K98" s="165">
        <f t="shared" si="11"/>
        <v>0</v>
      </c>
      <c r="L98" s="165"/>
    </row>
    <row r="99" spans="1:12" ht="27.6" x14ac:dyDescent="0.3">
      <c r="A99" s="267" t="str">
        <f t="shared" si="20"/>
        <v>Do Not Print</v>
      </c>
      <c r="B99" s="268" t="s">
        <v>1080</v>
      </c>
      <c r="C99" s="270" t="s">
        <v>1079</v>
      </c>
      <c r="D99" s="268"/>
      <c r="E99" s="269" t="s">
        <v>709</v>
      </c>
      <c r="F99" s="280">
        <f>VLOOKUP($C99,LNFS,5,0)</f>
        <v>0</v>
      </c>
      <c r="G99" s="263">
        <f>VLOOKUP($C99,LNFS,11,0)</f>
        <v>0</v>
      </c>
      <c r="H99" s="198"/>
      <c r="I99" s="200"/>
      <c r="J99" s="165">
        <f t="shared" si="23"/>
        <v>0</v>
      </c>
      <c r="K99" s="165">
        <f t="shared" si="11"/>
        <v>0</v>
      </c>
      <c r="L99" s="165"/>
    </row>
    <row r="100" spans="1:12" ht="27.6" x14ac:dyDescent="0.3">
      <c r="A100" s="267" t="str">
        <f t="shared" si="20"/>
        <v>Do Not Print</v>
      </c>
      <c r="B100" s="268" t="s">
        <v>1080</v>
      </c>
      <c r="C100" s="270" t="s">
        <v>997</v>
      </c>
      <c r="D100" s="268"/>
      <c r="E100" s="269" t="s">
        <v>709</v>
      </c>
      <c r="F100" s="280">
        <f>VLOOKUP($C100,LNFS,5,0)</f>
        <v>0</v>
      </c>
      <c r="G100" s="263">
        <f>VLOOKUP($C100,LNFS,11,0)</f>
        <v>0</v>
      </c>
      <c r="H100" s="198"/>
      <c r="I100" s="200"/>
      <c r="J100" s="165">
        <f t="shared" si="23"/>
        <v>0</v>
      </c>
      <c r="K100" s="165">
        <f t="shared" si="11"/>
        <v>0</v>
      </c>
      <c r="L100" s="165"/>
    </row>
    <row r="101" spans="1:12" s="14" customFormat="1" ht="14.4" x14ac:dyDescent="0.3">
      <c r="A101" s="45" t="s">
        <v>448</v>
      </c>
      <c r="C101" s="45" t="s">
        <v>1633</v>
      </c>
      <c r="E101" s="258"/>
      <c r="F101" s="274">
        <f>SUM(F79:F89)-SUM(F90:F100)</f>
        <v>0</v>
      </c>
      <c r="G101" s="274">
        <f>SUM(G79:G89)-SUM(G90:G100)</f>
        <v>0</v>
      </c>
      <c r="H101" s="202"/>
      <c r="I101" s="197"/>
      <c r="J101" s="197">
        <f t="shared" si="23"/>
        <v>0</v>
      </c>
      <c r="K101" s="197">
        <f>ROUND(G101,0)</f>
        <v>0</v>
      </c>
      <c r="L101" s="197"/>
    </row>
    <row r="102" spans="1:12" x14ac:dyDescent="0.3">
      <c r="A102" s="39" t="s">
        <v>448</v>
      </c>
      <c r="C102" s="18"/>
      <c r="F102" s="165"/>
      <c r="G102" s="165"/>
      <c r="H102" s="198"/>
      <c r="I102" s="200"/>
      <c r="J102" s="165"/>
      <c r="K102" s="165"/>
      <c r="L102" s="165"/>
    </row>
    <row r="103" spans="1:12" ht="27.6" x14ac:dyDescent="0.3">
      <c r="A103" s="276" t="str">
        <f t="shared" si="20"/>
        <v>Do Not Print</v>
      </c>
      <c r="B103" s="246" t="s">
        <v>893</v>
      </c>
      <c r="C103" s="276" t="s">
        <v>702</v>
      </c>
      <c r="D103" s="246"/>
      <c r="E103" s="278" t="s">
        <v>709</v>
      </c>
      <c r="F103" s="284">
        <f t="shared" ref="F103:F116" si="26">VLOOKUP($C103,VASS,5,0)</f>
        <v>0</v>
      </c>
      <c r="G103" s="253">
        <f t="shared" ref="G103:G116" si="27">VLOOKUP($C103,VASS,11,0)</f>
        <v>0</v>
      </c>
      <c r="H103" s="198"/>
      <c r="I103" s="200"/>
      <c r="J103" s="165">
        <f t="shared" ref="J103:J125" si="28">ROUND(F103,0)</f>
        <v>0</v>
      </c>
      <c r="K103" s="165">
        <f t="shared" si="11"/>
        <v>0</v>
      </c>
      <c r="L103" s="165"/>
    </row>
    <row r="104" spans="1:12" ht="27.6" x14ac:dyDescent="0.3">
      <c r="A104" s="276" t="str">
        <f t="shared" si="20"/>
        <v>Do Not Print</v>
      </c>
      <c r="B104" s="246" t="s">
        <v>893</v>
      </c>
      <c r="C104" s="276" t="s">
        <v>101</v>
      </c>
      <c r="D104" s="246"/>
      <c r="E104" s="278" t="s">
        <v>709</v>
      </c>
      <c r="F104" s="284">
        <f t="shared" si="26"/>
        <v>0</v>
      </c>
      <c r="G104" s="253">
        <f t="shared" si="27"/>
        <v>0</v>
      </c>
      <c r="H104" s="198"/>
      <c r="I104" s="200"/>
      <c r="J104" s="165">
        <f t="shared" si="28"/>
        <v>0</v>
      </c>
      <c r="K104" s="165">
        <f t="shared" si="11"/>
        <v>0</v>
      </c>
      <c r="L104" s="165"/>
    </row>
    <row r="105" spans="1:12" ht="27.6" x14ac:dyDescent="0.3">
      <c r="A105" s="276" t="str">
        <f t="shared" si="20"/>
        <v>Do Not Print</v>
      </c>
      <c r="B105" s="246" t="s">
        <v>893</v>
      </c>
      <c r="C105" s="277" t="s">
        <v>1005</v>
      </c>
      <c r="D105" s="246"/>
      <c r="E105" s="278" t="s">
        <v>709</v>
      </c>
      <c r="F105" s="284">
        <f t="shared" si="26"/>
        <v>0</v>
      </c>
      <c r="G105" s="253">
        <f t="shared" si="27"/>
        <v>0</v>
      </c>
      <c r="H105" s="198"/>
      <c r="I105" s="200"/>
      <c r="J105" s="165">
        <f t="shared" si="28"/>
        <v>0</v>
      </c>
      <c r="K105" s="165">
        <f t="shared" si="11"/>
        <v>0</v>
      </c>
      <c r="L105" s="165"/>
    </row>
    <row r="106" spans="1:12" ht="27.6" x14ac:dyDescent="0.3">
      <c r="A106" s="276" t="str">
        <f t="shared" si="20"/>
        <v>Do Not Print</v>
      </c>
      <c r="B106" s="246" t="s">
        <v>893</v>
      </c>
      <c r="C106" s="277" t="s">
        <v>1007</v>
      </c>
      <c r="D106" s="246"/>
      <c r="E106" s="278" t="s">
        <v>709</v>
      </c>
      <c r="F106" s="284">
        <f t="shared" si="26"/>
        <v>0</v>
      </c>
      <c r="G106" s="253">
        <f t="shared" si="27"/>
        <v>0</v>
      </c>
      <c r="H106" s="198"/>
      <c r="I106" s="200"/>
      <c r="J106" s="165">
        <f t="shared" si="28"/>
        <v>0</v>
      </c>
      <c r="K106" s="165">
        <f t="shared" si="11"/>
        <v>0</v>
      </c>
      <c r="L106" s="165"/>
    </row>
    <row r="107" spans="1:12" ht="27.6" x14ac:dyDescent="0.3">
      <c r="A107" s="276" t="str">
        <f t="shared" si="20"/>
        <v>Do Not Print</v>
      </c>
      <c r="B107" s="246" t="s">
        <v>893</v>
      </c>
      <c r="C107" s="277" t="s">
        <v>1006</v>
      </c>
      <c r="D107" s="246"/>
      <c r="E107" s="278" t="s">
        <v>709</v>
      </c>
      <c r="F107" s="284">
        <f t="shared" si="26"/>
        <v>0</v>
      </c>
      <c r="G107" s="253">
        <f t="shared" si="27"/>
        <v>0</v>
      </c>
      <c r="H107" s="198"/>
      <c r="I107" s="200"/>
      <c r="J107" s="165">
        <f t="shared" si="28"/>
        <v>0</v>
      </c>
      <c r="K107" s="165">
        <f t="shared" si="11"/>
        <v>0</v>
      </c>
      <c r="L107" s="165"/>
    </row>
    <row r="108" spans="1:12" ht="27.6" x14ac:dyDescent="0.3">
      <c r="A108" s="276" t="str">
        <f t="shared" si="20"/>
        <v>Do Not Print</v>
      </c>
      <c r="B108" s="246" t="s">
        <v>893</v>
      </c>
      <c r="C108" s="277" t="s">
        <v>1008</v>
      </c>
      <c r="D108" s="246"/>
      <c r="E108" s="278" t="s">
        <v>709</v>
      </c>
      <c r="F108" s="284">
        <f t="shared" si="26"/>
        <v>0</v>
      </c>
      <c r="G108" s="253">
        <f t="shared" si="27"/>
        <v>0</v>
      </c>
      <c r="H108" s="198"/>
      <c r="I108" s="200"/>
      <c r="J108" s="165">
        <f t="shared" si="28"/>
        <v>0</v>
      </c>
      <c r="K108" s="165">
        <f t="shared" si="11"/>
        <v>0</v>
      </c>
      <c r="L108" s="165"/>
    </row>
    <row r="109" spans="1:12" ht="41.4" x14ac:dyDescent="0.3">
      <c r="A109" s="276" t="str">
        <f t="shared" si="20"/>
        <v>Do Not Print</v>
      </c>
      <c r="B109" s="246" t="s">
        <v>893</v>
      </c>
      <c r="C109" s="277" t="s">
        <v>1009</v>
      </c>
      <c r="D109" s="246"/>
      <c r="E109" s="278" t="s">
        <v>709</v>
      </c>
      <c r="F109" s="284">
        <f t="shared" si="26"/>
        <v>0</v>
      </c>
      <c r="G109" s="253">
        <f t="shared" si="27"/>
        <v>0</v>
      </c>
      <c r="H109" s="198"/>
      <c r="I109" s="200"/>
      <c r="J109" s="165">
        <f t="shared" si="28"/>
        <v>0</v>
      </c>
      <c r="K109" s="165">
        <f t="shared" ref="K109:K184" si="29">ROUND(G109,0)</f>
        <v>0</v>
      </c>
      <c r="L109" s="165"/>
    </row>
    <row r="110" spans="1:12" ht="27.6" x14ac:dyDescent="0.3">
      <c r="A110" s="276" t="str">
        <f t="shared" si="20"/>
        <v>Do Not Print</v>
      </c>
      <c r="B110" s="246" t="s">
        <v>893</v>
      </c>
      <c r="C110" s="277" t="s">
        <v>1010</v>
      </c>
      <c r="D110" s="246"/>
      <c r="E110" s="278" t="s">
        <v>709</v>
      </c>
      <c r="F110" s="284">
        <f t="shared" si="26"/>
        <v>0</v>
      </c>
      <c r="G110" s="253">
        <f t="shared" si="27"/>
        <v>0</v>
      </c>
      <c r="H110" s="198"/>
      <c r="I110" s="200"/>
      <c r="J110" s="165">
        <f t="shared" si="28"/>
        <v>0</v>
      </c>
      <c r="K110" s="165">
        <f t="shared" si="29"/>
        <v>0</v>
      </c>
      <c r="L110" s="165"/>
    </row>
    <row r="111" spans="1:12" ht="27.6" x14ac:dyDescent="0.3">
      <c r="A111" s="276" t="str">
        <f t="shared" si="20"/>
        <v>Do Not Print</v>
      </c>
      <c r="B111" s="246" t="s">
        <v>893</v>
      </c>
      <c r="C111" s="277" t="s">
        <v>719</v>
      </c>
      <c r="D111" s="246"/>
      <c r="E111" s="278" t="s">
        <v>709</v>
      </c>
      <c r="F111" s="284">
        <f t="shared" si="26"/>
        <v>0</v>
      </c>
      <c r="G111" s="253">
        <f t="shared" si="27"/>
        <v>0</v>
      </c>
      <c r="H111" s="198"/>
      <c r="I111" s="200"/>
      <c r="J111" s="165">
        <f t="shared" si="28"/>
        <v>0</v>
      </c>
      <c r="K111" s="165">
        <f t="shared" si="29"/>
        <v>0</v>
      </c>
      <c r="L111" s="165"/>
    </row>
    <row r="112" spans="1:12" ht="27.6" x14ac:dyDescent="0.3">
      <c r="A112" s="276" t="str">
        <f t="shared" si="20"/>
        <v>Do Not Print</v>
      </c>
      <c r="B112" s="246" t="s">
        <v>893</v>
      </c>
      <c r="C112" s="276" t="s">
        <v>720</v>
      </c>
      <c r="D112" s="246"/>
      <c r="E112" s="278" t="s">
        <v>709</v>
      </c>
      <c r="F112" s="284">
        <f t="shared" si="26"/>
        <v>0</v>
      </c>
      <c r="G112" s="253">
        <f t="shared" si="27"/>
        <v>0</v>
      </c>
      <c r="H112" s="198"/>
      <c r="I112" s="200"/>
      <c r="J112" s="165">
        <f t="shared" si="28"/>
        <v>0</v>
      </c>
      <c r="K112" s="165">
        <f t="shared" si="29"/>
        <v>0</v>
      </c>
      <c r="L112" s="165"/>
    </row>
    <row r="113" spans="1:12" ht="27.6" x14ac:dyDescent="0.3">
      <c r="A113" s="276" t="str">
        <f t="shared" si="20"/>
        <v>Do Not Print</v>
      </c>
      <c r="B113" s="246" t="s">
        <v>893</v>
      </c>
      <c r="C113" s="276" t="s">
        <v>994</v>
      </c>
      <c r="D113" s="246"/>
      <c r="E113" s="278" t="s">
        <v>709</v>
      </c>
      <c r="F113" s="284">
        <f t="shared" si="26"/>
        <v>0</v>
      </c>
      <c r="G113" s="253">
        <f t="shared" si="27"/>
        <v>0</v>
      </c>
      <c r="H113" s="198"/>
      <c r="I113" s="200"/>
      <c r="J113" s="165">
        <f t="shared" si="28"/>
        <v>0</v>
      </c>
      <c r="K113" s="165">
        <f t="shared" si="29"/>
        <v>0</v>
      </c>
      <c r="L113" s="165"/>
    </row>
    <row r="114" spans="1:12" ht="27.6" x14ac:dyDescent="0.3">
      <c r="A114" s="276" t="str">
        <f t="shared" si="20"/>
        <v>Do Not Print</v>
      </c>
      <c r="B114" s="246" t="s">
        <v>893</v>
      </c>
      <c r="C114" s="276" t="s">
        <v>721</v>
      </c>
      <c r="D114" s="246"/>
      <c r="E114" s="278" t="s">
        <v>709</v>
      </c>
      <c r="F114" s="284">
        <f t="shared" si="26"/>
        <v>0</v>
      </c>
      <c r="G114" s="253">
        <f t="shared" si="27"/>
        <v>0</v>
      </c>
      <c r="H114" s="198"/>
      <c r="I114" s="200"/>
      <c r="J114" s="165">
        <f t="shared" si="28"/>
        <v>0</v>
      </c>
      <c r="K114" s="165">
        <f t="shared" si="29"/>
        <v>0</v>
      </c>
      <c r="L114" s="165"/>
    </row>
    <row r="115" spans="1:12" ht="27.6" x14ac:dyDescent="0.3">
      <c r="A115" s="276" t="str">
        <f t="shared" si="20"/>
        <v>Do Not Print</v>
      </c>
      <c r="B115" s="246" t="s">
        <v>893</v>
      </c>
      <c r="C115" s="276" t="s">
        <v>101</v>
      </c>
      <c r="D115" s="246"/>
      <c r="E115" s="278" t="s">
        <v>709</v>
      </c>
      <c r="F115" s="284">
        <f t="shared" si="26"/>
        <v>0</v>
      </c>
      <c r="G115" s="253">
        <f t="shared" si="27"/>
        <v>0</v>
      </c>
      <c r="H115" s="198"/>
      <c r="I115" s="200"/>
      <c r="J115" s="165">
        <f t="shared" si="28"/>
        <v>0</v>
      </c>
      <c r="K115" s="165">
        <f t="shared" si="29"/>
        <v>0</v>
      </c>
      <c r="L115" s="165"/>
    </row>
    <row r="116" spans="1:12" ht="27.6" x14ac:dyDescent="0.3">
      <c r="A116" s="276" t="str">
        <f t="shared" si="20"/>
        <v>Do Not Print</v>
      </c>
      <c r="B116" s="246" t="s">
        <v>893</v>
      </c>
      <c r="C116" s="276" t="s">
        <v>722</v>
      </c>
      <c r="D116" s="246"/>
      <c r="E116" s="278" t="s">
        <v>709</v>
      </c>
      <c r="F116" s="284">
        <f t="shared" si="26"/>
        <v>0</v>
      </c>
      <c r="G116" s="253">
        <f t="shared" si="27"/>
        <v>0</v>
      </c>
      <c r="H116" s="198"/>
      <c r="I116" s="200"/>
      <c r="J116" s="165">
        <f t="shared" si="28"/>
        <v>0</v>
      </c>
      <c r="K116" s="165">
        <f t="shared" si="29"/>
        <v>0</v>
      </c>
      <c r="L116" s="165"/>
    </row>
    <row r="117" spans="1:12" ht="27.6" x14ac:dyDescent="0.3">
      <c r="A117" s="276" t="str">
        <f t="shared" si="20"/>
        <v>Do Not Print</v>
      </c>
      <c r="B117" s="246" t="s">
        <v>893</v>
      </c>
      <c r="C117" s="276" t="s">
        <v>1011</v>
      </c>
      <c r="D117" s="246"/>
      <c r="E117" s="278" t="s">
        <v>709</v>
      </c>
      <c r="F117" s="284">
        <f t="shared" ref="F117:F122" si="30">-VLOOKUP($C117,VASS,5,0)</f>
        <v>0</v>
      </c>
      <c r="G117" s="253">
        <f t="shared" ref="G117:G122" si="31">-VLOOKUP($C117,VASS,11,0)</f>
        <v>0</v>
      </c>
      <c r="H117" s="198"/>
      <c r="I117" s="200"/>
      <c r="J117" s="165">
        <f t="shared" si="28"/>
        <v>0</v>
      </c>
      <c r="K117" s="165">
        <f>ROUND(G117,0)</f>
        <v>0</v>
      </c>
      <c r="L117" s="165"/>
    </row>
    <row r="118" spans="1:12" ht="41.4" x14ac:dyDescent="0.3">
      <c r="A118" s="276" t="str">
        <f t="shared" si="20"/>
        <v>Do Not Print</v>
      </c>
      <c r="B118" s="246" t="s">
        <v>893</v>
      </c>
      <c r="C118" s="276" t="s">
        <v>111</v>
      </c>
      <c r="D118" s="246"/>
      <c r="E118" s="278" t="s">
        <v>709</v>
      </c>
      <c r="F118" s="284">
        <f t="shared" si="30"/>
        <v>0</v>
      </c>
      <c r="G118" s="253">
        <f t="shared" si="31"/>
        <v>0</v>
      </c>
      <c r="H118" s="198"/>
      <c r="I118" s="200"/>
      <c r="J118" s="165">
        <f t="shared" si="28"/>
        <v>0</v>
      </c>
      <c r="K118" s="165">
        <f>ROUND(G118,0)</f>
        <v>0</v>
      </c>
      <c r="L118" s="165"/>
    </row>
    <row r="119" spans="1:12" ht="27.6" x14ac:dyDescent="0.3">
      <c r="A119" s="276" t="str">
        <f t="shared" si="20"/>
        <v>Do Not Print</v>
      </c>
      <c r="B119" s="246" t="s">
        <v>893</v>
      </c>
      <c r="C119" s="276" t="s">
        <v>1013</v>
      </c>
      <c r="D119" s="246"/>
      <c r="E119" s="278" t="s">
        <v>709</v>
      </c>
      <c r="F119" s="284">
        <f t="shared" si="30"/>
        <v>0</v>
      </c>
      <c r="G119" s="253">
        <f t="shared" si="31"/>
        <v>0</v>
      </c>
      <c r="H119" s="198"/>
      <c r="I119" s="200"/>
      <c r="J119" s="165">
        <f t="shared" si="28"/>
        <v>0</v>
      </c>
      <c r="K119" s="165">
        <f t="shared" si="29"/>
        <v>0</v>
      </c>
      <c r="L119" s="165"/>
    </row>
    <row r="120" spans="1:12" ht="27.6" x14ac:dyDescent="0.3">
      <c r="A120" s="276" t="str">
        <f t="shared" si="20"/>
        <v>Do Not Print</v>
      </c>
      <c r="B120" s="246" t="s">
        <v>893</v>
      </c>
      <c r="C120" s="276" t="s">
        <v>1012</v>
      </c>
      <c r="D120" s="246"/>
      <c r="E120" s="278" t="s">
        <v>709</v>
      </c>
      <c r="F120" s="284">
        <f t="shared" si="30"/>
        <v>0</v>
      </c>
      <c r="G120" s="253">
        <f t="shared" si="31"/>
        <v>0</v>
      </c>
      <c r="H120" s="198"/>
      <c r="I120" s="200"/>
      <c r="J120" s="165">
        <f t="shared" si="28"/>
        <v>0</v>
      </c>
      <c r="K120" s="165">
        <f t="shared" si="29"/>
        <v>0</v>
      </c>
      <c r="L120" s="165"/>
    </row>
    <row r="121" spans="1:12" ht="27.6" x14ac:dyDescent="0.3">
      <c r="A121" s="276" t="str">
        <f t="shared" si="20"/>
        <v>Do Not Print</v>
      </c>
      <c r="B121" s="246" t="s">
        <v>893</v>
      </c>
      <c r="C121" s="277" t="s">
        <v>1014</v>
      </c>
      <c r="D121" s="246"/>
      <c r="E121" s="278" t="s">
        <v>709</v>
      </c>
      <c r="F121" s="284">
        <f>-VLOOKUP($C121,VASS,5,0)</f>
        <v>0</v>
      </c>
      <c r="G121" s="253">
        <f t="shared" si="31"/>
        <v>0</v>
      </c>
      <c r="H121" s="198"/>
      <c r="I121" s="200"/>
      <c r="J121" s="165">
        <f t="shared" si="28"/>
        <v>0</v>
      </c>
      <c r="K121" s="165">
        <f t="shared" si="29"/>
        <v>0</v>
      </c>
      <c r="L121" s="165"/>
    </row>
    <row r="122" spans="1:12" ht="27.6" x14ac:dyDescent="0.3">
      <c r="A122" s="276" t="str">
        <f t="shared" si="20"/>
        <v>Do Not Print</v>
      </c>
      <c r="B122" s="246" t="s">
        <v>893</v>
      </c>
      <c r="C122" s="277" t="s">
        <v>723</v>
      </c>
      <c r="D122" s="246"/>
      <c r="E122" s="278" t="s">
        <v>709</v>
      </c>
      <c r="F122" s="284">
        <f t="shared" si="30"/>
        <v>0</v>
      </c>
      <c r="G122" s="253">
        <f t="shared" si="31"/>
        <v>0</v>
      </c>
      <c r="H122" s="198"/>
      <c r="I122" s="200"/>
      <c r="J122" s="165">
        <f t="shared" si="28"/>
        <v>0</v>
      </c>
      <c r="K122" s="165">
        <f t="shared" si="29"/>
        <v>0</v>
      </c>
      <c r="L122" s="165"/>
    </row>
    <row r="123" spans="1:12" ht="27.6" x14ac:dyDescent="0.3">
      <c r="A123" s="276" t="str">
        <f t="shared" si="20"/>
        <v>Do Not Print</v>
      </c>
      <c r="B123" s="246" t="s">
        <v>893</v>
      </c>
      <c r="C123" s="276" t="s">
        <v>724</v>
      </c>
      <c r="D123" s="246"/>
      <c r="E123" s="278" t="s">
        <v>709</v>
      </c>
      <c r="F123" s="284">
        <f>VLOOKUP($C123,VASS,5,0)</f>
        <v>0</v>
      </c>
      <c r="G123" s="253">
        <f>VLOOKUP($C123,VASS,11,0)</f>
        <v>0</v>
      </c>
      <c r="H123" s="198"/>
      <c r="I123" s="200"/>
      <c r="J123" s="165">
        <f t="shared" si="28"/>
        <v>0</v>
      </c>
      <c r="K123" s="165">
        <f t="shared" si="29"/>
        <v>0</v>
      </c>
      <c r="L123" s="165"/>
    </row>
    <row r="124" spans="1:12" ht="27.6" x14ac:dyDescent="0.3">
      <c r="A124" s="276" t="str">
        <f t="shared" si="20"/>
        <v>Do Not Print</v>
      </c>
      <c r="B124" s="246" t="s">
        <v>893</v>
      </c>
      <c r="C124" s="276" t="s">
        <v>997</v>
      </c>
      <c r="D124" s="246"/>
      <c r="E124" s="278" t="s">
        <v>709</v>
      </c>
      <c r="F124" s="284">
        <f>VLOOKUP($C124,VASS,5,0)</f>
        <v>0</v>
      </c>
      <c r="G124" s="253">
        <f>VLOOKUP($C124,VASS,11,0)</f>
        <v>0</v>
      </c>
      <c r="H124" s="198"/>
      <c r="I124" s="200"/>
      <c r="J124" s="165">
        <f t="shared" si="28"/>
        <v>0</v>
      </c>
      <c r="K124" s="165">
        <f t="shared" si="29"/>
        <v>0</v>
      </c>
      <c r="L124" s="165"/>
    </row>
    <row r="125" spans="1:12" s="14" customFormat="1" ht="14.4" x14ac:dyDescent="0.3">
      <c r="A125" s="45" t="s">
        <v>448</v>
      </c>
      <c r="C125" s="45" t="s">
        <v>1634</v>
      </c>
      <c r="E125" s="258"/>
      <c r="F125" s="282">
        <f>SUM(F103:F113)-SUM(F114:F124)</f>
        <v>0</v>
      </c>
      <c r="G125" s="282">
        <f>SUM(G103:G113)-SUM(G114:G124)</f>
        <v>0</v>
      </c>
      <c r="H125" s="202"/>
      <c r="I125" s="197"/>
      <c r="J125" s="197">
        <f t="shared" si="28"/>
        <v>0</v>
      </c>
      <c r="K125" s="197">
        <f>ROUND(G125,0)</f>
        <v>0</v>
      </c>
      <c r="L125" s="197"/>
    </row>
    <row r="126" spans="1:12" x14ac:dyDescent="0.3">
      <c r="A126" s="39" t="s">
        <v>448</v>
      </c>
      <c r="F126" s="165"/>
      <c r="G126" s="165"/>
      <c r="H126" s="198"/>
      <c r="I126" s="200"/>
      <c r="J126" s="165"/>
      <c r="K126" s="165"/>
      <c r="L126" s="165"/>
    </row>
    <row r="127" spans="1:12" ht="27.6" x14ac:dyDescent="0.3">
      <c r="A127" s="285" t="str">
        <f t="shared" si="20"/>
        <v>Do Not Print</v>
      </c>
      <c r="B127" s="245" t="s">
        <v>894</v>
      </c>
      <c r="C127" s="285" t="s">
        <v>726</v>
      </c>
      <c r="D127" s="245"/>
      <c r="E127" s="286" t="s">
        <v>709</v>
      </c>
      <c r="F127" s="288">
        <f t="shared" ref="F127:F140" si="32">VLOOKUP($C127,CASS,5,0)</f>
        <v>0</v>
      </c>
      <c r="G127" s="279">
        <f t="shared" ref="G127:G140" si="33">VLOOKUP($C127,CASS,11,0)</f>
        <v>0</v>
      </c>
      <c r="H127" s="198"/>
      <c r="I127" s="200"/>
      <c r="J127" s="165">
        <f t="shared" ref="J127:J149" si="34">ROUND(F127,0)</f>
        <v>0</v>
      </c>
      <c r="K127" s="165">
        <f t="shared" si="29"/>
        <v>0</v>
      </c>
      <c r="L127" s="165"/>
    </row>
    <row r="128" spans="1:12" ht="27.6" x14ac:dyDescent="0.3">
      <c r="A128" s="285" t="str">
        <f t="shared" si="20"/>
        <v>Do Not Print</v>
      </c>
      <c r="B128" s="245" t="s">
        <v>894</v>
      </c>
      <c r="C128" s="285" t="s">
        <v>101</v>
      </c>
      <c r="D128" s="245"/>
      <c r="E128" s="286" t="s">
        <v>709</v>
      </c>
      <c r="F128" s="288">
        <f t="shared" si="32"/>
        <v>0</v>
      </c>
      <c r="G128" s="279">
        <f t="shared" si="33"/>
        <v>0</v>
      </c>
      <c r="H128" s="198"/>
      <c r="I128" s="200"/>
      <c r="J128" s="165">
        <f t="shared" si="34"/>
        <v>0</v>
      </c>
      <c r="K128" s="165">
        <f t="shared" si="29"/>
        <v>0</v>
      </c>
      <c r="L128" s="165"/>
    </row>
    <row r="129" spans="1:12" ht="27.6" x14ac:dyDescent="0.3">
      <c r="A129" s="285" t="str">
        <f t="shared" si="20"/>
        <v>Do Not Print</v>
      </c>
      <c r="B129" s="245" t="s">
        <v>894</v>
      </c>
      <c r="C129" s="287" t="s">
        <v>1015</v>
      </c>
      <c r="D129" s="245"/>
      <c r="E129" s="286" t="s">
        <v>709</v>
      </c>
      <c r="F129" s="288">
        <f t="shared" si="32"/>
        <v>0</v>
      </c>
      <c r="G129" s="279">
        <f t="shared" si="33"/>
        <v>0</v>
      </c>
      <c r="H129" s="198"/>
      <c r="I129" s="200"/>
      <c r="J129" s="165">
        <f t="shared" si="34"/>
        <v>0</v>
      </c>
      <c r="K129" s="165">
        <f t="shared" si="29"/>
        <v>0</v>
      </c>
      <c r="L129" s="165"/>
    </row>
    <row r="130" spans="1:12" ht="27.6" x14ac:dyDescent="0.3">
      <c r="A130" s="285" t="str">
        <f t="shared" si="20"/>
        <v>Do Not Print</v>
      </c>
      <c r="B130" s="245" t="s">
        <v>894</v>
      </c>
      <c r="C130" s="287" t="s">
        <v>1016</v>
      </c>
      <c r="D130" s="245"/>
      <c r="E130" s="286" t="s">
        <v>709</v>
      </c>
      <c r="F130" s="288">
        <f t="shared" si="32"/>
        <v>0</v>
      </c>
      <c r="G130" s="279">
        <f t="shared" si="33"/>
        <v>0</v>
      </c>
      <c r="H130" s="198"/>
      <c r="I130" s="200"/>
      <c r="J130" s="165">
        <f t="shared" si="34"/>
        <v>0</v>
      </c>
      <c r="K130" s="165">
        <f t="shared" si="29"/>
        <v>0</v>
      </c>
      <c r="L130" s="165"/>
    </row>
    <row r="131" spans="1:12" ht="27.6" x14ac:dyDescent="0.3">
      <c r="A131" s="285" t="str">
        <f t="shared" si="20"/>
        <v>Do Not Print</v>
      </c>
      <c r="B131" s="245" t="s">
        <v>894</v>
      </c>
      <c r="C131" s="287" t="s">
        <v>1017</v>
      </c>
      <c r="D131" s="245"/>
      <c r="E131" s="286" t="s">
        <v>709</v>
      </c>
      <c r="F131" s="288">
        <f t="shared" si="32"/>
        <v>0</v>
      </c>
      <c r="G131" s="279">
        <f t="shared" si="33"/>
        <v>0</v>
      </c>
      <c r="H131" s="198"/>
      <c r="I131" s="200"/>
      <c r="J131" s="165">
        <f t="shared" si="34"/>
        <v>0</v>
      </c>
      <c r="K131" s="165">
        <f t="shared" si="29"/>
        <v>0</v>
      </c>
      <c r="L131" s="165"/>
    </row>
    <row r="132" spans="1:12" ht="41.4" x14ac:dyDescent="0.3">
      <c r="A132" s="285" t="str">
        <f t="shared" si="20"/>
        <v>Do Not Print</v>
      </c>
      <c r="B132" s="245" t="s">
        <v>894</v>
      </c>
      <c r="C132" s="287" t="s">
        <v>1018</v>
      </c>
      <c r="D132" s="245"/>
      <c r="E132" s="286" t="s">
        <v>709</v>
      </c>
      <c r="F132" s="288">
        <f t="shared" si="32"/>
        <v>0</v>
      </c>
      <c r="G132" s="279">
        <f t="shared" si="33"/>
        <v>0</v>
      </c>
      <c r="H132" s="198"/>
      <c r="I132" s="200"/>
      <c r="J132" s="165">
        <f t="shared" si="34"/>
        <v>0</v>
      </c>
      <c r="K132" s="165">
        <f t="shared" si="29"/>
        <v>0</v>
      </c>
      <c r="L132" s="165"/>
    </row>
    <row r="133" spans="1:12" ht="27.6" x14ac:dyDescent="0.3">
      <c r="A133" s="285" t="str">
        <f t="shared" si="20"/>
        <v>Do Not Print</v>
      </c>
      <c r="B133" s="245" t="s">
        <v>894</v>
      </c>
      <c r="C133" s="285" t="s">
        <v>727</v>
      </c>
      <c r="D133" s="245"/>
      <c r="E133" s="286" t="s">
        <v>709</v>
      </c>
      <c r="F133" s="288">
        <f t="shared" si="32"/>
        <v>0</v>
      </c>
      <c r="G133" s="279">
        <f t="shared" si="33"/>
        <v>0</v>
      </c>
      <c r="H133" s="198"/>
      <c r="I133" s="200"/>
      <c r="J133" s="165">
        <f t="shared" si="34"/>
        <v>0</v>
      </c>
      <c r="K133" s="165">
        <f t="shared" si="29"/>
        <v>0</v>
      </c>
      <c r="L133" s="165"/>
    </row>
    <row r="134" spans="1:12" ht="27.6" x14ac:dyDescent="0.3">
      <c r="A134" s="285" t="str">
        <f t="shared" si="20"/>
        <v>Do Not Print</v>
      </c>
      <c r="B134" s="245" t="s">
        <v>894</v>
      </c>
      <c r="C134" s="287" t="s">
        <v>1019</v>
      </c>
      <c r="D134" s="245"/>
      <c r="E134" s="286" t="s">
        <v>709</v>
      </c>
      <c r="F134" s="288">
        <f t="shared" si="32"/>
        <v>0</v>
      </c>
      <c r="G134" s="279">
        <f t="shared" si="33"/>
        <v>0</v>
      </c>
      <c r="H134" s="198"/>
      <c r="I134" s="200"/>
      <c r="J134" s="165">
        <f t="shared" si="34"/>
        <v>0</v>
      </c>
      <c r="K134" s="165">
        <f t="shared" si="29"/>
        <v>0</v>
      </c>
      <c r="L134" s="165"/>
    </row>
    <row r="135" spans="1:12" ht="27.6" x14ac:dyDescent="0.3">
      <c r="A135" s="285" t="str">
        <f t="shared" si="20"/>
        <v>Do Not Print</v>
      </c>
      <c r="B135" s="245" t="s">
        <v>894</v>
      </c>
      <c r="C135" s="285" t="s">
        <v>728</v>
      </c>
      <c r="D135" s="245"/>
      <c r="E135" s="286" t="s">
        <v>709</v>
      </c>
      <c r="F135" s="288">
        <f t="shared" si="32"/>
        <v>0</v>
      </c>
      <c r="G135" s="279">
        <f t="shared" si="33"/>
        <v>0</v>
      </c>
      <c r="H135" s="198"/>
      <c r="I135" s="200"/>
      <c r="J135" s="165">
        <f t="shared" si="34"/>
        <v>0</v>
      </c>
      <c r="K135" s="165">
        <f t="shared" si="29"/>
        <v>0</v>
      </c>
      <c r="L135" s="165"/>
    </row>
    <row r="136" spans="1:12" ht="27.6" x14ac:dyDescent="0.3">
      <c r="A136" s="285" t="str">
        <f t="shared" si="20"/>
        <v>Do Not Print</v>
      </c>
      <c r="B136" s="245" t="s">
        <v>894</v>
      </c>
      <c r="C136" s="285" t="s">
        <v>729</v>
      </c>
      <c r="D136" s="245"/>
      <c r="E136" s="286" t="s">
        <v>709</v>
      </c>
      <c r="F136" s="288">
        <f t="shared" si="32"/>
        <v>0</v>
      </c>
      <c r="G136" s="279">
        <f t="shared" si="33"/>
        <v>0</v>
      </c>
      <c r="H136" s="198"/>
      <c r="I136" s="200"/>
      <c r="J136" s="165">
        <f t="shared" si="34"/>
        <v>0</v>
      </c>
      <c r="K136" s="165">
        <f t="shared" si="29"/>
        <v>0</v>
      </c>
      <c r="L136" s="165"/>
    </row>
    <row r="137" spans="1:12" ht="27.6" x14ac:dyDescent="0.3">
      <c r="A137" s="285" t="str">
        <f t="shared" si="20"/>
        <v>Do Not Print</v>
      </c>
      <c r="B137" s="245" t="s">
        <v>894</v>
      </c>
      <c r="C137" s="285" t="s">
        <v>994</v>
      </c>
      <c r="D137" s="245"/>
      <c r="E137" s="286" t="s">
        <v>709</v>
      </c>
      <c r="F137" s="288">
        <f t="shared" si="32"/>
        <v>0</v>
      </c>
      <c r="G137" s="279">
        <f t="shared" si="33"/>
        <v>0</v>
      </c>
      <c r="H137" s="198"/>
      <c r="I137" s="200"/>
      <c r="J137" s="165">
        <f t="shared" si="34"/>
        <v>0</v>
      </c>
      <c r="K137" s="165">
        <f t="shared" si="29"/>
        <v>0</v>
      </c>
      <c r="L137" s="165"/>
    </row>
    <row r="138" spans="1:12" ht="27.6" x14ac:dyDescent="0.3">
      <c r="A138" s="285" t="str">
        <f t="shared" si="20"/>
        <v>Do Not Print</v>
      </c>
      <c r="B138" s="245" t="s">
        <v>894</v>
      </c>
      <c r="C138" s="285" t="s">
        <v>1020</v>
      </c>
      <c r="D138" s="245"/>
      <c r="E138" s="286" t="s">
        <v>709</v>
      </c>
      <c r="F138" s="288">
        <f t="shared" si="32"/>
        <v>0</v>
      </c>
      <c r="G138" s="279">
        <f t="shared" si="33"/>
        <v>0</v>
      </c>
      <c r="H138" s="198"/>
      <c r="I138" s="200"/>
      <c r="J138" s="165">
        <f t="shared" si="34"/>
        <v>0</v>
      </c>
      <c r="K138" s="165">
        <f t="shared" si="29"/>
        <v>0</v>
      </c>
      <c r="L138" s="165"/>
    </row>
    <row r="139" spans="1:12" ht="27.6" x14ac:dyDescent="0.3">
      <c r="A139" s="285" t="str">
        <f t="shared" si="20"/>
        <v>Do Not Print</v>
      </c>
      <c r="B139" s="245" t="s">
        <v>894</v>
      </c>
      <c r="C139" s="285" t="s">
        <v>101</v>
      </c>
      <c r="D139" s="245"/>
      <c r="E139" s="286" t="s">
        <v>709</v>
      </c>
      <c r="F139" s="288">
        <f t="shared" si="32"/>
        <v>0</v>
      </c>
      <c r="G139" s="279">
        <f t="shared" si="33"/>
        <v>0</v>
      </c>
      <c r="H139" s="198"/>
      <c r="I139" s="200"/>
      <c r="J139" s="165">
        <f t="shared" si="34"/>
        <v>0</v>
      </c>
      <c r="K139" s="165">
        <f t="shared" si="29"/>
        <v>0</v>
      </c>
      <c r="L139" s="165"/>
    </row>
    <row r="140" spans="1:12" ht="27.6" x14ac:dyDescent="0.3">
      <c r="A140" s="285" t="str">
        <f t="shared" si="20"/>
        <v>Do Not Print</v>
      </c>
      <c r="B140" s="245" t="s">
        <v>894</v>
      </c>
      <c r="C140" s="285" t="s">
        <v>1021</v>
      </c>
      <c r="D140" s="245"/>
      <c r="E140" s="286" t="s">
        <v>709</v>
      </c>
      <c r="F140" s="288">
        <f t="shared" si="32"/>
        <v>0</v>
      </c>
      <c r="G140" s="279">
        <f t="shared" si="33"/>
        <v>0</v>
      </c>
      <c r="H140" s="198"/>
      <c r="I140" s="200"/>
      <c r="J140" s="165">
        <f t="shared" si="34"/>
        <v>0</v>
      </c>
      <c r="K140" s="165">
        <f t="shared" si="29"/>
        <v>0</v>
      </c>
      <c r="L140" s="165"/>
    </row>
    <row r="141" spans="1:12" ht="27.6" x14ac:dyDescent="0.3">
      <c r="A141" s="285" t="str">
        <f t="shared" si="20"/>
        <v>Do Not Print</v>
      </c>
      <c r="B141" s="245" t="s">
        <v>894</v>
      </c>
      <c r="C141" s="285" t="s">
        <v>1022</v>
      </c>
      <c r="D141" s="245"/>
      <c r="E141" s="286" t="s">
        <v>709</v>
      </c>
      <c r="F141" s="288">
        <f t="shared" ref="F141:F146" si="35">-VLOOKUP($C141,CASS,5,0)</f>
        <v>0</v>
      </c>
      <c r="G141" s="279">
        <f t="shared" ref="G141:G146" si="36">-VLOOKUP($C141,CASS,11,0)</f>
        <v>0</v>
      </c>
      <c r="H141" s="198"/>
      <c r="I141" s="200"/>
      <c r="J141" s="165">
        <f t="shared" si="34"/>
        <v>0</v>
      </c>
      <c r="K141" s="165">
        <f t="shared" si="29"/>
        <v>0</v>
      </c>
      <c r="L141" s="165"/>
    </row>
    <row r="142" spans="1:12" ht="41.4" x14ac:dyDescent="0.3">
      <c r="A142" s="285" t="str">
        <f t="shared" si="20"/>
        <v>Do Not Print</v>
      </c>
      <c r="B142" s="245" t="s">
        <v>894</v>
      </c>
      <c r="C142" s="285" t="s">
        <v>111</v>
      </c>
      <c r="D142" s="245"/>
      <c r="E142" s="286" t="s">
        <v>709</v>
      </c>
      <c r="F142" s="288">
        <f t="shared" si="35"/>
        <v>0</v>
      </c>
      <c r="G142" s="279">
        <f t="shared" si="36"/>
        <v>0</v>
      </c>
      <c r="H142" s="198"/>
      <c r="I142" s="200"/>
      <c r="J142" s="165">
        <f t="shared" si="34"/>
        <v>0</v>
      </c>
      <c r="K142" s="165">
        <f>ROUND(G142,0)</f>
        <v>0</v>
      </c>
      <c r="L142" s="165"/>
    </row>
    <row r="143" spans="1:12" ht="27.6" x14ac:dyDescent="0.3">
      <c r="A143" s="285" t="str">
        <f t="shared" si="20"/>
        <v>Do Not Print</v>
      </c>
      <c r="B143" s="245" t="s">
        <v>894</v>
      </c>
      <c r="C143" s="285" t="s">
        <v>1023</v>
      </c>
      <c r="D143" s="245"/>
      <c r="E143" s="286" t="s">
        <v>709</v>
      </c>
      <c r="F143" s="288">
        <f t="shared" si="35"/>
        <v>0</v>
      </c>
      <c r="G143" s="279">
        <f t="shared" si="36"/>
        <v>0</v>
      </c>
      <c r="H143" s="198"/>
      <c r="I143" s="200"/>
      <c r="J143" s="165">
        <f t="shared" si="34"/>
        <v>0</v>
      </c>
      <c r="K143" s="165">
        <f t="shared" si="29"/>
        <v>0</v>
      </c>
      <c r="L143" s="165"/>
    </row>
    <row r="144" spans="1:12" ht="27.6" x14ac:dyDescent="0.3">
      <c r="A144" s="285" t="str">
        <f t="shared" si="20"/>
        <v>Do Not Print</v>
      </c>
      <c r="B144" s="245" t="s">
        <v>894</v>
      </c>
      <c r="C144" s="285" t="s">
        <v>1024</v>
      </c>
      <c r="D144" s="245"/>
      <c r="E144" s="286" t="s">
        <v>709</v>
      </c>
      <c r="F144" s="288">
        <f t="shared" si="35"/>
        <v>0</v>
      </c>
      <c r="G144" s="279">
        <f t="shared" si="36"/>
        <v>0</v>
      </c>
      <c r="H144" s="198"/>
      <c r="I144" s="200"/>
      <c r="J144" s="165">
        <f t="shared" si="34"/>
        <v>0</v>
      </c>
      <c r="K144" s="165">
        <f t="shared" si="29"/>
        <v>0</v>
      </c>
      <c r="L144" s="165"/>
    </row>
    <row r="145" spans="1:12" ht="27.6" x14ac:dyDescent="0.3">
      <c r="A145" s="285" t="str">
        <f t="shared" si="20"/>
        <v>Do Not Print</v>
      </c>
      <c r="B145" s="245" t="s">
        <v>894</v>
      </c>
      <c r="C145" s="285" t="s">
        <v>1025</v>
      </c>
      <c r="D145" s="245"/>
      <c r="E145" s="286" t="s">
        <v>709</v>
      </c>
      <c r="F145" s="288">
        <f t="shared" si="35"/>
        <v>0</v>
      </c>
      <c r="G145" s="279">
        <f t="shared" si="36"/>
        <v>0</v>
      </c>
      <c r="H145" s="198"/>
      <c r="I145" s="200"/>
      <c r="J145" s="165">
        <f t="shared" si="34"/>
        <v>0</v>
      </c>
      <c r="K145" s="165">
        <f t="shared" si="29"/>
        <v>0</v>
      </c>
      <c r="L145" s="165"/>
    </row>
    <row r="146" spans="1:12" ht="27.6" x14ac:dyDescent="0.3">
      <c r="A146" s="285" t="str">
        <f t="shared" ref="A146:A227" si="37">IF(AND(F146=0,G146=0),"Do Not Print","Print")</f>
        <v>Do Not Print</v>
      </c>
      <c r="B146" s="245" t="s">
        <v>894</v>
      </c>
      <c r="C146" s="285" t="s">
        <v>1026</v>
      </c>
      <c r="D146" s="245"/>
      <c r="E146" s="286" t="s">
        <v>709</v>
      </c>
      <c r="F146" s="288">
        <f t="shared" si="35"/>
        <v>0</v>
      </c>
      <c r="G146" s="279">
        <f t="shared" si="36"/>
        <v>0</v>
      </c>
      <c r="H146" s="198"/>
      <c r="I146" s="200"/>
      <c r="J146" s="165">
        <f t="shared" si="34"/>
        <v>0</v>
      </c>
      <c r="K146" s="165">
        <f t="shared" si="29"/>
        <v>0</v>
      </c>
      <c r="L146" s="165"/>
    </row>
    <row r="147" spans="1:12" ht="27.6" x14ac:dyDescent="0.3">
      <c r="A147" s="285" t="str">
        <f t="shared" si="37"/>
        <v>Do Not Print</v>
      </c>
      <c r="B147" s="245" t="s">
        <v>894</v>
      </c>
      <c r="C147" s="285" t="s">
        <v>1027</v>
      </c>
      <c r="D147" s="245"/>
      <c r="E147" s="286" t="s">
        <v>709</v>
      </c>
      <c r="F147" s="288">
        <f>VLOOKUP($C147,CASS,5,0)</f>
        <v>0</v>
      </c>
      <c r="G147" s="279">
        <f>VLOOKUP($C147,CASS,11,0)</f>
        <v>0</v>
      </c>
      <c r="H147" s="198"/>
      <c r="I147" s="200"/>
      <c r="J147" s="165">
        <f t="shared" si="34"/>
        <v>0</v>
      </c>
      <c r="K147" s="165">
        <f t="shared" si="29"/>
        <v>0</v>
      </c>
      <c r="L147" s="165"/>
    </row>
    <row r="148" spans="1:12" ht="27.6" x14ac:dyDescent="0.3">
      <c r="A148" s="285" t="str">
        <f t="shared" si="37"/>
        <v>Do Not Print</v>
      </c>
      <c r="B148" s="245" t="s">
        <v>894</v>
      </c>
      <c r="C148" s="285" t="s">
        <v>997</v>
      </c>
      <c r="D148" s="245"/>
      <c r="E148" s="286" t="s">
        <v>709</v>
      </c>
      <c r="F148" s="288">
        <f>VLOOKUP($C148,CASS,5,0)</f>
        <v>0</v>
      </c>
      <c r="G148" s="279">
        <f>VLOOKUP($C148,CASS,11,0)</f>
        <v>0</v>
      </c>
      <c r="H148" s="198"/>
      <c r="I148" s="200"/>
      <c r="J148" s="165">
        <f t="shared" si="34"/>
        <v>0</v>
      </c>
      <c r="K148" s="165">
        <f t="shared" si="29"/>
        <v>0</v>
      </c>
      <c r="L148" s="165"/>
    </row>
    <row r="149" spans="1:12" s="14" customFormat="1" ht="14.4" x14ac:dyDescent="0.3">
      <c r="A149" s="45" t="s">
        <v>448</v>
      </c>
      <c r="C149" s="45" t="s">
        <v>1635</v>
      </c>
      <c r="E149" s="258"/>
      <c r="F149" s="281">
        <f>SUM(F127:F137)-SUM(F138:F148)</f>
        <v>0</v>
      </c>
      <c r="G149" s="281">
        <f>SUM(G127:G137)-SUM(G138:G148)</f>
        <v>0</v>
      </c>
      <c r="H149" s="202"/>
      <c r="I149" s="197"/>
      <c r="J149" s="197">
        <f t="shared" si="34"/>
        <v>0</v>
      </c>
      <c r="K149" s="197">
        <f>ROUND(G149,0)</f>
        <v>0</v>
      </c>
      <c r="L149" s="197"/>
    </row>
    <row r="150" spans="1:12" x14ac:dyDescent="0.3">
      <c r="A150" s="39" t="s">
        <v>448</v>
      </c>
      <c r="F150" s="165"/>
      <c r="G150" s="165"/>
      <c r="H150" s="198"/>
      <c r="I150" s="200"/>
      <c r="J150" s="165"/>
      <c r="K150" s="165"/>
      <c r="L150" s="165"/>
    </row>
    <row r="151" spans="1:12" ht="27.6" x14ac:dyDescent="0.3">
      <c r="A151" s="289" t="str">
        <f t="shared" si="37"/>
        <v>Do Not Print</v>
      </c>
      <c r="B151" s="290" t="s">
        <v>895</v>
      </c>
      <c r="C151" s="289" t="s">
        <v>730</v>
      </c>
      <c r="D151" s="290"/>
      <c r="E151" s="291" t="s">
        <v>709</v>
      </c>
      <c r="F151" s="293">
        <f t="shared" ref="F151:F164" si="38">VLOOKUP($C151,WASS,5,0)</f>
        <v>0</v>
      </c>
      <c r="G151" s="283">
        <f t="shared" ref="G151:G164" si="39">VLOOKUP($C151,WASS,11,0)</f>
        <v>0</v>
      </c>
      <c r="H151" s="198"/>
      <c r="I151" s="200"/>
      <c r="J151" s="165">
        <f t="shared" ref="J151:J173" si="40">ROUND(F151,0)</f>
        <v>0</v>
      </c>
      <c r="K151" s="165">
        <f t="shared" si="29"/>
        <v>0</v>
      </c>
      <c r="L151" s="165"/>
    </row>
    <row r="152" spans="1:12" ht="27.6" x14ac:dyDescent="0.3">
      <c r="A152" s="289" t="str">
        <f t="shared" si="37"/>
        <v>Do Not Print</v>
      </c>
      <c r="B152" s="290" t="s">
        <v>895</v>
      </c>
      <c r="C152" s="289" t="s">
        <v>101</v>
      </c>
      <c r="D152" s="290"/>
      <c r="E152" s="291" t="s">
        <v>709</v>
      </c>
      <c r="F152" s="293">
        <f t="shared" si="38"/>
        <v>0</v>
      </c>
      <c r="G152" s="283">
        <f t="shared" si="39"/>
        <v>0</v>
      </c>
      <c r="H152" s="198"/>
      <c r="I152" s="200"/>
      <c r="J152" s="165">
        <f t="shared" si="40"/>
        <v>0</v>
      </c>
      <c r="K152" s="165">
        <f t="shared" si="29"/>
        <v>0</v>
      </c>
      <c r="L152" s="165"/>
    </row>
    <row r="153" spans="1:12" ht="27.6" x14ac:dyDescent="0.3">
      <c r="A153" s="289" t="str">
        <f t="shared" si="37"/>
        <v>Do Not Print</v>
      </c>
      <c r="B153" s="290" t="s">
        <v>895</v>
      </c>
      <c r="C153" s="289" t="s">
        <v>731</v>
      </c>
      <c r="D153" s="290"/>
      <c r="E153" s="291" t="s">
        <v>709</v>
      </c>
      <c r="F153" s="293">
        <f t="shared" si="38"/>
        <v>0</v>
      </c>
      <c r="G153" s="283">
        <f t="shared" si="39"/>
        <v>0</v>
      </c>
      <c r="H153" s="198"/>
      <c r="I153" s="200"/>
      <c r="J153" s="165">
        <f t="shared" si="40"/>
        <v>0</v>
      </c>
      <c r="K153" s="165">
        <f t="shared" si="29"/>
        <v>0</v>
      </c>
      <c r="L153" s="165"/>
    </row>
    <row r="154" spans="1:12" ht="27.6" x14ac:dyDescent="0.3">
      <c r="A154" s="289" t="str">
        <f t="shared" si="37"/>
        <v>Do Not Print</v>
      </c>
      <c r="B154" s="290" t="s">
        <v>895</v>
      </c>
      <c r="C154" s="289" t="s">
        <v>1028</v>
      </c>
      <c r="D154" s="290"/>
      <c r="E154" s="291" t="s">
        <v>709</v>
      </c>
      <c r="F154" s="293">
        <f t="shared" si="38"/>
        <v>0</v>
      </c>
      <c r="G154" s="283">
        <f t="shared" si="39"/>
        <v>0</v>
      </c>
      <c r="H154" s="198"/>
      <c r="I154" s="200"/>
      <c r="J154" s="165">
        <f t="shared" si="40"/>
        <v>0</v>
      </c>
      <c r="K154" s="165">
        <f t="shared" si="29"/>
        <v>0</v>
      </c>
      <c r="L154" s="165"/>
    </row>
    <row r="155" spans="1:12" ht="27.6" x14ac:dyDescent="0.3">
      <c r="A155" s="289" t="str">
        <f t="shared" si="37"/>
        <v>Do Not Print</v>
      </c>
      <c r="B155" s="290" t="s">
        <v>895</v>
      </c>
      <c r="C155" s="292" t="s">
        <v>1029</v>
      </c>
      <c r="D155" s="290"/>
      <c r="E155" s="291" t="s">
        <v>709</v>
      </c>
      <c r="F155" s="293">
        <f t="shared" si="38"/>
        <v>0</v>
      </c>
      <c r="G155" s="283">
        <f t="shared" si="39"/>
        <v>0</v>
      </c>
      <c r="H155" s="198"/>
      <c r="I155" s="200"/>
      <c r="J155" s="165">
        <f t="shared" si="40"/>
        <v>0</v>
      </c>
      <c r="K155" s="165">
        <f t="shared" si="29"/>
        <v>0</v>
      </c>
      <c r="L155" s="165"/>
    </row>
    <row r="156" spans="1:12" ht="41.4" x14ac:dyDescent="0.3">
      <c r="A156" s="289" t="str">
        <f t="shared" si="37"/>
        <v>Do Not Print</v>
      </c>
      <c r="B156" s="290" t="s">
        <v>895</v>
      </c>
      <c r="C156" s="292" t="s">
        <v>1030</v>
      </c>
      <c r="D156" s="290"/>
      <c r="E156" s="291" t="s">
        <v>709</v>
      </c>
      <c r="F156" s="293">
        <f t="shared" si="38"/>
        <v>0</v>
      </c>
      <c r="G156" s="283">
        <f t="shared" si="39"/>
        <v>0</v>
      </c>
      <c r="H156" s="198"/>
      <c r="I156" s="200"/>
      <c r="J156" s="165">
        <f t="shared" si="40"/>
        <v>0</v>
      </c>
      <c r="K156" s="165">
        <f t="shared" si="29"/>
        <v>0</v>
      </c>
      <c r="L156" s="165"/>
    </row>
    <row r="157" spans="1:12" ht="27.6" x14ac:dyDescent="0.3">
      <c r="A157" s="289" t="str">
        <f t="shared" si="37"/>
        <v>Do Not Print</v>
      </c>
      <c r="B157" s="290" t="s">
        <v>895</v>
      </c>
      <c r="C157" s="289" t="s">
        <v>732</v>
      </c>
      <c r="D157" s="290"/>
      <c r="E157" s="291" t="s">
        <v>709</v>
      </c>
      <c r="F157" s="293">
        <f t="shared" si="38"/>
        <v>0</v>
      </c>
      <c r="G157" s="283">
        <f t="shared" si="39"/>
        <v>0</v>
      </c>
      <c r="H157" s="198"/>
      <c r="I157" s="200"/>
      <c r="J157" s="165">
        <f t="shared" si="40"/>
        <v>0</v>
      </c>
      <c r="K157" s="165">
        <f t="shared" si="29"/>
        <v>0</v>
      </c>
      <c r="L157" s="165"/>
    </row>
    <row r="158" spans="1:12" ht="27.6" x14ac:dyDescent="0.3">
      <c r="A158" s="289" t="str">
        <f t="shared" si="37"/>
        <v>Do Not Print</v>
      </c>
      <c r="B158" s="290" t="s">
        <v>895</v>
      </c>
      <c r="C158" s="292" t="s">
        <v>1031</v>
      </c>
      <c r="D158" s="290"/>
      <c r="E158" s="291" t="s">
        <v>709</v>
      </c>
      <c r="F158" s="293">
        <f t="shared" si="38"/>
        <v>0</v>
      </c>
      <c r="G158" s="283">
        <f t="shared" si="39"/>
        <v>0</v>
      </c>
      <c r="H158" s="198"/>
      <c r="I158" s="200"/>
      <c r="J158" s="165">
        <f t="shared" si="40"/>
        <v>0</v>
      </c>
      <c r="K158" s="165">
        <f t="shared" si="29"/>
        <v>0</v>
      </c>
      <c r="L158" s="165"/>
    </row>
    <row r="159" spans="1:12" ht="27.6" x14ac:dyDescent="0.3">
      <c r="A159" s="289" t="str">
        <f t="shared" si="37"/>
        <v>Do Not Print</v>
      </c>
      <c r="B159" s="290" t="s">
        <v>895</v>
      </c>
      <c r="C159" s="289" t="s">
        <v>733</v>
      </c>
      <c r="D159" s="290"/>
      <c r="E159" s="291" t="s">
        <v>709</v>
      </c>
      <c r="F159" s="293">
        <f t="shared" si="38"/>
        <v>0</v>
      </c>
      <c r="G159" s="283">
        <f t="shared" si="39"/>
        <v>0</v>
      </c>
      <c r="H159" s="198"/>
      <c r="I159" s="200"/>
      <c r="J159" s="165">
        <f t="shared" si="40"/>
        <v>0</v>
      </c>
      <c r="K159" s="165">
        <f t="shared" si="29"/>
        <v>0</v>
      </c>
      <c r="L159" s="165"/>
    </row>
    <row r="160" spans="1:12" ht="27.6" x14ac:dyDescent="0.3">
      <c r="A160" s="289" t="str">
        <f t="shared" si="37"/>
        <v>Do Not Print</v>
      </c>
      <c r="B160" s="290" t="s">
        <v>895</v>
      </c>
      <c r="C160" s="289" t="s">
        <v>734</v>
      </c>
      <c r="D160" s="290"/>
      <c r="E160" s="291" t="s">
        <v>709</v>
      </c>
      <c r="F160" s="293">
        <f t="shared" si="38"/>
        <v>0</v>
      </c>
      <c r="G160" s="283">
        <f t="shared" si="39"/>
        <v>0</v>
      </c>
      <c r="H160" s="198"/>
      <c r="I160" s="200"/>
      <c r="J160" s="165">
        <f t="shared" si="40"/>
        <v>0</v>
      </c>
      <c r="K160" s="165">
        <f t="shared" si="29"/>
        <v>0</v>
      </c>
      <c r="L160" s="165"/>
    </row>
    <row r="161" spans="1:12" ht="27.6" x14ac:dyDescent="0.3">
      <c r="A161" s="289" t="str">
        <f t="shared" si="37"/>
        <v>Do Not Print</v>
      </c>
      <c r="B161" s="290" t="s">
        <v>895</v>
      </c>
      <c r="C161" s="289" t="s">
        <v>994</v>
      </c>
      <c r="D161" s="290"/>
      <c r="E161" s="291" t="s">
        <v>709</v>
      </c>
      <c r="F161" s="293">
        <f t="shared" si="38"/>
        <v>0</v>
      </c>
      <c r="G161" s="283">
        <f t="shared" si="39"/>
        <v>0</v>
      </c>
      <c r="H161" s="198"/>
      <c r="I161" s="200"/>
      <c r="J161" s="165">
        <f t="shared" si="40"/>
        <v>0</v>
      </c>
      <c r="K161" s="165">
        <f t="shared" si="29"/>
        <v>0</v>
      </c>
      <c r="L161" s="165"/>
    </row>
    <row r="162" spans="1:12" ht="27.6" x14ac:dyDescent="0.3">
      <c r="A162" s="289" t="str">
        <f t="shared" si="37"/>
        <v>Do Not Print</v>
      </c>
      <c r="B162" s="290" t="s">
        <v>895</v>
      </c>
      <c r="C162" s="289" t="s">
        <v>1032</v>
      </c>
      <c r="D162" s="290"/>
      <c r="E162" s="291" t="s">
        <v>709</v>
      </c>
      <c r="F162" s="293">
        <f t="shared" si="38"/>
        <v>0</v>
      </c>
      <c r="G162" s="283">
        <f t="shared" si="39"/>
        <v>0</v>
      </c>
      <c r="H162" s="198"/>
      <c r="I162" s="200"/>
      <c r="J162" s="165">
        <f t="shared" si="40"/>
        <v>0</v>
      </c>
      <c r="K162" s="165">
        <f t="shared" si="29"/>
        <v>0</v>
      </c>
      <c r="L162" s="165"/>
    </row>
    <row r="163" spans="1:12" ht="27.6" x14ac:dyDescent="0.3">
      <c r="A163" s="289" t="str">
        <f t="shared" si="37"/>
        <v>Do Not Print</v>
      </c>
      <c r="B163" s="290" t="s">
        <v>895</v>
      </c>
      <c r="C163" s="289" t="s">
        <v>101</v>
      </c>
      <c r="D163" s="290"/>
      <c r="E163" s="291" t="s">
        <v>709</v>
      </c>
      <c r="F163" s="293">
        <f t="shared" si="38"/>
        <v>0</v>
      </c>
      <c r="G163" s="283">
        <f t="shared" si="39"/>
        <v>0</v>
      </c>
      <c r="H163" s="198"/>
      <c r="I163" s="200"/>
      <c r="J163" s="165">
        <f t="shared" si="40"/>
        <v>0</v>
      </c>
      <c r="K163" s="165">
        <f t="shared" si="29"/>
        <v>0</v>
      </c>
      <c r="L163" s="165"/>
    </row>
    <row r="164" spans="1:12" ht="27.6" x14ac:dyDescent="0.3">
      <c r="A164" s="289" t="str">
        <f t="shared" si="37"/>
        <v>Do Not Print</v>
      </c>
      <c r="B164" s="290" t="s">
        <v>895</v>
      </c>
      <c r="C164" s="289" t="s">
        <v>1033</v>
      </c>
      <c r="D164" s="290"/>
      <c r="E164" s="291" t="s">
        <v>709</v>
      </c>
      <c r="F164" s="293">
        <f t="shared" si="38"/>
        <v>0</v>
      </c>
      <c r="G164" s="283">
        <f t="shared" si="39"/>
        <v>0</v>
      </c>
      <c r="H164" s="198"/>
      <c r="I164" s="200"/>
      <c r="J164" s="165">
        <f t="shared" si="40"/>
        <v>0</v>
      </c>
      <c r="K164" s="165">
        <f t="shared" si="29"/>
        <v>0</v>
      </c>
      <c r="L164" s="165"/>
    </row>
    <row r="165" spans="1:12" ht="27.6" x14ac:dyDescent="0.3">
      <c r="A165" s="289" t="str">
        <f t="shared" si="37"/>
        <v>Do Not Print</v>
      </c>
      <c r="B165" s="290" t="s">
        <v>895</v>
      </c>
      <c r="C165" s="289" t="s">
        <v>1034</v>
      </c>
      <c r="D165" s="290"/>
      <c r="E165" s="291" t="s">
        <v>709</v>
      </c>
      <c r="F165" s="293">
        <f t="shared" ref="F165:F170" si="41">-VLOOKUP($C165,WASS,5,0)</f>
        <v>0</v>
      </c>
      <c r="G165" s="283">
        <f t="shared" ref="G165:G170" si="42">-VLOOKUP($C165,WASS,11,0)</f>
        <v>0</v>
      </c>
      <c r="H165" s="198"/>
      <c r="I165" s="200"/>
      <c r="J165" s="165">
        <f t="shared" si="40"/>
        <v>0</v>
      </c>
      <c r="K165" s="165">
        <f t="shared" si="29"/>
        <v>0</v>
      </c>
      <c r="L165" s="165"/>
    </row>
    <row r="166" spans="1:12" ht="41.4" x14ac:dyDescent="0.3">
      <c r="A166" s="289" t="str">
        <f t="shared" si="37"/>
        <v>Do Not Print</v>
      </c>
      <c r="B166" s="290" t="s">
        <v>895</v>
      </c>
      <c r="C166" s="289" t="s">
        <v>111</v>
      </c>
      <c r="D166" s="290"/>
      <c r="E166" s="291" t="s">
        <v>709</v>
      </c>
      <c r="F166" s="293">
        <f t="shared" si="41"/>
        <v>0</v>
      </c>
      <c r="G166" s="283">
        <f t="shared" si="42"/>
        <v>0</v>
      </c>
      <c r="H166" s="198"/>
      <c r="I166" s="200"/>
      <c r="J166" s="165">
        <f t="shared" si="40"/>
        <v>0</v>
      </c>
      <c r="K166" s="165">
        <f>ROUND(G166,0)</f>
        <v>0</v>
      </c>
      <c r="L166" s="165"/>
    </row>
    <row r="167" spans="1:12" ht="27.6" x14ac:dyDescent="0.3">
      <c r="A167" s="289" t="str">
        <f t="shared" si="37"/>
        <v>Do Not Print</v>
      </c>
      <c r="B167" s="290" t="s">
        <v>895</v>
      </c>
      <c r="C167" s="289" t="s">
        <v>1035</v>
      </c>
      <c r="D167" s="290"/>
      <c r="E167" s="291" t="s">
        <v>709</v>
      </c>
      <c r="F167" s="293">
        <f t="shared" si="41"/>
        <v>0</v>
      </c>
      <c r="G167" s="283">
        <f t="shared" si="42"/>
        <v>0</v>
      </c>
      <c r="H167" s="198"/>
      <c r="I167" s="200"/>
      <c r="J167" s="165">
        <f t="shared" si="40"/>
        <v>0</v>
      </c>
      <c r="K167" s="165">
        <f t="shared" si="29"/>
        <v>0</v>
      </c>
      <c r="L167" s="165"/>
    </row>
    <row r="168" spans="1:12" ht="27.6" x14ac:dyDescent="0.3">
      <c r="A168" s="289" t="str">
        <f t="shared" si="37"/>
        <v>Do Not Print</v>
      </c>
      <c r="B168" s="290" t="s">
        <v>895</v>
      </c>
      <c r="C168" s="289" t="s">
        <v>1036</v>
      </c>
      <c r="D168" s="290"/>
      <c r="E168" s="291" t="s">
        <v>709</v>
      </c>
      <c r="F168" s="293">
        <f t="shared" si="41"/>
        <v>0</v>
      </c>
      <c r="G168" s="283">
        <f t="shared" si="42"/>
        <v>0</v>
      </c>
      <c r="H168" s="198"/>
      <c r="I168" s="200"/>
      <c r="J168" s="165">
        <f t="shared" si="40"/>
        <v>0</v>
      </c>
      <c r="K168" s="165">
        <f t="shared" si="29"/>
        <v>0</v>
      </c>
      <c r="L168" s="165"/>
    </row>
    <row r="169" spans="1:12" ht="27.6" x14ac:dyDescent="0.3">
      <c r="A169" s="289" t="str">
        <f t="shared" si="37"/>
        <v>Do Not Print</v>
      </c>
      <c r="B169" s="290" t="s">
        <v>895</v>
      </c>
      <c r="C169" s="289" t="s">
        <v>1037</v>
      </c>
      <c r="D169" s="290"/>
      <c r="E169" s="291" t="s">
        <v>709</v>
      </c>
      <c r="F169" s="293">
        <f t="shared" si="41"/>
        <v>0</v>
      </c>
      <c r="G169" s="283">
        <f t="shared" si="42"/>
        <v>0</v>
      </c>
      <c r="H169" s="198"/>
      <c r="I169" s="200"/>
      <c r="J169" s="165">
        <f t="shared" si="40"/>
        <v>0</v>
      </c>
      <c r="K169" s="165">
        <f t="shared" si="29"/>
        <v>0</v>
      </c>
      <c r="L169" s="165"/>
    </row>
    <row r="170" spans="1:12" ht="27.6" x14ac:dyDescent="0.3">
      <c r="A170" s="289" t="str">
        <f t="shared" si="37"/>
        <v>Do Not Print</v>
      </c>
      <c r="B170" s="290" t="s">
        <v>895</v>
      </c>
      <c r="C170" s="289" t="s">
        <v>1038</v>
      </c>
      <c r="D170" s="290"/>
      <c r="E170" s="291" t="s">
        <v>709</v>
      </c>
      <c r="F170" s="293">
        <f t="shared" si="41"/>
        <v>0</v>
      </c>
      <c r="G170" s="283">
        <f t="shared" si="42"/>
        <v>0</v>
      </c>
      <c r="H170" s="198"/>
      <c r="I170" s="200"/>
      <c r="J170" s="165">
        <f t="shared" si="40"/>
        <v>0</v>
      </c>
      <c r="K170" s="165">
        <f t="shared" si="29"/>
        <v>0</v>
      </c>
      <c r="L170" s="165"/>
    </row>
    <row r="171" spans="1:12" ht="27.6" x14ac:dyDescent="0.3">
      <c r="A171" s="289" t="str">
        <f t="shared" si="37"/>
        <v>Do Not Print</v>
      </c>
      <c r="B171" s="290" t="s">
        <v>895</v>
      </c>
      <c r="C171" s="289" t="s">
        <v>1039</v>
      </c>
      <c r="D171" s="290"/>
      <c r="E171" s="291" t="s">
        <v>709</v>
      </c>
      <c r="F171" s="293">
        <f>VLOOKUP($C171,WASS,5,0)</f>
        <v>0</v>
      </c>
      <c r="G171" s="283">
        <f>VLOOKUP($C171,WASS,11,0)</f>
        <v>0</v>
      </c>
      <c r="H171" s="198"/>
      <c r="I171" s="200"/>
      <c r="J171" s="165">
        <f t="shared" si="40"/>
        <v>0</v>
      </c>
      <c r="K171" s="165">
        <f t="shared" si="29"/>
        <v>0</v>
      </c>
      <c r="L171" s="165"/>
    </row>
    <row r="172" spans="1:12" ht="27.6" x14ac:dyDescent="0.3">
      <c r="A172" s="289" t="str">
        <f t="shared" si="37"/>
        <v>Do Not Print</v>
      </c>
      <c r="B172" s="290" t="s">
        <v>895</v>
      </c>
      <c r="C172" s="289" t="s">
        <v>997</v>
      </c>
      <c r="D172" s="290"/>
      <c r="E172" s="291" t="s">
        <v>709</v>
      </c>
      <c r="F172" s="293">
        <f>VLOOKUP($C172,WASS,5,0)</f>
        <v>0</v>
      </c>
      <c r="G172" s="283">
        <f>VLOOKUP($C172,WASS,11,0)</f>
        <v>0</v>
      </c>
      <c r="H172" s="198"/>
      <c r="I172" s="200"/>
      <c r="J172" s="165">
        <f t="shared" si="40"/>
        <v>0</v>
      </c>
      <c r="K172" s="165">
        <f t="shared" si="29"/>
        <v>0</v>
      </c>
      <c r="L172" s="165"/>
    </row>
    <row r="173" spans="1:12" s="14" customFormat="1" ht="14.4" x14ac:dyDescent="0.3">
      <c r="A173" s="45" t="s">
        <v>448</v>
      </c>
      <c r="C173" s="45" t="s">
        <v>1636</v>
      </c>
      <c r="E173" s="258"/>
      <c r="F173" s="295">
        <f>SUM(F151:F161)-SUM(F162:F172)</f>
        <v>0</v>
      </c>
      <c r="G173" s="295">
        <f>SUM(G151:G161)-SUM(G162:G172)</f>
        <v>0</v>
      </c>
      <c r="H173" s="202"/>
      <c r="I173" s="197"/>
      <c r="J173" s="197">
        <f t="shared" si="40"/>
        <v>0</v>
      </c>
      <c r="K173" s="197">
        <f>ROUND(G173,0)</f>
        <v>0</v>
      </c>
      <c r="L173" s="197"/>
    </row>
    <row r="174" spans="1:12" x14ac:dyDescent="0.3">
      <c r="A174" s="39" t="s">
        <v>448</v>
      </c>
      <c r="F174" s="165"/>
      <c r="G174" s="165"/>
      <c r="H174" s="198"/>
      <c r="I174" s="200"/>
      <c r="J174" s="165"/>
      <c r="K174" s="165"/>
      <c r="L174" s="165"/>
    </row>
    <row r="175" spans="1:12" ht="27.6" x14ac:dyDescent="0.3">
      <c r="A175" s="296" t="str">
        <f t="shared" si="37"/>
        <v>Do Not Print</v>
      </c>
      <c r="B175" s="297" t="s">
        <v>900</v>
      </c>
      <c r="C175" s="296" t="s">
        <v>735</v>
      </c>
      <c r="D175" s="297"/>
      <c r="E175" s="298" t="s">
        <v>709</v>
      </c>
      <c r="F175" s="301">
        <f t="shared" ref="F175:F188" si="43">VLOOKUP($C175,EASS,5,0)</f>
        <v>0</v>
      </c>
      <c r="G175" s="300">
        <f t="shared" ref="G175:G188" si="44">VLOOKUP($C175,EASS,11,0)</f>
        <v>0</v>
      </c>
      <c r="H175" s="198"/>
      <c r="I175" s="200"/>
      <c r="J175" s="165">
        <f>ROUND(F175,0)</f>
        <v>0</v>
      </c>
      <c r="K175" s="165">
        <f t="shared" si="29"/>
        <v>0</v>
      </c>
      <c r="L175" s="165"/>
    </row>
    <row r="176" spans="1:12" ht="27.6" x14ac:dyDescent="0.3">
      <c r="A176" s="296" t="str">
        <f t="shared" si="37"/>
        <v>Do Not Print</v>
      </c>
      <c r="B176" s="297" t="s">
        <v>900</v>
      </c>
      <c r="C176" s="296" t="s">
        <v>101</v>
      </c>
      <c r="D176" s="297"/>
      <c r="E176" s="298" t="s">
        <v>709</v>
      </c>
      <c r="F176" s="301">
        <f t="shared" si="43"/>
        <v>0</v>
      </c>
      <c r="G176" s="300">
        <f t="shared" si="44"/>
        <v>0</v>
      </c>
      <c r="H176" s="198"/>
      <c r="I176" s="200"/>
      <c r="J176" s="165">
        <f>ROUND(F176,0)</f>
        <v>0</v>
      </c>
      <c r="K176" s="165">
        <f t="shared" si="29"/>
        <v>0</v>
      </c>
      <c r="L176" s="165"/>
    </row>
    <row r="177" spans="1:12" ht="27.6" x14ac:dyDescent="0.3">
      <c r="A177" s="296" t="str">
        <f t="shared" si="37"/>
        <v>Do Not Print</v>
      </c>
      <c r="B177" s="297" t="s">
        <v>900</v>
      </c>
      <c r="C177" s="299" t="s">
        <v>1040</v>
      </c>
      <c r="D177" s="297"/>
      <c r="E177" s="298" t="s">
        <v>709</v>
      </c>
      <c r="F177" s="301">
        <f t="shared" si="43"/>
        <v>0</v>
      </c>
      <c r="G177" s="300">
        <f t="shared" si="44"/>
        <v>0</v>
      </c>
      <c r="H177" s="198"/>
      <c r="I177" s="200"/>
      <c r="J177" s="165">
        <f>ROUND(F177,0)</f>
        <v>0</v>
      </c>
      <c r="K177" s="165">
        <f t="shared" si="29"/>
        <v>0</v>
      </c>
      <c r="L177" s="165"/>
    </row>
    <row r="178" spans="1:12" ht="27.6" x14ac:dyDescent="0.3">
      <c r="A178" s="296" t="str">
        <f t="shared" si="37"/>
        <v>Do Not Print</v>
      </c>
      <c r="B178" s="297" t="s">
        <v>900</v>
      </c>
      <c r="C178" s="296" t="s">
        <v>1095</v>
      </c>
      <c r="D178" s="297"/>
      <c r="E178" s="298" t="s">
        <v>709</v>
      </c>
      <c r="F178" s="301">
        <f t="shared" si="43"/>
        <v>0</v>
      </c>
      <c r="G178" s="300">
        <f t="shared" si="44"/>
        <v>0</v>
      </c>
      <c r="H178" s="198"/>
      <c r="I178" s="200"/>
      <c r="J178" s="165">
        <f t="shared" ref="J178:K180" si="45">ROUND(F178,0)</f>
        <v>0</v>
      </c>
      <c r="K178" s="165">
        <f t="shared" si="45"/>
        <v>0</v>
      </c>
      <c r="L178" s="165"/>
    </row>
    <row r="179" spans="1:12" ht="27.6" x14ac:dyDescent="0.3">
      <c r="A179" s="296" t="str">
        <f t="shared" si="37"/>
        <v>Do Not Print</v>
      </c>
      <c r="B179" s="297" t="s">
        <v>900</v>
      </c>
      <c r="C179" s="296" t="s">
        <v>736</v>
      </c>
      <c r="D179" s="297"/>
      <c r="E179" s="298" t="s">
        <v>709</v>
      </c>
      <c r="F179" s="301">
        <f t="shared" si="43"/>
        <v>0</v>
      </c>
      <c r="G179" s="300">
        <f t="shared" si="44"/>
        <v>0</v>
      </c>
      <c r="H179" s="198"/>
      <c r="I179" s="200"/>
      <c r="J179" s="165">
        <f t="shared" si="45"/>
        <v>0</v>
      </c>
      <c r="K179" s="165">
        <f t="shared" si="45"/>
        <v>0</v>
      </c>
      <c r="L179" s="165"/>
    </row>
    <row r="180" spans="1:12" ht="41.4" x14ac:dyDescent="0.3">
      <c r="A180" s="296" t="str">
        <f t="shared" si="37"/>
        <v>Do Not Print</v>
      </c>
      <c r="B180" s="297" t="s">
        <v>900</v>
      </c>
      <c r="C180" s="296" t="s">
        <v>1099</v>
      </c>
      <c r="D180" s="297"/>
      <c r="E180" s="298" t="s">
        <v>709</v>
      </c>
      <c r="F180" s="301">
        <f t="shared" si="43"/>
        <v>0</v>
      </c>
      <c r="G180" s="300">
        <f t="shared" si="44"/>
        <v>0</v>
      </c>
      <c r="H180" s="198"/>
      <c r="I180" s="200"/>
      <c r="J180" s="165">
        <f t="shared" si="45"/>
        <v>0</v>
      </c>
      <c r="K180" s="165">
        <f t="shared" si="45"/>
        <v>0</v>
      </c>
      <c r="L180" s="165"/>
    </row>
    <row r="181" spans="1:12" ht="27.6" x14ac:dyDescent="0.3">
      <c r="A181" s="296" t="str">
        <f t="shared" si="37"/>
        <v>Do Not Print</v>
      </c>
      <c r="B181" s="297" t="s">
        <v>900</v>
      </c>
      <c r="C181" s="296" t="s">
        <v>737</v>
      </c>
      <c r="D181" s="297"/>
      <c r="E181" s="298" t="s">
        <v>709</v>
      </c>
      <c r="F181" s="301">
        <f t="shared" si="43"/>
        <v>0</v>
      </c>
      <c r="G181" s="300">
        <f t="shared" si="44"/>
        <v>0</v>
      </c>
      <c r="H181" s="198"/>
      <c r="I181" s="200"/>
      <c r="J181" s="165">
        <f t="shared" ref="J181:J197" si="46">ROUND(F181,0)</f>
        <v>0</v>
      </c>
      <c r="K181" s="165">
        <f t="shared" si="29"/>
        <v>0</v>
      </c>
      <c r="L181" s="165"/>
    </row>
    <row r="182" spans="1:12" ht="27.6" x14ac:dyDescent="0.3">
      <c r="A182" s="296" t="str">
        <f t="shared" si="37"/>
        <v>Do Not Print</v>
      </c>
      <c r="B182" s="297" t="s">
        <v>900</v>
      </c>
      <c r="C182" s="296" t="s">
        <v>738</v>
      </c>
      <c r="D182" s="297"/>
      <c r="E182" s="298" t="s">
        <v>709</v>
      </c>
      <c r="F182" s="301">
        <f t="shared" si="43"/>
        <v>0</v>
      </c>
      <c r="G182" s="300">
        <f t="shared" si="44"/>
        <v>0</v>
      </c>
      <c r="H182" s="198"/>
      <c r="I182" s="200"/>
      <c r="J182" s="165">
        <f t="shared" si="46"/>
        <v>0</v>
      </c>
      <c r="K182" s="165">
        <f t="shared" si="29"/>
        <v>0</v>
      </c>
      <c r="L182" s="165"/>
    </row>
    <row r="183" spans="1:12" ht="27.6" x14ac:dyDescent="0.3">
      <c r="A183" s="296" t="str">
        <f t="shared" si="37"/>
        <v>Do Not Print</v>
      </c>
      <c r="B183" s="297" t="s">
        <v>900</v>
      </c>
      <c r="C183" s="296" t="s">
        <v>739</v>
      </c>
      <c r="D183" s="297"/>
      <c r="E183" s="298" t="s">
        <v>709</v>
      </c>
      <c r="F183" s="301">
        <f t="shared" si="43"/>
        <v>0</v>
      </c>
      <c r="G183" s="300">
        <f t="shared" si="44"/>
        <v>0</v>
      </c>
      <c r="H183" s="198"/>
      <c r="I183" s="200"/>
      <c r="J183" s="165">
        <f t="shared" si="46"/>
        <v>0</v>
      </c>
      <c r="K183" s="165">
        <f t="shared" si="29"/>
        <v>0</v>
      </c>
      <c r="L183" s="165"/>
    </row>
    <row r="184" spans="1:12" ht="27.6" x14ac:dyDescent="0.3">
      <c r="A184" s="296" t="str">
        <f t="shared" si="37"/>
        <v>Do Not Print</v>
      </c>
      <c r="B184" s="297" t="s">
        <v>900</v>
      </c>
      <c r="C184" s="296" t="s">
        <v>740</v>
      </c>
      <c r="D184" s="297"/>
      <c r="E184" s="298" t="s">
        <v>709</v>
      </c>
      <c r="F184" s="301">
        <f t="shared" si="43"/>
        <v>0</v>
      </c>
      <c r="G184" s="300">
        <f t="shared" si="44"/>
        <v>0</v>
      </c>
      <c r="H184" s="198"/>
      <c r="I184" s="200"/>
      <c r="J184" s="165">
        <f t="shared" si="46"/>
        <v>0</v>
      </c>
      <c r="K184" s="165">
        <f t="shared" si="29"/>
        <v>0</v>
      </c>
      <c r="L184" s="165"/>
    </row>
    <row r="185" spans="1:12" ht="27.6" x14ac:dyDescent="0.3">
      <c r="A185" s="296" t="str">
        <f t="shared" si="37"/>
        <v>Do Not Print</v>
      </c>
      <c r="B185" s="297" t="s">
        <v>900</v>
      </c>
      <c r="C185" s="296" t="s">
        <v>994</v>
      </c>
      <c r="D185" s="297"/>
      <c r="E185" s="298" t="s">
        <v>709</v>
      </c>
      <c r="F185" s="301">
        <f t="shared" si="43"/>
        <v>0</v>
      </c>
      <c r="G185" s="300">
        <f t="shared" si="44"/>
        <v>0</v>
      </c>
      <c r="H185" s="198"/>
      <c r="I185" s="200"/>
      <c r="J185" s="165">
        <f t="shared" si="46"/>
        <v>0</v>
      </c>
      <c r="K185" s="165">
        <f t="shared" ref="K185:K266" si="47">ROUND(G185,0)</f>
        <v>0</v>
      </c>
      <c r="L185" s="165"/>
    </row>
    <row r="186" spans="1:12" ht="27.6" x14ac:dyDescent="0.3">
      <c r="A186" s="296" t="str">
        <f t="shared" si="37"/>
        <v>Do Not Print</v>
      </c>
      <c r="B186" s="297" t="s">
        <v>900</v>
      </c>
      <c r="C186" s="299" t="s">
        <v>1041</v>
      </c>
      <c r="D186" s="297"/>
      <c r="E186" s="298" t="s">
        <v>709</v>
      </c>
      <c r="F186" s="301">
        <f t="shared" si="43"/>
        <v>0</v>
      </c>
      <c r="G186" s="300">
        <f t="shared" si="44"/>
        <v>0</v>
      </c>
      <c r="H186" s="198"/>
      <c r="I186" s="200"/>
      <c r="J186" s="165">
        <f t="shared" si="46"/>
        <v>0</v>
      </c>
      <c r="K186" s="165">
        <f t="shared" si="47"/>
        <v>0</v>
      </c>
      <c r="L186" s="165"/>
    </row>
    <row r="187" spans="1:12" ht="27.6" x14ac:dyDescent="0.3">
      <c r="A187" s="296" t="str">
        <f t="shared" si="37"/>
        <v>Do Not Print</v>
      </c>
      <c r="B187" s="297" t="s">
        <v>900</v>
      </c>
      <c r="C187" s="296" t="s">
        <v>101</v>
      </c>
      <c r="D187" s="297"/>
      <c r="E187" s="298" t="s">
        <v>709</v>
      </c>
      <c r="F187" s="301">
        <f t="shared" si="43"/>
        <v>0</v>
      </c>
      <c r="G187" s="300">
        <f t="shared" si="44"/>
        <v>0</v>
      </c>
      <c r="H187" s="198"/>
      <c r="I187" s="200"/>
      <c r="J187" s="165">
        <f t="shared" si="46"/>
        <v>0</v>
      </c>
      <c r="K187" s="165">
        <f t="shared" si="47"/>
        <v>0</v>
      </c>
      <c r="L187" s="165"/>
    </row>
    <row r="188" spans="1:12" ht="27.6" x14ac:dyDescent="0.3">
      <c r="A188" s="296" t="str">
        <f t="shared" si="37"/>
        <v>Do Not Print</v>
      </c>
      <c r="B188" s="297" t="s">
        <v>900</v>
      </c>
      <c r="C188" s="299" t="s">
        <v>1042</v>
      </c>
      <c r="D188" s="297"/>
      <c r="E188" s="298" t="s">
        <v>709</v>
      </c>
      <c r="F188" s="301">
        <f t="shared" si="43"/>
        <v>0</v>
      </c>
      <c r="G188" s="300">
        <f t="shared" si="44"/>
        <v>0</v>
      </c>
      <c r="H188" s="198"/>
      <c r="I188" s="200"/>
      <c r="J188" s="165">
        <f t="shared" si="46"/>
        <v>0</v>
      </c>
      <c r="K188" s="165">
        <f t="shared" si="47"/>
        <v>0</v>
      </c>
      <c r="L188" s="165"/>
    </row>
    <row r="189" spans="1:12" ht="27.6" x14ac:dyDescent="0.3">
      <c r="A189" s="296" t="str">
        <f t="shared" si="37"/>
        <v>Do Not Print</v>
      </c>
      <c r="B189" s="297" t="s">
        <v>900</v>
      </c>
      <c r="C189" s="299" t="s">
        <v>1043</v>
      </c>
      <c r="D189" s="297"/>
      <c r="E189" s="298" t="s">
        <v>709</v>
      </c>
      <c r="F189" s="301">
        <f t="shared" ref="F189:F194" si="48">-VLOOKUP($C189,EASS,5,0)</f>
        <v>0</v>
      </c>
      <c r="G189" s="300">
        <f t="shared" ref="G189:G194" si="49">-VLOOKUP($C189,EASS,11,0)</f>
        <v>0</v>
      </c>
      <c r="H189" s="198"/>
      <c r="I189" s="200"/>
      <c r="J189" s="165">
        <f t="shared" si="46"/>
        <v>0</v>
      </c>
      <c r="K189" s="165">
        <f t="shared" si="47"/>
        <v>0</v>
      </c>
      <c r="L189" s="165"/>
    </row>
    <row r="190" spans="1:12" ht="41.4" x14ac:dyDescent="0.3">
      <c r="A190" s="296" t="str">
        <f t="shared" si="37"/>
        <v>Do Not Print</v>
      </c>
      <c r="B190" s="297" t="s">
        <v>900</v>
      </c>
      <c r="C190" s="296" t="s">
        <v>111</v>
      </c>
      <c r="D190" s="297"/>
      <c r="E190" s="298" t="s">
        <v>709</v>
      </c>
      <c r="F190" s="301">
        <f t="shared" si="48"/>
        <v>0</v>
      </c>
      <c r="G190" s="300">
        <f t="shared" si="49"/>
        <v>0</v>
      </c>
      <c r="H190" s="198"/>
      <c r="I190" s="200"/>
      <c r="J190" s="165">
        <f t="shared" si="46"/>
        <v>0</v>
      </c>
      <c r="K190" s="165">
        <f>ROUND(G190,0)</f>
        <v>0</v>
      </c>
      <c r="L190" s="165"/>
    </row>
    <row r="191" spans="1:12" ht="27.6" x14ac:dyDescent="0.3">
      <c r="A191" s="296" t="str">
        <f t="shared" si="37"/>
        <v>Do Not Print</v>
      </c>
      <c r="B191" s="297" t="s">
        <v>900</v>
      </c>
      <c r="C191" s="299" t="s">
        <v>1044</v>
      </c>
      <c r="D191" s="297"/>
      <c r="E191" s="298" t="s">
        <v>709</v>
      </c>
      <c r="F191" s="301">
        <f t="shared" si="48"/>
        <v>0</v>
      </c>
      <c r="G191" s="300">
        <f t="shared" si="49"/>
        <v>0</v>
      </c>
      <c r="H191" s="198"/>
      <c r="I191" s="200"/>
      <c r="J191" s="165">
        <f t="shared" si="46"/>
        <v>0</v>
      </c>
      <c r="K191" s="165">
        <f t="shared" si="47"/>
        <v>0</v>
      </c>
      <c r="L191" s="165"/>
    </row>
    <row r="192" spans="1:12" ht="27.6" x14ac:dyDescent="0.3">
      <c r="A192" s="296" t="str">
        <f t="shared" si="37"/>
        <v>Do Not Print</v>
      </c>
      <c r="B192" s="297" t="s">
        <v>900</v>
      </c>
      <c r="C192" s="299" t="s">
        <v>1045</v>
      </c>
      <c r="D192" s="297"/>
      <c r="E192" s="298" t="s">
        <v>709</v>
      </c>
      <c r="F192" s="301">
        <f t="shared" si="48"/>
        <v>0</v>
      </c>
      <c r="G192" s="300">
        <f t="shared" si="49"/>
        <v>0</v>
      </c>
      <c r="H192" s="198"/>
      <c r="I192" s="200"/>
      <c r="J192" s="165">
        <f t="shared" si="46"/>
        <v>0</v>
      </c>
      <c r="K192" s="165">
        <f t="shared" si="47"/>
        <v>0</v>
      </c>
      <c r="L192" s="165"/>
    </row>
    <row r="193" spans="1:12" ht="27.6" x14ac:dyDescent="0.3">
      <c r="A193" s="296" t="str">
        <f t="shared" si="37"/>
        <v>Do Not Print</v>
      </c>
      <c r="B193" s="297" t="s">
        <v>900</v>
      </c>
      <c r="C193" s="299" t="s">
        <v>1046</v>
      </c>
      <c r="D193" s="297"/>
      <c r="E193" s="298" t="s">
        <v>709</v>
      </c>
      <c r="F193" s="301">
        <f t="shared" si="48"/>
        <v>0</v>
      </c>
      <c r="G193" s="300">
        <f t="shared" si="49"/>
        <v>0</v>
      </c>
      <c r="H193" s="198"/>
      <c r="I193" s="200"/>
      <c r="J193" s="165">
        <f t="shared" si="46"/>
        <v>0</v>
      </c>
      <c r="K193" s="165">
        <f t="shared" si="47"/>
        <v>0</v>
      </c>
      <c r="L193" s="165"/>
    </row>
    <row r="194" spans="1:12" ht="27.6" x14ac:dyDescent="0.3">
      <c r="A194" s="296" t="str">
        <f t="shared" si="37"/>
        <v>Do Not Print</v>
      </c>
      <c r="B194" s="297" t="s">
        <v>900</v>
      </c>
      <c r="C194" s="299" t="s">
        <v>1047</v>
      </c>
      <c r="D194" s="297"/>
      <c r="E194" s="298" t="s">
        <v>709</v>
      </c>
      <c r="F194" s="301">
        <f t="shared" si="48"/>
        <v>0</v>
      </c>
      <c r="G194" s="300">
        <f t="shared" si="49"/>
        <v>0</v>
      </c>
      <c r="H194" s="198"/>
      <c r="I194" s="200"/>
      <c r="J194" s="165">
        <f t="shared" si="46"/>
        <v>0</v>
      </c>
      <c r="K194" s="165">
        <f t="shared" si="47"/>
        <v>0</v>
      </c>
      <c r="L194" s="165"/>
    </row>
    <row r="195" spans="1:12" ht="27.6" x14ac:dyDescent="0.3">
      <c r="A195" s="296" t="str">
        <f t="shared" si="37"/>
        <v>Do Not Print</v>
      </c>
      <c r="B195" s="297" t="s">
        <v>900</v>
      </c>
      <c r="C195" s="299" t="s">
        <v>1048</v>
      </c>
      <c r="D195" s="297"/>
      <c r="E195" s="298" t="s">
        <v>709</v>
      </c>
      <c r="F195" s="301">
        <f>VLOOKUP($C195,EASS,5,0)</f>
        <v>0</v>
      </c>
      <c r="G195" s="300">
        <f>VLOOKUP($C195,EASS,11,0)</f>
        <v>0</v>
      </c>
      <c r="H195" s="198"/>
      <c r="I195" s="200"/>
      <c r="J195" s="165">
        <f t="shared" si="46"/>
        <v>0</v>
      </c>
      <c r="K195" s="165">
        <f t="shared" si="47"/>
        <v>0</v>
      </c>
      <c r="L195" s="165"/>
    </row>
    <row r="196" spans="1:12" ht="27.6" x14ac:dyDescent="0.3">
      <c r="A196" s="296" t="str">
        <f t="shared" si="37"/>
        <v>Do Not Print</v>
      </c>
      <c r="B196" s="297" t="s">
        <v>900</v>
      </c>
      <c r="C196" s="299" t="s">
        <v>997</v>
      </c>
      <c r="D196" s="297"/>
      <c r="E196" s="298" t="s">
        <v>709</v>
      </c>
      <c r="F196" s="301">
        <f>VLOOKUP($C196,EASS,5,0)</f>
        <v>0</v>
      </c>
      <c r="G196" s="300">
        <f>VLOOKUP($C196,EASS,11,0)</f>
        <v>0</v>
      </c>
      <c r="H196" s="198"/>
      <c r="I196" s="200"/>
      <c r="J196" s="165">
        <f t="shared" si="46"/>
        <v>0</v>
      </c>
      <c r="K196" s="165">
        <f t="shared" si="47"/>
        <v>0</v>
      </c>
      <c r="L196" s="165"/>
    </row>
    <row r="197" spans="1:12" s="14" customFormat="1" ht="14.4" x14ac:dyDescent="0.3">
      <c r="A197" s="45" t="s">
        <v>448</v>
      </c>
      <c r="C197" s="45" t="s">
        <v>1637</v>
      </c>
      <c r="E197" s="258"/>
      <c r="F197" s="294">
        <f>SUM(F175:F185)-SUM(F186:F196)</f>
        <v>0</v>
      </c>
      <c r="G197" s="294">
        <f>SUM(G175:G185)-SUM(G186:G196)</f>
        <v>0</v>
      </c>
      <c r="H197" s="202"/>
      <c r="I197" s="197"/>
      <c r="J197" s="197">
        <f t="shared" si="46"/>
        <v>0</v>
      </c>
      <c r="K197" s="197">
        <f>ROUND(G197,0)</f>
        <v>0</v>
      </c>
      <c r="L197" s="197"/>
    </row>
    <row r="198" spans="1:12" x14ac:dyDescent="0.3">
      <c r="A198" s="39" t="s">
        <v>448</v>
      </c>
      <c r="C198" s="18"/>
      <c r="F198" s="165"/>
      <c r="G198" s="165"/>
      <c r="H198" s="198"/>
      <c r="I198" s="200"/>
      <c r="J198" s="165"/>
      <c r="K198" s="165"/>
      <c r="L198" s="165"/>
    </row>
    <row r="199" spans="1:12" ht="27.6" x14ac:dyDescent="0.3">
      <c r="A199" s="302" t="str">
        <f t="shared" si="37"/>
        <v>Do Not Print</v>
      </c>
      <c r="B199" s="303" t="s">
        <v>897</v>
      </c>
      <c r="C199" s="302" t="s">
        <v>742</v>
      </c>
      <c r="D199" s="303"/>
      <c r="E199" s="304" t="s">
        <v>709</v>
      </c>
      <c r="F199" s="307">
        <f t="shared" ref="F199:F212" si="50">VLOOKUP($C199,HASS,5,0)</f>
        <v>0</v>
      </c>
      <c r="G199" s="306">
        <f t="shared" ref="G199:G212" si="51">VLOOKUP($C199,HASS,11,0)</f>
        <v>0</v>
      </c>
      <c r="H199" s="412"/>
      <c r="I199" s="200"/>
      <c r="J199" s="165">
        <f t="shared" ref="J199:J209" si="52">ROUND(F199,0)</f>
        <v>0</v>
      </c>
      <c r="K199" s="165">
        <f t="shared" si="47"/>
        <v>0</v>
      </c>
      <c r="L199" s="165"/>
    </row>
    <row r="200" spans="1:12" ht="27.6" x14ac:dyDescent="0.3">
      <c r="A200" s="302" t="str">
        <f t="shared" si="37"/>
        <v>Do Not Print</v>
      </c>
      <c r="B200" s="303" t="s">
        <v>897</v>
      </c>
      <c r="C200" s="302" t="s">
        <v>101</v>
      </c>
      <c r="D200" s="303"/>
      <c r="E200" s="304" t="s">
        <v>709</v>
      </c>
      <c r="F200" s="307">
        <f t="shared" si="50"/>
        <v>0</v>
      </c>
      <c r="G200" s="306">
        <f t="shared" si="51"/>
        <v>0</v>
      </c>
      <c r="H200" s="198"/>
      <c r="I200" s="200"/>
      <c r="J200" s="165">
        <f t="shared" si="52"/>
        <v>0</v>
      </c>
      <c r="K200" s="165">
        <f>ROUND(G200,0)</f>
        <v>0</v>
      </c>
      <c r="L200" s="165"/>
    </row>
    <row r="201" spans="1:12" ht="27.6" x14ac:dyDescent="0.3">
      <c r="A201" s="302" t="str">
        <f t="shared" si="37"/>
        <v>Do Not Print</v>
      </c>
      <c r="B201" s="303" t="s">
        <v>897</v>
      </c>
      <c r="C201" s="305" t="s">
        <v>1049</v>
      </c>
      <c r="D201" s="303"/>
      <c r="E201" s="304" t="s">
        <v>709</v>
      </c>
      <c r="F201" s="307">
        <f t="shared" si="50"/>
        <v>0</v>
      </c>
      <c r="G201" s="306">
        <f t="shared" si="51"/>
        <v>0</v>
      </c>
      <c r="H201" s="198"/>
      <c r="I201" s="200"/>
      <c r="J201" s="165">
        <f t="shared" si="52"/>
        <v>0</v>
      </c>
      <c r="K201" s="165">
        <f t="shared" si="47"/>
        <v>0</v>
      </c>
      <c r="L201" s="165"/>
    </row>
    <row r="202" spans="1:12" ht="27.6" x14ac:dyDescent="0.3">
      <c r="A202" s="302" t="str">
        <f t="shared" si="37"/>
        <v>Do Not Print</v>
      </c>
      <c r="B202" s="303" t="s">
        <v>897</v>
      </c>
      <c r="C202" s="302" t="s">
        <v>1050</v>
      </c>
      <c r="D202" s="303"/>
      <c r="E202" s="304" t="s">
        <v>709</v>
      </c>
      <c r="F202" s="307">
        <f t="shared" si="50"/>
        <v>0</v>
      </c>
      <c r="G202" s="306">
        <f t="shared" si="51"/>
        <v>0</v>
      </c>
      <c r="H202" s="198"/>
      <c r="I202" s="200"/>
      <c r="J202" s="165">
        <f t="shared" si="52"/>
        <v>0</v>
      </c>
      <c r="K202" s="165">
        <f t="shared" si="47"/>
        <v>0</v>
      </c>
      <c r="L202" s="165"/>
    </row>
    <row r="203" spans="1:12" ht="27.6" x14ac:dyDescent="0.3">
      <c r="A203" s="302" t="str">
        <f t="shared" si="37"/>
        <v>Do Not Print</v>
      </c>
      <c r="B203" s="303" t="s">
        <v>897</v>
      </c>
      <c r="C203" s="305" t="s">
        <v>1051</v>
      </c>
      <c r="D203" s="303"/>
      <c r="E203" s="304" t="s">
        <v>709</v>
      </c>
      <c r="F203" s="307">
        <f t="shared" si="50"/>
        <v>0</v>
      </c>
      <c r="G203" s="306">
        <f t="shared" si="51"/>
        <v>0</v>
      </c>
      <c r="H203" s="198"/>
      <c r="I203" s="200"/>
      <c r="J203" s="165">
        <f t="shared" si="52"/>
        <v>0</v>
      </c>
      <c r="K203" s="165">
        <f t="shared" si="47"/>
        <v>0</v>
      </c>
      <c r="L203" s="165"/>
    </row>
    <row r="204" spans="1:12" ht="41.4" x14ac:dyDescent="0.3">
      <c r="A204" s="302" t="str">
        <f t="shared" si="37"/>
        <v>Do Not Print</v>
      </c>
      <c r="B204" s="303" t="s">
        <v>897</v>
      </c>
      <c r="C204" s="305" t="s">
        <v>1052</v>
      </c>
      <c r="D204" s="303"/>
      <c r="E204" s="304" t="s">
        <v>709</v>
      </c>
      <c r="F204" s="307">
        <f t="shared" si="50"/>
        <v>0</v>
      </c>
      <c r="G204" s="306">
        <f t="shared" si="51"/>
        <v>0</v>
      </c>
      <c r="H204" s="198"/>
      <c r="I204" s="200"/>
      <c r="J204" s="165">
        <f t="shared" si="52"/>
        <v>0</v>
      </c>
      <c r="K204" s="165">
        <f t="shared" si="47"/>
        <v>0</v>
      </c>
      <c r="L204" s="165"/>
    </row>
    <row r="205" spans="1:12" ht="27.6" x14ac:dyDescent="0.3">
      <c r="A205" s="302" t="str">
        <f t="shared" si="37"/>
        <v>Do Not Print</v>
      </c>
      <c r="B205" s="303" t="s">
        <v>897</v>
      </c>
      <c r="C205" s="302" t="s">
        <v>743</v>
      </c>
      <c r="D205" s="303"/>
      <c r="E205" s="304" t="s">
        <v>709</v>
      </c>
      <c r="F205" s="307">
        <f t="shared" si="50"/>
        <v>0</v>
      </c>
      <c r="G205" s="306">
        <f t="shared" si="51"/>
        <v>0</v>
      </c>
      <c r="H205" s="198"/>
      <c r="I205" s="200"/>
      <c r="J205" s="165">
        <f t="shared" si="52"/>
        <v>0</v>
      </c>
      <c r="K205" s="165">
        <f t="shared" si="47"/>
        <v>0</v>
      </c>
      <c r="L205" s="165"/>
    </row>
    <row r="206" spans="1:12" ht="27.6" x14ac:dyDescent="0.3">
      <c r="A206" s="302" t="str">
        <f t="shared" si="37"/>
        <v>Do Not Print</v>
      </c>
      <c r="B206" s="303" t="s">
        <v>897</v>
      </c>
      <c r="C206" s="305" t="s">
        <v>1053</v>
      </c>
      <c r="D206" s="303"/>
      <c r="E206" s="304" t="s">
        <v>709</v>
      </c>
      <c r="F206" s="307">
        <f t="shared" si="50"/>
        <v>0</v>
      </c>
      <c r="G206" s="306">
        <f t="shared" si="51"/>
        <v>0</v>
      </c>
      <c r="H206" s="198"/>
      <c r="I206" s="200"/>
      <c r="J206" s="165">
        <f t="shared" si="52"/>
        <v>0</v>
      </c>
      <c r="K206" s="165">
        <f t="shared" si="47"/>
        <v>0</v>
      </c>
      <c r="L206" s="165"/>
    </row>
    <row r="207" spans="1:12" ht="27.6" x14ac:dyDescent="0.3">
      <c r="A207" s="302" t="str">
        <f t="shared" si="37"/>
        <v>Do Not Print</v>
      </c>
      <c r="B207" s="303" t="s">
        <v>897</v>
      </c>
      <c r="C207" s="302" t="s">
        <v>349</v>
      </c>
      <c r="D207" s="303"/>
      <c r="E207" s="304" t="s">
        <v>709</v>
      </c>
      <c r="F207" s="307">
        <f t="shared" si="50"/>
        <v>0</v>
      </c>
      <c r="G207" s="306">
        <f t="shared" si="51"/>
        <v>0</v>
      </c>
      <c r="H207" s="198"/>
      <c r="I207" s="200"/>
      <c r="J207" s="165">
        <f t="shared" si="52"/>
        <v>0</v>
      </c>
      <c r="K207" s="165">
        <f t="shared" si="47"/>
        <v>0</v>
      </c>
      <c r="L207" s="165"/>
    </row>
    <row r="208" spans="1:12" ht="27.6" x14ac:dyDescent="0.3">
      <c r="A208" s="302" t="str">
        <f t="shared" si="37"/>
        <v>Do Not Print</v>
      </c>
      <c r="B208" s="303" t="s">
        <v>897</v>
      </c>
      <c r="C208" s="302" t="s">
        <v>350</v>
      </c>
      <c r="D208" s="303"/>
      <c r="E208" s="304" t="s">
        <v>709</v>
      </c>
      <c r="F208" s="307">
        <f t="shared" si="50"/>
        <v>0</v>
      </c>
      <c r="G208" s="306">
        <f t="shared" si="51"/>
        <v>0</v>
      </c>
      <c r="H208" s="198"/>
      <c r="I208" s="200"/>
      <c r="J208" s="165">
        <f t="shared" si="52"/>
        <v>0</v>
      </c>
      <c r="K208" s="165">
        <f t="shared" si="47"/>
        <v>0</v>
      </c>
      <c r="L208" s="165"/>
    </row>
    <row r="209" spans="1:12" ht="27.6" x14ac:dyDescent="0.3">
      <c r="A209" s="302" t="str">
        <f t="shared" si="37"/>
        <v>Do Not Print</v>
      </c>
      <c r="B209" s="303" t="s">
        <v>897</v>
      </c>
      <c r="C209" s="302" t="s">
        <v>994</v>
      </c>
      <c r="D209" s="303"/>
      <c r="E209" s="304" t="s">
        <v>709</v>
      </c>
      <c r="F209" s="307">
        <f t="shared" si="50"/>
        <v>0</v>
      </c>
      <c r="G209" s="306">
        <f t="shared" si="51"/>
        <v>0</v>
      </c>
      <c r="H209" s="198"/>
      <c r="I209" s="200"/>
      <c r="J209" s="165">
        <f t="shared" si="52"/>
        <v>0</v>
      </c>
      <c r="K209" s="165">
        <f>ROUND(G209,0)</f>
        <v>0</v>
      </c>
      <c r="L209" s="165"/>
    </row>
    <row r="210" spans="1:12" ht="27.6" x14ac:dyDescent="0.3">
      <c r="A210" s="302" t="str">
        <f t="shared" ref="A210:A220" si="53">IF(AND(F210=0,G210=0),"Do Not Print","Print")</f>
        <v>Do Not Print</v>
      </c>
      <c r="B210" s="303" t="s">
        <v>897</v>
      </c>
      <c r="C210" s="305" t="s">
        <v>1116</v>
      </c>
      <c r="D210" s="303"/>
      <c r="E210" s="304" t="s">
        <v>709</v>
      </c>
      <c r="F210" s="307">
        <f t="shared" si="50"/>
        <v>0</v>
      </c>
      <c r="G210" s="306">
        <f t="shared" si="51"/>
        <v>0</v>
      </c>
      <c r="H210" s="198"/>
      <c r="I210" s="200"/>
      <c r="J210" s="165">
        <f t="shared" ref="J210:K221" si="54">ROUND(F210,0)</f>
        <v>0</v>
      </c>
      <c r="K210" s="165">
        <f t="shared" ref="K210:K220" si="55">ROUND(G210,0)</f>
        <v>0</v>
      </c>
      <c r="L210" s="165"/>
    </row>
    <row r="211" spans="1:12" ht="27.6" x14ac:dyDescent="0.3">
      <c r="A211" s="302" t="str">
        <f t="shared" si="53"/>
        <v>Do Not Print</v>
      </c>
      <c r="B211" s="303" t="s">
        <v>897</v>
      </c>
      <c r="C211" s="305" t="s">
        <v>101</v>
      </c>
      <c r="D211" s="303"/>
      <c r="E211" s="304" t="s">
        <v>709</v>
      </c>
      <c r="F211" s="307">
        <f>VLOOKUP($C211,HASS,5,0)</f>
        <v>0</v>
      </c>
      <c r="G211" s="306">
        <f>VLOOKUP($C211,HASS,11,0)</f>
        <v>0</v>
      </c>
      <c r="H211" s="198"/>
      <c r="I211" s="200"/>
      <c r="J211" s="165">
        <f t="shared" si="54"/>
        <v>0</v>
      </c>
      <c r="K211" s="165">
        <f t="shared" si="55"/>
        <v>0</v>
      </c>
      <c r="L211" s="165"/>
    </row>
    <row r="212" spans="1:12" ht="27.6" x14ac:dyDescent="0.3">
      <c r="A212" s="302" t="str">
        <f t="shared" si="53"/>
        <v>Do Not Print</v>
      </c>
      <c r="B212" s="303" t="s">
        <v>897</v>
      </c>
      <c r="C212" s="305" t="s">
        <v>1117</v>
      </c>
      <c r="D212" s="303"/>
      <c r="E212" s="304" t="s">
        <v>709</v>
      </c>
      <c r="F212" s="307">
        <f t="shared" si="50"/>
        <v>0</v>
      </c>
      <c r="G212" s="306">
        <f t="shared" si="51"/>
        <v>0</v>
      </c>
      <c r="H212" s="198"/>
      <c r="I212" s="200"/>
      <c r="J212" s="165">
        <f t="shared" si="54"/>
        <v>0</v>
      </c>
      <c r="K212" s="165">
        <f t="shared" si="55"/>
        <v>0</v>
      </c>
      <c r="L212" s="165"/>
    </row>
    <row r="213" spans="1:12" ht="27.6" x14ac:dyDescent="0.3">
      <c r="A213" s="302" t="str">
        <f t="shared" si="53"/>
        <v>Do Not Print</v>
      </c>
      <c r="B213" s="303" t="s">
        <v>897</v>
      </c>
      <c r="C213" s="305" t="s">
        <v>1118</v>
      </c>
      <c r="D213" s="303"/>
      <c r="E213" s="304" t="s">
        <v>709</v>
      </c>
      <c r="F213" s="307">
        <f t="shared" ref="F213:F218" si="56">-VLOOKUP($C213,HASS,5,0)</f>
        <v>0</v>
      </c>
      <c r="G213" s="306">
        <f t="shared" ref="G213:G218" si="57">-VLOOKUP($C213,HASS,11,0)</f>
        <v>0</v>
      </c>
      <c r="H213" s="198"/>
      <c r="I213" s="200"/>
      <c r="J213" s="165">
        <f t="shared" si="54"/>
        <v>0</v>
      </c>
      <c r="K213" s="165">
        <f t="shared" si="55"/>
        <v>0</v>
      </c>
      <c r="L213" s="165"/>
    </row>
    <row r="214" spans="1:12" ht="41.4" x14ac:dyDescent="0.3">
      <c r="A214" s="302" t="str">
        <f t="shared" si="53"/>
        <v>Do Not Print</v>
      </c>
      <c r="B214" s="303" t="s">
        <v>897</v>
      </c>
      <c r="C214" s="302" t="s">
        <v>111</v>
      </c>
      <c r="D214" s="303"/>
      <c r="E214" s="304" t="s">
        <v>709</v>
      </c>
      <c r="F214" s="307">
        <f t="shared" si="56"/>
        <v>0</v>
      </c>
      <c r="G214" s="306">
        <f t="shared" si="57"/>
        <v>0</v>
      </c>
      <c r="H214" s="198"/>
      <c r="I214" s="200"/>
      <c r="J214" s="165">
        <f t="shared" si="54"/>
        <v>0</v>
      </c>
      <c r="K214" s="165">
        <f t="shared" si="55"/>
        <v>0</v>
      </c>
      <c r="L214" s="165"/>
    </row>
    <row r="215" spans="1:12" ht="27.6" x14ac:dyDescent="0.3">
      <c r="A215" s="302" t="str">
        <f t="shared" si="53"/>
        <v>Do Not Print</v>
      </c>
      <c r="B215" s="303" t="s">
        <v>897</v>
      </c>
      <c r="C215" s="305" t="s">
        <v>1119</v>
      </c>
      <c r="D215" s="303"/>
      <c r="E215" s="304" t="s">
        <v>709</v>
      </c>
      <c r="F215" s="307">
        <f t="shared" si="56"/>
        <v>0</v>
      </c>
      <c r="G215" s="306">
        <f t="shared" si="57"/>
        <v>0</v>
      </c>
      <c r="H215" s="198"/>
      <c r="I215" s="200"/>
      <c r="J215" s="165">
        <f t="shared" si="54"/>
        <v>0</v>
      </c>
      <c r="K215" s="165">
        <f t="shared" si="55"/>
        <v>0</v>
      </c>
      <c r="L215" s="165"/>
    </row>
    <row r="216" spans="1:12" ht="27.6" x14ac:dyDescent="0.3">
      <c r="A216" s="302" t="str">
        <f t="shared" si="53"/>
        <v>Do Not Print</v>
      </c>
      <c r="B216" s="303" t="s">
        <v>897</v>
      </c>
      <c r="C216" s="305" t="s">
        <v>1120</v>
      </c>
      <c r="D216" s="303"/>
      <c r="E216" s="304" t="s">
        <v>709</v>
      </c>
      <c r="F216" s="307">
        <f t="shared" si="56"/>
        <v>0</v>
      </c>
      <c r="G216" s="306">
        <f t="shared" si="57"/>
        <v>0</v>
      </c>
      <c r="H216" s="198"/>
      <c r="I216" s="200"/>
      <c r="J216" s="165">
        <f t="shared" si="54"/>
        <v>0</v>
      </c>
      <c r="K216" s="165">
        <f t="shared" si="55"/>
        <v>0</v>
      </c>
      <c r="L216" s="165"/>
    </row>
    <row r="217" spans="1:12" ht="27.6" x14ac:dyDescent="0.3">
      <c r="A217" s="302" t="str">
        <f t="shared" si="53"/>
        <v>Do Not Print</v>
      </c>
      <c r="B217" s="303" t="s">
        <v>897</v>
      </c>
      <c r="C217" s="305" t="s">
        <v>1121</v>
      </c>
      <c r="D217" s="303"/>
      <c r="E217" s="304" t="s">
        <v>709</v>
      </c>
      <c r="F217" s="307">
        <f t="shared" si="56"/>
        <v>0</v>
      </c>
      <c r="G217" s="306">
        <f t="shared" si="57"/>
        <v>0</v>
      </c>
      <c r="H217" s="198"/>
      <c r="I217" s="200"/>
      <c r="J217" s="165">
        <f t="shared" si="54"/>
        <v>0</v>
      </c>
      <c r="K217" s="165">
        <f t="shared" si="55"/>
        <v>0</v>
      </c>
      <c r="L217" s="165"/>
    </row>
    <row r="218" spans="1:12" ht="27.6" x14ac:dyDescent="0.3">
      <c r="A218" s="302" t="str">
        <f t="shared" si="53"/>
        <v>Do Not Print</v>
      </c>
      <c r="B218" s="303" t="s">
        <v>897</v>
      </c>
      <c r="C218" s="305" t="s">
        <v>1122</v>
      </c>
      <c r="D218" s="303"/>
      <c r="E218" s="304" t="s">
        <v>709</v>
      </c>
      <c r="F218" s="307">
        <f t="shared" si="56"/>
        <v>0</v>
      </c>
      <c r="G218" s="306">
        <f t="shared" si="57"/>
        <v>0</v>
      </c>
      <c r="H218" s="198"/>
      <c r="I218" s="200"/>
      <c r="J218" s="165">
        <f t="shared" si="54"/>
        <v>0</v>
      </c>
      <c r="K218" s="165">
        <f t="shared" si="55"/>
        <v>0</v>
      </c>
      <c r="L218" s="165"/>
    </row>
    <row r="219" spans="1:12" ht="27.6" x14ac:dyDescent="0.3">
      <c r="A219" s="302" t="str">
        <f t="shared" si="53"/>
        <v>Do Not Print</v>
      </c>
      <c r="B219" s="303" t="s">
        <v>897</v>
      </c>
      <c r="C219" s="305" t="s">
        <v>1123</v>
      </c>
      <c r="D219" s="303"/>
      <c r="E219" s="304" t="s">
        <v>709</v>
      </c>
      <c r="F219" s="307">
        <f>VLOOKUP($C219,HASS,5,0)</f>
        <v>0</v>
      </c>
      <c r="G219" s="306">
        <f>VLOOKUP($C219,HASS,11,0)</f>
        <v>0</v>
      </c>
      <c r="H219" s="198"/>
      <c r="I219" s="200"/>
      <c r="J219" s="165">
        <f t="shared" si="54"/>
        <v>0</v>
      </c>
      <c r="K219" s="165">
        <f t="shared" si="55"/>
        <v>0</v>
      </c>
      <c r="L219" s="165"/>
    </row>
    <row r="220" spans="1:12" ht="27.6" x14ac:dyDescent="0.3">
      <c r="A220" s="302" t="str">
        <f t="shared" si="53"/>
        <v>Do Not Print</v>
      </c>
      <c r="B220" s="303" t="s">
        <v>897</v>
      </c>
      <c r="C220" s="302" t="s">
        <v>997</v>
      </c>
      <c r="D220" s="303"/>
      <c r="E220" s="304" t="s">
        <v>709</v>
      </c>
      <c r="F220" s="307">
        <f>VLOOKUP($C220,HASS,5,0)</f>
        <v>0</v>
      </c>
      <c r="G220" s="306">
        <f>VLOOKUP($C220,HASS,11,0)</f>
        <v>0</v>
      </c>
      <c r="H220" s="198"/>
      <c r="I220" s="200"/>
      <c r="J220" s="165">
        <f t="shared" si="54"/>
        <v>0</v>
      </c>
      <c r="K220" s="165">
        <f t="shared" si="55"/>
        <v>0</v>
      </c>
      <c r="L220" s="165"/>
    </row>
    <row r="221" spans="1:12" s="14" customFormat="1" ht="14.4" x14ac:dyDescent="0.3">
      <c r="A221" s="45" t="s">
        <v>448</v>
      </c>
      <c r="C221" s="45" t="s">
        <v>1638</v>
      </c>
      <c r="E221" s="258"/>
      <c r="F221" s="308">
        <f>SUM(F199:F209)-SUM(F210:F220)</f>
        <v>0</v>
      </c>
      <c r="G221" s="308">
        <f>SUM(G199:G209)-SUM(G210:G220)</f>
        <v>0</v>
      </c>
      <c r="H221" s="202"/>
      <c r="I221" s="197"/>
      <c r="J221" s="197">
        <f t="shared" si="54"/>
        <v>0</v>
      </c>
      <c r="K221" s="197">
        <f t="shared" si="54"/>
        <v>0</v>
      </c>
      <c r="L221" s="197"/>
    </row>
    <row r="222" spans="1:12" x14ac:dyDescent="0.3">
      <c r="A222" s="39" t="s">
        <v>448</v>
      </c>
      <c r="F222" s="165"/>
      <c r="G222" s="165"/>
      <c r="H222" s="198"/>
      <c r="I222" s="200"/>
      <c r="J222" s="165"/>
      <c r="K222" s="165"/>
      <c r="L222" s="165"/>
    </row>
    <row r="223" spans="1:12" ht="27.6" x14ac:dyDescent="0.3">
      <c r="A223" s="309" t="str">
        <f t="shared" si="37"/>
        <v>Do Not Print</v>
      </c>
      <c r="B223" s="310" t="s">
        <v>898</v>
      </c>
      <c r="C223" s="309" t="s">
        <v>351</v>
      </c>
      <c r="D223" s="310"/>
      <c r="E223" s="311" t="s">
        <v>709</v>
      </c>
      <c r="F223" s="314">
        <f t="shared" ref="F223:F229" si="58">VLOOKUP($C223,IPAS,5,0)</f>
        <v>0</v>
      </c>
      <c r="G223" s="315">
        <f t="shared" ref="G223:G229" si="59">VLOOKUP($C223,IPAS,11,0)</f>
        <v>0</v>
      </c>
      <c r="H223" s="198"/>
      <c r="I223" s="200"/>
      <c r="J223" s="165">
        <f t="shared" ref="J223:J229" si="60">ROUND(F223,0)</f>
        <v>0</v>
      </c>
      <c r="K223" s="165">
        <f t="shared" si="47"/>
        <v>0</v>
      </c>
      <c r="L223" s="165"/>
    </row>
    <row r="224" spans="1:12" ht="27.6" x14ac:dyDescent="0.3">
      <c r="A224" s="309" t="str">
        <f t="shared" si="37"/>
        <v>Do Not Print</v>
      </c>
      <c r="B224" s="310" t="s">
        <v>898</v>
      </c>
      <c r="C224" s="312" t="s">
        <v>1054</v>
      </c>
      <c r="D224" s="310"/>
      <c r="E224" s="311" t="s">
        <v>709</v>
      </c>
      <c r="F224" s="314">
        <f t="shared" si="58"/>
        <v>0</v>
      </c>
      <c r="G224" s="315">
        <f t="shared" si="59"/>
        <v>0</v>
      </c>
      <c r="H224" s="198"/>
      <c r="I224" s="200"/>
      <c r="J224" s="165">
        <f t="shared" si="60"/>
        <v>0</v>
      </c>
      <c r="K224" s="165">
        <f t="shared" si="47"/>
        <v>0</v>
      </c>
      <c r="L224" s="165"/>
    </row>
    <row r="225" spans="1:12" ht="27.6" x14ac:dyDescent="0.3">
      <c r="A225" s="309" t="str">
        <f t="shared" si="37"/>
        <v>Do Not Print</v>
      </c>
      <c r="B225" s="310" t="s">
        <v>898</v>
      </c>
      <c r="C225" s="312" t="s">
        <v>1056</v>
      </c>
      <c r="D225" s="310"/>
      <c r="E225" s="311" t="s">
        <v>709</v>
      </c>
      <c r="F225" s="314">
        <f t="shared" si="58"/>
        <v>0</v>
      </c>
      <c r="G225" s="315">
        <f t="shared" si="59"/>
        <v>0</v>
      </c>
      <c r="H225" s="198"/>
      <c r="I225" s="200"/>
      <c r="J225" s="165">
        <f t="shared" si="60"/>
        <v>0</v>
      </c>
      <c r="K225" s="165">
        <f t="shared" si="47"/>
        <v>0</v>
      </c>
      <c r="L225" s="165"/>
    </row>
    <row r="226" spans="1:12" ht="27.6" x14ac:dyDescent="0.3">
      <c r="A226" s="309" t="str">
        <f t="shared" si="37"/>
        <v>Do Not Print</v>
      </c>
      <c r="B226" s="310" t="s">
        <v>898</v>
      </c>
      <c r="C226" s="312" t="s">
        <v>2673</v>
      </c>
      <c r="D226" s="310"/>
      <c r="E226" s="311" t="s">
        <v>709</v>
      </c>
      <c r="F226" s="314">
        <f t="shared" si="58"/>
        <v>0</v>
      </c>
      <c r="G226" s="315">
        <f t="shared" si="59"/>
        <v>0</v>
      </c>
      <c r="H226" s="198"/>
      <c r="I226" s="200"/>
      <c r="J226" s="165">
        <f t="shared" si="60"/>
        <v>0</v>
      </c>
      <c r="K226" s="165">
        <f t="shared" si="47"/>
        <v>0</v>
      </c>
      <c r="L226" s="165"/>
    </row>
    <row r="227" spans="1:12" ht="27.6" x14ac:dyDescent="0.3">
      <c r="A227" s="309" t="str">
        <f t="shared" si="37"/>
        <v>Do Not Print</v>
      </c>
      <c r="B227" s="310" t="s">
        <v>898</v>
      </c>
      <c r="C227" s="312" t="s">
        <v>2970</v>
      </c>
      <c r="D227" s="310"/>
      <c r="E227" s="311" t="s">
        <v>709</v>
      </c>
      <c r="F227" s="314">
        <f t="shared" si="58"/>
        <v>0</v>
      </c>
      <c r="G227" s="315">
        <f t="shared" si="59"/>
        <v>0</v>
      </c>
      <c r="H227" s="198"/>
      <c r="I227" s="200"/>
      <c r="J227" s="165">
        <f t="shared" si="60"/>
        <v>0</v>
      </c>
      <c r="K227" s="165">
        <f>ROUND(G227,0)</f>
        <v>0</v>
      </c>
      <c r="L227" s="165"/>
    </row>
    <row r="228" spans="1:12" ht="27.6" x14ac:dyDescent="0.3">
      <c r="A228" s="309" t="str">
        <f t="shared" ref="A228:A253" si="61">IF(AND(F228=0,G228=0),"Do Not Print","Print")</f>
        <v>Do Not Print</v>
      </c>
      <c r="B228" s="310" t="s">
        <v>898</v>
      </c>
      <c r="C228" s="309" t="s">
        <v>2998</v>
      </c>
      <c r="D228" s="310"/>
      <c r="E228" s="311" t="s">
        <v>709</v>
      </c>
      <c r="F228" s="314">
        <f t="shared" si="58"/>
        <v>0</v>
      </c>
      <c r="G228" s="315">
        <f t="shared" si="59"/>
        <v>0</v>
      </c>
      <c r="H228" s="198"/>
      <c r="I228" s="200"/>
      <c r="J228" s="165">
        <f t="shared" si="60"/>
        <v>0</v>
      </c>
      <c r="K228" s="165">
        <f t="shared" si="47"/>
        <v>0</v>
      </c>
      <c r="L228" s="165"/>
    </row>
    <row r="229" spans="1:12" ht="27.6" x14ac:dyDescent="0.3">
      <c r="A229" s="309" t="str">
        <f t="shared" si="61"/>
        <v>Do Not Print</v>
      </c>
      <c r="B229" s="310" t="s">
        <v>898</v>
      </c>
      <c r="C229" s="312" t="s">
        <v>2675</v>
      </c>
      <c r="D229" s="310"/>
      <c r="E229" s="311" t="s">
        <v>709</v>
      </c>
      <c r="F229" s="314">
        <f t="shared" si="58"/>
        <v>0</v>
      </c>
      <c r="G229" s="315">
        <f t="shared" si="59"/>
        <v>0</v>
      </c>
      <c r="H229" s="198"/>
      <c r="I229" s="200"/>
      <c r="J229" s="165">
        <f t="shared" si="60"/>
        <v>0</v>
      </c>
      <c r="K229" s="165">
        <f t="shared" si="47"/>
        <v>0</v>
      </c>
      <c r="L229" s="165"/>
    </row>
    <row r="230" spans="1:12" s="14" customFormat="1" ht="14.4" x14ac:dyDescent="0.3">
      <c r="A230" s="45" t="s">
        <v>448</v>
      </c>
      <c r="C230" s="45" t="s">
        <v>1639</v>
      </c>
      <c r="E230" s="258"/>
      <c r="F230" s="316">
        <f>SUM(F223:F229)</f>
        <v>0</v>
      </c>
      <c r="G230" s="316">
        <f>SUM(G223:G229)</f>
        <v>0</v>
      </c>
      <c r="H230" s="202"/>
      <c r="I230" s="197"/>
      <c r="J230" s="197">
        <f t="shared" ref="J230:K230" si="62">ROUND(F230,0)</f>
        <v>0</v>
      </c>
      <c r="K230" s="197">
        <f t="shared" si="62"/>
        <v>0</v>
      </c>
      <c r="L230" s="197"/>
    </row>
    <row r="231" spans="1:12" x14ac:dyDescent="0.3">
      <c r="A231" s="39" t="s">
        <v>448</v>
      </c>
      <c r="F231" s="165"/>
      <c r="G231" s="165"/>
      <c r="H231" s="198"/>
      <c r="I231" s="200"/>
      <c r="J231" s="165"/>
      <c r="K231" s="165"/>
      <c r="L231" s="165"/>
    </row>
    <row r="232" spans="1:12" ht="27.6" x14ac:dyDescent="0.3">
      <c r="A232" s="317" t="str">
        <f t="shared" si="61"/>
        <v>Do Not Print</v>
      </c>
      <c r="B232" s="318" t="s">
        <v>899</v>
      </c>
      <c r="C232" s="317" t="s">
        <v>355</v>
      </c>
      <c r="D232" s="318"/>
      <c r="E232" s="319" t="s">
        <v>709</v>
      </c>
      <c r="F232" s="321">
        <f t="shared" ref="F232:F245" si="63">VLOOKUP($C232,ITAS,5,0)</f>
        <v>0</v>
      </c>
      <c r="G232" s="322">
        <f t="shared" ref="G232:G245" si="64">VLOOKUP($C232,ITAS,11,0)</f>
        <v>0</v>
      </c>
      <c r="H232" s="198"/>
      <c r="I232" s="200"/>
      <c r="J232" s="165">
        <f t="shared" ref="J232:J242" si="65">ROUND(F232,0)</f>
        <v>0</v>
      </c>
      <c r="K232" s="165">
        <f t="shared" si="47"/>
        <v>0</v>
      </c>
      <c r="L232" s="165"/>
    </row>
    <row r="233" spans="1:12" ht="27.6" x14ac:dyDescent="0.3">
      <c r="A233" s="317" t="str">
        <f t="shared" si="61"/>
        <v>Do Not Print</v>
      </c>
      <c r="B233" s="318" t="s">
        <v>899</v>
      </c>
      <c r="C233" s="317" t="s">
        <v>101</v>
      </c>
      <c r="D233" s="318"/>
      <c r="E233" s="319" t="s">
        <v>709</v>
      </c>
      <c r="F233" s="321">
        <f t="shared" si="63"/>
        <v>0</v>
      </c>
      <c r="G233" s="322">
        <f t="shared" si="64"/>
        <v>0</v>
      </c>
      <c r="H233" s="198"/>
      <c r="I233" s="200"/>
      <c r="J233" s="165">
        <f t="shared" si="65"/>
        <v>0</v>
      </c>
      <c r="K233" s="165">
        <f t="shared" si="47"/>
        <v>0</v>
      </c>
      <c r="L233" s="165"/>
    </row>
    <row r="234" spans="1:12" ht="27.6" x14ac:dyDescent="0.3">
      <c r="A234" s="317" t="str">
        <f t="shared" si="61"/>
        <v>Do Not Print</v>
      </c>
      <c r="B234" s="318" t="s">
        <v>899</v>
      </c>
      <c r="C234" s="317" t="s">
        <v>356</v>
      </c>
      <c r="D234" s="318"/>
      <c r="E234" s="319" t="s">
        <v>709</v>
      </c>
      <c r="F234" s="321">
        <f t="shared" si="63"/>
        <v>0</v>
      </c>
      <c r="G234" s="322">
        <f t="shared" si="64"/>
        <v>0</v>
      </c>
      <c r="H234" s="198"/>
      <c r="I234" s="200"/>
      <c r="J234" s="165">
        <f t="shared" si="65"/>
        <v>0</v>
      </c>
      <c r="K234" s="165">
        <f t="shared" si="47"/>
        <v>0</v>
      </c>
      <c r="L234" s="165"/>
    </row>
    <row r="235" spans="1:12" ht="27.6" x14ac:dyDescent="0.3">
      <c r="A235" s="317" t="str">
        <f t="shared" si="61"/>
        <v>Do Not Print</v>
      </c>
      <c r="B235" s="318" t="s">
        <v>899</v>
      </c>
      <c r="C235" s="317" t="s">
        <v>1057</v>
      </c>
      <c r="D235" s="318"/>
      <c r="E235" s="319" t="s">
        <v>709</v>
      </c>
      <c r="F235" s="321">
        <f t="shared" si="63"/>
        <v>0</v>
      </c>
      <c r="G235" s="322">
        <f t="shared" si="64"/>
        <v>0</v>
      </c>
      <c r="H235" s="198"/>
      <c r="I235" s="200"/>
      <c r="J235" s="165">
        <f t="shared" si="65"/>
        <v>0</v>
      </c>
      <c r="K235" s="165">
        <f t="shared" si="47"/>
        <v>0</v>
      </c>
      <c r="L235" s="165"/>
    </row>
    <row r="236" spans="1:12" ht="27.6" x14ac:dyDescent="0.3">
      <c r="A236" s="317" t="str">
        <f t="shared" si="61"/>
        <v>Do Not Print</v>
      </c>
      <c r="B236" s="318" t="s">
        <v>899</v>
      </c>
      <c r="C236" s="320" t="s">
        <v>1058</v>
      </c>
      <c r="D236" s="318"/>
      <c r="E236" s="319" t="s">
        <v>709</v>
      </c>
      <c r="F236" s="321">
        <f t="shared" si="63"/>
        <v>0</v>
      </c>
      <c r="G236" s="322">
        <f t="shared" si="64"/>
        <v>0</v>
      </c>
      <c r="H236" s="198"/>
      <c r="I236" s="200"/>
      <c r="J236" s="165">
        <f t="shared" si="65"/>
        <v>0</v>
      </c>
      <c r="K236" s="165">
        <f t="shared" si="47"/>
        <v>0</v>
      </c>
      <c r="L236" s="165"/>
    </row>
    <row r="237" spans="1:12" ht="41.4" x14ac:dyDescent="0.3">
      <c r="A237" s="317" t="str">
        <f t="shared" si="61"/>
        <v>Do Not Print</v>
      </c>
      <c r="B237" s="318" t="s">
        <v>899</v>
      </c>
      <c r="C237" s="320" t="s">
        <v>1059</v>
      </c>
      <c r="D237" s="318"/>
      <c r="E237" s="319" t="s">
        <v>709</v>
      </c>
      <c r="F237" s="321">
        <f t="shared" si="63"/>
        <v>0</v>
      </c>
      <c r="G237" s="322">
        <f t="shared" si="64"/>
        <v>0</v>
      </c>
      <c r="H237" s="198"/>
      <c r="I237" s="200"/>
      <c r="J237" s="165">
        <f t="shared" si="65"/>
        <v>0</v>
      </c>
      <c r="K237" s="165">
        <f t="shared" si="47"/>
        <v>0</v>
      </c>
      <c r="L237" s="165"/>
    </row>
    <row r="238" spans="1:12" ht="27.6" x14ac:dyDescent="0.3">
      <c r="A238" s="317" t="str">
        <f t="shared" si="61"/>
        <v>Do Not Print</v>
      </c>
      <c r="B238" s="318" t="s">
        <v>899</v>
      </c>
      <c r="C238" s="317" t="s">
        <v>357</v>
      </c>
      <c r="D238" s="318"/>
      <c r="E238" s="319" t="s">
        <v>709</v>
      </c>
      <c r="F238" s="321">
        <f t="shared" si="63"/>
        <v>0</v>
      </c>
      <c r="G238" s="322">
        <f t="shared" si="64"/>
        <v>0</v>
      </c>
      <c r="H238" s="198"/>
      <c r="I238" s="200"/>
      <c r="J238" s="165">
        <f t="shared" si="65"/>
        <v>0</v>
      </c>
      <c r="K238" s="165">
        <f t="shared" si="47"/>
        <v>0</v>
      </c>
      <c r="L238" s="165"/>
    </row>
    <row r="239" spans="1:12" ht="27.6" x14ac:dyDescent="0.3">
      <c r="A239" s="317" t="str">
        <f t="shared" si="61"/>
        <v>Do Not Print</v>
      </c>
      <c r="B239" s="318" t="s">
        <v>899</v>
      </c>
      <c r="C239" s="320" t="s">
        <v>1060</v>
      </c>
      <c r="D239" s="318"/>
      <c r="E239" s="319" t="s">
        <v>709</v>
      </c>
      <c r="F239" s="321">
        <f t="shared" si="63"/>
        <v>0</v>
      </c>
      <c r="G239" s="322">
        <f t="shared" si="64"/>
        <v>0</v>
      </c>
      <c r="H239" s="198"/>
      <c r="I239" s="200"/>
      <c r="J239" s="165">
        <f t="shared" si="65"/>
        <v>0</v>
      </c>
      <c r="K239" s="165">
        <f t="shared" si="47"/>
        <v>0</v>
      </c>
      <c r="L239" s="165"/>
    </row>
    <row r="240" spans="1:12" ht="27.6" x14ac:dyDescent="0.3">
      <c r="A240" s="317" t="str">
        <f t="shared" si="61"/>
        <v>Do Not Print</v>
      </c>
      <c r="B240" s="318" t="s">
        <v>899</v>
      </c>
      <c r="C240" s="317" t="s">
        <v>358</v>
      </c>
      <c r="D240" s="318"/>
      <c r="E240" s="319" t="s">
        <v>709</v>
      </c>
      <c r="F240" s="321">
        <f t="shared" si="63"/>
        <v>0</v>
      </c>
      <c r="G240" s="322">
        <f t="shared" si="64"/>
        <v>0</v>
      </c>
      <c r="H240" s="198"/>
      <c r="I240" s="200"/>
      <c r="J240" s="165">
        <f t="shared" si="65"/>
        <v>0</v>
      </c>
      <c r="K240" s="165">
        <f t="shared" si="47"/>
        <v>0</v>
      </c>
      <c r="L240" s="165"/>
    </row>
    <row r="241" spans="1:12" ht="27.6" x14ac:dyDescent="0.3">
      <c r="A241" s="317" t="str">
        <f t="shared" si="61"/>
        <v>Do Not Print</v>
      </c>
      <c r="B241" s="318" t="s">
        <v>899</v>
      </c>
      <c r="C241" s="317" t="s">
        <v>359</v>
      </c>
      <c r="D241" s="318"/>
      <c r="E241" s="319" t="s">
        <v>709</v>
      </c>
      <c r="F241" s="321">
        <f t="shared" si="63"/>
        <v>0</v>
      </c>
      <c r="G241" s="322">
        <f t="shared" si="64"/>
        <v>0</v>
      </c>
      <c r="H241" s="198"/>
      <c r="I241" s="200"/>
      <c r="J241" s="165">
        <f t="shared" si="65"/>
        <v>0</v>
      </c>
      <c r="K241" s="165">
        <f t="shared" si="47"/>
        <v>0</v>
      </c>
      <c r="L241" s="165"/>
    </row>
    <row r="242" spans="1:12" ht="27.6" x14ac:dyDescent="0.3">
      <c r="A242" s="317" t="str">
        <f t="shared" si="61"/>
        <v>Do Not Print</v>
      </c>
      <c r="B242" s="318" t="s">
        <v>899</v>
      </c>
      <c r="C242" s="317" t="s">
        <v>994</v>
      </c>
      <c r="D242" s="318"/>
      <c r="E242" s="319" t="s">
        <v>709</v>
      </c>
      <c r="F242" s="321">
        <f t="shared" si="63"/>
        <v>0</v>
      </c>
      <c r="G242" s="322">
        <f t="shared" si="64"/>
        <v>0</v>
      </c>
      <c r="H242" s="198"/>
      <c r="I242" s="200"/>
      <c r="J242" s="165">
        <f t="shared" si="65"/>
        <v>0</v>
      </c>
      <c r="K242" s="165">
        <f t="shared" si="47"/>
        <v>0</v>
      </c>
      <c r="L242" s="165"/>
    </row>
    <row r="243" spans="1:12" ht="27.6" x14ac:dyDescent="0.3">
      <c r="A243" s="317" t="str">
        <f t="shared" si="61"/>
        <v>Do Not Print</v>
      </c>
      <c r="B243" s="318" t="s">
        <v>899</v>
      </c>
      <c r="C243" s="317" t="s">
        <v>1081</v>
      </c>
      <c r="D243" s="318"/>
      <c r="E243" s="319" t="s">
        <v>709</v>
      </c>
      <c r="F243" s="321">
        <f t="shared" si="63"/>
        <v>0</v>
      </c>
      <c r="G243" s="322">
        <f t="shared" si="64"/>
        <v>0</v>
      </c>
      <c r="H243" s="198"/>
      <c r="I243" s="200"/>
      <c r="J243" s="165">
        <f t="shared" ref="J243:K254" si="66">ROUND(F243,0)</f>
        <v>0</v>
      </c>
      <c r="K243" s="165">
        <f t="shared" si="47"/>
        <v>0</v>
      </c>
      <c r="L243" s="165"/>
    </row>
    <row r="244" spans="1:12" ht="27.6" x14ac:dyDescent="0.3">
      <c r="A244" s="317" t="str">
        <f t="shared" si="61"/>
        <v>Do Not Print</v>
      </c>
      <c r="B244" s="318" t="s">
        <v>899</v>
      </c>
      <c r="C244" s="317" t="s">
        <v>101</v>
      </c>
      <c r="D244" s="318"/>
      <c r="E244" s="319" t="s">
        <v>709</v>
      </c>
      <c r="F244" s="321">
        <f t="shared" si="63"/>
        <v>0</v>
      </c>
      <c r="G244" s="322">
        <f t="shared" si="64"/>
        <v>0</v>
      </c>
      <c r="H244" s="198"/>
      <c r="I244" s="200"/>
      <c r="J244" s="165">
        <f t="shared" si="66"/>
        <v>0</v>
      </c>
      <c r="K244" s="165">
        <f t="shared" si="47"/>
        <v>0</v>
      </c>
      <c r="L244" s="165"/>
    </row>
    <row r="245" spans="1:12" ht="27.6" x14ac:dyDescent="0.3">
      <c r="A245" s="317" t="str">
        <f t="shared" si="61"/>
        <v>Do Not Print</v>
      </c>
      <c r="B245" s="318" t="s">
        <v>899</v>
      </c>
      <c r="C245" s="317" t="s">
        <v>1082</v>
      </c>
      <c r="D245" s="318"/>
      <c r="E245" s="319" t="s">
        <v>709</v>
      </c>
      <c r="F245" s="321">
        <f t="shared" si="63"/>
        <v>0</v>
      </c>
      <c r="G245" s="322">
        <f t="shared" si="64"/>
        <v>0</v>
      </c>
      <c r="H245" s="198"/>
      <c r="I245" s="200"/>
      <c r="J245" s="165">
        <f t="shared" si="66"/>
        <v>0</v>
      </c>
      <c r="K245" s="165">
        <f t="shared" si="47"/>
        <v>0</v>
      </c>
      <c r="L245" s="165"/>
    </row>
    <row r="246" spans="1:12" ht="27.6" x14ac:dyDescent="0.3">
      <c r="A246" s="317" t="str">
        <f t="shared" si="61"/>
        <v>Do Not Print</v>
      </c>
      <c r="B246" s="318" t="s">
        <v>899</v>
      </c>
      <c r="C246" s="317" t="s">
        <v>1083</v>
      </c>
      <c r="D246" s="318"/>
      <c r="E246" s="319" t="s">
        <v>709</v>
      </c>
      <c r="F246" s="321">
        <f t="shared" ref="F246:F251" si="67">-VLOOKUP($C246,ITAS,5,0)</f>
        <v>0</v>
      </c>
      <c r="G246" s="322">
        <f t="shared" ref="G246:G251" si="68">-VLOOKUP($C246,ITAS,11,0)</f>
        <v>0</v>
      </c>
      <c r="H246" s="198"/>
      <c r="I246" s="200"/>
      <c r="J246" s="165">
        <f t="shared" si="66"/>
        <v>0</v>
      </c>
      <c r="K246" s="165">
        <f t="shared" si="47"/>
        <v>0</v>
      </c>
      <c r="L246" s="165"/>
    </row>
    <row r="247" spans="1:12" ht="41.4" x14ac:dyDescent="0.3">
      <c r="A247" s="317" t="str">
        <f t="shared" si="61"/>
        <v>Do Not Print</v>
      </c>
      <c r="B247" s="318" t="s">
        <v>899</v>
      </c>
      <c r="C247" s="317" t="s">
        <v>111</v>
      </c>
      <c r="D247" s="318"/>
      <c r="E247" s="319" t="s">
        <v>709</v>
      </c>
      <c r="F247" s="321">
        <f t="shared" si="67"/>
        <v>0</v>
      </c>
      <c r="G247" s="322">
        <f t="shared" si="68"/>
        <v>0</v>
      </c>
      <c r="H247" s="198"/>
      <c r="I247" s="200"/>
      <c r="J247" s="165">
        <f t="shared" si="66"/>
        <v>0</v>
      </c>
      <c r="K247" s="165">
        <f>ROUND(G247,0)</f>
        <v>0</v>
      </c>
      <c r="L247" s="165"/>
    </row>
    <row r="248" spans="1:12" ht="27.6" x14ac:dyDescent="0.3">
      <c r="A248" s="317" t="str">
        <f t="shared" si="61"/>
        <v>Do Not Print</v>
      </c>
      <c r="B248" s="318" t="s">
        <v>899</v>
      </c>
      <c r="C248" s="317" t="s">
        <v>1084</v>
      </c>
      <c r="D248" s="318"/>
      <c r="E248" s="319" t="s">
        <v>709</v>
      </c>
      <c r="F248" s="321">
        <f t="shared" si="67"/>
        <v>0</v>
      </c>
      <c r="G248" s="322">
        <f t="shared" si="68"/>
        <v>0</v>
      </c>
      <c r="H248" s="198"/>
      <c r="I248" s="200"/>
      <c r="J248" s="165">
        <f t="shared" si="66"/>
        <v>0</v>
      </c>
      <c r="K248" s="165">
        <f t="shared" si="47"/>
        <v>0</v>
      </c>
      <c r="L248" s="165"/>
    </row>
    <row r="249" spans="1:12" ht="27.6" x14ac:dyDescent="0.3">
      <c r="A249" s="317" t="str">
        <f t="shared" si="61"/>
        <v>Do Not Print</v>
      </c>
      <c r="B249" s="318" t="s">
        <v>899</v>
      </c>
      <c r="C249" s="317" t="s">
        <v>1085</v>
      </c>
      <c r="D249" s="318"/>
      <c r="E249" s="319" t="s">
        <v>709</v>
      </c>
      <c r="F249" s="321">
        <f t="shared" si="67"/>
        <v>0</v>
      </c>
      <c r="G249" s="322">
        <f t="shared" si="68"/>
        <v>0</v>
      </c>
      <c r="H249" s="198"/>
      <c r="I249" s="200"/>
      <c r="J249" s="165">
        <f t="shared" si="66"/>
        <v>0</v>
      </c>
      <c r="K249" s="165">
        <f t="shared" si="47"/>
        <v>0</v>
      </c>
      <c r="L249" s="165"/>
    </row>
    <row r="250" spans="1:12" ht="27.6" x14ac:dyDescent="0.3">
      <c r="A250" s="317" t="str">
        <f t="shared" si="61"/>
        <v>Do Not Print</v>
      </c>
      <c r="B250" s="318" t="s">
        <v>899</v>
      </c>
      <c r="C250" s="317" t="s">
        <v>1086</v>
      </c>
      <c r="D250" s="318"/>
      <c r="E250" s="319" t="s">
        <v>709</v>
      </c>
      <c r="F250" s="321">
        <f t="shared" si="67"/>
        <v>0</v>
      </c>
      <c r="G250" s="322">
        <f t="shared" si="68"/>
        <v>0</v>
      </c>
      <c r="H250" s="198"/>
      <c r="I250" s="200"/>
      <c r="J250" s="165">
        <f t="shared" si="66"/>
        <v>0</v>
      </c>
      <c r="K250" s="165">
        <f t="shared" si="47"/>
        <v>0</v>
      </c>
      <c r="L250" s="165"/>
    </row>
    <row r="251" spans="1:12" ht="27.6" x14ac:dyDescent="0.3">
      <c r="A251" s="317" t="str">
        <f t="shared" si="61"/>
        <v>Do Not Print</v>
      </c>
      <c r="B251" s="318" t="s">
        <v>899</v>
      </c>
      <c r="C251" s="317" t="s">
        <v>1087</v>
      </c>
      <c r="D251" s="318"/>
      <c r="E251" s="319" t="s">
        <v>709</v>
      </c>
      <c r="F251" s="321">
        <f t="shared" si="67"/>
        <v>0</v>
      </c>
      <c r="G251" s="322">
        <f t="shared" si="68"/>
        <v>0</v>
      </c>
      <c r="H251" s="198"/>
      <c r="I251" s="200"/>
      <c r="J251" s="165">
        <f t="shared" si="66"/>
        <v>0</v>
      </c>
      <c r="K251" s="165">
        <f t="shared" si="47"/>
        <v>0</v>
      </c>
      <c r="L251" s="165"/>
    </row>
    <row r="252" spans="1:12" ht="27.6" x14ac:dyDescent="0.3">
      <c r="A252" s="317" t="str">
        <f t="shared" si="61"/>
        <v>Do Not Print</v>
      </c>
      <c r="B252" s="318" t="s">
        <v>899</v>
      </c>
      <c r="C252" s="317" t="s">
        <v>1088</v>
      </c>
      <c r="D252" s="318"/>
      <c r="E252" s="319" t="s">
        <v>709</v>
      </c>
      <c r="F252" s="321">
        <f>VLOOKUP($C252,ITAS,5,0)</f>
        <v>0</v>
      </c>
      <c r="G252" s="322">
        <f>VLOOKUP($C252,ITAS,11,0)</f>
        <v>0</v>
      </c>
      <c r="H252" s="198"/>
      <c r="I252" s="200"/>
      <c r="J252" s="165">
        <f t="shared" si="66"/>
        <v>0</v>
      </c>
      <c r="K252" s="165">
        <f t="shared" si="47"/>
        <v>0</v>
      </c>
      <c r="L252" s="165"/>
    </row>
    <row r="253" spans="1:12" ht="27.6" x14ac:dyDescent="0.3">
      <c r="A253" s="317" t="str">
        <f t="shared" si="61"/>
        <v>Do Not Print</v>
      </c>
      <c r="B253" s="318" t="s">
        <v>899</v>
      </c>
      <c r="C253" s="317" t="s">
        <v>997</v>
      </c>
      <c r="D253" s="318"/>
      <c r="E253" s="319" t="s">
        <v>709</v>
      </c>
      <c r="F253" s="321">
        <f>VLOOKUP($C253,ITAS,5,0)</f>
        <v>0</v>
      </c>
      <c r="G253" s="322">
        <f>VLOOKUP($C253,ITAS,11,0)</f>
        <v>0</v>
      </c>
      <c r="H253" s="198"/>
      <c r="I253" s="200"/>
      <c r="J253" s="165">
        <f t="shared" si="66"/>
        <v>0</v>
      </c>
      <c r="K253" s="165">
        <f t="shared" si="47"/>
        <v>0</v>
      </c>
      <c r="L253" s="165"/>
    </row>
    <row r="254" spans="1:12" s="33" customFormat="1" ht="14.4" x14ac:dyDescent="0.3">
      <c r="A254" s="32" t="s">
        <v>448</v>
      </c>
      <c r="C254" s="45" t="s">
        <v>1640</v>
      </c>
      <c r="E254" s="244"/>
      <c r="F254" s="324">
        <f>SUM(F232:F242)-SUM(F243:F253)</f>
        <v>0</v>
      </c>
      <c r="G254" s="324">
        <f>SUM(G232:G242)-SUM(G243:G253)</f>
        <v>0</v>
      </c>
      <c r="H254" s="202"/>
      <c r="I254" s="197"/>
      <c r="J254" s="197">
        <f t="shared" si="66"/>
        <v>0</v>
      </c>
      <c r="K254" s="197">
        <f t="shared" si="66"/>
        <v>0</v>
      </c>
      <c r="L254" s="323"/>
    </row>
    <row r="255" spans="1:12" x14ac:dyDescent="0.3">
      <c r="A255" s="39" t="s">
        <v>448</v>
      </c>
      <c r="F255" s="165"/>
      <c r="G255" s="165"/>
      <c r="H255" s="198"/>
      <c r="I255" s="200"/>
      <c r="J255" s="165"/>
      <c r="K255" s="165"/>
      <c r="L255" s="165"/>
    </row>
    <row r="256" spans="1:12" ht="14.4" x14ac:dyDescent="0.3">
      <c r="A256" s="39" t="s">
        <v>448</v>
      </c>
      <c r="C256" s="45" t="s">
        <v>1103</v>
      </c>
      <c r="F256" s="165"/>
      <c r="G256" s="165"/>
      <c r="H256" s="198"/>
      <c r="I256" s="200"/>
      <c r="J256" s="165"/>
      <c r="K256" s="165"/>
      <c r="L256" s="165"/>
    </row>
    <row r="257" spans="1:12" ht="27.6" x14ac:dyDescent="0.3">
      <c r="A257" s="325" t="str">
        <f>IF(AND(F257=0,G257=0),"Do Not Print","Print")</f>
        <v>Do Not Print</v>
      </c>
      <c r="B257" s="326" t="s">
        <v>896</v>
      </c>
      <c r="C257" s="325" t="s">
        <v>360</v>
      </c>
      <c r="D257" s="326"/>
      <c r="E257" s="327" t="s">
        <v>709</v>
      </c>
      <c r="F257" s="330">
        <f t="shared" ref="F257:F270" si="69">VLOOKUP($C257,SASS,5,0)</f>
        <v>0</v>
      </c>
      <c r="G257" s="331">
        <f t="shared" ref="G257:G270" si="70">VLOOKUP($C257,SASS,11,0)</f>
        <v>0</v>
      </c>
      <c r="H257" s="198"/>
      <c r="I257" s="200"/>
      <c r="J257" s="165">
        <f t="shared" ref="J257:J267" si="71">ROUND(F257,0)</f>
        <v>0</v>
      </c>
      <c r="K257" s="165">
        <f t="shared" si="47"/>
        <v>0</v>
      </c>
      <c r="L257" s="165"/>
    </row>
    <row r="258" spans="1:12" ht="27.6" x14ac:dyDescent="0.3">
      <c r="A258" s="325" t="str">
        <f t="shared" ref="A258:A278" si="72">IF(AND(F258=0,G258=0),"Do Not Print","Print")</f>
        <v>Do Not Print</v>
      </c>
      <c r="B258" s="326" t="s">
        <v>896</v>
      </c>
      <c r="C258" s="325" t="s">
        <v>101</v>
      </c>
      <c r="D258" s="326"/>
      <c r="E258" s="327" t="s">
        <v>709</v>
      </c>
      <c r="F258" s="330">
        <f t="shared" si="69"/>
        <v>0</v>
      </c>
      <c r="G258" s="331">
        <f t="shared" si="70"/>
        <v>0</v>
      </c>
      <c r="H258" s="198"/>
      <c r="I258" s="200"/>
      <c r="J258" s="165">
        <f t="shared" si="71"/>
        <v>0</v>
      </c>
      <c r="K258" s="165">
        <f t="shared" si="47"/>
        <v>0</v>
      </c>
      <c r="L258" s="165"/>
    </row>
    <row r="259" spans="1:12" ht="27.6" x14ac:dyDescent="0.3">
      <c r="A259" s="325" t="str">
        <f t="shared" si="72"/>
        <v>Do Not Print</v>
      </c>
      <c r="B259" s="326" t="s">
        <v>896</v>
      </c>
      <c r="C259" s="328" t="s">
        <v>961</v>
      </c>
      <c r="D259" s="326"/>
      <c r="E259" s="327" t="s">
        <v>709</v>
      </c>
      <c r="F259" s="330">
        <f t="shared" si="69"/>
        <v>0</v>
      </c>
      <c r="G259" s="331">
        <f t="shared" si="70"/>
        <v>0</v>
      </c>
      <c r="H259" s="198"/>
      <c r="I259" s="200"/>
      <c r="J259" s="165">
        <f t="shared" si="71"/>
        <v>0</v>
      </c>
      <c r="K259" s="165">
        <f t="shared" si="47"/>
        <v>0</v>
      </c>
      <c r="L259" s="165"/>
    </row>
    <row r="260" spans="1:12" ht="13.5" customHeight="1" x14ac:dyDescent="0.3">
      <c r="A260" s="325" t="str">
        <f t="shared" si="72"/>
        <v>Do Not Print</v>
      </c>
      <c r="B260" s="326" t="s">
        <v>896</v>
      </c>
      <c r="C260" s="325" t="s">
        <v>1094</v>
      </c>
      <c r="D260" s="326"/>
      <c r="E260" s="327" t="s">
        <v>709</v>
      </c>
      <c r="F260" s="330">
        <f t="shared" si="69"/>
        <v>0</v>
      </c>
      <c r="G260" s="331">
        <f t="shared" si="70"/>
        <v>0</v>
      </c>
      <c r="H260" s="198"/>
      <c r="I260" s="200"/>
      <c r="J260" s="165">
        <f t="shared" si="71"/>
        <v>0</v>
      </c>
      <c r="K260" s="165">
        <f>ROUND(G260,0)</f>
        <v>0</v>
      </c>
      <c r="L260" s="165"/>
    </row>
    <row r="261" spans="1:12" ht="13.5" customHeight="1" x14ac:dyDescent="0.3">
      <c r="A261" s="325" t="str">
        <f t="shared" si="72"/>
        <v>Do Not Print</v>
      </c>
      <c r="B261" s="326" t="s">
        <v>896</v>
      </c>
      <c r="C261" s="325" t="s">
        <v>1096</v>
      </c>
      <c r="D261" s="326"/>
      <c r="E261" s="327" t="s">
        <v>709</v>
      </c>
      <c r="F261" s="330">
        <f t="shared" si="69"/>
        <v>0</v>
      </c>
      <c r="G261" s="331">
        <f t="shared" si="70"/>
        <v>0</v>
      </c>
      <c r="H261" s="198"/>
      <c r="I261" s="200"/>
      <c r="J261" s="165">
        <f t="shared" si="71"/>
        <v>0</v>
      </c>
      <c r="K261" s="165">
        <f>ROUND(G261,0)</f>
        <v>0</v>
      </c>
      <c r="L261" s="165"/>
    </row>
    <row r="262" spans="1:12" ht="27.6" x14ac:dyDescent="0.3">
      <c r="A262" s="325" t="str">
        <f t="shared" si="72"/>
        <v>Do Not Print</v>
      </c>
      <c r="B262" s="326" t="s">
        <v>896</v>
      </c>
      <c r="C262" s="328" t="s">
        <v>962</v>
      </c>
      <c r="D262" s="326"/>
      <c r="E262" s="327" t="s">
        <v>709</v>
      </c>
      <c r="F262" s="330">
        <f t="shared" si="69"/>
        <v>0</v>
      </c>
      <c r="G262" s="331">
        <f t="shared" si="70"/>
        <v>0</v>
      </c>
      <c r="H262" s="198"/>
      <c r="I262" s="200"/>
      <c r="J262" s="165">
        <f t="shared" si="71"/>
        <v>0</v>
      </c>
      <c r="K262" s="165">
        <f t="shared" si="47"/>
        <v>0</v>
      </c>
      <c r="L262" s="165"/>
    </row>
    <row r="263" spans="1:12" ht="27.6" x14ac:dyDescent="0.3">
      <c r="A263" s="325" t="str">
        <f t="shared" si="72"/>
        <v>Do Not Print</v>
      </c>
      <c r="B263" s="326" t="s">
        <v>896</v>
      </c>
      <c r="C263" s="325" t="s">
        <v>361</v>
      </c>
      <c r="D263" s="326"/>
      <c r="E263" s="327" t="s">
        <v>709</v>
      </c>
      <c r="F263" s="330">
        <f t="shared" si="69"/>
        <v>0</v>
      </c>
      <c r="G263" s="331">
        <f t="shared" si="70"/>
        <v>0</v>
      </c>
      <c r="H263" s="198"/>
      <c r="I263" s="200"/>
      <c r="J263" s="165">
        <f t="shared" si="71"/>
        <v>0</v>
      </c>
      <c r="K263" s="165">
        <f t="shared" si="47"/>
        <v>0</v>
      </c>
      <c r="L263" s="165"/>
    </row>
    <row r="264" spans="1:12" ht="27.6" x14ac:dyDescent="0.3">
      <c r="A264" s="325" t="str">
        <f t="shared" si="72"/>
        <v>Do Not Print</v>
      </c>
      <c r="B264" s="326" t="s">
        <v>896</v>
      </c>
      <c r="C264" s="328" t="s">
        <v>1061</v>
      </c>
      <c r="D264" s="326"/>
      <c r="E264" s="327" t="s">
        <v>709</v>
      </c>
      <c r="F264" s="330">
        <f t="shared" si="69"/>
        <v>0</v>
      </c>
      <c r="G264" s="331">
        <f t="shared" si="70"/>
        <v>0</v>
      </c>
      <c r="H264" s="198"/>
      <c r="I264" s="200"/>
      <c r="J264" s="165">
        <f t="shared" si="71"/>
        <v>0</v>
      </c>
      <c r="K264" s="165">
        <f t="shared" si="47"/>
        <v>0</v>
      </c>
      <c r="L264" s="165"/>
    </row>
    <row r="265" spans="1:12" ht="27.6" x14ac:dyDescent="0.3">
      <c r="A265" s="325" t="str">
        <f t="shared" si="72"/>
        <v>Do Not Print</v>
      </c>
      <c r="B265" s="326" t="s">
        <v>896</v>
      </c>
      <c r="C265" s="325" t="s">
        <v>362</v>
      </c>
      <c r="D265" s="326"/>
      <c r="E265" s="327" t="s">
        <v>709</v>
      </c>
      <c r="F265" s="330">
        <f t="shared" si="69"/>
        <v>0</v>
      </c>
      <c r="G265" s="331">
        <f t="shared" si="70"/>
        <v>0</v>
      </c>
      <c r="H265" s="198"/>
      <c r="I265" s="200"/>
      <c r="J265" s="165">
        <f t="shared" si="71"/>
        <v>0</v>
      </c>
      <c r="K265" s="165">
        <f t="shared" si="47"/>
        <v>0</v>
      </c>
      <c r="L265" s="165"/>
    </row>
    <row r="266" spans="1:12" ht="27.6" x14ac:dyDescent="0.3">
      <c r="A266" s="325" t="str">
        <f t="shared" si="72"/>
        <v>Do Not Print</v>
      </c>
      <c r="B266" s="326" t="s">
        <v>896</v>
      </c>
      <c r="C266" s="325" t="s">
        <v>363</v>
      </c>
      <c r="D266" s="326"/>
      <c r="E266" s="327" t="s">
        <v>709</v>
      </c>
      <c r="F266" s="330">
        <f t="shared" si="69"/>
        <v>0</v>
      </c>
      <c r="G266" s="331">
        <f t="shared" si="70"/>
        <v>0</v>
      </c>
      <c r="H266" s="198"/>
      <c r="I266" s="200"/>
      <c r="J266" s="165">
        <f t="shared" si="71"/>
        <v>0</v>
      </c>
      <c r="K266" s="165">
        <f t="shared" si="47"/>
        <v>0</v>
      </c>
      <c r="L266" s="165"/>
    </row>
    <row r="267" spans="1:12" ht="27.6" x14ac:dyDescent="0.3">
      <c r="A267" s="325" t="str">
        <f t="shared" si="72"/>
        <v>Do Not Print</v>
      </c>
      <c r="B267" s="326" t="s">
        <v>896</v>
      </c>
      <c r="C267" s="325" t="s">
        <v>1100</v>
      </c>
      <c r="D267" s="326"/>
      <c r="E267" s="327" t="s">
        <v>709</v>
      </c>
      <c r="F267" s="330">
        <f t="shared" si="69"/>
        <v>0</v>
      </c>
      <c r="G267" s="331">
        <f t="shared" si="70"/>
        <v>0</v>
      </c>
      <c r="H267" s="198"/>
      <c r="I267" s="200"/>
      <c r="J267" s="165">
        <f t="shared" si="71"/>
        <v>0</v>
      </c>
      <c r="K267" s="165">
        <f>ROUND(G267,0)</f>
        <v>0</v>
      </c>
      <c r="L267" s="165"/>
    </row>
    <row r="268" spans="1:12" ht="27.6" x14ac:dyDescent="0.3">
      <c r="A268" s="325" t="str">
        <f t="shared" si="72"/>
        <v>Do Not Print</v>
      </c>
      <c r="B268" s="326" t="s">
        <v>896</v>
      </c>
      <c r="C268" s="328" t="s">
        <v>1124</v>
      </c>
      <c r="D268" s="326"/>
      <c r="E268" s="327" t="s">
        <v>709</v>
      </c>
      <c r="F268" s="330">
        <f t="shared" si="69"/>
        <v>0</v>
      </c>
      <c r="G268" s="331">
        <f t="shared" si="70"/>
        <v>0</v>
      </c>
      <c r="H268" s="198"/>
      <c r="I268" s="200"/>
      <c r="J268" s="165">
        <f t="shared" ref="J268:K281" si="73">ROUND(F268,0)</f>
        <v>0</v>
      </c>
      <c r="K268" s="165">
        <f t="shared" ref="K268:K277" si="74">ROUND(G268,0)</f>
        <v>0</v>
      </c>
      <c r="L268" s="165"/>
    </row>
    <row r="269" spans="1:12" ht="27.6" x14ac:dyDescent="0.3">
      <c r="A269" s="325" t="str">
        <f t="shared" si="72"/>
        <v>Do Not Print</v>
      </c>
      <c r="B269" s="326" t="s">
        <v>896</v>
      </c>
      <c r="C269" s="329" t="s">
        <v>101</v>
      </c>
      <c r="D269" s="326"/>
      <c r="E269" s="327" t="s">
        <v>709</v>
      </c>
      <c r="F269" s="330">
        <f t="shared" si="69"/>
        <v>0</v>
      </c>
      <c r="G269" s="331">
        <f t="shared" si="70"/>
        <v>0</v>
      </c>
      <c r="H269" s="198"/>
      <c r="I269" s="200"/>
      <c r="J269" s="165">
        <f t="shared" si="73"/>
        <v>0</v>
      </c>
      <c r="K269" s="165">
        <f t="shared" si="74"/>
        <v>0</v>
      </c>
      <c r="L269" s="165"/>
    </row>
    <row r="270" spans="1:12" ht="27.6" x14ac:dyDescent="0.3">
      <c r="A270" s="325" t="str">
        <f t="shared" si="72"/>
        <v>Do Not Print</v>
      </c>
      <c r="B270" s="326" t="s">
        <v>896</v>
      </c>
      <c r="C270" s="328" t="s">
        <v>1125</v>
      </c>
      <c r="D270" s="326"/>
      <c r="E270" s="327" t="s">
        <v>709</v>
      </c>
      <c r="F270" s="330">
        <f t="shared" si="69"/>
        <v>0</v>
      </c>
      <c r="G270" s="331">
        <f t="shared" si="70"/>
        <v>0</v>
      </c>
      <c r="H270" s="198"/>
      <c r="I270" s="200"/>
      <c r="J270" s="165">
        <f t="shared" si="73"/>
        <v>0</v>
      </c>
      <c r="K270" s="165">
        <f t="shared" si="74"/>
        <v>0</v>
      </c>
      <c r="L270" s="165"/>
    </row>
    <row r="271" spans="1:12" ht="27.6" x14ac:dyDescent="0.3">
      <c r="A271" s="325" t="str">
        <f t="shared" si="72"/>
        <v>Do Not Print</v>
      </c>
      <c r="B271" s="326" t="s">
        <v>896</v>
      </c>
      <c r="C271" s="328" t="s">
        <v>1126</v>
      </c>
      <c r="D271" s="326"/>
      <c r="E271" s="327" t="s">
        <v>709</v>
      </c>
      <c r="F271" s="330">
        <f t="shared" ref="F271:F276" si="75">-VLOOKUP($C271,SASS,5,0)</f>
        <v>0</v>
      </c>
      <c r="G271" s="331">
        <f t="shared" ref="G271:G276" si="76">-VLOOKUP($C271,SASS,11,0)</f>
        <v>0</v>
      </c>
      <c r="H271" s="198"/>
      <c r="I271" s="200"/>
      <c r="J271" s="165">
        <f t="shared" si="73"/>
        <v>0</v>
      </c>
      <c r="K271" s="165">
        <f t="shared" si="74"/>
        <v>0</v>
      </c>
      <c r="L271" s="165"/>
    </row>
    <row r="272" spans="1:12" ht="41.4" x14ac:dyDescent="0.3">
      <c r="A272" s="325" t="str">
        <f t="shared" si="72"/>
        <v>Do Not Print</v>
      </c>
      <c r="B272" s="326" t="s">
        <v>896</v>
      </c>
      <c r="C272" s="325" t="s">
        <v>111</v>
      </c>
      <c r="D272" s="326"/>
      <c r="E272" s="327" t="s">
        <v>709</v>
      </c>
      <c r="F272" s="330">
        <f t="shared" si="75"/>
        <v>0</v>
      </c>
      <c r="G272" s="331">
        <f t="shared" si="76"/>
        <v>0</v>
      </c>
      <c r="H272" s="198"/>
      <c r="I272" s="200"/>
      <c r="J272" s="165">
        <f t="shared" si="73"/>
        <v>0</v>
      </c>
      <c r="K272" s="165">
        <f t="shared" si="74"/>
        <v>0</v>
      </c>
      <c r="L272" s="165"/>
    </row>
    <row r="273" spans="1:12" ht="27.6" x14ac:dyDescent="0.3">
      <c r="A273" s="325" t="str">
        <f t="shared" si="72"/>
        <v>Do Not Print</v>
      </c>
      <c r="B273" s="326" t="s">
        <v>896</v>
      </c>
      <c r="C273" s="328" t="s">
        <v>1131</v>
      </c>
      <c r="D273" s="326"/>
      <c r="E273" s="327" t="s">
        <v>709</v>
      </c>
      <c r="F273" s="330">
        <f t="shared" si="75"/>
        <v>0</v>
      </c>
      <c r="G273" s="331">
        <f t="shared" si="76"/>
        <v>0</v>
      </c>
      <c r="H273" s="198"/>
      <c r="I273" s="200"/>
      <c r="J273" s="165">
        <f t="shared" si="73"/>
        <v>0</v>
      </c>
      <c r="K273" s="165">
        <f t="shared" si="74"/>
        <v>0</v>
      </c>
      <c r="L273" s="165"/>
    </row>
    <row r="274" spans="1:12" ht="27.6" x14ac:dyDescent="0.3">
      <c r="A274" s="325" t="str">
        <f t="shared" si="72"/>
        <v>Do Not Print</v>
      </c>
      <c r="B274" s="326" t="s">
        <v>896</v>
      </c>
      <c r="C274" s="328" t="s">
        <v>1127</v>
      </c>
      <c r="D274" s="326"/>
      <c r="E274" s="327" t="s">
        <v>709</v>
      </c>
      <c r="F274" s="330">
        <f t="shared" si="75"/>
        <v>0</v>
      </c>
      <c r="G274" s="331">
        <f t="shared" si="76"/>
        <v>0</v>
      </c>
      <c r="H274" s="198"/>
      <c r="I274" s="200"/>
      <c r="J274" s="165">
        <f t="shared" si="73"/>
        <v>0</v>
      </c>
      <c r="K274" s="165">
        <f t="shared" si="74"/>
        <v>0</v>
      </c>
      <c r="L274" s="165"/>
    </row>
    <row r="275" spans="1:12" ht="27.6" x14ac:dyDescent="0.3">
      <c r="A275" s="325" t="str">
        <f t="shared" si="72"/>
        <v>Do Not Print</v>
      </c>
      <c r="B275" s="326" t="s">
        <v>896</v>
      </c>
      <c r="C275" s="328" t="s">
        <v>1128</v>
      </c>
      <c r="D275" s="326"/>
      <c r="E275" s="327" t="s">
        <v>709</v>
      </c>
      <c r="F275" s="330">
        <f t="shared" si="75"/>
        <v>0</v>
      </c>
      <c r="G275" s="331">
        <f t="shared" si="76"/>
        <v>0</v>
      </c>
      <c r="H275" s="198"/>
      <c r="I275" s="200"/>
      <c r="J275" s="165">
        <f t="shared" si="73"/>
        <v>0</v>
      </c>
      <c r="K275" s="165">
        <f t="shared" si="74"/>
        <v>0</v>
      </c>
      <c r="L275" s="165"/>
    </row>
    <row r="276" spans="1:12" ht="27.6" x14ac:dyDescent="0.3">
      <c r="A276" s="325" t="str">
        <f t="shared" si="72"/>
        <v>Do Not Print</v>
      </c>
      <c r="B276" s="326" t="s">
        <v>896</v>
      </c>
      <c r="C276" s="328" t="s">
        <v>1129</v>
      </c>
      <c r="D276" s="326"/>
      <c r="E276" s="327" t="s">
        <v>709</v>
      </c>
      <c r="F276" s="330">
        <f t="shared" si="75"/>
        <v>0</v>
      </c>
      <c r="G276" s="331">
        <f t="shared" si="76"/>
        <v>0</v>
      </c>
      <c r="H276" s="198"/>
      <c r="I276" s="200"/>
      <c r="J276" s="165">
        <f t="shared" si="73"/>
        <v>0</v>
      </c>
      <c r="K276" s="165">
        <f t="shared" si="74"/>
        <v>0</v>
      </c>
      <c r="L276" s="165"/>
    </row>
    <row r="277" spans="1:12" ht="27.6" x14ac:dyDescent="0.3">
      <c r="A277" s="325" t="str">
        <f t="shared" si="72"/>
        <v>Do Not Print</v>
      </c>
      <c r="B277" s="326" t="s">
        <v>896</v>
      </c>
      <c r="C277" s="328" t="s">
        <v>1130</v>
      </c>
      <c r="D277" s="326"/>
      <c r="E277" s="327" t="s">
        <v>709</v>
      </c>
      <c r="F277" s="330">
        <f>VLOOKUP($C277,SASS,5,0)</f>
        <v>0</v>
      </c>
      <c r="G277" s="331">
        <f>VLOOKUP($C277,SASS,11,0)</f>
        <v>0</v>
      </c>
      <c r="H277" s="198"/>
      <c r="I277" s="200"/>
      <c r="J277" s="165">
        <f t="shared" si="73"/>
        <v>0</v>
      </c>
      <c r="K277" s="165">
        <f t="shared" si="74"/>
        <v>0</v>
      </c>
      <c r="L277" s="165"/>
    </row>
    <row r="278" spans="1:12" ht="27.6" x14ac:dyDescent="0.3">
      <c r="A278" s="325" t="str">
        <f t="shared" si="72"/>
        <v>Do Not Print</v>
      </c>
      <c r="B278" s="326" t="s">
        <v>896</v>
      </c>
      <c r="C278" s="325" t="s">
        <v>997</v>
      </c>
      <c r="D278" s="326"/>
      <c r="E278" s="327" t="s">
        <v>709</v>
      </c>
      <c r="F278" s="330">
        <f>VLOOKUP($C278,SASS,5,0)</f>
        <v>0</v>
      </c>
      <c r="G278" s="331">
        <f>VLOOKUP($C278,SASS,11,0)</f>
        <v>0</v>
      </c>
      <c r="H278" s="198"/>
      <c r="I278" s="200"/>
      <c r="J278" s="165">
        <f t="shared" si="73"/>
        <v>0</v>
      </c>
      <c r="K278" s="165">
        <f t="shared" si="73"/>
        <v>0</v>
      </c>
      <c r="L278" s="165"/>
    </row>
    <row r="279" spans="1:12" s="33" customFormat="1" ht="14.4" x14ac:dyDescent="0.3">
      <c r="A279" s="32" t="s">
        <v>448</v>
      </c>
      <c r="C279" s="45" t="s">
        <v>1641</v>
      </c>
      <c r="E279" s="244"/>
      <c r="F279" s="332">
        <f>SUM(F257:F278)</f>
        <v>0</v>
      </c>
      <c r="G279" s="332">
        <f>SUM(G257:G278)</f>
        <v>0</v>
      </c>
      <c r="H279" s="202"/>
      <c r="I279" s="323"/>
      <c r="J279" s="323">
        <f t="shared" si="73"/>
        <v>0</v>
      </c>
      <c r="K279" s="323">
        <f t="shared" si="73"/>
        <v>0</v>
      </c>
      <c r="L279" s="323"/>
    </row>
    <row r="280" spans="1:12" x14ac:dyDescent="0.3">
      <c r="A280" s="39" t="s">
        <v>448</v>
      </c>
      <c r="F280" s="183"/>
      <c r="G280" s="183"/>
      <c r="H280" s="201"/>
      <c r="I280" s="165"/>
      <c r="J280" s="165"/>
      <c r="K280" s="165"/>
      <c r="L280" s="165"/>
    </row>
    <row r="281" spans="1:12" s="334" customFormat="1" ht="15.6" x14ac:dyDescent="0.3">
      <c r="A281" s="333" t="s">
        <v>448</v>
      </c>
      <c r="C281" s="338" t="s">
        <v>1642</v>
      </c>
      <c r="E281" s="335"/>
      <c r="F281" s="193">
        <f>F29+F53+F77+F101+F125+F149+F173+F197+F221+F230+F254+F279</f>
        <v>0</v>
      </c>
      <c r="G281" s="193">
        <f>G29+G53+G77+G101+G125+G149+G173+G197+G221+G230+G254+G279</f>
        <v>0</v>
      </c>
      <c r="H281" s="336"/>
      <c r="I281" s="337"/>
      <c r="J281" s="337">
        <f t="shared" si="73"/>
        <v>0</v>
      </c>
      <c r="K281" s="337">
        <f t="shared" si="73"/>
        <v>0</v>
      </c>
      <c r="L281" s="337"/>
    </row>
    <row r="282" spans="1:12" ht="27.6" x14ac:dyDescent="0.3">
      <c r="A282" s="39" t="str">
        <f>IF(AND(F282=0,G282=0),"Do Not Print","Print")</f>
        <v>Do Not Print</v>
      </c>
      <c r="F282" s="183"/>
      <c r="G282" s="183"/>
      <c r="H282" s="201"/>
      <c r="I282" s="165"/>
      <c r="J282" s="165"/>
      <c r="K282" s="165"/>
      <c r="L282" s="165"/>
    </row>
    <row r="283" spans="1:12" ht="14.4" x14ac:dyDescent="0.3">
      <c r="A283" s="39" t="s">
        <v>448</v>
      </c>
      <c r="C283" s="45" t="s">
        <v>705</v>
      </c>
      <c r="F283" s="183"/>
      <c r="G283" s="183"/>
      <c r="H283" s="201"/>
      <c r="I283" s="165"/>
      <c r="J283" s="165"/>
      <c r="K283" s="165"/>
      <c r="L283" s="165"/>
    </row>
    <row r="284" spans="1:12" ht="27.6" x14ac:dyDescent="0.3">
      <c r="A284" s="339" t="str">
        <f>IF(AND(F284=0,G284=0),"Do Not Print","Print")</f>
        <v>Do Not Print</v>
      </c>
      <c r="B284" s="340" t="s">
        <v>1109</v>
      </c>
      <c r="C284" s="339" t="s">
        <v>1105</v>
      </c>
      <c r="D284" s="340"/>
      <c r="E284" s="341"/>
      <c r="F284" s="342">
        <f>VLOOKUP($C284,LTIN,5,0)</f>
        <v>0</v>
      </c>
      <c r="G284" s="343">
        <f>VLOOKUP($C284,LTIN,11,0)</f>
        <v>0</v>
      </c>
      <c r="H284" s="201"/>
      <c r="I284" s="165"/>
      <c r="J284" s="165">
        <f t="shared" ref="J284:K287" si="77">ROUND(F284,0)</f>
        <v>0</v>
      </c>
      <c r="K284" s="165">
        <f t="shared" si="77"/>
        <v>0</v>
      </c>
      <c r="L284" s="165"/>
    </row>
    <row r="285" spans="1:12" ht="27.6" x14ac:dyDescent="0.3">
      <c r="A285" s="339" t="str">
        <f>IF(AND(F285=0,G285=0),"Do Not Print","Print")</f>
        <v>Do Not Print</v>
      </c>
      <c r="B285" s="340" t="s">
        <v>1109</v>
      </c>
      <c r="C285" s="339" t="s">
        <v>1106</v>
      </c>
      <c r="D285" s="340"/>
      <c r="E285" s="341"/>
      <c r="F285" s="342">
        <f>VLOOKUP($C285,LTIN,5,0)</f>
        <v>0</v>
      </c>
      <c r="G285" s="343">
        <f>VLOOKUP($C285,LTIN,11,0)</f>
        <v>0</v>
      </c>
      <c r="H285" s="201"/>
      <c r="I285" s="165"/>
      <c r="J285" s="165">
        <f t="shared" si="77"/>
        <v>0</v>
      </c>
      <c r="K285" s="165">
        <f t="shared" si="77"/>
        <v>0</v>
      </c>
      <c r="L285" s="165"/>
    </row>
    <row r="286" spans="1:12" ht="27.6" x14ac:dyDescent="0.3">
      <c r="A286" s="339" t="str">
        <f>IF(AND(F286=0,G286=0),"Do Not Print","Print")</f>
        <v>Do Not Print</v>
      </c>
      <c r="B286" s="340" t="s">
        <v>1109</v>
      </c>
      <c r="C286" s="339" t="s">
        <v>1107</v>
      </c>
      <c r="D286" s="340"/>
      <c r="E286" s="341"/>
      <c r="F286" s="342">
        <f>VLOOKUP($C286,LTIN,5,0)</f>
        <v>0</v>
      </c>
      <c r="G286" s="343">
        <f>VLOOKUP($C286,LTIN,11,0)</f>
        <v>0</v>
      </c>
      <c r="H286" s="201"/>
      <c r="I286" s="165"/>
      <c r="J286" s="165">
        <f t="shared" si="77"/>
        <v>0</v>
      </c>
      <c r="K286" s="165">
        <f t="shared" si="77"/>
        <v>0</v>
      </c>
      <c r="L286" s="165"/>
    </row>
    <row r="287" spans="1:12" ht="27.6" x14ac:dyDescent="0.3">
      <c r="A287" s="339" t="str">
        <f>IF(AND(F287=0,G287=0),"Do Not Print","Print")</f>
        <v>Do Not Print</v>
      </c>
      <c r="B287" s="340" t="s">
        <v>1109</v>
      </c>
      <c r="C287" s="339" t="s">
        <v>1108</v>
      </c>
      <c r="D287" s="340"/>
      <c r="E287" s="341"/>
      <c r="F287" s="342">
        <f>VLOOKUP($C287,LTIN,5,0)</f>
        <v>0</v>
      </c>
      <c r="G287" s="343">
        <f>VLOOKUP($C287,LTIN,11,0)</f>
        <v>0</v>
      </c>
      <c r="H287" s="201"/>
      <c r="I287" s="165"/>
      <c r="J287" s="165">
        <f>ROUND(F287,0)</f>
        <v>0</v>
      </c>
      <c r="K287" s="165">
        <f t="shared" si="77"/>
        <v>0</v>
      </c>
      <c r="L287" s="165"/>
    </row>
    <row r="288" spans="1:12" s="14" customFormat="1" ht="14.4" x14ac:dyDescent="0.3">
      <c r="A288" s="45" t="s">
        <v>448</v>
      </c>
      <c r="C288" s="45"/>
      <c r="E288" s="258"/>
      <c r="F288" s="344">
        <f>SUM(F284:F287)</f>
        <v>0</v>
      </c>
      <c r="G288" s="344">
        <f>SUM(G284:G287)</f>
        <v>0</v>
      </c>
      <c r="H288" s="202"/>
      <c r="I288" s="197"/>
      <c r="J288" s="197">
        <f>SUM(J284:J287)</f>
        <v>0</v>
      </c>
      <c r="K288" s="197">
        <f>SUM(K284:K287)</f>
        <v>0</v>
      </c>
      <c r="L288" s="197"/>
    </row>
    <row r="289" spans="1:12" x14ac:dyDescent="0.3">
      <c r="A289" s="39" t="s">
        <v>448</v>
      </c>
      <c r="F289" s="183"/>
      <c r="G289" s="183"/>
      <c r="H289" s="201"/>
      <c r="I289" s="165"/>
      <c r="J289" s="165"/>
      <c r="K289" s="165"/>
      <c r="L289" s="165"/>
    </row>
    <row r="290" spans="1:12" s="3" customFormat="1" ht="28.8" x14ac:dyDescent="0.3">
      <c r="A290" s="18" t="str">
        <f t="shared" ref="A290:A295" si="78">IF(AND(F290=0,G290=0),"Do Not Print","Print")</f>
        <v>Do Not Print</v>
      </c>
      <c r="C290" s="45" t="s">
        <v>1101</v>
      </c>
      <c r="E290" s="50"/>
      <c r="F290" s="183"/>
      <c r="G290" s="183"/>
      <c r="H290" s="183"/>
      <c r="I290" s="185"/>
      <c r="J290" s="185"/>
      <c r="K290" s="185"/>
      <c r="L290" s="185"/>
    </row>
    <row r="291" spans="1:12" s="3" customFormat="1" ht="27.6" x14ac:dyDescent="0.3">
      <c r="A291" s="18" t="str">
        <f t="shared" si="78"/>
        <v>Do Not Print</v>
      </c>
      <c r="B291" s="3" t="s">
        <v>1647</v>
      </c>
      <c r="C291" s="18" t="s">
        <v>1644</v>
      </c>
      <c r="E291" s="50"/>
      <c r="F291" s="183">
        <f>VLOOKUP($C291,IJVA,5,0)</f>
        <v>0</v>
      </c>
      <c r="G291" s="183">
        <f>VLOOKUP($C291,IJVA,11,0)</f>
        <v>0</v>
      </c>
      <c r="H291" s="183"/>
      <c r="I291" s="185"/>
      <c r="J291" s="185">
        <f t="shared" ref="J291:K295" si="79">ROUND(F291,0)</f>
        <v>0</v>
      </c>
      <c r="K291" s="185">
        <f t="shared" si="79"/>
        <v>0</v>
      </c>
      <c r="L291" s="185"/>
    </row>
    <row r="292" spans="1:12" s="3" customFormat="1" ht="27.6" x14ac:dyDescent="0.3">
      <c r="A292" s="18" t="str">
        <f t="shared" si="78"/>
        <v>Do Not Print</v>
      </c>
      <c r="B292" s="3" t="s">
        <v>1647</v>
      </c>
      <c r="C292" s="18" t="s">
        <v>1645</v>
      </c>
      <c r="E292" s="50"/>
      <c r="F292" s="183">
        <f>VLOOKUP($C292,IJVA,5,0)</f>
        <v>0</v>
      </c>
      <c r="G292" s="183">
        <f>VLOOKUP($C292,IJVA,11,0)</f>
        <v>0</v>
      </c>
      <c r="H292" s="183"/>
      <c r="I292" s="185"/>
      <c r="J292" s="185">
        <f t="shared" si="79"/>
        <v>0</v>
      </c>
      <c r="K292" s="185">
        <f t="shared" si="79"/>
        <v>0</v>
      </c>
      <c r="L292" s="185"/>
    </row>
    <row r="293" spans="1:12" s="3" customFormat="1" ht="27.6" x14ac:dyDescent="0.3">
      <c r="A293" s="18" t="str">
        <f t="shared" si="78"/>
        <v>Do Not Print</v>
      </c>
      <c r="B293" s="3" t="s">
        <v>1647</v>
      </c>
      <c r="C293" s="18" t="s">
        <v>75</v>
      </c>
      <c r="E293" s="50"/>
      <c r="F293" s="183">
        <f>VLOOKUP($C293,IJVA,5,0)</f>
        <v>0</v>
      </c>
      <c r="G293" s="183">
        <f>VLOOKUP($C293,IJVA,11,0)</f>
        <v>0</v>
      </c>
      <c r="H293" s="183"/>
      <c r="I293" s="185"/>
      <c r="J293" s="185">
        <f t="shared" si="79"/>
        <v>0</v>
      </c>
      <c r="K293" s="185">
        <f t="shared" si="79"/>
        <v>0</v>
      </c>
      <c r="L293" s="185"/>
    </row>
    <row r="294" spans="1:12" s="3" customFormat="1" ht="27.6" x14ac:dyDescent="0.3">
      <c r="A294" s="18" t="str">
        <f t="shared" si="78"/>
        <v>Do Not Print</v>
      </c>
      <c r="B294" s="3" t="s">
        <v>1647</v>
      </c>
      <c r="C294" s="18" t="s">
        <v>76</v>
      </c>
      <c r="E294" s="50"/>
      <c r="F294" s="183">
        <f>VLOOKUP($C294,IJVA,5,0)</f>
        <v>0</v>
      </c>
      <c r="G294" s="183">
        <f>VLOOKUP($C294,IJVA,11,0)</f>
        <v>0</v>
      </c>
      <c r="H294" s="183"/>
      <c r="I294" s="185"/>
      <c r="J294" s="185">
        <f t="shared" si="79"/>
        <v>0</v>
      </c>
      <c r="K294" s="185">
        <f t="shared" si="79"/>
        <v>0</v>
      </c>
      <c r="L294" s="185"/>
    </row>
    <row r="295" spans="1:12" s="6" customFormat="1" ht="27.6" x14ac:dyDescent="0.3">
      <c r="A295" s="38" t="str">
        <f t="shared" si="78"/>
        <v>Do Not Print</v>
      </c>
      <c r="B295" s="6" t="s">
        <v>1647</v>
      </c>
      <c r="C295" s="38" t="s">
        <v>1646</v>
      </c>
      <c r="E295" s="243"/>
      <c r="F295" s="183">
        <f>SUM(F291:F294)</f>
        <v>0</v>
      </c>
      <c r="G295" s="183">
        <f>SUM(G291:G294)</f>
        <v>0</v>
      </c>
      <c r="H295" s="183"/>
      <c r="I295" s="183"/>
      <c r="J295" s="185">
        <f t="shared" si="79"/>
        <v>0</v>
      </c>
      <c r="K295" s="185">
        <f t="shared" si="79"/>
        <v>0</v>
      </c>
      <c r="L295" s="183"/>
    </row>
    <row r="296" spans="1:12" ht="27.6" x14ac:dyDescent="0.3">
      <c r="A296" s="39" t="str">
        <f>IF(AND(F296=0,G296=0),"Do Not Print","Print")</f>
        <v>Do Not Print</v>
      </c>
      <c r="F296" s="183"/>
      <c r="G296" s="183"/>
      <c r="H296" s="201"/>
      <c r="I296" s="165"/>
      <c r="J296" s="165"/>
      <c r="K296" s="165"/>
      <c r="L296" s="165"/>
    </row>
    <row r="297" spans="1:12" ht="14.4" x14ac:dyDescent="0.3">
      <c r="A297" s="39" t="s">
        <v>448</v>
      </c>
      <c r="B297" s="1"/>
      <c r="C297" s="45" t="s">
        <v>364</v>
      </c>
      <c r="D297" s="14"/>
      <c r="F297" s="165"/>
      <c r="G297" s="165"/>
      <c r="H297" s="198"/>
      <c r="I297" s="165"/>
      <c r="J297" s="165"/>
      <c r="K297" s="165"/>
      <c r="L297" s="165"/>
    </row>
    <row r="298" spans="1:12" ht="27.6" x14ac:dyDescent="0.3">
      <c r="A298" s="345" t="str">
        <f t="shared" ref="A298:A313" si="80">IF(AND(F298=0,G298=0),"Do Not Print","Print")</f>
        <v>Do Not Print</v>
      </c>
      <c r="B298" s="346" t="s">
        <v>121</v>
      </c>
      <c r="C298" s="345" t="s">
        <v>365</v>
      </c>
      <c r="D298" s="346"/>
      <c r="E298" s="347" t="s">
        <v>710</v>
      </c>
      <c r="F298" s="348">
        <f t="shared" ref="F298:F312" si="81">VLOOKUP($C298,LTDR,5,0)</f>
        <v>0</v>
      </c>
      <c r="G298" s="163">
        <f t="shared" ref="G298:G312" si="82">VLOOKUP($C298,LTDR,11,0)</f>
        <v>0</v>
      </c>
      <c r="H298" s="198"/>
      <c r="I298" s="165"/>
      <c r="J298" s="165">
        <f t="shared" ref="J298:J311" si="83">ROUND(F298,0)</f>
        <v>0</v>
      </c>
      <c r="K298" s="165">
        <f t="shared" ref="K298:K312" si="84">ROUND(G298,0)</f>
        <v>0</v>
      </c>
      <c r="L298" s="165"/>
    </row>
    <row r="299" spans="1:12" ht="27.6" x14ac:dyDescent="0.3">
      <c r="A299" s="345" t="str">
        <f t="shared" si="80"/>
        <v>Do Not Print</v>
      </c>
      <c r="B299" s="346" t="s">
        <v>121</v>
      </c>
      <c r="C299" s="345" t="s">
        <v>366</v>
      </c>
      <c r="D299" s="346"/>
      <c r="E299" s="347" t="s">
        <v>710</v>
      </c>
      <c r="F299" s="348">
        <f t="shared" si="81"/>
        <v>0</v>
      </c>
      <c r="G299" s="163">
        <f t="shared" si="82"/>
        <v>0</v>
      </c>
      <c r="H299" s="198"/>
      <c r="I299" s="165"/>
      <c r="J299" s="165">
        <f t="shared" si="83"/>
        <v>0</v>
      </c>
      <c r="K299" s="165">
        <f t="shared" si="84"/>
        <v>0</v>
      </c>
      <c r="L299" s="165"/>
    </row>
    <row r="300" spans="1:12" ht="27.6" x14ac:dyDescent="0.3">
      <c r="A300" s="345" t="str">
        <f t="shared" si="80"/>
        <v>Do Not Print</v>
      </c>
      <c r="B300" s="346" t="s">
        <v>121</v>
      </c>
      <c r="C300" s="345" t="s">
        <v>367</v>
      </c>
      <c r="D300" s="346"/>
      <c r="E300" s="347" t="s">
        <v>710</v>
      </c>
      <c r="F300" s="348">
        <f t="shared" si="81"/>
        <v>0</v>
      </c>
      <c r="G300" s="163">
        <f t="shared" si="82"/>
        <v>0</v>
      </c>
      <c r="H300" s="198"/>
      <c r="I300" s="165"/>
      <c r="J300" s="165">
        <f t="shared" si="83"/>
        <v>0</v>
      </c>
      <c r="K300" s="165">
        <f t="shared" si="84"/>
        <v>0</v>
      </c>
      <c r="L300" s="165"/>
    </row>
    <row r="301" spans="1:12" ht="27.6" x14ac:dyDescent="0.3">
      <c r="A301" s="345" t="str">
        <f t="shared" si="80"/>
        <v>Do Not Print</v>
      </c>
      <c r="B301" s="346" t="s">
        <v>121</v>
      </c>
      <c r="C301" s="345" t="s">
        <v>368</v>
      </c>
      <c r="D301" s="346"/>
      <c r="E301" s="347" t="s">
        <v>710</v>
      </c>
      <c r="F301" s="348">
        <f t="shared" si="81"/>
        <v>0</v>
      </c>
      <c r="G301" s="163">
        <f t="shared" si="82"/>
        <v>0</v>
      </c>
      <c r="H301" s="198"/>
      <c r="I301" s="165"/>
      <c r="J301" s="165">
        <f t="shared" si="83"/>
        <v>0</v>
      </c>
      <c r="K301" s="165">
        <f t="shared" si="84"/>
        <v>0</v>
      </c>
      <c r="L301" s="165"/>
    </row>
    <row r="302" spans="1:12" ht="27.6" x14ac:dyDescent="0.3">
      <c r="A302" s="345" t="str">
        <f t="shared" si="80"/>
        <v>Do Not Print</v>
      </c>
      <c r="B302" s="346" t="s">
        <v>121</v>
      </c>
      <c r="C302" s="345" t="s">
        <v>369</v>
      </c>
      <c r="D302" s="346"/>
      <c r="E302" s="347" t="s">
        <v>710</v>
      </c>
      <c r="F302" s="348">
        <f t="shared" si="81"/>
        <v>0</v>
      </c>
      <c r="G302" s="163">
        <f t="shared" si="82"/>
        <v>0</v>
      </c>
      <c r="H302" s="198"/>
      <c r="I302" s="165"/>
      <c r="J302" s="165">
        <f t="shared" si="83"/>
        <v>0</v>
      </c>
      <c r="K302" s="165">
        <f t="shared" si="84"/>
        <v>0</v>
      </c>
      <c r="L302" s="165"/>
    </row>
    <row r="303" spans="1:12" ht="27.6" x14ac:dyDescent="0.3">
      <c r="A303" s="345" t="str">
        <f t="shared" si="80"/>
        <v>Do Not Print</v>
      </c>
      <c r="B303" s="346" t="s">
        <v>121</v>
      </c>
      <c r="C303" s="345" t="s">
        <v>665</v>
      </c>
      <c r="D303" s="346"/>
      <c r="E303" s="347" t="s">
        <v>710</v>
      </c>
      <c r="F303" s="348">
        <f t="shared" si="81"/>
        <v>0</v>
      </c>
      <c r="G303" s="163">
        <f t="shared" si="82"/>
        <v>0</v>
      </c>
      <c r="H303" s="198"/>
      <c r="I303" s="165"/>
      <c r="J303" s="165">
        <f t="shared" si="83"/>
        <v>0</v>
      </c>
      <c r="K303" s="165">
        <f t="shared" si="84"/>
        <v>0</v>
      </c>
      <c r="L303" s="165"/>
    </row>
    <row r="304" spans="1:12" ht="27.6" x14ac:dyDescent="0.3">
      <c r="A304" s="345" t="str">
        <f t="shared" si="80"/>
        <v>Do Not Print</v>
      </c>
      <c r="B304" s="346" t="s">
        <v>121</v>
      </c>
      <c r="C304" s="345" t="s">
        <v>519</v>
      </c>
      <c r="D304" s="346"/>
      <c r="E304" s="347" t="s">
        <v>710</v>
      </c>
      <c r="F304" s="348">
        <f t="shared" si="81"/>
        <v>0</v>
      </c>
      <c r="G304" s="163">
        <f t="shared" si="82"/>
        <v>0</v>
      </c>
      <c r="H304" s="198"/>
      <c r="I304" s="165"/>
      <c r="J304" s="165">
        <f t="shared" ref="J304:K306" si="85">ROUND(F304,0)</f>
        <v>0</v>
      </c>
      <c r="K304" s="165">
        <f t="shared" si="85"/>
        <v>0</v>
      </c>
      <c r="L304" s="165"/>
    </row>
    <row r="305" spans="1:12" ht="27.6" x14ac:dyDescent="0.3">
      <c r="A305" s="345" t="str">
        <f t="shared" si="80"/>
        <v>Do Not Print</v>
      </c>
      <c r="B305" s="346" t="s">
        <v>121</v>
      </c>
      <c r="C305" s="345" t="s">
        <v>520</v>
      </c>
      <c r="D305" s="346"/>
      <c r="E305" s="347" t="s">
        <v>710</v>
      </c>
      <c r="F305" s="348">
        <f t="shared" si="81"/>
        <v>0</v>
      </c>
      <c r="G305" s="163">
        <f t="shared" si="82"/>
        <v>0</v>
      </c>
      <c r="H305" s="198"/>
      <c r="I305" s="165"/>
      <c r="J305" s="165">
        <f t="shared" si="85"/>
        <v>0</v>
      </c>
      <c r="K305" s="165">
        <f t="shared" si="85"/>
        <v>0</v>
      </c>
      <c r="L305" s="165"/>
    </row>
    <row r="306" spans="1:12" ht="27.6" x14ac:dyDescent="0.3">
      <c r="A306" s="345" t="str">
        <f t="shared" si="80"/>
        <v>Do Not Print</v>
      </c>
      <c r="B306" s="346" t="s">
        <v>121</v>
      </c>
      <c r="C306" s="345" t="s">
        <v>521</v>
      </c>
      <c r="D306" s="346"/>
      <c r="E306" s="347" t="s">
        <v>710</v>
      </c>
      <c r="F306" s="348">
        <f t="shared" si="81"/>
        <v>0</v>
      </c>
      <c r="G306" s="163">
        <f t="shared" si="82"/>
        <v>0</v>
      </c>
      <c r="H306" s="198"/>
      <c r="I306" s="165"/>
      <c r="J306" s="165">
        <f t="shared" si="85"/>
        <v>0</v>
      </c>
      <c r="K306" s="165">
        <f t="shared" si="85"/>
        <v>0</v>
      </c>
      <c r="L306" s="165"/>
    </row>
    <row r="307" spans="1:12" ht="27.6" x14ac:dyDescent="0.3">
      <c r="A307" s="345" t="str">
        <f t="shared" si="80"/>
        <v>Do Not Print</v>
      </c>
      <c r="B307" s="346" t="s">
        <v>121</v>
      </c>
      <c r="C307" s="345" t="s">
        <v>370</v>
      </c>
      <c r="D307" s="346"/>
      <c r="E307" s="347" t="s">
        <v>710</v>
      </c>
      <c r="F307" s="348">
        <f t="shared" si="81"/>
        <v>0</v>
      </c>
      <c r="G307" s="163">
        <f t="shared" si="82"/>
        <v>0</v>
      </c>
      <c r="H307" s="198"/>
      <c r="I307" s="165"/>
      <c r="J307" s="165">
        <f t="shared" si="83"/>
        <v>0</v>
      </c>
      <c r="K307" s="165">
        <f t="shared" si="84"/>
        <v>0</v>
      </c>
      <c r="L307" s="165"/>
    </row>
    <row r="308" spans="1:12" ht="27.6" x14ac:dyDescent="0.3">
      <c r="A308" s="345" t="str">
        <f t="shared" si="80"/>
        <v>Do Not Print</v>
      </c>
      <c r="B308" s="346" t="s">
        <v>121</v>
      </c>
      <c r="C308" s="345" t="s">
        <v>2812</v>
      </c>
      <c r="D308" s="346"/>
      <c r="E308" s="347" t="s">
        <v>710</v>
      </c>
      <c r="F308" s="348">
        <f t="shared" si="81"/>
        <v>0</v>
      </c>
      <c r="G308" s="163">
        <f t="shared" si="82"/>
        <v>0</v>
      </c>
      <c r="H308" s="198"/>
      <c r="I308" s="165"/>
      <c r="J308" s="165">
        <f t="shared" si="83"/>
        <v>0</v>
      </c>
      <c r="K308" s="165">
        <f t="shared" si="84"/>
        <v>0</v>
      </c>
      <c r="L308" s="165"/>
    </row>
    <row r="309" spans="1:12" ht="27.6" x14ac:dyDescent="0.3">
      <c r="A309" s="345" t="str">
        <f t="shared" si="80"/>
        <v>Do Not Print</v>
      </c>
      <c r="B309" s="346" t="s">
        <v>121</v>
      </c>
      <c r="C309" s="345" t="s">
        <v>371</v>
      </c>
      <c r="D309" s="346"/>
      <c r="E309" s="347" t="s">
        <v>710</v>
      </c>
      <c r="F309" s="348">
        <f t="shared" si="81"/>
        <v>0</v>
      </c>
      <c r="G309" s="163">
        <f t="shared" si="82"/>
        <v>0</v>
      </c>
      <c r="H309" s="198"/>
      <c r="I309" s="165"/>
      <c r="J309" s="165">
        <f t="shared" si="83"/>
        <v>0</v>
      </c>
      <c r="K309" s="165">
        <f t="shared" si="84"/>
        <v>0</v>
      </c>
      <c r="L309" s="165"/>
    </row>
    <row r="310" spans="1:12" ht="27.6" x14ac:dyDescent="0.3">
      <c r="A310" s="345" t="str">
        <f t="shared" si="80"/>
        <v>Do Not Print</v>
      </c>
      <c r="B310" s="346" t="s">
        <v>121</v>
      </c>
      <c r="C310" s="345" t="s">
        <v>372</v>
      </c>
      <c r="D310" s="346"/>
      <c r="E310" s="347" t="s">
        <v>710</v>
      </c>
      <c r="F310" s="348">
        <f t="shared" si="81"/>
        <v>0</v>
      </c>
      <c r="G310" s="163">
        <f t="shared" si="82"/>
        <v>0</v>
      </c>
      <c r="H310" s="198"/>
      <c r="I310" s="165"/>
      <c r="J310" s="165">
        <f>ROUND(F310,0)</f>
        <v>0</v>
      </c>
      <c r="K310" s="165">
        <f>ROUND(G310,0)</f>
        <v>0</v>
      </c>
      <c r="L310" s="165"/>
    </row>
    <row r="311" spans="1:12" ht="27.6" x14ac:dyDescent="0.3">
      <c r="A311" s="345" t="str">
        <f t="shared" si="80"/>
        <v>Do Not Print</v>
      </c>
      <c r="B311" s="346" t="s">
        <v>121</v>
      </c>
      <c r="C311" s="345" t="s">
        <v>373</v>
      </c>
      <c r="D311" s="346"/>
      <c r="E311" s="347" t="s">
        <v>710</v>
      </c>
      <c r="F311" s="348">
        <f t="shared" si="81"/>
        <v>0</v>
      </c>
      <c r="G311" s="163">
        <f t="shared" si="82"/>
        <v>0</v>
      </c>
      <c r="H311" s="198"/>
      <c r="I311" s="165"/>
      <c r="J311" s="165">
        <f t="shared" si="83"/>
        <v>0</v>
      </c>
      <c r="K311" s="165">
        <f t="shared" si="84"/>
        <v>0</v>
      </c>
      <c r="L311" s="165"/>
    </row>
    <row r="312" spans="1:12" ht="27.6" x14ac:dyDescent="0.3">
      <c r="A312" s="345" t="str">
        <f>IF(AND(F312=0,G312=0),"Do Not Print","Print")</f>
        <v>Do Not Print</v>
      </c>
      <c r="B312" s="346" t="s">
        <v>121</v>
      </c>
      <c r="C312" s="345" t="s">
        <v>374</v>
      </c>
      <c r="D312" s="346"/>
      <c r="E312" s="347" t="s">
        <v>710</v>
      </c>
      <c r="F312" s="348">
        <f t="shared" si="81"/>
        <v>0</v>
      </c>
      <c r="G312" s="163">
        <f t="shared" si="82"/>
        <v>0</v>
      </c>
      <c r="H312" s="198"/>
      <c r="I312" s="165"/>
      <c r="J312" s="165">
        <f>ROUND(F312,0)</f>
        <v>0</v>
      </c>
      <c r="K312" s="165">
        <f t="shared" si="84"/>
        <v>0</v>
      </c>
      <c r="L312" s="165"/>
    </row>
    <row r="313" spans="1:12" ht="27.6" x14ac:dyDescent="0.3">
      <c r="A313" s="345" t="str">
        <f t="shared" si="80"/>
        <v>Do Not Print</v>
      </c>
      <c r="B313" s="346" t="s">
        <v>121</v>
      </c>
      <c r="C313" s="1235" t="s">
        <v>2750</v>
      </c>
      <c r="D313" s="346"/>
      <c r="E313" s="347" t="s">
        <v>710</v>
      </c>
      <c r="F313" s="348">
        <f>VLOOKUP($C313,LTDR,5,0)</f>
        <v>0</v>
      </c>
      <c r="G313" s="163">
        <f>VLOOKUP($C313,LTDR,11,0)</f>
        <v>0</v>
      </c>
      <c r="H313" s="198"/>
      <c r="I313" s="165"/>
      <c r="J313" s="165">
        <f>ROUND(F313,0)</f>
        <v>0</v>
      </c>
      <c r="K313" s="165">
        <f t="shared" ref="K313" si="86">ROUND(G313,0)</f>
        <v>0</v>
      </c>
      <c r="L313" s="165"/>
    </row>
    <row r="314" spans="1:12" ht="27.6" x14ac:dyDescent="0.3">
      <c r="A314" s="39" t="str">
        <f>IF(AND(F314=0,G314=0),"Do Not Print","Print")</f>
        <v>Do Not Print</v>
      </c>
      <c r="F314" s="349">
        <f>SUM(F298:F313)</f>
        <v>0</v>
      </c>
      <c r="G314" s="349">
        <f>SUM(G298:G313)</f>
        <v>0</v>
      </c>
      <c r="H314" s="201"/>
      <c r="I314" s="165"/>
      <c r="J314" s="165">
        <f>SUM(J298:J313)</f>
        <v>0</v>
      </c>
      <c r="K314" s="165">
        <f>SUM(K298:K313)</f>
        <v>0</v>
      </c>
      <c r="L314" s="165"/>
    </row>
    <row r="315" spans="1:12" x14ac:dyDescent="0.3">
      <c r="A315" s="39" t="s">
        <v>448</v>
      </c>
      <c r="F315" s="183"/>
      <c r="G315" s="183"/>
      <c r="H315" s="201"/>
      <c r="I315" s="165"/>
      <c r="J315" s="165"/>
      <c r="K315" s="165"/>
      <c r="L315" s="165"/>
    </row>
    <row r="316" spans="1:12" ht="31.5" customHeight="1" x14ac:dyDescent="0.3">
      <c r="A316" s="39" t="str">
        <f>IF(AND(F316=0,G316=0),"Do Not Print","Print")</f>
        <v>Do Not Print</v>
      </c>
      <c r="B316" s="346" t="s">
        <v>2752</v>
      </c>
      <c r="C316" s="39" t="s">
        <v>2363</v>
      </c>
      <c r="F316" s="183">
        <f>VLOOKUP($C316,LTCA,5,0)</f>
        <v>0</v>
      </c>
      <c r="G316" s="183">
        <f>VLOOKUP($C316,LTCA,11,0)</f>
        <v>0</v>
      </c>
      <c r="H316" s="201"/>
      <c r="I316" s="165"/>
      <c r="J316" s="165">
        <f>ROUND(F316,0)</f>
        <v>0</v>
      </c>
      <c r="K316" s="165">
        <f>ROUND(G316,0)</f>
        <v>0</v>
      </c>
      <c r="L316" s="165"/>
    </row>
    <row r="317" spans="1:12" ht="27.6" x14ac:dyDescent="0.3">
      <c r="A317" s="39" t="str">
        <f>IF(AND(F317=0,G317=0),"Do Not Print","Print")</f>
        <v>Do Not Print</v>
      </c>
      <c r="F317" s="183">
        <f>F316</f>
        <v>0</v>
      </c>
      <c r="G317" s="183">
        <f>G316</f>
        <v>0</v>
      </c>
      <c r="H317" s="201"/>
      <c r="I317" s="165"/>
      <c r="J317" s="165">
        <f>J316</f>
        <v>0</v>
      </c>
      <c r="K317" s="165">
        <f>K316</f>
        <v>0</v>
      </c>
      <c r="L317" s="165"/>
    </row>
    <row r="318" spans="1:12" x14ac:dyDescent="0.3">
      <c r="F318" s="183"/>
      <c r="G318" s="183"/>
      <c r="H318" s="201"/>
      <c r="I318" s="165"/>
      <c r="J318" s="165"/>
      <c r="K318" s="165"/>
      <c r="L318" s="165"/>
    </row>
    <row r="319" spans="1:12" ht="27.6" x14ac:dyDescent="0.3">
      <c r="A319" s="39" t="str">
        <f t="shared" ref="A319:A320" si="87">IF(AND(F319=0,G319=0),"Do Not Print","Print")</f>
        <v>Do Not Print</v>
      </c>
      <c r="B319" t="s">
        <v>2753</v>
      </c>
      <c r="C319" s="39" t="s">
        <v>2692</v>
      </c>
      <c r="F319" s="183">
        <f>VLOOKUP($C319,LTCC,5,0)</f>
        <v>0</v>
      </c>
      <c r="G319" s="183">
        <f>VLOOKUP($C319,LTCC,11,0)</f>
        <v>0</v>
      </c>
      <c r="H319" s="201"/>
      <c r="I319" s="165"/>
      <c r="J319" s="165">
        <f>ROUND(F319,0)</f>
        <v>0</v>
      </c>
      <c r="K319" s="165">
        <f>ROUND(G319,0)</f>
        <v>0</v>
      </c>
      <c r="L319" s="165"/>
    </row>
    <row r="320" spans="1:12" ht="27.6" x14ac:dyDescent="0.3">
      <c r="A320" s="39" t="str">
        <f t="shared" si="87"/>
        <v>Do Not Print</v>
      </c>
      <c r="F320" s="183">
        <f>F319</f>
        <v>0</v>
      </c>
      <c r="G320" s="183">
        <f>G319</f>
        <v>0</v>
      </c>
      <c r="H320" s="201"/>
      <c r="I320" s="165"/>
      <c r="J320" s="165">
        <f>J319</f>
        <v>0</v>
      </c>
      <c r="K320" s="165">
        <f>K319</f>
        <v>0</v>
      </c>
      <c r="L320" s="165"/>
    </row>
    <row r="321" spans="1:12" x14ac:dyDescent="0.3">
      <c r="F321" s="183"/>
      <c r="G321" s="183"/>
      <c r="H321" s="201"/>
      <c r="I321" s="165"/>
      <c r="J321" s="165"/>
      <c r="K321" s="165"/>
      <c r="L321" s="165"/>
    </row>
    <row r="322" spans="1:12" ht="27.6" x14ac:dyDescent="0.3">
      <c r="A322" s="39" t="str">
        <f>IF(AND(F322=0,G322=0),"Do Not Print","Print")</f>
        <v>Do Not Print</v>
      </c>
      <c r="C322" s="45" t="s">
        <v>589</v>
      </c>
      <c r="D322" s="14"/>
      <c r="F322" s="197">
        <f>F279+F314+F317+F320</f>
        <v>0</v>
      </c>
      <c r="G322" s="197">
        <f>G279+G314+G317+G320</f>
        <v>0</v>
      </c>
      <c r="H322" s="202"/>
      <c r="I322" s="165"/>
      <c r="J322" s="165">
        <f>J279+J314</f>
        <v>0</v>
      </c>
      <c r="K322" s="165">
        <f>K279+K314</f>
        <v>0</v>
      </c>
      <c r="L322" s="165"/>
    </row>
    <row r="323" spans="1:12" ht="14.4" x14ac:dyDescent="0.3">
      <c r="A323" s="39" t="s">
        <v>448</v>
      </c>
      <c r="C323" s="45"/>
      <c r="D323" s="14"/>
      <c r="F323" s="197"/>
      <c r="G323" s="197"/>
      <c r="H323" s="202"/>
      <c r="I323" s="165"/>
      <c r="J323" s="165"/>
      <c r="K323" s="165"/>
      <c r="L323" s="165"/>
    </row>
    <row r="324" spans="1:12" ht="27.6" x14ac:dyDescent="0.3">
      <c r="A324" s="39" t="str">
        <f>IF(AND(F324=0,G324=0),"Do Not Print","Print")</f>
        <v>Do Not Print</v>
      </c>
      <c r="C324" s="45" t="s">
        <v>454</v>
      </c>
      <c r="F324" s="183"/>
      <c r="G324" s="183"/>
      <c r="H324" s="201"/>
      <c r="I324" s="165"/>
      <c r="J324" s="165"/>
      <c r="K324" s="165"/>
      <c r="L324" s="165"/>
    </row>
    <row r="325" spans="1:12" ht="27.6" x14ac:dyDescent="0.3">
      <c r="A325" s="39" t="str">
        <f>IF(AND(F325=0,G325=0),"Do Not Print","Print")</f>
        <v>Do Not Print</v>
      </c>
      <c r="B325" t="s">
        <v>1110</v>
      </c>
      <c r="C325" s="39" t="s">
        <v>1105</v>
      </c>
      <c r="F325" s="165">
        <f>VLOOKUP($C325,STIN,5,0)</f>
        <v>0</v>
      </c>
      <c r="G325" s="165">
        <f>VLOOKUP($C325,STIN,11,0)</f>
        <v>0</v>
      </c>
      <c r="H325" s="201"/>
      <c r="I325" s="165"/>
      <c r="J325" s="165">
        <f t="shared" ref="J325:K328" si="88">ROUND(F325,0)</f>
        <v>0</v>
      </c>
      <c r="K325" s="165">
        <f t="shared" si="88"/>
        <v>0</v>
      </c>
      <c r="L325" s="165"/>
    </row>
    <row r="326" spans="1:12" ht="27.6" x14ac:dyDescent="0.3">
      <c r="A326" s="39" t="str">
        <f>IF(AND(F326=0,G326=0),"Do Not Print","Print")</f>
        <v>Do Not Print</v>
      </c>
      <c r="B326" t="s">
        <v>1110</v>
      </c>
      <c r="C326" s="39" t="s">
        <v>1106</v>
      </c>
      <c r="F326" s="165">
        <f>VLOOKUP($C326,STIN,5,0)</f>
        <v>0</v>
      </c>
      <c r="G326" s="165">
        <f>VLOOKUP($C326,STIN,11,0)</f>
        <v>0</v>
      </c>
      <c r="H326" s="201"/>
      <c r="I326" s="165"/>
      <c r="J326" s="165">
        <f t="shared" si="88"/>
        <v>0</v>
      </c>
      <c r="K326" s="165">
        <f t="shared" si="88"/>
        <v>0</v>
      </c>
      <c r="L326" s="165"/>
    </row>
    <row r="327" spans="1:12" ht="27.6" x14ac:dyDescent="0.3">
      <c r="A327" s="39" t="str">
        <f>IF(AND(F327=0,G327=0),"Do Not Print","Print")</f>
        <v>Do Not Print</v>
      </c>
      <c r="B327" t="s">
        <v>1110</v>
      </c>
      <c r="C327" s="39" t="s">
        <v>1107</v>
      </c>
      <c r="F327" s="165">
        <f>VLOOKUP($C327,STIN,5,0)</f>
        <v>0</v>
      </c>
      <c r="G327" s="165">
        <f>VLOOKUP($C327,STIN,11,0)</f>
        <v>0</v>
      </c>
      <c r="H327" s="201"/>
      <c r="I327" s="165"/>
      <c r="J327" s="165">
        <f t="shared" si="88"/>
        <v>0</v>
      </c>
      <c r="K327" s="165">
        <f t="shared" si="88"/>
        <v>0</v>
      </c>
      <c r="L327" s="165"/>
    </row>
    <row r="328" spans="1:12" ht="27.6" x14ac:dyDescent="0.3">
      <c r="A328" s="39" t="str">
        <f>IF(AND(F328=0,G328=0),"Do Not Print","Print")</f>
        <v>Do Not Print</v>
      </c>
      <c r="B328" t="s">
        <v>1110</v>
      </c>
      <c r="C328" s="39" t="s">
        <v>1108</v>
      </c>
      <c r="F328" s="165">
        <f>VLOOKUP($C328,STIN,5,0)</f>
        <v>0</v>
      </c>
      <c r="G328" s="165">
        <f>VLOOKUP($C328,STIN,11,0)</f>
        <v>0</v>
      </c>
      <c r="H328" s="201"/>
      <c r="I328" s="165"/>
      <c r="J328" s="165">
        <f t="shared" si="88"/>
        <v>0</v>
      </c>
      <c r="K328" s="165">
        <f t="shared" si="88"/>
        <v>0</v>
      </c>
      <c r="L328" s="165"/>
    </row>
    <row r="329" spans="1:12" ht="19.5" customHeight="1" x14ac:dyDescent="0.3">
      <c r="A329" s="39" t="s">
        <v>448</v>
      </c>
      <c r="F329" s="183">
        <f>SUM(F325:F328)</f>
        <v>0</v>
      </c>
      <c r="G329" s="183">
        <f>SUM(G325:G328)</f>
        <v>0</v>
      </c>
      <c r="H329" s="201"/>
      <c r="I329" s="165"/>
      <c r="J329" s="165">
        <f>SUM(J325:J328)</f>
        <v>0</v>
      </c>
      <c r="K329" s="165">
        <f>SUM(K325:K328)</f>
        <v>0</v>
      </c>
      <c r="L329" s="165"/>
    </row>
    <row r="330" spans="1:12" ht="14.4" x14ac:dyDescent="0.3">
      <c r="A330" s="39" t="s">
        <v>448</v>
      </c>
      <c r="C330" s="45"/>
      <c r="D330" s="14"/>
      <c r="F330" s="197"/>
      <c r="G330" s="197"/>
      <c r="H330" s="202"/>
      <c r="I330" s="165"/>
      <c r="J330" s="165"/>
      <c r="K330" s="165"/>
      <c r="L330" s="165"/>
    </row>
    <row r="331" spans="1:12" x14ac:dyDescent="0.3">
      <c r="A331" s="39" t="s">
        <v>448</v>
      </c>
      <c r="F331" s="165"/>
      <c r="G331" s="165"/>
      <c r="H331" s="198"/>
      <c r="I331" s="165"/>
      <c r="J331" s="165"/>
      <c r="K331" s="165"/>
      <c r="L331" s="165"/>
    </row>
    <row r="332" spans="1:12" ht="27.6" x14ac:dyDescent="0.3">
      <c r="A332" s="39" t="str">
        <f t="shared" ref="A332:A439" si="89">IF(AND(F332=0,G332=0),"Do Not Print","Print")</f>
        <v>Do Not Print</v>
      </c>
      <c r="B332" t="s">
        <v>122</v>
      </c>
      <c r="C332" s="45" t="s">
        <v>296</v>
      </c>
      <c r="D332" s="14"/>
      <c r="F332" s="183"/>
      <c r="G332" s="183"/>
      <c r="H332" s="201"/>
      <c r="I332" s="165"/>
      <c r="J332" s="165"/>
      <c r="K332" s="165"/>
      <c r="L332" s="165"/>
    </row>
    <row r="333" spans="1:12" ht="14.4" x14ac:dyDescent="0.3">
      <c r="A333" s="350" t="s">
        <v>448</v>
      </c>
      <c r="B333" s="351" t="s">
        <v>122</v>
      </c>
      <c r="C333" s="350" t="str">
        <f>'Input - BS'!$H$281</f>
        <v>Central Stores</v>
      </c>
      <c r="D333" s="352"/>
      <c r="E333" s="353"/>
      <c r="F333" s="354">
        <f t="shared" ref="F333:F338" si="90">VLOOKUP($C333,STCK,5,0)</f>
        <v>0</v>
      </c>
      <c r="G333" s="355">
        <f t="shared" ref="G333:G338" si="91">VLOOKUP($C333,STCK,11,0)</f>
        <v>0</v>
      </c>
      <c r="H333" s="356">
        <f t="shared" ref="H333:H338" si="92">VLOOKUP($C333,STCK,17,0)</f>
        <v>0</v>
      </c>
      <c r="I333" s="165"/>
      <c r="J333" s="165">
        <f t="shared" ref="J333:L338" si="93">ROUND(F333,0)</f>
        <v>0</v>
      </c>
      <c r="K333" s="165">
        <f t="shared" si="93"/>
        <v>0</v>
      </c>
      <c r="L333" s="165">
        <f t="shared" si="93"/>
        <v>0</v>
      </c>
    </row>
    <row r="334" spans="1:12" ht="27.6" x14ac:dyDescent="0.3">
      <c r="A334" s="350" t="str">
        <f t="shared" si="89"/>
        <v>Do Not Print</v>
      </c>
      <c r="B334" s="351" t="s">
        <v>122</v>
      </c>
      <c r="C334" s="350" t="str">
        <f>'Input - BS'!$H$282</f>
        <v xml:space="preserve">Other </v>
      </c>
      <c r="D334" s="352"/>
      <c r="E334" s="353"/>
      <c r="F334" s="354">
        <f t="shared" si="90"/>
        <v>0</v>
      </c>
      <c r="G334" s="355">
        <f t="shared" si="91"/>
        <v>0</v>
      </c>
      <c r="H334" s="356">
        <f t="shared" si="92"/>
        <v>0</v>
      </c>
      <c r="I334" s="165"/>
      <c r="J334" s="165">
        <f t="shared" si="93"/>
        <v>0</v>
      </c>
      <c r="K334" s="165">
        <f t="shared" si="93"/>
        <v>0</v>
      </c>
      <c r="L334" s="165">
        <f t="shared" si="93"/>
        <v>0</v>
      </c>
    </row>
    <row r="335" spans="1:12" ht="27.6" x14ac:dyDescent="0.3">
      <c r="A335" s="350" t="str">
        <f t="shared" si="89"/>
        <v>Do Not Print</v>
      </c>
      <c r="B335" s="351" t="s">
        <v>122</v>
      </c>
      <c r="C335" s="350" t="str">
        <f>'Input - BS'!$H283</f>
        <v>Inventories 3</v>
      </c>
      <c r="D335" s="352"/>
      <c r="E335" s="353"/>
      <c r="F335" s="354">
        <f t="shared" si="90"/>
        <v>0</v>
      </c>
      <c r="G335" s="355">
        <f t="shared" si="91"/>
        <v>0</v>
      </c>
      <c r="H335" s="356">
        <f t="shared" si="92"/>
        <v>0</v>
      </c>
      <c r="I335" s="165"/>
      <c r="J335" s="165">
        <f t="shared" si="93"/>
        <v>0</v>
      </c>
      <c r="K335" s="165">
        <f t="shared" si="93"/>
        <v>0</v>
      </c>
      <c r="L335" s="165">
        <f t="shared" si="93"/>
        <v>0</v>
      </c>
    </row>
    <row r="336" spans="1:12" ht="27.6" x14ac:dyDescent="0.3">
      <c r="A336" s="350" t="str">
        <f t="shared" si="89"/>
        <v>Do Not Print</v>
      </c>
      <c r="B336" s="351" t="s">
        <v>122</v>
      </c>
      <c r="C336" s="350" t="str">
        <f>'Input - BS'!$H284</f>
        <v>Inventories 4</v>
      </c>
      <c r="D336" s="352"/>
      <c r="E336" s="353"/>
      <c r="F336" s="354">
        <f t="shared" si="90"/>
        <v>0</v>
      </c>
      <c r="G336" s="355">
        <f t="shared" si="91"/>
        <v>0</v>
      </c>
      <c r="H336" s="356">
        <f t="shared" si="92"/>
        <v>0</v>
      </c>
      <c r="I336" s="165"/>
      <c r="J336" s="165">
        <f t="shared" si="93"/>
        <v>0</v>
      </c>
      <c r="K336" s="165">
        <f t="shared" si="93"/>
        <v>0</v>
      </c>
      <c r="L336" s="165">
        <f t="shared" si="93"/>
        <v>0</v>
      </c>
    </row>
    <row r="337" spans="1:12" ht="27.6" x14ac:dyDescent="0.3">
      <c r="A337" s="350" t="str">
        <f t="shared" si="89"/>
        <v>Do Not Print</v>
      </c>
      <c r="B337" s="351" t="s">
        <v>122</v>
      </c>
      <c r="C337" s="350" t="str">
        <f>'Input - BS'!$H285</f>
        <v>Inventories 5</v>
      </c>
      <c r="D337" s="352"/>
      <c r="E337" s="353"/>
      <c r="F337" s="354">
        <f t="shared" si="90"/>
        <v>0</v>
      </c>
      <c r="G337" s="355">
        <f t="shared" si="91"/>
        <v>0</v>
      </c>
      <c r="H337" s="356">
        <f t="shared" si="92"/>
        <v>0</v>
      </c>
      <c r="I337" s="165"/>
      <c r="J337" s="165">
        <f t="shared" si="93"/>
        <v>0</v>
      </c>
      <c r="K337" s="165">
        <f t="shared" si="93"/>
        <v>0</v>
      </c>
      <c r="L337" s="165">
        <f t="shared" si="93"/>
        <v>0</v>
      </c>
    </row>
    <row r="338" spans="1:12" ht="27.6" x14ac:dyDescent="0.3">
      <c r="A338" s="350" t="str">
        <f t="shared" si="89"/>
        <v>Do Not Print</v>
      </c>
      <c r="B338" s="351" t="s">
        <v>122</v>
      </c>
      <c r="C338" s="350" t="str">
        <f>'Input - BS'!$H286</f>
        <v>Inventories 6</v>
      </c>
      <c r="D338" s="352"/>
      <c r="E338" s="353"/>
      <c r="F338" s="354">
        <f t="shared" si="90"/>
        <v>0</v>
      </c>
      <c r="G338" s="355">
        <f t="shared" si="91"/>
        <v>0</v>
      </c>
      <c r="H338" s="356">
        <f t="shared" si="92"/>
        <v>0</v>
      </c>
      <c r="I338" s="165"/>
      <c r="J338" s="165">
        <f t="shared" si="93"/>
        <v>0</v>
      </c>
      <c r="K338" s="165">
        <f t="shared" si="93"/>
        <v>0</v>
      </c>
      <c r="L338" s="165">
        <f t="shared" si="93"/>
        <v>0</v>
      </c>
    </row>
    <row r="339" spans="1:12" s="33" customFormat="1" ht="28.8" x14ac:dyDescent="0.3">
      <c r="A339" s="32" t="str">
        <f t="shared" si="89"/>
        <v>Do Not Print</v>
      </c>
      <c r="C339" s="32"/>
      <c r="D339" s="14"/>
      <c r="E339" s="244"/>
      <c r="F339" s="357">
        <f>SUM(F333:F338)</f>
        <v>0</v>
      </c>
      <c r="G339" s="357">
        <f>SUM(G333:G338)</f>
        <v>0</v>
      </c>
      <c r="H339" s="357">
        <f>SUM(H333:H338)</f>
        <v>0</v>
      </c>
      <c r="I339" s="323"/>
      <c r="J339" s="323">
        <f>ROUND(F339,0)</f>
        <v>0</v>
      </c>
      <c r="K339" s="323">
        <f>ROUND(G339,0)</f>
        <v>0</v>
      </c>
      <c r="L339" s="323">
        <f>ROUND(H339,0)</f>
        <v>0</v>
      </c>
    </row>
    <row r="340" spans="1:12" ht="27.6" x14ac:dyDescent="0.3">
      <c r="A340" s="39" t="str">
        <f t="shared" si="89"/>
        <v>Do Not Print</v>
      </c>
      <c r="D340" s="14"/>
      <c r="F340" s="183"/>
      <c r="G340" s="183"/>
      <c r="H340" s="198"/>
      <c r="I340" s="165"/>
      <c r="J340" s="165"/>
      <c r="K340" s="165"/>
      <c r="L340" s="165"/>
    </row>
    <row r="341" spans="1:12" x14ac:dyDescent="0.3">
      <c r="A341" s="39" t="s">
        <v>448</v>
      </c>
      <c r="C341" s="38" t="s">
        <v>583</v>
      </c>
      <c r="D341" s="6"/>
      <c r="F341" s="165"/>
      <c r="G341" s="165"/>
      <c r="H341" s="198"/>
      <c r="I341" s="165"/>
      <c r="J341" s="165"/>
      <c r="K341" s="165"/>
      <c r="L341" s="165"/>
    </row>
    <row r="342" spans="1:12" ht="27.6" x14ac:dyDescent="0.3">
      <c r="A342" s="358" t="str">
        <f t="shared" si="89"/>
        <v>Do Not Print</v>
      </c>
      <c r="B342" s="359" t="s">
        <v>123</v>
      </c>
      <c r="C342" s="358" t="s">
        <v>365</v>
      </c>
      <c r="D342" s="359"/>
      <c r="E342" s="360" t="s">
        <v>710</v>
      </c>
      <c r="F342" s="313">
        <f t="shared" ref="F342:F358" si="94">VLOOKUP($C342,STDRS,5,0)</f>
        <v>0</v>
      </c>
      <c r="G342" s="361">
        <f t="shared" ref="G342:G358" si="95">VLOOKUP($C342,STDRS,11,0)</f>
        <v>0</v>
      </c>
      <c r="H342" s="315">
        <f t="shared" ref="H342:H358" si="96">VLOOKUP($C342,STDRS,17,0)</f>
        <v>0</v>
      </c>
      <c r="I342" s="165"/>
      <c r="J342" s="165">
        <f t="shared" ref="J342:J355" si="97">ROUND(F342,0)</f>
        <v>0</v>
      </c>
      <c r="K342" s="165">
        <f t="shared" ref="K342:L355" si="98">ROUND(G342,0)</f>
        <v>0</v>
      </c>
      <c r="L342" s="165">
        <f t="shared" si="98"/>
        <v>0</v>
      </c>
    </row>
    <row r="343" spans="1:12" ht="27.6" x14ac:dyDescent="0.3">
      <c r="A343" s="358" t="str">
        <f t="shared" si="89"/>
        <v>Do Not Print</v>
      </c>
      <c r="B343" s="359" t="s">
        <v>123</v>
      </c>
      <c r="C343" s="358" t="s">
        <v>366</v>
      </c>
      <c r="D343" s="359"/>
      <c r="E343" s="360" t="s">
        <v>710</v>
      </c>
      <c r="F343" s="313">
        <f t="shared" si="94"/>
        <v>0</v>
      </c>
      <c r="G343" s="361">
        <f t="shared" si="95"/>
        <v>0</v>
      </c>
      <c r="H343" s="315">
        <f t="shared" si="96"/>
        <v>0</v>
      </c>
      <c r="I343" s="165"/>
      <c r="J343" s="165">
        <f t="shared" si="97"/>
        <v>0</v>
      </c>
      <c r="K343" s="165">
        <f t="shared" si="98"/>
        <v>0</v>
      </c>
      <c r="L343" s="165">
        <f t="shared" si="98"/>
        <v>0</v>
      </c>
    </row>
    <row r="344" spans="1:12" ht="27.6" x14ac:dyDescent="0.3">
      <c r="A344" s="358" t="str">
        <f t="shared" si="89"/>
        <v>Do Not Print</v>
      </c>
      <c r="B344" s="359" t="s">
        <v>123</v>
      </c>
      <c r="C344" s="358" t="s">
        <v>367</v>
      </c>
      <c r="D344" s="359"/>
      <c r="E344" s="360" t="s">
        <v>710</v>
      </c>
      <c r="F344" s="313">
        <f t="shared" si="94"/>
        <v>0</v>
      </c>
      <c r="G344" s="361">
        <f t="shared" si="95"/>
        <v>0</v>
      </c>
      <c r="H344" s="315">
        <f t="shared" si="96"/>
        <v>0</v>
      </c>
      <c r="I344" s="165"/>
      <c r="J344" s="165">
        <f t="shared" si="97"/>
        <v>0</v>
      </c>
      <c r="K344" s="165">
        <f t="shared" si="98"/>
        <v>0</v>
      </c>
      <c r="L344" s="165">
        <f t="shared" si="98"/>
        <v>0</v>
      </c>
    </row>
    <row r="345" spans="1:12" ht="27.6" x14ac:dyDescent="0.3">
      <c r="A345" s="358" t="str">
        <f t="shared" si="89"/>
        <v>Do Not Print</v>
      </c>
      <c r="B345" s="359" t="s">
        <v>123</v>
      </c>
      <c r="C345" s="358" t="s">
        <v>368</v>
      </c>
      <c r="D345" s="359"/>
      <c r="E345" s="360" t="s">
        <v>710</v>
      </c>
      <c r="F345" s="313">
        <f t="shared" si="94"/>
        <v>0</v>
      </c>
      <c r="G345" s="361">
        <f t="shared" si="95"/>
        <v>0</v>
      </c>
      <c r="H345" s="315">
        <f t="shared" si="96"/>
        <v>0</v>
      </c>
      <c r="I345" s="165"/>
      <c r="J345" s="165">
        <f t="shared" si="97"/>
        <v>0</v>
      </c>
      <c r="K345" s="165">
        <f t="shared" si="98"/>
        <v>0</v>
      </c>
      <c r="L345" s="165">
        <f t="shared" si="98"/>
        <v>0</v>
      </c>
    </row>
    <row r="346" spans="1:12" ht="27.6" x14ac:dyDescent="0.3">
      <c r="A346" s="358" t="str">
        <f t="shared" si="89"/>
        <v>Do Not Print</v>
      </c>
      <c r="B346" s="359" t="s">
        <v>123</v>
      </c>
      <c r="C346" s="358" t="s">
        <v>372</v>
      </c>
      <c r="D346" s="359"/>
      <c r="E346" s="360" t="s">
        <v>710</v>
      </c>
      <c r="F346" s="313">
        <f t="shared" si="94"/>
        <v>0</v>
      </c>
      <c r="G346" s="361">
        <f t="shared" si="95"/>
        <v>0</v>
      </c>
      <c r="H346" s="315">
        <f t="shared" si="96"/>
        <v>0</v>
      </c>
      <c r="I346" s="165"/>
      <c r="J346" s="165">
        <f t="shared" si="97"/>
        <v>0</v>
      </c>
      <c r="K346" s="165">
        <f t="shared" si="98"/>
        <v>0</v>
      </c>
      <c r="L346" s="165">
        <f t="shared" si="98"/>
        <v>0</v>
      </c>
    </row>
    <row r="347" spans="1:12" ht="27.6" x14ac:dyDescent="0.3">
      <c r="A347" s="358" t="str">
        <f t="shared" si="89"/>
        <v>Do Not Print</v>
      </c>
      <c r="B347" s="359" t="s">
        <v>123</v>
      </c>
      <c r="C347" s="358" t="s">
        <v>369</v>
      </c>
      <c r="D347" s="359"/>
      <c r="E347" s="360" t="s">
        <v>710</v>
      </c>
      <c r="F347" s="313">
        <f t="shared" si="94"/>
        <v>0</v>
      </c>
      <c r="G347" s="361">
        <f t="shared" si="95"/>
        <v>0</v>
      </c>
      <c r="H347" s="315">
        <f t="shared" si="96"/>
        <v>0</v>
      </c>
      <c r="I347" s="165"/>
      <c r="J347" s="165">
        <f t="shared" si="97"/>
        <v>0</v>
      </c>
      <c r="K347" s="165">
        <f t="shared" si="98"/>
        <v>0</v>
      </c>
      <c r="L347" s="165">
        <f t="shared" si="98"/>
        <v>0</v>
      </c>
    </row>
    <row r="348" spans="1:12" ht="27.6" x14ac:dyDescent="0.3">
      <c r="A348" s="358" t="str">
        <f t="shared" si="89"/>
        <v>Do Not Print</v>
      </c>
      <c r="B348" s="359" t="s">
        <v>123</v>
      </c>
      <c r="C348" s="358" t="s">
        <v>665</v>
      </c>
      <c r="D348" s="359"/>
      <c r="E348" s="360" t="s">
        <v>710</v>
      </c>
      <c r="F348" s="313">
        <f t="shared" si="94"/>
        <v>0</v>
      </c>
      <c r="G348" s="361">
        <f t="shared" si="95"/>
        <v>0</v>
      </c>
      <c r="H348" s="315">
        <f t="shared" si="96"/>
        <v>0</v>
      </c>
      <c r="I348" s="165"/>
      <c r="J348" s="165">
        <f t="shared" si="97"/>
        <v>0</v>
      </c>
      <c r="K348" s="165">
        <f t="shared" si="98"/>
        <v>0</v>
      </c>
      <c r="L348" s="165">
        <f t="shared" si="98"/>
        <v>0</v>
      </c>
    </row>
    <row r="349" spans="1:12" ht="27.6" x14ac:dyDescent="0.3">
      <c r="A349" s="358" t="str">
        <f>IF(AND(F349=0,G349=0),"Do Not Print","Print")</f>
        <v>Do Not Print</v>
      </c>
      <c r="B349" s="359" t="s">
        <v>123</v>
      </c>
      <c r="C349" s="358" t="s">
        <v>519</v>
      </c>
      <c r="D349" s="359"/>
      <c r="E349" s="360" t="s">
        <v>710</v>
      </c>
      <c r="F349" s="313">
        <f t="shared" si="94"/>
        <v>0</v>
      </c>
      <c r="G349" s="361">
        <f t="shared" si="95"/>
        <v>0</v>
      </c>
      <c r="H349" s="315">
        <f t="shared" si="96"/>
        <v>0</v>
      </c>
      <c r="I349" s="165"/>
      <c r="J349" s="165">
        <f t="shared" ref="J349:L351" si="99">ROUND(F349,0)</f>
        <v>0</v>
      </c>
      <c r="K349" s="165">
        <f t="shared" si="99"/>
        <v>0</v>
      </c>
      <c r="L349" s="165">
        <f t="shared" si="99"/>
        <v>0</v>
      </c>
    </row>
    <row r="350" spans="1:12" ht="27.6" x14ac:dyDescent="0.3">
      <c r="A350" s="358" t="str">
        <f>IF(AND(F350=0,G350=0),"Do Not Print","Print")</f>
        <v>Do Not Print</v>
      </c>
      <c r="B350" s="359" t="s">
        <v>123</v>
      </c>
      <c r="C350" s="358" t="s">
        <v>520</v>
      </c>
      <c r="D350" s="359"/>
      <c r="E350" s="360" t="s">
        <v>710</v>
      </c>
      <c r="F350" s="313">
        <f t="shared" si="94"/>
        <v>0</v>
      </c>
      <c r="G350" s="361">
        <f t="shared" si="95"/>
        <v>0</v>
      </c>
      <c r="H350" s="315">
        <f t="shared" si="96"/>
        <v>0</v>
      </c>
      <c r="I350" s="165"/>
      <c r="J350" s="165">
        <f t="shared" si="99"/>
        <v>0</v>
      </c>
      <c r="K350" s="165">
        <f t="shared" si="99"/>
        <v>0</v>
      </c>
      <c r="L350" s="165">
        <f t="shared" si="99"/>
        <v>0</v>
      </c>
    </row>
    <row r="351" spans="1:12" ht="27.6" x14ac:dyDescent="0.3">
      <c r="A351" s="358" t="str">
        <f>IF(AND(F351=0,G351=0),"Do Not Print","Print")</f>
        <v>Do Not Print</v>
      </c>
      <c r="B351" s="359" t="s">
        <v>123</v>
      </c>
      <c r="C351" s="358" t="s">
        <v>521</v>
      </c>
      <c r="D351" s="359"/>
      <c r="E351" s="360" t="s">
        <v>710</v>
      </c>
      <c r="F351" s="313">
        <f t="shared" si="94"/>
        <v>0</v>
      </c>
      <c r="G351" s="361">
        <f t="shared" si="95"/>
        <v>0</v>
      </c>
      <c r="H351" s="315">
        <f t="shared" si="96"/>
        <v>0</v>
      </c>
      <c r="I351" s="165"/>
      <c r="J351" s="165">
        <f t="shared" si="99"/>
        <v>0</v>
      </c>
      <c r="K351" s="165">
        <f t="shared" si="99"/>
        <v>0</v>
      </c>
      <c r="L351" s="165">
        <f t="shared" si="99"/>
        <v>0</v>
      </c>
    </row>
    <row r="352" spans="1:12" ht="27.6" x14ac:dyDescent="0.3">
      <c r="A352" s="358" t="str">
        <f t="shared" si="89"/>
        <v>Do Not Print</v>
      </c>
      <c r="B352" s="359" t="s">
        <v>123</v>
      </c>
      <c r="C352" s="358" t="s">
        <v>377</v>
      </c>
      <c r="D352" s="359"/>
      <c r="E352" s="360" t="s">
        <v>710</v>
      </c>
      <c r="F352" s="313">
        <f t="shared" si="94"/>
        <v>0</v>
      </c>
      <c r="G352" s="361">
        <f t="shared" si="95"/>
        <v>0</v>
      </c>
      <c r="H352" s="315">
        <f t="shared" si="96"/>
        <v>0</v>
      </c>
      <c r="I352" s="165"/>
      <c r="J352" s="165">
        <f t="shared" si="97"/>
        <v>0</v>
      </c>
      <c r="K352" s="165">
        <f t="shared" si="98"/>
        <v>0</v>
      </c>
      <c r="L352" s="165">
        <f t="shared" si="98"/>
        <v>0</v>
      </c>
    </row>
    <row r="353" spans="1:12" ht="27.6" x14ac:dyDescent="0.3">
      <c r="A353" s="358" t="str">
        <f t="shared" si="89"/>
        <v>Do Not Print</v>
      </c>
      <c r="B353" s="359" t="s">
        <v>123</v>
      </c>
      <c r="C353" s="358" t="s">
        <v>378</v>
      </c>
      <c r="D353" s="359"/>
      <c r="E353" s="360" t="s">
        <v>710</v>
      </c>
      <c r="F353" s="313">
        <f t="shared" si="94"/>
        <v>0</v>
      </c>
      <c r="G353" s="361">
        <f t="shared" si="95"/>
        <v>0</v>
      </c>
      <c r="H353" s="315">
        <f t="shared" si="96"/>
        <v>0</v>
      </c>
      <c r="I353" s="165"/>
      <c r="J353" s="165">
        <f t="shared" si="97"/>
        <v>0</v>
      </c>
      <c r="K353" s="165">
        <f t="shared" si="98"/>
        <v>0</v>
      </c>
      <c r="L353" s="165">
        <f t="shared" si="98"/>
        <v>0</v>
      </c>
    </row>
    <row r="354" spans="1:12" ht="27.6" x14ac:dyDescent="0.3">
      <c r="A354" s="358" t="str">
        <f t="shared" si="89"/>
        <v>Do Not Print</v>
      </c>
      <c r="B354" s="359" t="s">
        <v>123</v>
      </c>
      <c r="C354" s="358" t="s">
        <v>2812</v>
      </c>
      <c r="D354" s="359"/>
      <c r="E354" s="360" t="s">
        <v>710</v>
      </c>
      <c r="F354" s="313">
        <f t="shared" si="94"/>
        <v>0</v>
      </c>
      <c r="G354" s="361">
        <f t="shared" si="95"/>
        <v>0</v>
      </c>
      <c r="H354" s="315">
        <f t="shared" si="96"/>
        <v>0</v>
      </c>
      <c r="I354" s="165"/>
      <c r="J354" s="165">
        <f t="shared" si="97"/>
        <v>0</v>
      </c>
      <c r="K354" s="165">
        <f t="shared" si="98"/>
        <v>0</v>
      </c>
      <c r="L354" s="165">
        <f t="shared" si="98"/>
        <v>0</v>
      </c>
    </row>
    <row r="355" spans="1:12" ht="27.6" x14ac:dyDescent="0.3">
      <c r="A355" s="358" t="str">
        <f t="shared" si="89"/>
        <v>Do Not Print</v>
      </c>
      <c r="B355" s="359" t="s">
        <v>123</v>
      </c>
      <c r="C355" s="358" t="s">
        <v>379</v>
      </c>
      <c r="D355" s="359"/>
      <c r="E355" s="360" t="s">
        <v>710</v>
      </c>
      <c r="F355" s="313">
        <f t="shared" si="94"/>
        <v>0</v>
      </c>
      <c r="G355" s="361">
        <f t="shared" si="95"/>
        <v>0</v>
      </c>
      <c r="H355" s="315">
        <f t="shared" si="96"/>
        <v>0</v>
      </c>
      <c r="I355" s="165"/>
      <c r="J355" s="165">
        <f t="shared" si="97"/>
        <v>0</v>
      </c>
      <c r="K355" s="165">
        <f t="shared" si="98"/>
        <v>0</v>
      </c>
      <c r="L355" s="165">
        <f t="shared" si="98"/>
        <v>0</v>
      </c>
    </row>
    <row r="356" spans="1:12" ht="27.6" x14ac:dyDescent="0.3">
      <c r="A356" s="358" t="str">
        <f t="shared" si="89"/>
        <v>Do Not Print</v>
      </c>
      <c r="B356" s="359" t="s">
        <v>123</v>
      </c>
      <c r="C356" s="358" t="s">
        <v>380</v>
      </c>
      <c r="D356" s="359"/>
      <c r="E356" s="360" t="s">
        <v>710</v>
      </c>
      <c r="F356" s="313">
        <f t="shared" si="94"/>
        <v>0</v>
      </c>
      <c r="G356" s="361">
        <f t="shared" si="95"/>
        <v>0</v>
      </c>
      <c r="H356" s="315">
        <f t="shared" si="96"/>
        <v>0</v>
      </c>
      <c r="I356" s="165"/>
      <c r="J356" s="165">
        <f t="shared" ref="J356:L358" si="100">ROUND(F356,0)</f>
        <v>0</v>
      </c>
      <c r="K356" s="165">
        <f t="shared" si="100"/>
        <v>0</v>
      </c>
      <c r="L356" s="165">
        <f t="shared" si="100"/>
        <v>0</v>
      </c>
    </row>
    <row r="357" spans="1:12" ht="27.6" x14ac:dyDescent="0.3">
      <c r="A357" s="358" t="str">
        <f t="shared" si="89"/>
        <v>Do Not Print</v>
      </c>
      <c r="B357" s="359" t="s">
        <v>123</v>
      </c>
      <c r="C357" s="358" t="s">
        <v>381</v>
      </c>
      <c r="D357" s="359"/>
      <c r="E357" s="360" t="s">
        <v>710</v>
      </c>
      <c r="F357" s="313">
        <f t="shared" si="94"/>
        <v>0</v>
      </c>
      <c r="G357" s="361">
        <f t="shared" si="95"/>
        <v>0</v>
      </c>
      <c r="H357" s="315">
        <f t="shared" si="96"/>
        <v>0</v>
      </c>
      <c r="I357" s="165"/>
      <c r="J357" s="165">
        <f t="shared" si="100"/>
        <v>0</v>
      </c>
      <c r="K357" s="165">
        <f t="shared" si="100"/>
        <v>0</v>
      </c>
      <c r="L357" s="165">
        <f t="shared" si="100"/>
        <v>0</v>
      </c>
    </row>
    <row r="358" spans="1:12" ht="27.6" x14ac:dyDescent="0.3">
      <c r="A358" s="358" t="str">
        <f t="shared" si="89"/>
        <v>Do Not Print</v>
      </c>
      <c r="B358" s="359" t="s">
        <v>123</v>
      </c>
      <c r="C358" s="1233" t="s">
        <v>2750</v>
      </c>
      <c r="D358" s="359"/>
      <c r="E358" s="360"/>
      <c r="F358" s="313">
        <f t="shared" si="94"/>
        <v>0</v>
      </c>
      <c r="G358" s="361">
        <f t="shared" si="95"/>
        <v>0</v>
      </c>
      <c r="H358" s="315">
        <f t="shared" si="96"/>
        <v>0</v>
      </c>
      <c r="I358" s="165"/>
      <c r="J358" s="165">
        <f t="shared" si="100"/>
        <v>0</v>
      </c>
      <c r="K358" s="165">
        <f t="shared" si="100"/>
        <v>0</v>
      </c>
      <c r="L358" s="165">
        <f t="shared" si="100"/>
        <v>0</v>
      </c>
    </row>
    <row r="359" spans="1:12" s="33" customFormat="1" ht="28.8" x14ac:dyDescent="0.3">
      <c r="A359" s="32" t="str">
        <f t="shared" si="89"/>
        <v>Do Not Print</v>
      </c>
      <c r="C359" s="32"/>
      <c r="E359" s="244"/>
      <c r="F359" s="362">
        <f>SUM(F342:F358)</f>
        <v>0</v>
      </c>
      <c r="G359" s="362">
        <f t="shared" ref="G359:H359" si="101">SUM(G342:G358)</f>
        <v>0</v>
      </c>
      <c r="H359" s="362">
        <f t="shared" si="101"/>
        <v>0</v>
      </c>
      <c r="I359" s="323"/>
      <c r="J359" s="323">
        <f>SUM(J342:J357)</f>
        <v>0</v>
      </c>
      <c r="K359" s="323">
        <f>SUM(K342:K357)</f>
        <v>0</v>
      </c>
      <c r="L359" s="323">
        <f>SUM(L342:L357)</f>
        <v>0</v>
      </c>
    </row>
    <row r="360" spans="1:12" ht="27.6" x14ac:dyDescent="0.3">
      <c r="A360" s="39" t="str">
        <f t="shared" si="89"/>
        <v>Do Not Print</v>
      </c>
      <c r="F360" s="183"/>
      <c r="G360" s="183"/>
      <c r="H360" s="201"/>
      <c r="I360" s="165"/>
      <c r="J360" s="165"/>
      <c r="K360" s="165"/>
      <c r="L360" s="165"/>
    </row>
    <row r="361" spans="1:12" ht="14.4" x14ac:dyDescent="0.3">
      <c r="A361" s="39" t="s">
        <v>448</v>
      </c>
      <c r="C361" s="45" t="s">
        <v>382</v>
      </c>
      <c r="D361" s="14"/>
      <c r="F361" s="165"/>
      <c r="G361" s="165"/>
      <c r="H361" s="198"/>
      <c r="I361" s="165"/>
      <c r="J361" s="165"/>
      <c r="K361" s="165"/>
      <c r="L361" s="165"/>
    </row>
    <row r="362" spans="1:12" ht="27.6" x14ac:dyDescent="0.3">
      <c r="A362" s="363" t="str">
        <f t="shared" si="89"/>
        <v>Do Not Print</v>
      </c>
      <c r="B362" s="364" t="s">
        <v>124</v>
      </c>
      <c r="C362" s="363" t="s">
        <v>383</v>
      </c>
      <c r="D362" s="364"/>
      <c r="E362" s="365" t="s">
        <v>711</v>
      </c>
      <c r="F362" s="366">
        <f>VLOOKUP($C362,CACE,5,0)</f>
        <v>0</v>
      </c>
      <c r="G362" s="367">
        <f>VLOOKUP($C362,CACE,11,0)</f>
        <v>0</v>
      </c>
      <c r="H362" s="355">
        <f>VLOOKUP($C362,CACE,17,0)</f>
        <v>0</v>
      </c>
      <c r="I362" s="165"/>
      <c r="J362" s="165">
        <f t="shared" ref="J362:L363" si="102">ROUND(F362,0)</f>
        <v>0</v>
      </c>
      <c r="K362" s="165">
        <f t="shared" si="102"/>
        <v>0</v>
      </c>
      <c r="L362" s="165">
        <f t="shared" si="102"/>
        <v>0</v>
      </c>
    </row>
    <row r="363" spans="1:12" ht="27.6" x14ac:dyDescent="0.3">
      <c r="A363" s="363" t="str">
        <f t="shared" si="89"/>
        <v>Do Not Print</v>
      </c>
      <c r="B363" s="364" t="s">
        <v>124</v>
      </c>
      <c r="C363" s="363" t="s">
        <v>384</v>
      </c>
      <c r="D363" s="364"/>
      <c r="E363" s="365" t="s">
        <v>711</v>
      </c>
      <c r="F363" s="366">
        <f>VLOOKUP($C363,CACE,5,0)</f>
        <v>0</v>
      </c>
      <c r="G363" s="367">
        <f>VLOOKUP($C363,CACE,11,0)</f>
        <v>0</v>
      </c>
      <c r="H363" s="355">
        <f>VLOOKUP($C363,CACE,17,0)</f>
        <v>0</v>
      </c>
      <c r="I363" s="165"/>
      <c r="J363" s="165">
        <f t="shared" si="102"/>
        <v>0</v>
      </c>
      <c r="K363" s="165">
        <f t="shared" si="102"/>
        <v>0</v>
      </c>
      <c r="L363" s="165">
        <f t="shared" si="102"/>
        <v>0</v>
      </c>
    </row>
    <row r="364" spans="1:12" s="33" customFormat="1" ht="28.8" x14ac:dyDescent="0.3">
      <c r="A364" s="32" t="str">
        <f t="shared" si="89"/>
        <v>Do Not Print</v>
      </c>
      <c r="C364" s="32"/>
      <c r="E364" s="244"/>
      <c r="F364" s="368">
        <f>SUM(F362:F363)</f>
        <v>0</v>
      </c>
      <c r="G364" s="368">
        <f>SUM(G362:G363)</f>
        <v>0</v>
      </c>
      <c r="H364" s="368">
        <f>SUM(H362:H363)</f>
        <v>0</v>
      </c>
      <c r="I364" s="323"/>
      <c r="J364" s="323">
        <f>SUM(J362:J363)</f>
        <v>0</v>
      </c>
      <c r="K364" s="323">
        <f>SUM(K362:K363)</f>
        <v>0</v>
      </c>
      <c r="L364" s="323">
        <f>SUM(L362:L363)</f>
        <v>0</v>
      </c>
    </row>
    <row r="365" spans="1:12" ht="27.6" x14ac:dyDescent="0.3">
      <c r="A365" s="39" t="str">
        <f t="shared" si="89"/>
        <v>Do Not Print</v>
      </c>
      <c r="F365" s="183"/>
      <c r="G365" s="183"/>
      <c r="H365" s="201"/>
      <c r="I365" s="165"/>
      <c r="J365" s="165"/>
      <c r="K365" s="165"/>
      <c r="L365" s="165"/>
    </row>
    <row r="366" spans="1:12" ht="27.6" x14ac:dyDescent="0.3">
      <c r="A366" s="39" t="str">
        <f t="shared" si="89"/>
        <v>Do Not Print</v>
      </c>
      <c r="C366" s="45" t="s">
        <v>1560</v>
      </c>
      <c r="F366" s="183"/>
      <c r="G366" s="183"/>
      <c r="H366" s="201"/>
      <c r="I366" s="165"/>
      <c r="J366" s="165"/>
      <c r="K366" s="165"/>
      <c r="L366" s="165"/>
    </row>
    <row r="367" spans="1:12" ht="27.6" x14ac:dyDescent="0.3">
      <c r="A367" s="369" t="str">
        <f t="shared" si="89"/>
        <v>Do Not Print</v>
      </c>
      <c r="B367" s="370" t="s">
        <v>1561</v>
      </c>
      <c r="C367" s="369" t="s">
        <v>360</v>
      </c>
      <c r="D367" s="370"/>
      <c r="E367" s="371"/>
      <c r="F367" s="374">
        <f t="shared" ref="F367:F376" si="103">VLOOKUP($C367,CSASS,5,0)</f>
        <v>0</v>
      </c>
      <c r="G367" s="375">
        <f t="shared" ref="G367:G377" si="104">VLOOKUP($C367,CSASS,11,0)</f>
        <v>0</v>
      </c>
      <c r="H367" s="201"/>
      <c r="I367" s="165"/>
      <c r="J367" s="165">
        <f>ROUND(F367,0)</f>
        <v>0</v>
      </c>
      <c r="K367" s="165">
        <f>ROUND(G367,0)</f>
        <v>0</v>
      </c>
      <c r="L367" s="165"/>
    </row>
    <row r="368" spans="1:12" ht="27.6" x14ac:dyDescent="0.3">
      <c r="A368" s="369" t="str">
        <f t="shared" si="89"/>
        <v>Do Not Print</v>
      </c>
      <c r="B368" s="370" t="s">
        <v>1561</v>
      </c>
      <c r="C368" s="372" t="s">
        <v>101</v>
      </c>
      <c r="D368" s="370"/>
      <c r="E368" s="371"/>
      <c r="F368" s="374">
        <f t="shared" si="103"/>
        <v>0</v>
      </c>
      <c r="G368" s="375">
        <f t="shared" si="104"/>
        <v>0</v>
      </c>
      <c r="H368" s="201"/>
      <c r="I368" s="165"/>
      <c r="J368" s="165">
        <f t="shared" ref="J368:K378" si="105">ROUND(F368,0)</f>
        <v>0</v>
      </c>
      <c r="K368" s="165">
        <f t="shared" si="105"/>
        <v>0</v>
      </c>
      <c r="L368" s="165"/>
    </row>
    <row r="369" spans="1:12" ht="27.6" x14ac:dyDescent="0.3">
      <c r="A369" s="369" t="str">
        <f t="shared" si="89"/>
        <v>Do Not Print</v>
      </c>
      <c r="B369" s="370" t="s">
        <v>1561</v>
      </c>
      <c r="C369" s="369" t="s">
        <v>961</v>
      </c>
      <c r="D369" s="370"/>
      <c r="E369" s="371"/>
      <c r="F369" s="374">
        <f t="shared" si="103"/>
        <v>0</v>
      </c>
      <c r="G369" s="375">
        <f t="shared" si="104"/>
        <v>0</v>
      </c>
      <c r="H369" s="201"/>
      <c r="I369" s="165"/>
      <c r="J369" s="165">
        <f t="shared" si="105"/>
        <v>0</v>
      </c>
      <c r="K369" s="165">
        <f t="shared" si="105"/>
        <v>0</v>
      </c>
      <c r="L369" s="165"/>
    </row>
    <row r="370" spans="1:12" ht="27.6" x14ac:dyDescent="0.3">
      <c r="A370" s="369" t="str">
        <f t="shared" si="89"/>
        <v>Do Not Print</v>
      </c>
      <c r="B370" s="370" t="s">
        <v>1561</v>
      </c>
      <c r="C370" s="373" t="s">
        <v>1094</v>
      </c>
      <c r="D370" s="370"/>
      <c r="E370" s="371"/>
      <c r="F370" s="374">
        <f t="shared" si="103"/>
        <v>0</v>
      </c>
      <c r="G370" s="375">
        <f t="shared" si="104"/>
        <v>0</v>
      </c>
      <c r="H370" s="201"/>
      <c r="I370" s="165"/>
      <c r="J370" s="165">
        <f t="shared" si="105"/>
        <v>0</v>
      </c>
      <c r="K370" s="165">
        <f t="shared" si="105"/>
        <v>0</v>
      </c>
      <c r="L370" s="165"/>
    </row>
    <row r="371" spans="1:12" ht="27.6" x14ac:dyDescent="0.3">
      <c r="A371" s="369" t="str">
        <f t="shared" si="89"/>
        <v>Do Not Print</v>
      </c>
      <c r="B371" s="370" t="s">
        <v>1561</v>
      </c>
      <c r="C371" s="373" t="s">
        <v>1096</v>
      </c>
      <c r="D371" s="370"/>
      <c r="E371" s="371"/>
      <c r="F371" s="374">
        <f t="shared" si="103"/>
        <v>0</v>
      </c>
      <c r="G371" s="375">
        <f t="shared" si="104"/>
        <v>0</v>
      </c>
      <c r="H371" s="201"/>
      <c r="I371" s="165"/>
      <c r="J371" s="165">
        <f t="shared" si="105"/>
        <v>0</v>
      </c>
      <c r="K371" s="165">
        <f t="shared" si="105"/>
        <v>0</v>
      </c>
      <c r="L371" s="165"/>
    </row>
    <row r="372" spans="1:12" ht="27.6" x14ac:dyDescent="0.3">
      <c r="A372" s="369" t="str">
        <f t="shared" si="89"/>
        <v>Do Not Print</v>
      </c>
      <c r="B372" s="370" t="s">
        <v>1561</v>
      </c>
      <c r="C372" s="369" t="s">
        <v>962</v>
      </c>
      <c r="D372" s="370"/>
      <c r="E372" s="371"/>
      <c r="F372" s="374">
        <f t="shared" si="103"/>
        <v>0</v>
      </c>
      <c r="G372" s="375">
        <f t="shared" si="104"/>
        <v>0</v>
      </c>
      <c r="H372" s="201"/>
      <c r="I372" s="165"/>
      <c r="J372" s="165">
        <f t="shared" si="105"/>
        <v>0</v>
      </c>
      <c r="K372" s="165">
        <f t="shared" si="105"/>
        <v>0</v>
      </c>
      <c r="L372" s="165"/>
    </row>
    <row r="373" spans="1:12" ht="27.6" x14ac:dyDescent="0.3">
      <c r="A373" s="369" t="str">
        <f t="shared" si="89"/>
        <v>Do Not Print</v>
      </c>
      <c r="B373" s="370" t="s">
        <v>1561</v>
      </c>
      <c r="C373" s="373" t="s">
        <v>361</v>
      </c>
      <c r="D373" s="370"/>
      <c r="E373" s="371"/>
      <c r="F373" s="374">
        <f t="shared" si="103"/>
        <v>0</v>
      </c>
      <c r="G373" s="375">
        <f t="shared" si="104"/>
        <v>0</v>
      </c>
      <c r="H373" s="201"/>
      <c r="I373" s="165"/>
      <c r="J373" s="165">
        <f t="shared" si="105"/>
        <v>0</v>
      </c>
      <c r="K373" s="165">
        <f t="shared" si="105"/>
        <v>0</v>
      </c>
      <c r="L373" s="165"/>
    </row>
    <row r="374" spans="1:12" ht="27.6" x14ac:dyDescent="0.3">
      <c r="A374" s="369" t="str">
        <f t="shared" si="89"/>
        <v>Do Not Print</v>
      </c>
      <c r="B374" s="370" t="s">
        <v>1561</v>
      </c>
      <c r="C374" s="369" t="s">
        <v>1061</v>
      </c>
      <c r="D374" s="370"/>
      <c r="E374" s="371"/>
      <c r="F374" s="374">
        <f t="shared" si="103"/>
        <v>0</v>
      </c>
      <c r="G374" s="375">
        <f t="shared" si="104"/>
        <v>0</v>
      </c>
      <c r="H374" s="201"/>
      <c r="I374" s="165"/>
      <c r="J374" s="165">
        <f t="shared" si="105"/>
        <v>0</v>
      </c>
      <c r="K374" s="165">
        <f t="shared" si="105"/>
        <v>0</v>
      </c>
      <c r="L374" s="165"/>
    </row>
    <row r="375" spans="1:12" ht="27.6" x14ac:dyDescent="0.3">
      <c r="A375" s="369" t="str">
        <f t="shared" si="89"/>
        <v>Do Not Print</v>
      </c>
      <c r="B375" s="370" t="s">
        <v>1561</v>
      </c>
      <c r="C375" s="369" t="s">
        <v>362</v>
      </c>
      <c r="D375" s="370"/>
      <c r="E375" s="371"/>
      <c r="F375" s="374">
        <f t="shared" si="103"/>
        <v>0</v>
      </c>
      <c r="G375" s="375">
        <f t="shared" si="104"/>
        <v>0</v>
      </c>
      <c r="H375" s="201"/>
      <c r="I375" s="165"/>
      <c r="J375" s="165">
        <f t="shared" si="105"/>
        <v>0</v>
      </c>
      <c r="K375" s="165">
        <f t="shared" si="105"/>
        <v>0</v>
      </c>
      <c r="L375" s="165"/>
    </row>
    <row r="376" spans="1:12" ht="27.6" x14ac:dyDescent="0.3">
      <c r="A376" s="369" t="str">
        <f t="shared" si="89"/>
        <v>Do Not Print</v>
      </c>
      <c r="B376" s="370" t="s">
        <v>1561</v>
      </c>
      <c r="C376" s="369" t="s">
        <v>363</v>
      </c>
      <c r="D376" s="370"/>
      <c r="E376" s="371"/>
      <c r="F376" s="374">
        <f t="shared" si="103"/>
        <v>0</v>
      </c>
      <c r="G376" s="375">
        <f t="shared" si="104"/>
        <v>0</v>
      </c>
      <c r="H376" s="201"/>
      <c r="I376" s="165"/>
      <c r="J376" s="165">
        <f t="shared" si="105"/>
        <v>0</v>
      </c>
      <c r="K376" s="165">
        <f t="shared" si="105"/>
        <v>0</v>
      </c>
      <c r="L376" s="165"/>
    </row>
    <row r="377" spans="1:12" ht="27.6" x14ac:dyDescent="0.3">
      <c r="A377" s="369" t="str">
        <f t="shared" si="89"/>
        <v>Do Not Print</v>
      </c>
      <c r="B377" s="370" t="s">
        <v>1561</v>
      </c>
      <c r="C377" s="369" t="s">
        <v>1100</v>
      </c>
      <c r="D377" s="370"/>
      <c r="E377" s="371"/>
      <c r="F377" s="374">
        <f>VLOOKUP($C377,CSASS,5,0)</f>
        <v>0</v>
      </c>
      <c r="G377" s="375">
        <f t="shared" si="104"/>
        <v>0</v>
      </c>
      <c r="H377" s="201"/>
      <c r="I377" s="165"/>
      <c r="J377" s="165">
        <f t="shared" si="105"/>
        <v>0</v>
      </c>
      <c r="K377" s="165">
        <f t="shared" si="105"/>
        <v>0</v>
      </c>
      <c r="L377" s="165"/>
    </row>
    <row r="378" spans="1:12" ht="27.6" x14ac:dyDescent="0.3">
      <c r="A378" s="39" t="str">
        <f t="shared" si="89"/>
        <v>Do Not Print</v>
      </c>
      <c r="C378" s="45"/>
      <c r="F378" s="376">
        <f>SUM(F367:F377)</f>
        <v>0</v>
      </c>
      <c r="G378" s="376">
        <f>SUM(G367:G377)</f>
        <v>0</v>
      </c>
      <c r="H378" s="201"/>
      <c r="I378" s="165"/>
      <c r="J378" s="165">
        <f>ROUND(F378,0)</f>
        <v>0</v>
      </c>
      <c r="K378" s="165">
        <f t="shared" si="105"/>
        <v>0</v>
      </c>
      <c r="L378" s="165"/>
    </row>
    <row r="379" spans="1:12" ht="27.6" x14ac:dyDescent="0.3">
      <c r="A379" s="39" t="str">
        <f t="shared" si="89"/>
        <v>Do Not Print</v>
      </c>
      <c r="C379" s="45"/>
      <c r="F379" s="197"/>
      <c r="G379" s="197"/>
      <c r="H379" s="201"/>
      <c r="I379" s="165"/>
      <c r="J379" s="165"/>
      <c r="K379" s="165"/>
      <c r="L379" s="165"/>
    </row>
    <row r="380" spans="1:12" ht="27.6" x14ac:dyDescent="0.3">
      <c r="A380" s="39" t="str">
        <f t="shared" si="89"/>
        <v>Do Not Print</v>
      </c>
      <c r="B380" s="370" t="s">
        <v>2754</v>
      </c>
      <c r="C380" s="45" t="s">
        <v>2363</v>
      </c>
      <c r="F380" s="197">
        <f>VLOOKUP($C380,CASSCA,5,0)</f>
        <v>0</v>
      </c>
      <c r="G380" s="197">
        <f>VLOOKUP($C380,CASSCA,11,0)</f>
        <v>0</v>
      </c>
      <c r="H380" s="201"/>
      <c r="I380" s="165"/>
      <c r="J380" s="165">
        <f>ROUND(F380,0)</f>
        <v>0</v>
      </c>
      <c r="K380" s="165">
        <f>ROUND(G380,0)</f>
        <v>0</v>
      </c>
      <c r="L380" s="165"/>
    </row>
    <row r="381" spans="1:12" ht="27.6" x14ac:dyDescent="0.3">
      <c r="A381" s="39" t="str">
        <f t="shared" si="89"/>
        <v>Do Not Print</v>
      </c>
      <c r="C381" s="45"/>
      <c r="F381" s="197">
        <f>F380</f>
        <v>0</v>
      </c>
      <c r="G381" s="197">
        <f>G380</f>
        <v>0</v>
      </c>
      <c r="H381" s="201"/>
      <c r="I381" s="165"/>
      <c r="J381" s="165">
        <f>J380</f>
        <v>0</v>
      </c>
      <c r="K381" s="165">
        <f>K380</f>
        <v>0</v>
      </c>
      <c r="L381" s="165"/>
    </row>
    <row r="382" spans="1:12" ht="27.6" x14ac:dyDescent="0.3">
      <c r="A382" s="39" t="str">
        <f t="shared" si="89"/>
        <v>Do Not Print</v>
      </c>
      <c r="C382" s="45"/>
      <c r="F382" s="197"/>
      <c r="G382" s="197"/>
      <c r="H382" s="201"/>
      <c r="I382" s="165"/>
      <c r="J382" s="165"/>
      <c r="K382" s="165"/>
      <c r="L382" s="165"/>
    </row>
    <row r="383" spans="1:12" ht="27.6" x14ac:dyDescent="0.3">
      <c r="A383" s="39" t="str">
        <f t="shared" si="89"/>
        <v>Do Not Print</v>
      </c>
      <c r="B383" t="s">
        <v>2755</v>
      </c>
      <c r="C383" s="45" t="s">
        <v>2692</v>
      </c>
      <c r="F383" s="197">
        <f>VLOOKUP($C383,CASSCC,5,0)</f>
        <v>0</v>
      </c>
      <c r="G383" s="197">
        <f>VLOOKUP($C383,CASSCC,11,0)</f>
        <v>0</v>
      </c>
      <c r="H383" s="201"/>
      <c r="I383" s="165"/>
      <c r="J383" s="165">
        <f>ROUND(F383,0)</f>
        <v>0</v>
      </c>
      <c r="K383" s="165">
        <f>ROUND(G383,0)</f>
        <v>0</v>
      </c>
      <c r="L383" s="165"/>
    </row>
    <row r="384" spans="1:12" ht="27.6" x14ac:dyDescent="0.3">
      <c r="A384" s="39" t="str">
        <f t="shared" si="89"/>
        <v>Do Not Print</v>
      </c>
      <c r="C384" s="45"/>
      <c r="F384" s="197">
        <f>F383</f>
        <v>0</v>
      </c>
      <c r="G384" s="197">
        <f>G383</f>
        <v>0</v>
      </c>
      <c r="H384" s="201"/>
      <c r="I384" s="165"/>
      <c r="J384" s="165">
        <f>J383</f>
        <v>0</v>
      </c>
      <c r="K384" s="165">
        <f>K383</f>
        <v>0</v>
      </c>
      <c r="L384" s="165"/>
    </row>
    <row r="385" spans="1:12" ht="27.6" x14ac:dyDescent="0.3">
      <c r="A385" s="39" t="str">
        <f t="shared" si="89"/>
        <v>Do Not Print</v>
      </c>
      <c r="C385" s="45"/>
      <c r="F385" s="197"/>
      <c r="G385" s="197"/>
      <c r="H385" s="201"/>
      <c r="I385" s="165"/>
      <c r="J385" s="165"/>
      <c r="K385" s="165"/>
      <c r="L385" s="165"/>
    </row>
    <row r="386" spans="1:12" ht="27.6" x14ac:dyDescent="0.3">
      <c r="A386" s="39" t="str">
        <f t="shared" si="89"/>
        <v>Do Not Print</v>
      </c>
      <c r="C386" s="45" t="s">
        <v>375</v>
      </c>
      <c r="D386" s="14"/>
      <c r="E386" s="244"/>
      <c r="F386" s="197">
        <f>F339+F359+F364+F378+F381+F384</f>
        <v>0</v>
      </c>
      <c r="G386" s="197">
        <f>G339+G359+G364+G378+G381+G384</f>
        <v>0</v>
      </c>
      <c r="H386" s="202"/>
      <c r="I386" s="165"/>
      <c r="J386" s="165">
        <f>J332+J359+J364+J381+J384</f>
        <v>0</v>
      </c>
      <c r="K386" s="165">
        <f>K332+K359+K364+K381+K384</f>
        <v>0</v>
      </c>
      <c r="L386" s="165"/>
    </row>
    <row r="387" spans="1:12" x14ac:dyDescent="0.3">
      <c r="A387" s="39" t="s">
        <v>448</v>
      </c>
      <c r="F387" s="165"/>
      <c r="G387" s="165"/>
      <c r="H387" s="198"/>
      <c r="I387" s="165"/>
      <c r="J387" s="165"/>
      <c r="K387" s="165"/>
      <c r="L387" s="165"/>
    </row>
    <row r="388" spans="1:12" ht="28.8" x14ac:dyDescent="0.3">
      <c r="A388" s="39" t="str">
        <f t="shared" si="89"/>
        <v>Do Not Print</v>
      </c>
      <c r="C388" s="45" t="s">
        <v>584</v>
      </c>
      <c r="D388" s="14"/>
      <c r="F388" s="165"/>
      <c r="G388" s="165"/>
      <c r="H388" s="198"/>
      <c r="I388" s="165"/>
      <c r="J388" s="165"/>
      <c r="K388" s="165"/>
      <c r="L388" s="165"/>
    </row>
    <row r="389" spans="1:12" ht="27.6" x14ac:dyDescent="0.3">
      <c r="A389" s="377" t="str">
        <f t="shared" si="89"/>
        <v>Do Not Print</v>
      </c>
      <c r="B389" s="378" t="s">
        <v>125</v>
      </c>
      <c r="C389" s="377" t="s">
        <v>386</v>
      </c>
      <c r="D389" s="378"/>
      <c r="E389" s="379" t="s">
        <v>711</v>
      </c>
      <c r="F389" s="380">
        <f>VLOOKUP($C389,BAOD,5,0)</f>
        <v>0</v>
      </c>
      <c r="G389" s="381">
        <f>VLOOKUP($C389,BAOD,11,0)</f>
        <v>0</v>
      </c>
      <c r="H389" s="382">
        <f>VLOOKUP($C389,BAOD,17,0)</f>
        <v>0</v>
      </c>
      <c r="I389" s="165"/>
      <c r="J389" s="165">
        <f t="shared" ref="J389:L390" si="106">ROUND(F389,0)</f>
        <v>0</v>
      </c>
      <c r="K389" s="165">
        <f t="shared" si="106"/>
        <v>0</v>
      </c>
      <c r="L389" s="165">
        <f t="shared" si="106"/>
        <v>0</v>
      </c>
    </row>
    <row r="390" spans="1:12" ht="27.6" x14ac:dyDescent="0.3">
      <c r="A390" s="377" t="str">
        <f t="shared" si="89"/>
        <v>Do Not Print</v>
      </c>
      <c r="B390" s="378" t="s">
        <v>126</v>
      </c>
      <c r="C390" s="377" t="s">
        <v>388</v>
      </c>
      <c r="D390" s="378"/>
      <c r="E390" s="379" t="s">
        <v>711</v>
      </c>
      <c r="F390" s="380">
        <f>VLOOKUP($C390,STLN,5,0)</f>
        <v>0</v>
      </c>
      <c r="G390" s="381">
        <f>VLOOKUP($C390,STLN,11,0)</f>
        <v>0</v>
      </c>
      <c r="H390" s="382">
        <f>VLOOKUP($C390,STLN,17,0)</f>
        <v>0</v>
      </c>
      <c r="I390" s="165"/>
      <c r="J390" s="165">
        <f t="shared" si="106"/>
        <v>0</v>
      </c>
      <c r="K390" s="165">
        <f t="shared" si="106"/>
        <v>0</v>
      </c>
      <c r="L390" s="165">
        <f t="shared" si="106"/>
        <v>0</v>
      </c>
    </row>
    <row r="391" spans="1:12" s="33" customFormat="1" ht="28.8" x14ac:dyDescent="0.3">
      <c r="A391" s="32" t="str">
        <f t="shared" si="89"/>
        <v>Do Not Print</v>
      </c>
      <c r="C391" s="32"/>
      <c r="E391" s="244"/>
      <c r="F391" s="721">
        <f>SUM(F389:F390)</f>
        <v>0</v>
      </c>
      <c r="G391" s="721">
        <f>SUM(G389:G390)</f>
        <v>0</v>
      </c>
      <c r="H391" s="721">
        <f>SUM(H389:H390)</f>
        <v>0</v>
      </c>
      <c r="I391" s="323"/>
      <c r="J391" s="323">
        <f>SUM(J389:J390)</f>
        <v>0</v>
      </c>
      <c r="K391" s="323">
        <f>SUM(K389:K390)</f>
        <v>0</v>
      </c>
      <c r="L391" s="323">
        <f>SUM(L389:L390)</f>
        <v>0</v>
      </c>
    </row>
    <row r="392" spans="1:12" ht="27.6" x14ac:dyDescent="0.3">
      <c r="A392" s="39" t="str">
        <f t="shared" si="89"/>
        <v>Do Not Print</v>
      </c>
      <c r="F392" s="165"/>
      <c r="G392" s="165"/>
      <c r="H392" s="198"/>
      <c r="I392" s="165"/>
      <c r="J392" s="165"/>
      <c r="K392" s="165"/>
      <c r="L392" s="165"/>
    </row>
    <row r="393" spans="1:12" ht="14.4" x14ac:dyDescent="0.3">
      <c r="A393" s="39" t="s">
        <v>448</v>
      </c>
      <c r="C393" s="45" t="s">
        <v>585</v>
      </c>
      <c r="D393" s="14"/>
      <c r="F393" s="165"/>
      <c r="G393" s="165"/>
      <c r="H393" s="198"/>
      <c r="I393" s="165"/>
      <c r="J393" s="165"/>
      <c r="K393" s="165"/>
      <c r="L393" s="165"/>
    </row>
    <row r="394" spans="1:12" ht="27.6" x14ac:dyDescent="0.3">
      <c r="A394" s="384" t="str">
        <f t="shared" si="89"/>
        <v>Do Not Print</v>
      </c>
      <c r="B394" s="385" t="s">
        <v>128</v>
      </c>
      <c r="C394" s="384" t="s">
        <v>365</v>
      </c>
      <c r="D394" s="385"/>
      <c r="E394" s="386" t="s">
        <v>712</v>
      </c>
      <c r="F394" s="387">
        <f t="shared" ref="F394:F407" si="107">VLOOKUP($C394,STCR,5,0)</f>
        <v>0</v>
      </c>
      <c r="G394" s="388">
        <f t="shared" ref="G394:G407" si="108">VLOOKUP($C394,STCR,11,0)</f>
        <v>0</v>
      </c>
      <c r="H394" s="388">
        <f t="shared" ref="H394:H407" si="109">VLOOKUP($C394,STCR,17,0)</f>
        <v>0</v>
      </c>
      <c r="I394" s="165"/>
      <c r="J394" s="165">
        <f t="shared" ref="J394:J406" si="110">ROUND(F394,0)</f>
        <v>0</v>
      </c>
      <c r="K394" s="165">
        <f t="shared" ref="K394:L406" si="111">ROUND(G394,0)</f>
        <v>0</v>
      </c>
      <c r="L394" s="165">
        <f t="shared" si="111"/>
        <v>0</v>
      </c>
    </row>
    <row r="395" spans="1:12" ht="27.6" x14ac:dyDescent="0.3">
      <c r="A395" s="384" t="str">
        <f t="shared" si="89"/>
        <v>Do Not Print</v>
      </c>
      <c r="B395" s="385" t="s">
        <v>128</v>
      </c>
      <c r="C395" s="384" t="s">
        <v>396</v>
      </c>
      <c r="D395" s="385"/>
      <c r="E395" s="386" t="s">
        <v>712</v>
      </c>
      <c r="F395" s="387">
        <f t="shared" si="107"/>
        <v>0</v>
      </c>
      <c r="G395" s="388">
        <f t="shared" si="108"/>
        <v>0</v>
      </c>
      <c r="H395" s="388">
        <f t="shared" si="109"/>
        <v>0</v>
      </c>
      <c r="I395" s="165"/>
      <c r="J395" s="165">
        <f t="shared" si="110"/>
        <v>0</v>
      </c>
      <c r="K395" s="165">
        <f t="shared" si="111"/>
        <v>0</v>
      </c>
      <c r="L395" s="165">
        <f t="shared" si="111"/>
        <v>0</v>
      </c>
    </row>
    <row r="396" spans="1:12" ht="27.6" x14ac:dyDescent="0.3">
      <c r="A396" s="384" t="str">
        <f t="shared" si="89"/>
        <v>Do Not Print</v>
      </c>
      <c r="B396" s="385" t="s">
        <v>128</v>
      </c>
      <c r="C396" s="384" t="s">
        <v>367</v>
      </c>
      <c r="D396" s="385"/>
      <c r="E396" s="386" t="s">
        <v>712</v>
      </c>
      <c r="F396" s="387">
        <f t="shared" si="107"/>
        <v>0</v>
      </c>
      <c r="G396" s="388">
        <f t="shared" si="108"/>
        <v>0</v>
      </c>
      <c r="H396" s="388">
        <f t="shared" si="109"/>
        <v>0</v>
      </c>
      <c r="I396" s="165"/>
      <c r="J396" s="165">
        <f t="shared" si="110"/>
        <v>0</v>
      </c>
      <c r="K396" s="165">
        <f t="shared" si="111"/>
        <v>0</v>
      </c>
      <c r="L396" s="165">
        <f t="shared" si="111"/>
        <v>0</v>
      </c>
    </row>
    <row r="397" spans="1:12" ht="27.6" x14ac:dyDescent="0.3">
      <c r="A397" s="384" t="str">
        <f t="shared" si="89"/>
        <v>Do Not Print</v>
      </c>
      <c r="B397" s="385" t="s">
        <v>128</v>
      </c>
      <c r="C397" s="384" t="s">
        <v>368</v>
      </c>
      <c r="D397" s="385"/>
      <c r="E397" s="386" t="s">
        <v>712</v>
      </c>
      <c r="F397" s="387">
        <f t="shared" si="107"/>
        <v>0</v>
      </c>
      <c r="G397" s="388">
        <f t="shared" si="108"/>
        <v>0</v>
      </c>
      <c r="H397" s="388">
        <f t="shared" si="109"/>
        <v>0</v>
      </c>
      <c r="I397" s="165"/>
      <c r="J397" s="165">
        <f t="shared" si="110"/>
        <v>0</v>
      </c>
      <c r="K397" s="165">
        <f t="shared" si="111"/>
        <v>0</v>
      </c>
      <c r="L397" s="165">
        <f t="shared" si="111"/>
        <v>0</v>
      </c>
    </row>
    <row r="398" spans="1:12" ht="27.6" x14ac:dyDescent="0.3">
      <c r="A398" s="384" t="str">
        <f t="shared" si="89"/>
        <v>Do Not Print</v>
      </c>
      <c r="B398" s="385" t="s">
        <v>128</v>
      </c>
      <c r="C398" s="384" t="s">
        <v>377</v>
      </c>
      <c r="D398" s="385"/>
      <c r="E398" s="386" t="s">
        <v>712</v>
      </c>
      <c r="F398" s="387">
        <f t="shared" si="107"/>
        <v>0</v>
      </c>
      <c r="G398" s="388">
        <f t="shared" si="108"/>
        <v>0</v>
      </c>
      <c r="H398" s="388">
        <f t="shared" si="109"/>
        <v>0</v>
      </c>
      <c r="I398" s="165"/>
      <c r="J398" s="165">
        <f t="shared" si="110"/>
        <v>0</v>
      </c>
      <c r="K398" s="165">
        <f t="shared" si="111"/>
        <v>0</v>
      </c>
      <c r="L398" s="165">
        <f t="shared" si="111"/>
        <v>0</v>
      </c>
    </row>
    <row r="399" spans="1:12" ht="27.6" x14ac:dyDescent="0.3">
      <c r="A399" s="384" t="str">
        <f t="shared" si="89"/>
        <v>Do Not Print</v>
      </c>
      <c r="B399" s="385" t="s">
        <v>128</v>
      </c>
      <c r="C399" s="384" t="s">
        <v>397</v>
      </c>
      <c r="D399" s="385"/>
      <c r="E399" s="386" t="s">
        <v>712</v>
      </c>
      <c r="F399" s="387">
        <f t="shared" si="107"/>
        <v>0</v>
      </c>
      <c r="G399" s="388">
        <f t="shared" si="108"/>
        <v>0</v>
      </c>
      <c r="H399" s="388">
        <f t="shared" si="109"/>
        <v>0</v>
      </c>
      <c r="I399" s="165"/>
      <c r="J399" s="165">
        <f t="shared" si="110"/>
        <v>0</v>
      </c>
      <c r="K399" s="165">
        <f t="shared" si="111"/>
        <v>0</v>
      </c>
      <c r="L399" s="165">
        <f t="shared" si="111"/>
        <v>0</v>
      </c>
    </row>
    <row r="400" spans="1:12" ht="27.6" x14ac:dyDescent="0.3">
      <c r="A400" s="384" t="str">
        <f t="shared" si="89"/>
        <v>Do Not Print</v>
      </c>
      <c r="B400" s="385" t="s">
        <v>128</v>
      </c>
      <c r="C400" s="384" t="s">
        <v>398</v>
      </c>
      <c r="D400" s="385"/>
      <c r="E400" s="386" t="s">
        <v>712</v>
      </c>
      <c r="F400" s="387">
        <f t="shared" si="107"/>
        <v>0</v>
      </c>
      <c r="G400" s="388">
        <f t="shared" si="108"/>
        <v>0</v>
      </c>
      <c r="H400" s="388">
        <f t="shared" si="109"/>
        <v>0</v>
      </c>
      <c r="I400" s="165"/>
      <c r="J400" s="165">
        <f t="shared" si="110"/>
        <v>0</v>
      </c>
      <c r="K400" s="165">
        <f t="shared" si="111"/>
        <v>0</v>
      </c>
      <c r="L400" s="165">
        <f t="shared" si="111"/>
        <v>0</v>
      </c>
    </row>
    <row r="401" spans="1:12" ht="27.6" x14ac:dyDescent="0.3">
      <c r="A401" s="384" t="str">
        <f t="shared" si="89"/>
        <v>Do Not Print</v>
      </c>
      <c r="B401" s="385" t="s">
        <v>128</v>
      </c>
      <c r="C401" s="384" t="s">
        <v>399</v>
      </c>
      <c r="D401" s="385"/>
      <c r="E401" s="386" t="s">
        <v>712</v>
      </c>
      <c r="F401" s="387">
        <f t="shared" si="107"/>
        <v>0</v>
      </c>
      <c r="G401" s="388">
        <f t="shared" si="108"/>
        <v>0</v>
      </c>
      <c r="H401" s="388">
        <f t="shared" si="109"/>
        <v>0</v>
      </c>
      <c r="I401" s="165"/>
      <c r="J401" s="165">
        <f t="shared" si="110"/>
        <v>0</v>
      </c>
      <c r="K401" s="165">
        <f t="shared" si="111"/>
        <v>0</v>
      </c>
      <c r="L401" s="165">
        <f t="shared" si="111"/>
        <v>0</v>
      </c>
    </row>
    <row r="402" spans="1:12" ht="27.6" x14ac:dyDescent="0.3">
      <c r="A402" s="384" t="str">
        <f>IF(AND(F402=0,G402=0),"Do Not Print","Print")</f>
        <v>Do Not Print</v>
      </c>
      <c r="B402" s="385" t="s">
        <v>128</v>
      </c>
      <c r="C402" s="384" t="s">
        <v>522</v>
      </c>
      <c r="D402" s="385"/>
      <c r="E402" s="386" t="s">
        <v>712</v>
      </c>
      <c r="F402" s="387">
        <f t="shared" si="107"/>
        <v>0</v>
      </c>
      <c r="G402" s="388">
        <f t="shared" si="108"/>
        <v>0</v>
      </c>
      <c r="H402" s="388">
        <f t="shared" si="109"/>
        <v>0</v>
      </c>
      <c r="I402" s="165"/>
      <c r="J402" s="165">
        <f t="shared" ref="J402:L403" si="112">ROUND(F402,0)</f>
        <v>0</v>
      </c>
      <c r="K402" s="165">
        <f t="shared" si="112"/>
        <v>0</v>
      </c>
      <c r="L402" s="165">
        <f t="shared" si="112"/>
        <v>0</v>
      </c>
    </row>
    <row r="403" spans="1:12" ht="27.6" x14ac:dyDescent="0.3">
      <c r="A403" s="384" t="str">
        <f>IF(AND(F403=0,G403=0),"Do Not Print","Print")</f>
        <v>Do Not Print</v>
      </c>
      <c r="B403" s="385" t="s">
        <v>128</v>
      </c>
      <c r="C403" s="384" t="s">
        <v>523</v>
      </c>
      <c r="D403" s="385"/>
      <c r="E403" s="386" t="s">
        <v>712</v>
      </c>
      <c r="F403" s="387">
        <f t="shared" si="107"/>
        <v>0</v>
      </c>
      <c r="G403" s="388">
        <f t="shared" si="108"/>
        <v>0</v>
      </c>
      <c r="H403" s="388">
        <f t="shared" si="109"/>
        <v>0</v>
      </c>
      <c r="I403" s="165"/>
      <c r="J403" s="165">
        <f t="shared" si="112"/>
        <v>0</v>
      </c>
      <c r="K403" s="165">
        <f t="shared" si="112"/>
        <v>0</v>
      </c>
      <c r="L403" s="165">
        <f t="shared" si="112"/>
        <v>0</v>
      </c>
    </row>
    <row r="404" spans="1:12" ht="27.6" x14ac:dyDescent="0.3">
      <c r="A404" s="384" t="str">
        <f t="shared" si="89"/>
        <v>Do Not Print</v>
      </c>
      <c r="B404" s="385" t="s">
        <v>128</v>
      </c>
      <c r="C404" s="384" t="s">
        <v>400</v>
      </c>
      <c r="D404" s="385"/>
      <c r="E404" s="386" t="s">
        <v>712</v>
      </c>
      <c r="F404" s="387">
        <f t="shared" si="107"/>
        <v>0</v>
      </c>
      <c r="G404" s="388">
        <f t="shared" si="108"/>
        <v>0</v>
      </c>
      <c r="H404" s="388">
        <f t="shared" si="109"/>
        <v>0</v>
      </c>
      <c r="I404" s="165"/>
      <c r="J404" s="165">
        <f t="shared" si="110"/>
        <v>0</v>
      </c>
      <c r="K404" s="165">
        <f t="shared" si="111"/>
        <v>0</v>
      </c>
      <c r="L404" s="165">
        <f t="shared" si="111"/>
        <v>0</v>
      </c>
    </row>
    <row r="405" spans="1:12" ht="27.6" x14ac:dyDescent="0.3">
      <c r="A405" s="384" t="str">
        <f t="shared" si="89"/>
        <v>Do Not Print</v>
      </c>
      <c r="B405" s="385" t="s">
        <v>128</v>
      </c>
      <c r="C405" s="384" t="s">
        <v>401</v>
      </c>
      <c r="D405" s="385"/>
      <c r="E405" s="386" t="s">
        <v>712</v>
      </c>
      <c r="F405" s="387">
        <f t="shared" si="107"/>
        <v>0</v>
      </c>
      <c r="G405" s="388">
        <f t="shared" si="108"/>
        <v>0</v>
      </c>
      <c r="H405" s="388">
        <f t="shared" si="109"/>
        <v>0</v>
      </c>
      <c r="I405" s="165"/>
      <c r="J405" s="165">
        <f>ROUND(F405,0)</f>
        <v>0</v>
      </c>
      <c r="K405" s="165">
        <f>ROUND(G405,0)-K410</f>
        <v>0</v>
      </c>
      <c r="L405" s="165">
        <f>ROUND(H405,0)</f>
        <v>0</v>
      </c>
    </row>
    <row r="406" spans="1:12" ht="27.6" x14ac:dyDescent="0.3">
      <c r="A406" s="384" t="str">
        <f t="shared" si="89"/>
        <v>Do Not Print</v>
      </c>
      <c r="B406" s="385" t="s">
        <v>128</v>
      </c>
      <c r="C406" s="384" t="s">
        <v>379</v>
      </c>
      <c r="D406" s="385"/>
      <c r="E406" s="386" t="s">
        <v>712</v>
      </c>
      <c r="F406" s="387">
        <f t="shared" si="107"/>
        <v>0</v>
      </c>
      <c r="G406" s="388">
        <f t="shared" si="108"/>
        <v>0</v>
      </c>
      <c r="H406" s="388">
        <f t="shared" si="109"/>
        <v>0</v>
      </c>
      <c r="I406" s="165"/>
      <c r="J406" s="165">
        <f t="shared" si="110"/>
        <v>0</v>
      </c>
      <c r="K406" s="165">
        <f t="shared" si="111"/>
        <v>0</v>
      </c>
      <c r="L406" s="165">
        <f t="shared" si="111"/>
        <v>0</v>
      </c>
    </row>
    <row r="407" spans="1:12" ht="27.6" x14ac:dyDescent="0.3">
      <c r="A407" s="384" t="str">
        <f t="shared" si="89"/>
        <v>Do Not Print</v>
      </c>
      <c r="B407" s="385" t="s">
        <v>128</v>
      </c>
      <c r="C407" s="1236" t="s">
        <v>2751</v>
      </c>
      <c r="D407" s="385"/>
      <c r="E407" s="386" t="s">
        <v>712</v>
      </c>
      <c r="F407" s="387">
        <f t="shared" si="107"/>
        <v>0</v>
      </c>
      <c r="G407" s="388">
        <f t="shared" si="108"/>
        <v>0</v>
      </c>
      <c r="H407" s="388">
        <f t="shared" si="109"/>
        <v>0</v>
      </c>
      <c r="I407" s="165"/>
      <c r="J407" s="165">
        <f t="shared" ref="J407" si="113">ROUND(F407,0)</f>
        <v>0</v>
      </c>
      <c r="K407" s="165">
        <f t="shared" ref="K407" si="114">ROUND(G407,0)</f>
        <v>0</v>
      </c>
      <c r="L407" s="165">
        <f t="shared" ref="L407" si="115">ROUND(H407,0)</f>
        <v>0</v>
      </c>
    </row>
    <row r="408" spans="1:12" s="33" customFormat="1" ht="28.8" x14ac:dyDescent="0.3">
      <c r="A408" s="32" t="str">
        <f t="shared" si="89"/>
        <v>Do Not Print</v>
      </c>
      <c r="C408" s="32"/>
      <c r="E408" s="244"/>
      <c r="F408" s="722">
        <f>SUM(F394:F407)</f>
        <v>0</v>
      </c>
      <c r="G408" s="722">
        <f t="shared" ref="G408:H408" si="116">SUM(G394:G407)</f>
        <v>0</v>
      </c>
      <c r="H408" s="722">
        <f t="shared" si="116"/>
        <v>0</v>
      </c>
      <c r="I408" s="323"/>
      <c r="J408" s="323">
        <f>SUM(J394:J406)</f>
        <v>0</v>
      </c>
      <c r="K408" s="323">
        <f>SUM(K394:K406)</f>
        <v>0</v>
      </c>
      <c r="L408" s="323">
        <f>SUM(L394:L406)</f>
        <v>0</v>
      </c>
    </row>
    <row r="409" spans="1:12" x14ac:dyDescent="0.3">
      <c r="A409" s="39" t="s">
        <v>448</v>
      </c>
      <c r="F409" s="183"/>
      <c r="G409" s="183"/>
      <c r="H409" s="201"/>
      <c r="I409" s="165"/>
      <c r="J409" s="165"/>
      <c r="K409" s="165"/>
      <c r="L409" s="165"/>
    </row>
    <row r="410" spans="1:12" ht="27.6" x14ac:dyDescent="0.3">
      <c r="A410" s="39" t="str">
        <f>IF(A431="Do Not Print","Do Not Print","Print")</f>
        <v>Do Not Print</v>
      </c>
      <c r="C410" s="45" t="s">
        <v>586</v>
      </c>
      <c r="D410" s="14"/>
      <c r="F410" s="165"/>
      <c r="G410" s="165"/>
      <c r="H410" s="198"/>
      <c r="I410" s="165"/>
      <c r="J410" s="165"/>
      <c r="K410" s="165"/>
      <c r="L410" s="165"/>
    </row>
    <row r="411" spans="1:12" ht="27.6" x14ac:dyDescent="0.3">
      <c r="A411" s="39" t="str">
        <f t="shared" si="89"/>
        <v>Do Not Print</v>
      </c>
      <c r="B411" t="s">
        <v>1828</v>
      </c>
      <c r="C411" s="39" t="s">
        <v>402</v>
      </c>
      <c r="E411" s="242" t="s">
        <v>713</v>
      </c>
      <c r="F411" s="165">
        <f>VLOOKUP($C411,STPVL,5,0)</f>
        <v>0</v>
      </c>
      <c r="G411" s="165">
        <f>VLOOKUP($C411,STPVL,11,0)</f>
        <v>0</v>
      </c>
      <c r="H411" s="198"/>
      <c r="I411" s="165"/>
      <c r="J411" s="165">
        <f t="shared" ref="J411:K426" si="117">ROUND(F411,0)</f>
        <v>0</v>
      </c>
      <c r="K411" s="165">
        <f t="shared" si="117"/>
        <v>0</v>
      </c>
      <c r="L411" s="165"/>
    </row>
    <row r="412" spans="1:12" ht="27.6" x14ac:dyDescent="0.3">
      <c r="A412" s="39" t="str">
        <f t="shared" si="89"/>
        <v>Do Not Print</v>
      </c>
      <c r="B412" t="s">
        <v>1828</v>
      </c>
      <c r="C412" s="18" t="s">
        <v>652</v>
      </c>
      <c r="E412" s="242" t="s">
        <v>713</v>
      </c>
      <c r="F412" s="165">
        <f>VLOOKUP($C412,STPVL,5,0)</f>
        <v>0</v>
      </c>
      <c r="G412" s="165">
        <f>VLOOKUP($C412,STPVL,11,0)</f>
        <v>0</v>
      </c>
      <c r="H412" s="198"/>
      <c r="I412" s="165"/>
      <c r="J412" s="165">
        <f t="shared" si="117"/>
        <v>0</v>
      </c>
      <c r="K412" s="165">
        <f t="shared" si="117"/>
        <v>0</v>
      </c>
      <c r="L412" s="165"/>
    </row>
    <row r="413" spans="1:12" ht="27.6" x14ac:dyDescent="0.3">
      <c r="A413" s="39" t="str">
        <f t="shared" si="89"/>
        <v>Do Not Print</v>
      </c>
      <c r="B413" t="s">
        <v>1828</v>
      </c>
      <c r="C413" s="18" t="s">
        <v>1115</v>
      </c>
      <c r="E413" s="242" t="s">
        <v>713</v>
      </c>
      <c r="F413" s="165">
        <f>VLOOKUP($C413,STPVL,5,0)</f>
        <v>0</v>
      </c>
      <c r="G413" s="165">
        <f>VLOOKUP($C413,STPVL,11,0)</f>
        <v>0</v>
      </c>
      <c r="H413" s="198"/>
      <c r="I413" s="165"/>
      <c r="J413" s="165">
        <f t="shared" si="117"/>
        <v>0</v>
      </c>
      <c r="K413" s="165">
        <f t="shared" si="117"/>
        <v>0</v>
      </c>
      <c r="L413" s="165"/>
    </row>
    <row r="414" spans="1:12" ht="27.6" x14ac:dyDescent="0.3">
      <c r="A414" s="39" t="str">
        <f t="shared" si="89"/>
        <v>Do Not Print</v>
      </c>
      <c r="B414" t="s">
        <v>1828</v>
      </c>
      <c r="C414" s="39" t="s">
        <v>654</v>
      </c>
      <c r="E414" s="242" t="s">
        <v>713</v>
      </c>
      <c r="F414" s="165">
        <f>VLOOKUP($C414,STPVL,5,0)</f>
        <v>0</v>
      </c>
      <c r="G414" s="165">
        <f>VLOOKUP($C414,STPVL,11,0)</f>
        <v>0</v>
      </c>
      <c r="H414" s="198"/>
      <c r="I414" s="165"/>
      <c r="J414" s="165">
        <f t="shared" si="117"/>
        <v>0</v>
      </c>
      <c r="K414" s="165">
        <f t="shared" si="117"/>
        <v>0</v>
      </c>
      <c r="L414" s="165"/>
    </row>
    <row r="415" spans="1:12" ht="27.6" x14ac:dyDescent="0.3">
      <c r="A415" s="39" t="str">
        <f t="shared" si="89"/>
        <v>Do Not Print</v>
      </c>
      <c r="B415" t="s">
        <v>1828</v>
      </c>
      <c r="C415" s="39" t="s">
        <v>655</v>
      </c>
      <c r="E415" s="242" t="s">
        <v>713</v>
      </c>
      <c r="F415" s="165">
        <f>VLOOKUP($C415,STPVL,5,0)</f>
        <v>0</v>
      </c>
      <c r="G415" s="165">
        <f>VLOOKUP($C415,STPVL,11,0)</f>
        <v>0</v>
      </c>
      <c r="H415" s="198"/>
      <c r="I415" s="165"/>
      <c r="J415" s="165">
        <f t="shared" si="117"/>
        <v>0</v>
      </c>
      <c r="K415" s="165">
        <f t="shared" si="117"/>
        <v>0</v>
      </c>
      <c r="L415" s="165"/>
    </row>
    <row r="416" spans="1:12" ht="27.6" x14ac:dyDescent="0.3">
      <c r="A416" s="39" t="str">
        <f t="shared" si="89"/>
        <v>Do Not Print</v>
      </c>
      <c r="B416" t="s">
        <v>1829</v>
      </c>
      <c r="C416" s="39" t="s">
        <v>402</v>
      </c>
      <c r="E416" s="242" t="s">
        <v>713</v>
      </c>
      <c r="F416" s="165">
        <f>VLOOKUP($C416,STPVO1,5,0)</f>
        <v>0</v>
      </c>
      <c r="G416" s="165">
        <f>VLOOKUP($C416,STPVO1,11,0)</f>
        <v>0</v>
      </c>
      <c r="H416" s="198"/>
      <c r="I416" s="165"/>
      <c r="J416" s="165">
        <f t="shared" si="117"/>
        <v>0</v>
      </c>
      <c r="K416" s="165">
        <f t="shared" si="117"/>
        <v>0</v>
      </c>
      <c r="L416" s="165"/>
    </row>
    <row r="417" spans="1:12" ht="27.6" x14ac:dyDescent="0.3">
      <c r="A417" s="39" t="str">
        <f t="shared" si="89"/>
        <v>Do Not Print</v>
      </c>
      <c r="B417" t="s">
        <v>1829</v>
      </c>
      <c r="C417" s="18" t="s">
        <v>652</v>
      </c>
      <c r="E417" s="242" t="s">
        <v>713</v>
      </c>
      <c r="F417" s="165">
        <f>VLOOKUP($C417,STPVO1,5,0)</f>
        <v>0</v>
      </c>
      <c r="G417" s="165">
        <f>VLOOKUP($C417,STPVO1,11,0)</f>
        <v>0</v>
      </c>
      <c r="H417" s="198"/>
      <c r="I417" s="165"/>
      <c r="J417" s="165">
        <f t="shared" si="117"/>
        <v>0</v>
      </c>
      <c r="K417" s="165">
        <f t="shared" si="117"/>
        <v>0</v>
      </c>
      <c r="L417" s="165"/>
    </row>
    <row r="418" spans="1:12" ht="27.6" x14ac:dyDescent="0.3">
      <c r="A418" s="39" t="str">
        <f t="shared" si="89"/>
        <v>Do Not Print</v>
      </c>
      <c r="B418" t="s">
        <v>1829</v>
      </c>
      <c r="C418" s="18" t="s">
        <v>1115</v>
      </c>
      <c r="E418" s="242" t="s">
        <v>713</v>
      </c>
      <c r="F418" s="165">
        <f>VLOOKUP($C418,STPVO1,5,0)</f>
        <v>0</v>
      </c>
      <c r="G418" s="165">
        <f>VLOOKUP($C418,STPVO1,11,0)</f>
        <v>0</v>
      </c>
      <c r="H418" s="198"/>
      <c r="I418" s="165"/>
      <c r="J418" s="165">
        <f t="shared" si="117"/>
        <v>0</v>
      </c>
      <c r="K418" s="165">
        <f t="shared" si="117"/>
        <v>0</v>
      </c>
      <c r="L418" s="165"/>
    </row>
    <row r="419" spans="1:12" ht="27.6" x14ac:dyDescent="0.3">
      <c r="A419" s="39" t="str">
        <f t="shared" si="89"/>
        <v>Do Not Print</v>
      </c>
      <c r="B419" t="s">
        <v>1829</v>
      </c>
      <c r="C419" s="39" t="s">
        <v>654</v>
      </c>
      <c r="E419" s="242" t="s">
        <v>713</v>
      </c>
      <c r="F419" s="165">
        <f>VLOOKUP($C419,STPVO1,5,0)</f>
        <v>0</v>
      </c>
      <c r="G419" s="165">
        <f>VLOOKUP($C419,STPVO1,11,0)</f>
        <v>0</v>
      </c>
      <c r="H419" s="198"/>
      <c r="I419" s="165"/>
      <c r="J419" s="165">
        <f t="shared" si="117"/>
        <v>0</v>
      </c>
      <c r="K419" s="165">
        <f t="shared" si="117"/>
        <v>0</v>
      </c>
      <c r="L419" s="165"/>
    </row>
    <row r="420" spans="1:12" ht="27.6" x14ac:dyDescent="0.3">
      <c r="A420" s="39" t="str">
        <f t="shared" si="89"/>
        <v>Do Not Print</v>
      </c>
      <c r="B420" t="s">
        <v>1829</v>
      </c>
      <c r="C420" s="39" t="s">
        <v>655</v>
      </c>
      <c r="E420" s="242" t="s">
        <v>713</v>
      </c>
      <c r="F420" s="165">
        <f>VLOOKUP($C420,STPVO1,5,0)</f>
        <v>0</v>
      </c>
      <c r="G420" s="165">
        <f>VLOOKUP($C420,STPVO1,11,0)</f>
        <v>0</v>
      </c>
      <c r="H420" s="198"/>
      <c r="I420" s="165"/>
      <c r="J420" s="165">
        <f t="shared" si="117"/>
        <v>0</v>
      </c>
      <c r="K420" s="165">
        <f t="shared" si="117"/>
        <v>0</v>
      </c>
      <c r="L420" s="165"/>
    </row>
    <row r="421" spans="1:12" ht="27.6" x14ac:dyDescent="0.3">
      <c r="A421" s="39" t="str">
        <f t="shared" si="89"/>
        <v>Do Not Print</v>
      </c>
      <c r="B421" t="s">
        <v>1830</v>
      </c>
      <c r="C421" s="39" t="s">
        <v>402</v>
      </c>
      <c r="E421" s="242" t="s">
        <v>713</v>
      </c>
      <c r="F421" s="165">
        <f>VLOOKUP($C421,STPVO2,5,0)</f>
        <v>0</v>
      </c>
      <c r="G421" s="165">
        <f>VLOOKUP($C421,STPVO2,11,0)</f>
        <v>0</v>
      </c>
      <c r="H421" s="198"/>
      <c r="I421" s="165"/>
      <c r="J421" s="165">
        <f t="shared" si="117"/>
        <v>0</v>
      </c>
      <c r="K421" s="165">
        <f t="shared" si="117"/>
        <v>0</v>
      </c>
      <c r="L421" s="165"/>
    </row>
    <row r="422" spans="1:12" ht="27.6" x14ac:dyDescent="0.3">
      <c r="A422" s="39" t="str">
        <f t="shared" si="89"/>
        <v>Do Not Print</v>
      </c>
      <c r="B422" t="s">
        <v>1830</v>
      </c>
      <c r="C422" s="18" t="s">
        <v>652</v>
      </c>
      <c r="E422" s="242" t="s">
        <v>713</v>
      </c>
      <c r="F422" s="165">
        <f>VLOOKUP($C422,STPVO2,5,0)</f>
        <v>0</v>
      </c>
      <c r="G422" s="165">
        <f>VLOOKUP($C422,STPVO2,11,0)</f>
        <v>0</v>
      </c>
      <c r="H422" s="198"/>
      <c r="I422" s="165"/>
      <c r="J422" s="165">
        <f t="shared" si="117"/>
        <v>0</v>
      </c>
      <c r="K422" s="165">
        <f t="shared" si="117"/>
        <v>0</v>
      </c>
      <c r="L422" s="165"/>
    </row>
    <row r="423" spans="1:12" ht="27.6" x14ac:dyDescent="0.3">
      <c r="A423" s="39" t="str">
        <f t="shared" si="89"/>
        <v>Do Not Print</v>
      </c>
      <c r="B423" t="s">
        <v>1830</v>
      </c>
      <c r="C423" s="18" t="s">
        <v>1115</v>
      </c>
      <c r="E423" s="242" t="s">
        <v>713</v>
      </c>
      <c r="F423" s="165">
        <f>VLOOKUP($C423,STPVO2,5,0)</f>
        <v>0</v>
      </c>
      <c r="G423" s="165">
        <f>VLOOKUP($C423,STPVO2,11,0)</f>
        <v>0</v>
      </c>
      <c r="H423" s="198"/>
      <c r="I423" s="165"/>
      <c r="J423" s="165">
        <f t="shared" si="117"/>
        <v>0</v>
      </c>
      <c r="K423" s="165">
        <f t="shared" si="117"/>
        <v>0</v>
      </c>
      <c r="L423" s="165"/>
    </row>
    <row r="424" spans="1:12" ht="27.6" x14ac:dyDescent="0.3">
      <c r="A424" s="39" t="str">
        <f t="shared" si="89"/>
        <v>Do Not Print</v>
      </c>
      <c r="B424" t="s">
        <v>1830</v>
      </c>
      <c r="C424" s="39" t="s">
        <v>654</v>
      </c>
      <c r="E424" s="242" t="s">
        <v>713</v>
      </c>
      <c r="F424" s="165">
        <f>VLOOKUP($C424,STPVO2,5,0)</f>
        <v>0</v>
      </c>
      <c r="G424" s="165">
        <f>VLOOKUP($C424,STPVO2,11,0)</f>
        <v>0</v>
      </c>
      <c r="H424" s="198"/>
      <c r="I424" s="165"/>
      <c r="J424" s="165">
        <f t="shared" si="117"/>
        <v>0</v>
      </c>
      <c r="K424" s="165">
        <f t="shared" si="117"/>
        <v>0</v>
      </c>
      <c r="L424" s="165"/>
    </row>
    <row r="425" spans="1:12" ht="27.6" x14ac:dyDescent="0.3">
      <c r="A425" s="39" t="str">
        <f t="shared" si="89"/>
        <v>Do Not Print</v>
      </c>
      <c r="B425" t="s">
        <v>1830</v>
      </c>
      <c r="C425" s="39" t="s">
        <v>655</v>
      </c>
      <c r="E425" s="242" t="s">
        <v>713</v>
      </c>
      <c r="F425" s="165">
        <f>VLOOKUP($C425,STPVO2,5,0)</f>
        <v>0</v>
      </c>
      <c r="G425" s="165">
        <f>VLOOKUP($C425,STPVO2,11,0)</f>
        <v>0</v>
      </c>
      <c r="H425" s="198"/>
      <c r="I425" s="165"/>
      <c r="J425" s="165">
        <f t="shared" si="117"/>
        <v>0</v>
      </c>
      <c r="K425" s="165">
        <f t="shared" si="117"/>
        <v>0</v>
      </c>
      <c r="L425" s="165"/>
    </row>
    <row r="426" spans="1:12" ht="27.6" x14ac:dyDescent="0.3">
      <c r="A426" s="39" t="str">
        <f t="shared" si="89"/>
        <v>Do Not Print</v>
      </c>
      <c r="B426" t="s">
        <v>1831</v>
      </c>
      <c r="C426" s="39" t="s">
        <v>402</v>
      </c>
      <c r="E426" s="242" t="s">
        <v>713</v>
      </c>
      <c r="F426" s="165">
        <f>VLOOKUP($C426,STPVO3,5,0)</f>
        <v>0</v>
      </c>
      <c r="G426" s="165">
        <f>VLOOKUP($C426,STPVO3,11,0)</f>
        <v>0</v>
      </c>
      <c r="H426" s="198"/>
      <c r="I426" s="165"/>
      <c r="J426" s="165">
        <f t="shared" si="117"/>
        <v>0</v>
      </c>
      <c r="K426" s="165">
        <f t="shared" si="117"/>
        <v>0</v>
      </c>
      <c r="L426" s="165"/>
    </row>
    <row r="427" spans="1:12" ht="27.6" x14ac:dyDescent="0.3">
      <c r="A427" s="39" t="str">
        <f t="shared" si="89"/>
        <v>Do Not Print</v>
      </c>
      <c r="B427" t="s">
        <v>1831</v>
      </c>
      <c r="C427" s="18" t="s">
        <v>652</v>
      </c>
      <c r="E427" s="242" t="s">
        <v>713</v>
      </c>
      <c r="F427" s="165">
        <f>VLOOKUP($C427,STPVO3,5,0)</f>
        <v>0</v>
      </c>
      <c r="G427" s="165">
        <f>VLOOKUP($C427,STPVO3,11,0)</f>
        <v>0</v>
      </c>
      <c r="H427" s="198"/>
      <c r="I427" s="165"/>
      <c r="J427" s="165">
        <f t="shared" ref="J427:K429" si="118">ROUND(F427,0)</f>
        <v>0</v>
      </c>
      <c r="K427" s="165">
        <f t="shared" si="118"/>
        <v>0</v>
      </c>
      <c r="L427" s="165"/>
    </row>
    <row r="428" spans="1:12" ht="27.6" x14ac:dyDescent="0.3">
      <c r="A428" s="39" t="str">
        <f t="shared" si="89"/>
        <v>Do Not Print</v>
      </c>
      <c r="B428" t="s">
        <v>1831</v>
      </c>
      <c r="C428" s="18" t="s">
        <v>1115</v>
      </c>
      <c r="E428" s="242" t="s">
        <v>713</v>
      </c>
      <c r="F428" s="165">
        <f>VLOOKUP($C428,STPVO3,5,0)</f>
        <v>0</v>
      </c>
      <c r="G428" s="165">
        <f>VLOOKUP($C428,STPVO3,11,0)</f>
        <v>0</v>
      </c>
      <c r="H428" s="198"/>
      <c r="I428" s="165"/>
      <c r="J428" s="165">
        <f t="shared" si="118"/>
        <v>0</v>
      </c>
      <c r="K428" s="165">
        <f t="shared" si="118"/>
        <v>0</v>
      </c>
      <c r="L428" s="165"/>
    </row>
    <row r="429" spans="1:12" ht="27.6" x14ac:dyDescent="0.3">
      <c r="A429" s="39" t="str">
        <f t="shared" si="89"/>
        <v>Do Not Print</v>
      </c>
      <c r="B429" t="s">
        <v>1831</v>
      </c>
      <c r="C429" s="39" t="s">
        <v>654</v>
      </c>
      <c r="E429" s="242" t="s">
        <v>713</v>
      </c>
      <c r="F429" s="165">
        <f>VLOOKUP($C429,STPVO3,5,0)</f>
        <v>0</v>
      </c>
      <c r="G429" s="165">
        <f>VLOOKUP($C429,STPVO3,11,0)</f>
        <v>0</v>
      </c>
      <c r="H429" s="198"/>
      <c r="I429" s="165"/>
      <c r="J429" s="165">
        <f t="shared" si="118"/>
        <v>0</v>
      </c>
      <c r="K429" s="165">
        <f t="shared" si="118"/>
        <v>0</v>
      </c>
      <c r="L429" s="165"/>
    </row>
    <row r="430" spans="1:12" ht="27.6" x14ac:dyDescent="0.3">
      <c r="A430" s="39" t="str">
        <f t="shared" si="89"/>
        <v>Do Not Print</v>
      </c>
      <c r="B430" t="s">
        <v>1831</v>
      </c>
      <c r="C430" s="39" t="s">
        <v>655</v>
      </c>
      <c r="E430" s="242" t="s">
        <v>713</v>
      </c>
      <c r="F430" s="165">
        <f>VLOOKUP($C430,STPVO3,5,0)</f>
        <v>0</v>
      </c>
      <c r="G430" s="165">
        <f>VLOOKUP($C430,STPVO3,11,0)</f>
        <v>0</v>
      </c>
      <c r="H430" s="198"/>
      <c r="I430" s="165"/>
      <c r="J430" s="165">
        <f>ROUND(F430,0)</f>
        <v>0</v>
      </c>
      <c r="K430" s="165">
        <f>ROUND(G430,0)</f>
        <v>0</v>
      </c>
      <c r="L430" s="165"/>
    </row>
    <row r="431" spans="1:12" ht="27.6" x14ac:dyDescent="0.3">
      <c r="A431" s="39" t="str">
        <f t="shared" si="89"/>
        <v>Do Not Print</v>
      </c>
      <c r="F431" s="183">
        <f>F411+F412-F413-F414+F415+F416+F417-F418-F419+F420+F421+F422-F423-F424+F425+F426+F427-F428-F429+F430</f>
        <v>0</v>
      </c>
      <c r="G431" s="183">
        <f>G411+G412-G413-G414+G415+G416+G417-G418-G419+G420+G421+G422-G423-G424+G425+G426+G427-G428-G429+G430</f>
        <v>0</v>
      </c>
      <c r="H431" s="201"/>
      <c r="I431" s="165"/>
      <c r="J431" s="165">
        <f>ROUND(F431,0)</f>
        <v>0</v>
      </c>
      <c r="K431" s="165">
        <f>ROUND(G431,0)</f>
        <v>0</v>
      </c>
      <c r="L431" s="165"/>
    </row>
    <row r="432" spans="1:12" ht="27.6" x14ac:dyDescent="0.3">
      <c r="A432" s="39" t="str">
        <f t="shared" si="89"/>
        <v>Do Not Print</v>
      </c>
      <c r="F432" s="183"/>
      <c r="G432" s="183"/>
      <c r="H432" s="201"/>
      <c r="I432" s="165"/>
      <c r="J432" s="165"/>
      <c r="K432" s="165"/>
      <c r="L432" s="165"/>
    </row>
    <row r="433" spans="1:12" ht="27.6" x14ac:dyDescent="0.3">
      <c r="A433" s="39" t="str">
        <f t="shared" si="89"/>
        <v>Do Not Print</v>
      </c>
      <c r="B433" t="s">
        <v>2757</v>
      </c>
      <c r="C433" s="39" t="s">
        <v>2364</v>
      </c>
      <c r="F433" s="183">
        <f>VLOOKUP($C433,STCL,5,0)</f>
        <v>0</v>
      </c>
      <c r="G433" s="183">
        <f>VLOOKUP($C433,STCL,11,0)</f>
        <v>0</v>
      </c>
      <c r="H433" s="201"/>
      <c r="I433" s="165"/>
      <c r="J433" s="165">
        <f>ROUND(F433,0)</f>
        <v>0</v>
      </c>
      <c r="K433" s="165">
        <f>ROUND(G433,0)</f>
        <v>0</v>
      </c>
      <c r="L433" s="165"/>
    </row>
    <row r="434" spans="1:12" ht="27.6" x14ac:dyDescent="0.3">
      <c r="A434" s="39" t="str">
        <f t="shared" si="89"/>
        <v>Do Not Print</v>
      </c>
      <c r="F434" s="183">
        <f>F433</f>
        <v>0</v>
      </c>
      <c r="G434" s="183">
        <f>G433</f>
        <v>0</v>
      </c>
      <c r="H434" s="201"/>
      <c r="I434" s="165"/>
      <c r="J434" s="165">
        <f>J433</f>
        <v>0</v>
      </c>
      <c r="K434" s="165">
        <f>K433</f>
        <v>0</v>
      </c>
      <c r="L434" s="165"/>
    </row>
    <row r="435" spans="1:12" ht="27.6" x14ac:dyDescent="0.3">
      <c r="A435" s="39" t="str">
        <f t="shared" si="89"/>
        <v>Do Not Print</v>
      </c>
      <c r="F435" s="165"/>
      <c r="G435" s="165"/>
      <c r="H435" s="198"/>
      <c r="I435" s="165"/>
      <c r="J435" s="165"/>
      <c r="K435" s="165"/>
      <c r="L435" s="165"/>
    </row>
    <row r="436" spans="1:12" ht="27.6" x14ac:dyDescent="0.3">
      <c r="A436" s="39" t="str">
        <f t="shared" si="89"/>
        <v>Do Not Print</v>
      </c>
      <c r="C436" s="45" t="s">
        <v>385</v>
      </c>
      <c r="D436" s="14"/>
      <c r="F436" s="197">
        <f>F391+F408+F431+F434</f>
        <v>0</v>
      </c>
      <c r="G436" s="197">
        <f>G391+G408+G431+G434</f>
        <v>0</v>
      </c>
      <c r="H436" s="202"/>
      <c r="I436" s="165"/>
      <c r="J436" s="165">
        <f>J391+J408+J431+J434</f>
        <v>0</v>
      </c>
      <c r="K436" s="165">
        <f>K391+K408+K431+K434</f>
        <v>0</v>
      </c>
      <c r="L436" s="165"/>
    </row>
    <row r="437" spans="1:12" ht="27.6" x14ac:dyDescent="0.3">
      <c r="A437" s="39" t="str">
        <f t="shared" si="89"/>
        <v>Do Not Print</v>
      </c>
      <c r="C437" s="45"/>
      <c r="D437" s="14"/>
      <c r="F437" s="197"/>
      <c r="G437" s="197"/>
      <c r="H437" s="202"/>
      <c r="I437" s="165"/>
      <c r="J437" s="165"/>
      <c r="K437" s="165"/>
      <c r="L437" s="165"/>
    </row>
    <row r="438" spans="1:12" ht="14.4" x14ac:dyDescent="0.3">
      <c r="A438" s="39" t="s">
        <v>448</v>
      </c>
      <c r="C438" s="45" t="s">
        <v>390</v>
      </c>
      <c r="D438" s="14"/>
      <c r="F438" s="165"/>
      <c r="G438" s="165"/>
      <c r="H438" s="198"/>
      <c r="I438" s="165"/>
      <c r="J438" s="165"/>
      <c r="K438" s="165"/>
      <c r="L438" s="165"/>
    </row>
    <row r="439" spans="1:12" ht="27.6" x14ac:dyDescent="0.3">
      <c r="A439" s="39" t="str">
        <f t="shared" si="89"/>
        <v>Do Not Print</v>
      </c>
      <c r="B439" t="s">
        <v>127</v>
      </c>
      <c r="C439" s="39" t="s">
        <v>391</v>
      </c>
      <c r="E439" s="242" t="s">
        <v>711</v>
      </c>
      <c r="F439" s="165">
        <f>VLOOKUP($C439,LTLN,5,0)</f>
        <v>0</v>
      </c>
      <c r="G439" s="165">
        <f>VLOOKUP($C439,LTLN,11,0)</f>
        <v>0</v>
      </c>
      <c r="H439" s="198"/>
      <c r="I439" s="165"/>
      <c r="J439" s="165">
        <f t="shared" ref="J439:K441" si="119">ROUND(F439,0)</f>
        <v>0</v>
      </c>
      <c r="K439" s="165">
        <f t="shared" si="119"/>
        <v>0</v>
      </c>
      <c r="L439" s="165"/>
    </row>
    <row r="440" spans="1:12" ht="27.6" x14ac:dyDescent="0.3">
      <c r="A440" s="39" t="str">
        <f t="shared" ref="A440:A511" si="120">IF(AND(F440=0,G440=0),"Do Not Print","Print")</f>
        <v>Do Not Print</v>
      </c>
      <c r="B440" t="s">
        <v>127</v>
      </c>
      <c r="C440" s="39" t="s">
        <v>392</v>
      </c>
      <c r="E440" s="242" t="s">
        <v>711</v>
      </c>
      <c r="F440" s="165">
        <f>VLOOKUP($C440,LTLN,5,0)</f>
        <v>0</v>
      </c>
      <c r="G440" s="165">
        <f>VLOOKUP($C440,LTLN,11,0)</f>
        <v>0</v>
      </c>
      <c r="H440" s="198"/>
      <c r="I440" s="165"/>
      <c r="J440" s="165">
        <f t="shared" si="119"/>
        <v>0</v>
      </c>
      <c r="K440" s="165">
        <f t="shared" si="119"/>
        <v>0</v>
      </c>
      <c r="L440" s="165"/>
    </row>
    <row r="441" spans="1:12" ht="27.6" x14ac:dyDescent="0.3">
      <c r="A441" s="39" t="str">
        <f t="shared" si="120"/>
        <v>Do Not Print</v>
      </c>
      <c r="B441" t="s">
        <v>127</v>
      </c>
      <c r="C441" s="39" t="s">
        <v>393</v>
      </c>
      <c r="E441" s="242" t="s">
        <v>711</v>
      </c>
      <c r="F441" s="165">
        <f>VLOOKUP($C441,LTLN,5,0)</f>
        <v>0</v>
      </c>
      <c r="G441" s="165">
        <f>VLOOKUP($C441,LTLN,11,0)</f>
        <v>0</v>
      </c>
      <c r="H441" s="198"/>
      <c r="I441" s="165"/>
      <c r="J441" s="165">
        <f t="shared" si="119"/>
        <v>0</v>
      </c>
      <c r="K441" s="165">
        <f t="shared" si="119"/>
        <v>0</v>
      </c>
      <c r="L441" s="165"/>
    </row>
    <row r="442" spans="1:12" ht="27.6" x14ac:dyDescent="0.3">
      <c r="A442" s="39" t="str">
        <f t="shared" si="120"/>
        <v>Do Not Print</v>
      </c>
      <c r="B442" t="s">
        <v>127</v>
      </c>
      <c r="C442" s="39" t="s">
        <v>394</v>
      </c>
      <c r="E442" s="242" t="s">
        <v>711</v>
      </c>
      <c r="F442" s="165">
        <f>VLOOKUP($C442,LTLN,5,0)</f>
        <v>0</v>
      </c>
      <c r="G442" s="165">
        <f>VLOOKUP($C442,LTLN,11,0)</f>
        <v>0</v>
      </c>
      <c r="H442" s="198"/>
      <c r="I442" s="165"/>
      <c r="J442" s="165">
        <f>ROUND(F442,0)</f>
        <v>0</v>
      </c>
      <c r="K442" s="165">
        <f>ROUND(G442,0)</f>
        <v>0</v>
      </c>
      <c r="L442" s="165"/>
    </row>
    <row r="443" spans="1:12" x14ac:dyDescent="0.3">
      <c r="A443" s="39" t="s">
        <v>448</v>
      </c>
      <c r="F443" s="165"/>
      <c r="G443" s="165"/>
      <c r="H443" s="198"/>
      <c r="I443" s="165"/>
      <c r="J443" s="165"/>
      <c r="K443" s="165"/>
      <c r="L443" s="165"/>
    </row>
    <row r="444" spans="1:12" ht="27.6" x14ac:dyDescent="0.3">
      <c r="A444" s="39" t="str">
        <f t="shared" si="120"/>
        <v>Do Not Print</v>
      </c>
      <c r="F444" s="183">
        <f>SUM(F439:F443)</f>
        <v>0</v>
      </c>
      <c r="G444" s="183">
        <f>SUM(G439:G443)</f>
        <v>0</v>
      </c>
      <c r="H444" s="201"/>
      <c r="I444" s="165"/>
      <c r="J444" s="165">
        <f>SUM(J439:J443)</f>
        <v>0</v>
      </c>
      <c r="K444" s="165">
        <f>SUM(K439:K443)</f>
        <v>0</v>
      </c>
      <c r="L444" s="165"/>
    </row>
    <row r="445" spans="1:12" x14ac:dyDescent="0.3">
      <c r="A445" s="39" t="s">
        <v>448</v>
      </c>
      <c r="F445" s="165"/>
      <c r="G445" s="165"/>
      <c r="H445" s="198"/>
      <c r="I445" s="165"/>
      <c r="J445" s="165"/>
      <c r="K445" s="165"/>
      <c r="L445" s="165"/>
    </row>
    <row r="446" spans="1:12" ht="27.6" x14ac:dyDescent="0.3">
      <c r="A446" s="39" t="str">
        <f>IF(A458="Do Not Print","Do Not Print","Print")</f>
        <v>Do Not Print</v>
      </c>
      <c r="C446" s="45" t="s">
        <v>403</v>
      </c>
      <c r="D446" s="14"/>
      <c r="F446" s="165"/>
      <c r="G446" s="165"/>
      <c r="H446" s="198"/>
      <c r="I446" s="165"/>
      <c r="J446" s="165"/>
      <c r="K446" s="165"/>
      <c r="L446" s="165"/>
    </row>
    <row r="447" spans="1:12" ht="27.6" x14ac:dyDescent="0.3">
      <c r="A447" s="39" t="str">
        <f t="shared" si="120"/>
        <v>Do Not Print</v>
      </c>
      <c r="B447" t="s">
        <v>129</v>
      </c>
      <c r="C447" s="39" t="s">
        <v>365</v>
      </c>
      <c r="E447" s="242" t="s">
        <v>712</v>
      </c>
      <c r="F447" s="165">
        <f t="shared" ref="F447:F457" si="121">VLOOKUP($C447,LTCRS,5,0)</f>
        <v>0</v>
      </c>
      <c r="G447" s="165">
        <f t="shared" ref="G447:G457" si="122">VLOOKUP($C447,LTCRS,11,0)</f>
        <v>0</v>
      </c>
      <c r="H447" s="185">
        <f t="shared" ref="H447:H457" si="123">VLOOKUP($C447,LTCRS,17,0)</f>
        <v>0</v>
      </c>
      <c r="I447" s="165"/>
      <c r="J447" s="165">
        <f t="shared" ref="J447:J456" si="124">ROUND(F447,0)</f>
        <v>0</v>
      </c>
      <c r="K447" s="165">
        <f t="shared" ref="K447:L456" si="125">ROUND(G447,0)</f>
        <v>0</v>
      </c>
      <c r="L447" s="165">
        <f t="shared" si="125"/>
        <v>0</v>
      </c>
    </row>
    <row r="448" spans="1:12" ht="27.6" x14ac:dyDescent="0.3">
      <c r="A448" s="39" t="str">
        <f t="shared" si="120"/>
        <v>Do Not Print</v>
      </c>
      <c r="B448" t="s">
        <v>129</v>
      </c>
      <c r="C448" s="39" t="s">
        <v>396</v>
      </c>
      <c r="E448" s="242" t="s">
        <v>712</v>
      </c>
      <c r="F448" s="165">
        <f t="shared" si="121"/>
        <v>0</v>
      </c>
      <c r="G448" s="165">
        <f t="shared" si="122"/>
        <v>0</v>
      </c>
      <c r="H448" s="185">
        <f t="shared" si="123"/>
        <v>0</v>
      </c>
      <c r="I448" s="165"/>
      <c r="J448" s="165">
        <f t="shared" si="124"/>
        <v>0</v>
      </c>
      <c r="K448" s="165">
        <f t="shared" si="125"/>
        <v>0</v>
      </c>
      <c r="L448" s="165">
        <f t="shared" si="125"/>
        <v>0</v>
      </c>
    </row>
    <row r="449" spans="1:12" ht="27.6" x14ac:dyDescent="0.3">
      <c r="A449" s="39" t="str">
        <f t="shared" si="120"/>
        <v>Do Not Print</v>
      </c>
      <c r="B449" t="s">
        <v>129</v>
      </c>
      <c r="C449" s="39" t="s">
        <v>367</v>
      </c>
      <c r="E449" s="242" t="s">
        <v>712</v>
      </c>
      <c r="F449" s="165">
        <f t="shared" si="121"/>
        <v>0</v>
      </c>
      <c r="G449" s="165">
        <f t="shared" si="122"/>
        <v>0</v>
      </c>
      <c r="H449" s="185">
        <f t="shared" si="123"/>
        <v>0</v>
      </c>
      <c r="I449" s="165"/>
      <c r="J449" s="165">
        <f t="shared" si="124"/>
        <v>0</v>
      </c>
      <c r="K449" s="165">
        <f t="shared" si="125"/>
        <v>0</v>
      </c>
      <c r="L449" s="165">
        <f t="shared" si="125"/>
        <v>0</v>
      </c>
    </row>
    <row r="450" spans="1:12" ht="27.6" x14ac:dyDescent="0.3">
      <c r="A450" s="39" t="str">
        <f t="shared" si="120"/>
        <v>Do Not Print</v>
      </c>
      <c r="B450" t="s">
        <v>129</v>
      </c>
      <c r="C450" s="39" t="s">
        <v>368</v>
      </c>
      <c r="E450" s="242" t="s">
        <v>712</v>
      </c>
      <c r="F450" s="165">
        <f t="shared" si="121"/>
        <v>0</v>
      </c>
      <c r="G450" s="165">
        <f t="shared" si="122"/>
        <v>0</v>
      </c>
      <c r="H450" s="185">
        <f t="shared" si="123"/>
        <v>0</v>
      </c>
      <c r="I450" s="165"/>
      <c r="J450" s="165">
        <f t="shared" si="124"/>
        <v>0</v>
      </c>
      <c r="K450" s="165">
        <f t="shared" si="125"/>
        <v>0</v>
      </c>
      <c r="L450" s="165">
        <f t="shared" si="125"/>
        <v>0</v>
      </c>
    </row>
    <row r="451" spans="1:12" ht="27.6" x14ac:dyDescent="0.3">
      <c r="A451" s="39" t="str">
        <f t="shared" si="120"/>
        <v>Do Not Print</v>
      </c>
      <c r="B451" t="s">
        <v>129</v>
      </c>
      <c r="C451" s="39" t="s">
        <v>397</v>
      </c>
      <c r="E451" s="242" t="s">
        <v>712</v>
      </c>
      <c r="F451" s="165">
        <f t="shared" si="121"/>
        <v>0</v>
      </c>
      <c r="G451" s="165">
        <f t="shared" si="122"/>
        <v>0</v>
      </c>
      <c r="H451" s="185">
        <f t="shared" si="123"/>
        <v>0</v>
      </c>
      <c r="I451" s="165"/>
      <c r="J451" s="165">
        <f t="shared" si="124"/>
        <v>0</v>
      </c>
      <c r="K451" s="165">
        <f t="shared" si="125"/>
        <v>0</v>
      </c>
      <c r="L451" s="165">
        <f t="shared" si="125"/>
        <v>0</v>
      </c>
    </row>
    <row r="452" spans="1:12" ht="27.6" x14ac:dyDescent="0.3">
      <c r="A452" s="39" t="str">
        <f t="shared" si="120"/>
        <v>Do Not Print</v>
      </c>
      <c r="B452" t="s">
        <v>129</v>
      </c>
      <c r="C452" s="39" t="s">
        <v>398</v>
      </c>
      <c r="E452" s="242" t="s">
        <v>712</v>
      </c>
      <c r="F452" s="165">
        <f t="shared" si="121"/>
        <v>0</v>
      </c>
      <c r="G452" s="165">
        <f t="shared" si="122"/>
        <v>0</v>
      </c>
      <c r="H452" s="185">
        <f t="shared" si="123"/>
        <v>0</v>
      </c>
      <c r="I452" s="165"/>
      <c r="J452" s="165">
        <f t="shared" si="124"/>
        <v>0</v>
      </c>
      <c r="K452" s="165">
        <f t="shared" si="125"/>
        <v>0</v>
      </c>
      <c r="L452" s="165">
        <f t="shared" si="125"/>
        <v>0</v>
      </c>
    </row>
    <row r="453" spans="1:12" ht="27.6" x14ac:dyDescent="0.3">
      <c r="A453" s="39" t="str">
        <f t="shared" si="120"/>
        <v>Do Not Print</v>
      </c>
      <c r="B453" t="s">
        <v>129</v>
      </c>
      <c r="C453" s="39" t="s">
        <v>399</v>
      </c>
      <c r="E453" s="242" t="s">
        <v>712</v>
      </c>
      <c r="F453" s="165">
        <f t="shared" si="121"/>
        <v>0</v>
      </c>
      <c r="G453" s="165">
        <f t="shared" si="122"/>
        <v>0</v>
      </c>
      <c r="H453" s="185">
        <f t="shared" si="123"/>
        <v>0</v>
      </c>
      <c r="I453" s="165"/>
      <c r="J453" s="165">
        <f t="shared" si="124"/>
        <v>0</v>
      </c>
      <c r="K453" s="165">
        <f t="shared" si="125"/>
        <v>0</v>
      </c>
      <c r="L453" s="165">
        <f t="shared" si="125"/>
        <v>0</v>
      </c>
    </row>
    <row r="454" spans="1:12" ht="27.6" x14ac:dyDescent="0.3">
      <c r="A454" s="39" t="str">
        <f t="shared" si="120"/>
        <v>Do Not Print</v>
      </c>
      <c r="B454" t="s">
        <v>129</v>
      </c>
      <c r="C454" s="39" t="s">
        <v>400</v>
      </c>
      <c r="E454" s="242" t="s">
        <v>712</v>
      </c>
      <c r="F454" s="165">
        <f t="shared" si="121"/>
        <v>0</v>
      </c>
      <c r="G454" s="165">
        <f t="shared" si="122"/>
        <v>0</v>
      </c>
      <c r="H454" s="185">
        <f t="shared" si="123"/>
        <v>0</v>
      </c>
      <c r="I454" s="165"/>
      <c r="J454" s="165">
        <f t="shared" si="124"/>
        <v>0</v>
      </c>
      <c r="K454" s="165">
        <f t="shared" si="125"/>
        <v>0</v>
      </c>
      <c r="L454" s="165">
        <f t="shared" si="125"/>
        <v>0</v>
      </c>
    </row>
    <row r="455" spans="1:12" ht="27.6" x14ac:dyDescent="0.3">
      <c r="A455" s="39" t="str">
        <f t="shared" si="120"/>
        <v>Do Not Print</v>
      </c>
      <c r="B455" t="s">
        <v>129</v>
      </c>
      <c r="C455" s="39" t="s">
        <v>401</v>
      </c>
      <c r="E455" s="242" t="s">
        <v>712</v>
      </c>
      <c r="F455" s="165">
        <f t="shared" si="121"/>
        <v>0</v>
      </c>
      <c r="G455" s="165">
        <f t="shared" si="122"/>
        <v>0</v>
      </c>
      <c r="H455" s="185">
        <f t="shared" si="123"/>
        <v>0</v>
      </c>
      <c r="I455" s="165"/>
      <c r="J455" s="165">
        <f t="shared" si="124"/>
        <v>0</v>
      </c>
      <c r="K455" s="165">
        <f t="shared" si="125"/>
        <v>0</v>
      </c>
      <c r="L455" s="165">
        <f t="shared" si="125"/>
        <v>0</v>
      </c>
    </row>
    <row r="456" spans="1:12" ht="27.6" x14ac:dyDescent="0.3">
      <c r="A456" s="39" t="str">
        <f t="shared" si="120"/>
        <v>Do Not Print</v>
      </c>
      <c r="B456" t="s">
        <v>129</v>
      </c>
      <c r="C456" s="39" t="s">
        <v>379</v>
      </c>
      <c r="E456" s="242" t="s">
        <v>712</v>
      </c>
      <c r="F456" s="165">
        <f t="shared" si="121"/>
        <v>0</v>
      </c>
      <c r="G456" s="165">
        <f t="shared" si="122"/>
        <v>0</v>
      </c>
      <c r="H456" s="185">
        <f t="shared" si="123"/>
        <v>0</v>
      </c>
      <c r="I456" s="165"/>
      <c r="J456" s="165">
        <f t="shared" si="124"/>
        <v>0</v>
      </c>
      <c r="K456" s="165">
        <f t="shared" si="125"/>
        <v>0</v>
      </c>
      <c r="L456" s="165">
        <f t="shared" si="125"/>
        <v>0</v>
      </c>
    </row>
    <row r="457" spans="1:12" ht="27.6" x14ac:dyDescent="0.3">
      <c r="A457" s="39" t="str">
        <f t="shared" si="120"/>
        <v>Do Not Print</v>
      </c>
      <c r="B457" t="s">
        <v>129</v>
      </c>
      <c r="C457" s="39" t="s">
        <v>2751</v>
      </c>
      <c r="F457" s="165">
        <f t="shared" si="121"/>
        <v>0</v>
      </c>
      <c r="G457" s="165">
        <f t="shared" si="122"/>
        <v>0</v>
      </c>
      <c r="H457" s="185">
        <f t="shared" si="123"/>
        <v>0</v>
      </c>
      <c r="I457" s="165"/>
      <c r="J457" s="165">
        <f t="shared" ref="J457" si="126">ROUND(F457,0)</f>
        <v>0</v>
      </c>
      <c r="K457" s="165">
        <f t="shared" ref="K457" si="127">ROUND(G457,0)</f>
        <v>0</v>
      </c>
      <c r="L457" s="165">
        <f t="shared" ref="L457" si="128">ROUND(H457,0)</f>
        <v>0</v>
      </c>
    </row>
    <row r="458" spans="1:12" ht="27.6" x14ac:dyDescent="0.3">
      <c r="A458" s="39" t="str">
        <f t="shared" si="120"/>
        <v>Do Not Print</v>
      </c>
      <c r="F458" s="183">
        <f>SUM(F447:F457)</f>
        <v>0</v>
      </c>
      <c r="G458" s="183">
        <f t="shared" ref="G458:H458" si="129">SUM(G447:G457)</f>
        <v>0</v>
      </c>
      <c r="H458" s="183">
        <f t="shared" si="129"/>
        <v>0</v>
      </c>
      <c r="I458" s="165"/>
      <c r="J458" s="165">
        <f>SUM(J447:J457)</f>
        <v>0</v>
      </c>
      <c r="K458" s="165">
        <f t="shared" ref="K458:L458" si="130">SUM(K447:K457)</f>
        <v>0</v>
      </c>
      <c r="L458" s="165">
        <f t="shared" si="130"/>
        <v>0</v>
      </c>
    </row>
    <row r="459" spans="1:12" ht="27.6" x14ac:dyDescent="0.3">
      <c r="A459" s="39" t="str">
        <f t="shared" si="120"/>
        <v>Do Not Print</v>
      </c>
      <c r="F459" s="165"/>
      <c r="G459" s="165"/>
      <c r="H459" s="198"/>
      <c r="I459" s="165"/>
      <c r="J459" s="165"/>
      <c r="K459" s="165"/>
      <c r="L459" s="165"/>
    </row>
    <row r="460" spans="1:12" ht="14.4" x14ac:dyDescent="0.3">
      <c r="A460" s="39" t="s">
        <v>448</v>
      </c>
      <c r="C460" s="45" t="s">
        <v>582</v>
      </c>
      <c r="D460" s="14"/>
      <c r="F460" s="165"/>
      <c r="G460" s="165"/>
      <c r="H460" s="198"/>
      <c r="I460" s="165"/>
      <c r="J460" s="165"/>
      <c r="K460" s="165"/>
      <c r="L460" s="165"/>
    </row>
    <row r="461" spans="1:12" ht="27.6" x14ac:dyDescent="0.3">
      <c r="A461" s="39" t="str">
        <f t="shared" si="120"/>
        <v>Do Not Print</v>
      </c>
      <c r="B461" t="s">
        <v>93</v>
      </c>
      <c r="C461" s="39" t="s">
        <v>402</v>
      </c>
      <c r="E461" s="242" t="s">
        <v>713</v>
      </c>
      <c r="F461" s="165">
        <f>VLOOKUP($C461,LTPVL,5,0)</f>
        <v>0</v>
      </c>
      <c r="G461" s="165">
        <f>VLOOKUP($C461,LTPVL,11,0)</f>
        <v>0</v>
      </c>
      <c r="H461" s="198"/>
      <c r="I461" s="165"/>
      <c r="J461" s="165">
        <f t="shared" ref="J461:K465" si="131">ROUND(F461,0)</f>
        <v>0</v>
      </c>
      <c r="K461" s="165">
        <f t="shared" si="131"/>
        <v>0</v>
      </c>
      <c r="L461" s="165"/>
    </row>
    <row r="462" spans="1:12" ht="27.6" x14ac:dyDescent="0.3">
      <c r="A462" s="39" t="str">
        <f t="shared" si="120"/>
        <v>Do Not Print</v>
      </c>
      <c r="B462" t="s">
        <v>93</v>
      </c>
      <c r="C462" s="18" t="s">
        <v>652</v>
      </c>
      <c r="E462" s="242" t="s">
        <v>713</v>
      </c>
      <c r="F462" s="165">
        <f>VLOOKUP($C462,LTPVL,5,0)</f>
        <v>0</v>
      </c>
      <c r="G462" s="165">
        <f>VLOOKUP($C462,LTPVL,11,0)</f>
        <v>0</v>
      </c>
      <c r="H462" s="198"/>
      <c r="I462" s="165"/>
      <c r="J462" s="165">
        <f t="shared" si="131"/>
        <v>0</v>
      </c>
      <c r="K462" s="165">
        <f t="shared" si="131"/>
        <v>0</v>
      </c>
      <c r="L462" s="165"/>
    </row>
    <row r="463" spans="1:12" ht="27.6" x14ac:dyDescent="0.3">
      <c r="A463" s="39" t="str">
        <f t="shared" si="120"/>
        <v>Do Not Print</v>
      </c>
      <c r="B463" t="s">
        <v>93</v>
      </c>
      <c r="C463" s="18" t="s">
        <v>1115</v>
      </c>
      <c r="E463" s="242" t="s">
        <v>713</v>
      </c>
      <c r="F463" s="165">
        <f>VLOOKUP($C463,LTPVL,5,0)</f>
        <v>0</v>
      </c>
      <c r="G463" s="165">
        <f>VLOOKUP($C463,LTPVL,11,0)</f>
        <v>0</v>
      </c>
      <c r="H463" s="198"/>
      <c r="I463" s="165"/>
      <c r="J463" s="165">
        <f t="shared" si="131"/>
        <v>0</v>
      </c>
      <c r="K463" s="165">
        <f t="shared" si="131"/>
        <v>0</v>
      </c>
      <c r="L463" s="165"/>
    </row>
    <row r="464" spans="1:12" ht="27.6" x14ac:dyDescent="0.3">
      <c r="A464" s="39" t="str">
        <f t="shared" si="120"/>
        <v>Do Not Print</v>
      </c>
      <c r="B464" t="s">
        <v>93</v>
      </c>
      <c r="C464" s="39" t="s">
        <v>654</v>
      </c>
      <c r="E464" s="242" t="s">
        <v>713</v>
      </c>
      <c r="F464" s="165">
        <f>VLOOKUP($C464,LTPVL,5,0)</f>
        <v>0</v>
      </c>
      <c r="G464" s="165">
        <f>VLOOKUP($C464,LTPVL,11,0)</f>
        <v>0</v>
      </c>
      <c r="H464" s="198"/>
      <c r="I464" s="165"/>
      <c r="J464" s="165">
        <f t="shared" si="131"/>
        <v>0</v>
      </c>
      <c r="K464" s="165">
        <f t="shared" si="131"/>
        <v>0</v>
      </c>
      <c r="L464" s="165"/>
    </row>
    <row r="465" spans="1:12" ht="27.6" x14ac:dyDescent="0.3">
      <c r="A465" s="39" t="str">
        <f>IF(AND(F465=0,G465=0),"Do Not Print","Print")</f>
        <v>Do Not Print</v>
      </c>
      <c r="B465" t="s">
        <v>93</v>
      </c>
      <c r="C465" s="39" t="s">
        <v>655</v>
      </c>
      <c r="E465" s="242" t="s">
        <v>713</v>
      </c>
      <c r="F465" s="165">
        <f>VLOOKUP($C465,LTPVL,5,0)</f>
        <v>0</v>
      </c>
      <c r="G465" s="165">
        <f>VLOOKUP($C465,LTPVL,11,0)</f>
        <v>0</v>
      </c>
      <c r="H465" s="198"/>
      <c r="I465" s="165"/>
      <c r="J465" s="165">
        <f t="shared" si="131"/>
        <v>0</v>
      </c>
      <c r="K465" s="165">
        <f t="shared" si="131"/>
        <v>0</v>
      </c>
      <c r="L465" s="165"/>
    </row>
    <row r="466" spans="1:12" ht="27.6" x14ac:dyDescent="0.3">
      <c r="A466" s="39" t="str">
        <f t="shared" si="120"/>
        <v>Do Not Print</v>
      </c>
      <c r="B466" t="s">
        <v>831</v>
      </c>
      <c r="C466" s="39" t="s">
        <v>402</v>
      </c>
      <c r="E466" s="242" t="s">
        <v>713</v>
      </c>
      <c r="F466" s="165">
        <f>VLOOKUP($C466,LTPVO1,5,0)</f>
        <v>0</v>
      </c>
      <c r="G466" s="165">
        <f>VLOOKUP($C466,LTPVO1,11,0)</f>
        <v>0</v>
      </c>
      <c r="H466" s="187"/>
      <c r="I466" s="165"/>
      <c r="J466" s="165">
        <f t="shared" ref="J466:J473" si="132">ROUND(F466,0)</f>
        <v>0</v>
      </c>
      <c r="K466" s="165">
        <f t="shared" ref="K466:K473" si="133">ROUND(G466,0)</f>
        <v>0</v>
      </c>
      <c r="L466" s="165"/>
    </row>
    <row r="467" spans="1:12" ht="27.6" x14ac:dyDescent="0.3">
      <c r="A467" s="39" t="str">
        <f t="shared" si="120"/>
        <v>Do Not Print</v>
      </c>
      <c r="B467" t="s">
        <v>831</v>
      </c>
      <c r="C467" s="18" t="s">
        <v>652</v>
      </c>
      <c r="E467" s="242" t="s">
        <v>713</v>
      </c>
      <c r="F467" s="165">
        <f>VLOOKUP($C467,LTPVO1,5,0)</f>
        <v>0</v>
      </c>
      <c r="G467" s="165">
        <f>VLOOKUP($C467,LTPVO1,11,0)</f>
        <v>0</v>
      </c>
      <c r="H467" s="187"/>
      <c r="I467" s="165"/>
      <c r="J467" s="165">
        <f t="shared" si="132"/>
        <v>0</v>
      </c>
      <c r="K467" s="165">
        <f t="shared" si="133"/>
        <v>0</v>
      </c>
      <c r="L467" s="165"/>
    </row>
    <row r="468" spans="1:12" ht="13.5" customHeight="1" x14ac:dyDescent="0.3">
      <c r="A468" s="39" t="str">
        <f t="shared" si="120"/>
        <v>Do Not Print</v>
      </c>
      <c r="B468" t="s">
        <v>831</v>
      </c>
      <c r="C468" s="18" t="s">
        <v>1115</v>
      </c>
      <c r="E468" s="242" t="s">
        <v>713</v>
      </c>
      <c r="F468" s="165">
        <f>VLOOKUP($C468,LTPVO1,5,0)</f>
        <v>0</v>
      </c>
      <c r="G468" s="165">
        <f>VLOOKUP($C468,LTPVO1,11,0)</f>
        <v>0</v>
      </c>
      <c r="H468" s="187"/>
      <c r="I468" s="165"/>
      <c r="J468" s="165">
        <f t="shared" si="132"/>
        <v>0</v>
      </c>
      <c r="K468" s="165">
        <f t="shared" si="133"/>
        <v>0</v>
      </c>
      <c r="L468" s="165"/>
    </row>
    <row r="469" spans="1:12" ht="13.5" customHeight="1" x14ac:dyDescent="0.3">
      <c r="A469" s="39" t="str">
        <f t="shared" si="120"/>
        <v>Do Not Print</v>
      </c>
      <c r="B469" t="s">
        <v>831</v>
      </c>
      <c r="C469" s="39" t="s">
        <v>654</v>
      </c>
      <c r="E469" s="242" t="s">
        <v>713</v>
      </c>
      <c r="F469" s="165">
        <f>VLOOKUP($C469,LTPVO1,5,0)</f>
        <v>0</v>
      </c>
      <c r="G469" s="165">
        <f>VLOOKUP($C469,LTPVO1,11,0)</f>
        <v>0</v>
      </c>
      <c r="H469" s="187"/>
      <c r="I469" s="165"/>
      <c r="J469" s="165">
        <f>ROUND(F469,0)</f>
        <v>0</v>
      </c>
      <c r="K469" s="165">
        <f>ROUND(G469,0)</f>
        <v>0</v>
      </c>
      <c r="L469" s="165"/>
    </row>
    <row r="470" spans="1:12" ht="13.5" customHeight="1" x14ac:dyDescent="0.3">
      <c r="A470" s="39" t="str">
        <f>IF(AND(F470=0,G470=0),"Do Not Print","Print")</f>
        <v>Do Not Print</v>
      </c>
      <c r="B470" t="s">
        <v>831</v>
      </c>
      <c r="C470" s="39" t="s">
        <v>655</v>
      </c>
      <c r="E470" s="242" t="s">
        <v>713</v>
      </c>
      <c r="F470" s="165">
        <f>VLOOKUP($C470,LTPVO1,5,0)</f>
        <v>0</v>
      </c>
      <c r="G470" s="165">
        <f>VLOOKUP($C470,LTPVO1,11,0)</f>
        <v>0</v>
      </c>
      <c r="H470" s="187"/>
      <c r="I470" s="165"/>
      <c r="J470" s="165">
        <f>ROUND(F470,0)</f>
        <v>0</v>
      </c>
      <c r="K470" s="165">
        <f>ROUND(G470,0)</f>
        <v>0</v>
      </c>
      <c r="L470" s="165"/>
    </row>
    <row r="471" spans="1:12" ht="27.6" x14ac:dyDescent="0.3">
      <c r="A471" s="39" t="str">
        <f t="shared" si="120"/>
        <v>Do Not Print</v>
      </c>
      <c r="B471" t="s">
        <v>832</v>
      </c>
      <c r="C471" s="39" t="s">
        <v>402</v>
      </c>
      <c r="E471" s="242" t="s">
        <v>713</v>
      </c>
      <c r="F471" s="165">
        <f>VLOOKUP($C471,LTPVO2,5,0)</f>
        <v>0</v>
      </c>
      <c r="G471" s="165">
        <f>VLOOKUP($C471,LTPVO2,11,0)</f>
        <v>0</v>
      </c>
      <c r="H471" s="187"/>
      <c r="I471" s="165"/>
      <c r="J471" s="165">
        <f t="shared" si="132"/>
        <v>0</v>
      </c>
      <c r="K471" s="165">
        <f t="shared" si="133"/>
        <v>0</v>
      </c>
      <c r="L471" s="165"/>
    </row>
    <row r="472" spans="1:12" ht="27.6" x14ac:dyDescent="0.3">
      <c r="A472" s="39" t="str">
        <f t="shared" si="120"/>
        <v>Do Not Print</v>
      </c>
      <c r="B472" t="s">
        <v>832</v>
      </c>
      <c r="C472" s="18" t="s">
        <v>652</v>
      </c>
      <c r="E472" s="242" t="s">
        <v>713</v>
      </c>
      <c r="F472" s="165">
        <f>VLOOKUP($C472,LTPVO2,5,0)</f>
        <v>0</v>
      </c>
      <c r="G472" s="165">
        <f>VLOOKUP($C472,LTPVO2,11,0)</f>
        <v>0</v>
      </c>
      <c r="H472" s="187"/>
      <c r="I472" s="165"/>
      <c r="J472" s="165">
        <f t="shared" si="132"/>
        <v>0</v>
      </c>
      <c r="K472" s="165">
        <f t="shared" si="133"/>
        <v>0</v>
      </c>
      <c r="L472" s="165"/>
    </row>
    <row r="473" spans="1:12" ht="27.6" x14ac:dyDescent="0.3">
      <c r="A473" s="39" t="str">
        <f t="shared" si="120"/>
        <v>Do Not Print</v>
      </c>
      <c r="B473" t="s">
        <v>832</v>
      </c>
      <c r="C473" s="18" t="s">
        <v>1115</v>
      </c>
      <c r="E473" s="242" t="s">
        <v>713</v>
      </c>
      <c r="F473" s="165">
        <f>VLOOKUP($C473,LTPVO2,5,0)</f>
        <v>0</v>
      </c>
      <c r="G473" s="165">
        <f>VLOOKUP($C473,LTPVO2,11,0)</f>
        <v>0</v>
      </c>
      <c r="H473" s="187"/>
      <c r="I473" s="165"/>
      <c r="J473" s="165">
        <f t="shared" si="132"/>
        <v>0</v>
      </c>
      <c r="K473" s="165">
        <f t="shared" si="133"/>
        <v>0</v>
      </c>
      <c r="L473" s="165"/>
    </row>
    <row r="474" spans="1:12" ht="27.6" x14ac:dyDescent="0.3">
      <c r="A474" s="39" t="str">
        <f t="shared" si="120"/>
        <v>Do Not Print</v>
      </c>
      <c r="B474" t="s">
        <v>832</v>
      </c>
      <c r="C474" s="39" t="s">
        <v>654</v>
      </c>
      <c r="E474" s="242" t="s">
        <v>713</v>
      </c>
      <c r="F474" s="165">
        <f>VLOOKUP($C474,LTPVO2,5,0)</f>
        <v>0</v>
      </c>
      <c r="G474" s="165">
        <f>VLOOKUP($C474,LTPVO2,11,0)</f>
        <v>0</v>
      </c>
      <c r="H474" s="187"/>
      <c r="I474" s="165"/>
      <c r="J474" s="165">
        <f t="shared" ref="J474:K481" si="134">ROUND(F474,0)</f>
        <v>0</v>
      </c>
      <c r="K474" s="165">
        <f t="shared" si="134"/>
        <v>0</v>
      </c>
      <c r="L474" s="165"/>
    </row>
    <row r="475" spans="1:12" ht="27.6" x14ac:dyDescent="0.3">
      <c r="A475" s="39" t="str">
        <f t="shared" si="120"/>
        <v>Do Not Print</v>
      </c>
      <c r="B475" t="s">
        <v>832</v>
      </c>
      <c r="C475" s="39" t="s">
        <v>655</v>
      </c>
      <c r="E475" s="242" t="s">
        <v>713</v>
      </c>
      <c r="F475" s="165">
        <f>VLOOKUP($C475,LTPVO2,5,0)</f>
        <v>0</v>
      </c>
      <c r="G475" s="165">
        <f>VLOOKUP($C475,LTPVO2,11,0)</f>
        <v>0</v>
      </c>
      <c r="H475" s="187"/>
      <c r="I475" s="165"/>
      <c r="J475" s="165">
        <f t="shared" si="134"/>
        <v>0</v>
      </c>
      <c r="K475" s="165">
        <f t="shared" si="134"/>
        <v>0</v>
      </c>
      <c r="L475" s="165"/>
    </row>
    <row r="476" spans="1:12" ht="27.6" x14ac:dyDescent="0.3">
      <c r="A476" s="39" t="str">
        <f t="shared" si="120"/>
        <v>Do Not Print</v>
      </c>
      <c r="B476" t="s">
        <v>833</v>
      </c>
      <c r="C476" s="39" t="s">
        <v>402</v>
      </c>
      <c r="E476" s="242" t="s">
        <v>713</v>
      </c>
      <c r="F476" s="165">
        <f>VLOOKUP($C476,LTPVO3,5,0)</f>
        <v>0</v>
      </c>
      <c r="G476" s="165">
        <f>VLOOKUP($C476,LTPVO3,11,0)</f>
        <v>0</v>
      </c>
      <c r="H476" s="187"/>
      <c r="I476" s="165"/>
      <c r="J476" s="165">
        <f t="shared" si="134"/>
        <v>0</v>
      </c>
      <c r="K476" s="165">
        <f t="shared" si="134"/>
        <v>0</v>
      </c>
      <c r="L476" s="165"/>
    </row>
    <row r="477" spans="1:12" ht="27.6" x14ac:dyDescent="0.3">
      <c r="A477" s="39" t="str">
        <f t="shared" si="120"/>
        <v>Do Not Print</v>
      </c>
      <c r="B477" t="s">
        <v>833</v>
      </c>
      <c r="C477" s="18" t="s">
        <v>652</v>
      </c>
      <c r="E477" s="242" t="s">
        <v>713</v>
      </c>
      <c r="F477" s="165">
        <f>VLOOKUP($C477,LTPVO3,5,0)</f>
        <v>0</v>
      </c>
      <c r="G477" s="165">
        <f>VLOOKUP($C477,LTPVO3,11,0)</f>
        <v>0</v>
      </c>
      <c r="H477" s="187"/>
      <c r="I477" s="165"/>
      <c r="J477" s="165">
        <f t="shared" si="134"/>
        <v>0</v>
      </c>
      <c r="K477" s="165">
        <f t="shared" si="134"/>
        <v>0</v>
      </c>
      <c r="L477" s="165"/>
    </row>
    <row r="478" spans="1:12" ht="27.6" x14ac:dyDescent="0.3">
      <c r="A478" s="39" t="str">
        <f t="shared" si="120"/>
        <v>Do Not Print</v>
      </c>
      <c r="B478" t="s">
        <v>833</v>
      </c>
      <c r="C478" s="18" t="s">
        <v>1115</v>
      </c>
      <c r="E478" s="242" t="s">
        <v>713</v>
      </c>
      <c r="F478" s="165">
        <f>VLOOKUP($C478,LTPVO3,5,0)</f>
        <v>0</v>
      </c>
      <c r="G478" s="165">
        <f>VLOOKUP($C478,LTPVO3,11,0)</f>
        <v>0</v>
      </c>
      <c r="H478" s="187"/>
      <c r="I478" s="165"/>
      <c r="J478" s="165">
        <f t="shared" si="134"/>
        <v>0</v>
      </c>
      <c r="K478" s="165">
        <f t="shared" si="134"/>
        <v>0</v>
      </c>
      <c r="L478" s="165"/>
    </row>
    <row r="479" spans="1:12" ht="27.6" x14ac:dyDescent="0.3">
      <c r="A479" s="39" t="str">
        <f t="shared" si="120"/>
        <v>Do Not Print</v>
      </c>
      <c r="B479" t="s">
        <v>833</v>
      </c>
      <c r="C479" s="39" t="s">
        <v>654</v>
      </c>
      <c r="E479" s="242" t="s">
        <v>713</v>
      </c>
      <c r="F479" s="165">
        <f>VLOOKUP($C479,LTPVO3,5,0)</f>
        <v>0</v>
      </c>
      <c r="G479" s="165">
        <f>VLOOKUP($C479,LTPVO3,11,0)</f>
        <v>0</v>
      </c>
      <c r="H479" s="187"/>
      <c r="I479" s="165"/>
      <c r="J479" s="165">
        <f t="shared" si="134"/>
        <v>0</v>
      </c>
      <c r="K479" s="165">
        <f t="shared" si="134"/>
        <v>0</v>
      </c>
      <c r="L479" s="165"/>
    </row>
    <row r="480" spans="1:12" ht="27.6" x14ac:dyDescent="0.3">
      <c r="A480" s="39" t="str">
        <f t="shared" si="120"/>
        <v>Do Not Print</v>
      </c>
      <c r="B480" t="s">
        <v>833</v>
      </c>
      <c r="C480" s="39" t="s">
        <v>655</v>
      </c>
      <c r="E480" s="242" t="s">
        <v>713</v>
      </c>
      <c r="F480" s="165">
        <f>VLOOKUP($C480,LTPVO3,5,0)</f>
        <v>0</v>
      </c>
      <c r="G480" s="165">
        <f>VLOOKUP($C480,LTPVO3,11,0)</f>
        <v>0</v>
      </c>
      <c r="H480" s="198"/>
      <c r="I480" s="165"/>
      <c r="J480" s="165">
        <f t="shared" si="134"/>
        <v>0</v>
      </c>
      <c r="K480" s="165">
        <f t="shared" si="134"/>
        <v>0</v>
      </c>
      <c r="L480" s="165"/>
    </row>
    <row r="481" spans="1:12" ht="27.6" x14ac:dyDescent="0.3">
      <c r="A481" s="39" t="str">
        <f t="shared" si="120"/>
        <v>Do Not Print</v>
      </c>
      <c r="C481" s="39" t="s">
        <v>1833</v>
      </c>
      <c r="F481" s="183">
        <f>(F461+F462-F463-F464+F465)+(F466+F467-F468-F469+F470)+(F471+F472-F473-F474+F475)+(F476+F477-F478-F479+F480)</f>
        <v>0</v>
      </c>
      <c r="G481" s="183">
        <f>(G461+G462-G463-G464+G465)+(G466+G467-G468-G469+G470)+(G471+G472-G473-G474+G475)+(G476+G477-G478-G479+G480)</f>
        <v>0</v>
      </c>
      <c r="H481" s="201"/>
      <c r="I481" s="165"/>
      <c r="J481" s="165">
        <f t="shared" si="134"/>
        <v>0</v>
      </c>
      <c r="K481" s="165">
        <f t="shared" si="134"/>
        <v>0</v>
      </c>
      <c r="L481" s="165"/>
    </row>
    <row r="482" spans="1:12" ht="27.6" x14ac:dyDescent="0.3">
      <c r="A482" s="39" t="str">
        <f t="shared" si="120"/>
        <v>Do Not Print</v>
      </c>
      <c r="F482" s="165"/>
      <c r="G482" s="165"/>
      <c r="H482" s="198"/>
      <c r="I482" s="165"/>
      <c r="J482" s="165"/>
      <c r="K482" s="165"/>
      <c r="L482" s="165"/>
    </row>
    <row r="483" spans="1:12" x14ac:dyDescent="0.3">
      <c r="A483" s="39" t="s">
        <v>448</v>
      </c>
      <c r="F483" s="165"/>
      <c r="G483" s="165"/>
      <c r="H483" s="198"/>
      <c r="I483" s="165"/>
      <c r="J483" s="165"/>
      <c r="K483" s="165"/>
      <c r="L483" s="165"/>
    </row>
    <row r="484" spans="1:12" ht="14.4" x14ac:dyDescent="0.3">
      <c r="A484" s="39" t="s">
        <v>448</v>
      </c>
      <c r="C484" s="45" t="s">
        <v>587</v>
      </c>
      <c r="D484" s="14"/>
      <c r="F484" s="165"/>
      <c r="G484" s="165"/>
      <c r="H484" s="198"/>
      <c r="I484" s="165"/>
      <c r="J484" s="165"/>
      <c r="K484" s="165"/>
      <c r="L484" s="165"/>
    </row>
    <row r="485" spans="1:12" ht="27.6" x14ac:dyDescent="0.3">
      <c r="A485" s="39" t="str">
        <f t="shared" si="120"/>
        <v>Do Not Print</v>
      </c>
      <c r="B485" t="s">
        <v>94</v>
      </c>
      <c r="C485" s="39" t="s">
        <v>406</v>
      </c>
      <c r="E485" s="242" t="s">
        <v>714</v>
      </c>
      <c r="F485" s="165">
        <f t="shared" ref="F485:F497" si="135">VLOOKUP($C485,LTPL,5,0)</f>
        <v>0</v>
      </c>
      <c r="G485" s="165">
        <f t="shared" ref="G485:G497" si="136">VLOOKUP($C485,LTPL,11,0)</f>
        <v>0</v>
      </c>
      <c r="H485" s="198"/>
      <c r="I485" s="165"/>
      <c r="J485" s="165">
        <f t="shared" ref="J485:J497" si="137">ROUND(F485,0)</f>
        <v>0</v>
      </c>
      <c r="K485" s="165">
        <f t="shared" ref="K485:K497" si="138">ROUND(G485,0)</f>
        <v>0</v>
      </c>
      <c r="L485" s="165"/>
    </row>
    <row r="486" spans="1:12" ht="27.6" x14ac:dyDescent="0.3">
      <c r="A486" s="39" t="str">
        <f t="shared" si="120"/>
        <v>Do Not Print</v>
      </c>
      <c r="B486" t="s">
        <v>94</v>
      </c>
      <c r="C486" s="39" t="s">
        <v>407</v>
      </c>
      <c r="E486" s="242" t="s">
        <v>714</v>
      </c>
      <c r="F486" s="165">
        <f t="shared" si="135"/>
        <v>0</v>
      </c>
      <c r="G486" s="165">
        <f t="shared" si="136"/>
        <v>0</v>
      </c>
      <c r="H486" s="198"/>
      <c r="I486" s="165"/>
      <c r="J486" s="165">
        <f t="shared" si="137"/>
        <v>0</v>
      </c>
      <c r="K486" s="165">
        <f t="shared" si="138"/>
        <v>0</v>
      </c>
      <c r="L486" s="165"/>
    </row>
    <row r="487" spans="1:12" ht="27.6" x14ac:dyDescent="0.3">
      <c r="A487" s="39" t="str">
        <f t="shared" si="120"/>
        <v>Do Not Print</v>
      </c>
      <c r="B487" t="s">
        <v>94</v>
      </c>
      <c r="C487" s="39" t="s">
        <v>408</v>
      </c>
      <c r="E487" s="242" t="s">
        <v>714</v>
      </c>
      <c r="F487" s="165">
        <f t="shared" si="135"/>
        <v>0</v>
      </c>
      <c r="G487" s="165">
        <f t="shared" si="136"/>
        <v>0</v>
      </c>
      <c r="H487" s="198"/>
      <c r="I487" s="165"/>
      <c r="J487" s="165">
        <f t="shared" si="137"/>
        <v>0</v>
      </c>
      <c r="K487" s="165">
        <f t="shared" si="138"/>
        <v>0</v>
      </c>
      <c r="L487" s="165"/>
    </row>
    <row r="488" spans="1:12" ht="27.6" x14ac:dyDescent="0.3">
      <c r="A488" s="39" t="str">
        <f t="shared" si="120"/>
        <v>Do Not Print</v>
      </c>
      <c r="B488" t="s">
        <v>94</v>
      </c>
      <c r="C488" s="39" t="s">
        <v>409</v>
      </c>
      <c r="E488" s="242" t="s">
        <v>714</v>
      </c>
      <c r="F488" s="165">
        <f t="shared" si="135"/>
        <v>0</v>
      </c>
      <c r="G488" s="165">
        <f t="shared" si="136"/>
        <v>0</v>
      </c>
      <c r="H488" s="198"/>
      <c r="I488" s="165"/>
      <c r="J488" s="165">
        <f t="shared" si="137"/>
        <v>0</v>
      </c>
      <c r="K488" s="165">
        <f t="shared" si="138"/>
        <v>0</v>
      </c>
      <c r="L488" s="165"/>
    </row>
    <row r="489" spans="1:12" ht="27.6" x14ac:dyDescent="0.3">
      <c r="A489" s="39" t="str">
        <f t="shared" si="120"/>
        <v>Do Not Print</v>
      </c>
      <c r="B489" t="s">
        <v>94</v>
      </c>
      <c r="C489" s="39" t="s">
        <v>2973</v>
      </c>
      <c r="E489" s="242" t="s">
        <v>714</v>
      </c>
      <c r="F489" s="165">
        <f t="shared" si="135"/>
        <v>0</v>
      </c>
      <c r="G489" s="165">
        <f t="shared" si="136"/>
        <v>0</v>
      </c>
      <c r="H489" s="198"/>
      <c r="I489" s="165"/>
      <c r="J489" s="165">
        <f t="shared" si="137"/>
        <v>0</v>
      </c>
      <c r="K489" s="165">
        <f t="shared" si="138"/>
        <v>0</v>
      </c>
      <c r="L489" s="165"/>
    </row>
    <row r="490" spans="1:12" ht="27.6" x14ac:dyDescent="0.3">
      <c r="A490" s="39" t="str">
        <f t="shared" si="120"/>
        <v>Do Not Print</v>
      </c>
      <c r="B490" t="s">
        <v>94</v>
      </c>
      <c r="C490" s="39" t="s">
        <v>2972</v>
      </c>
      <c r="E490" s="242" t="s">
        <v>714</v>
      </c>
      <c r="F490" s="165">
        <f t="shared" si="135"/>
        <v>0</v>
      </c>
      <c r="G490" s="165">
        <f t="shared" si="136"/>
        <v>0</v>
      </c>
      <c r="H490" s="198"/>
      <c r="I490" s="165"/>
      <c r="J490" s="165">
        <f t="shared" si="137"/>
        <v>0</v>
      </c>
      <c r="K490" s="165">
        <f t="shared" si="138"/>
        <v>0</v>
      </c>
      <c r="L490" s="165"/>
    </row>
    <row r="491" spans="1:12" ht="27.6" x14ac:dyDescent="0.3">
      <c r="A491" s="39" t="str">
        <f t="shared" si="120"/>
        <v>Do Not Print</v>
      </c>
      <c r="B491" t="s">
        <v>94</v>
      </c>
      <c r="C491" s="39" t="s">
        <v>2971</v>
      </c>
      <c r="E491" s="242" t="s">
        <v>714</v>
      </c>
      <c r="F491" s="165">
        <f t="shared" si="135"/>
        <v>0</v>
      </c>
      <c r="G491" s="165">
        <f t="shared" si="136"/>
        <v>0</v>
      </c>
      <c r="H491" s="198"/>
      <c r="I491" s="165"/>
      <c r="J491" s="165">
        <f t="shared" si="137"/>
        <v>0</v>
      </c>
      <c r="K491" s="165">
        <f t="shared" si="138"/>
        <v>0</v>
      </c>
      <c r="L491" s="165"/>
    </row>
    <row r="492" spans="1:12" ht="27.6" x14ac:dyDescent="0.3">
      <c r="A492" s="39" t="str">
        <f t="shared" si="120"/>
        <v>Do Not Print</v>
      </c>
      <c r="B492" t="s">
        <v>94</v>
      </c>
      <c r="C492" s="39" t="s">
        <v>496</v>
      </c>
      <c r="E492" s="242" t="s">
        <v>714</v>
      </c>
      <c r="F492" s="165">
        <f t="shared" si="135"/>
        <v>0</v>
      </c>
      <c r="G492" s="165">
        <f t="shared" si="136"/>
        <v>0</v>
      </c>
      <c r="H492" s="198"/>
      <c r="I492" s="165"/>
      <c r="J492" s="165">
        <f t="shared" ref="J492:K495" si="139">ROUND(F492,0)</f>
        <v>0</v>
      </c>
      <c r="K492" s="165">
        <f t="shared" si="139"/>
        <v>0</v>
      </c>
      <c r="L492" s="165"/>
    </row>
    <row r="493" spans="1:12" ht="27.6" x14ac:dyDescent="0.3">
      <c r="A493" s="39" t="str">
        <f t="shared" si="120"/>
        <v>Do Not Print</v>
      </c>
      <c r="B493" t="s">
        <v>94</v>
      </c>
      <c r="C493" s="39" t="s">
        <v>410</v>
      </c>
      <c r="E493" s="242" t="s">
        <v>714</v>
      </c>
      <c r="F493" s="165">
        <f t="shared" si="135"/>
        <v>0</v>
      </c>
      <c r="G493" s="165">
        <f t="shared" si="136"/>
        <v>0</v>
      </c>
      <c r="H493" s="198"/>
      <c r="I493" s="165"/>
      <c r="J493" s="165">
        <f t="shared" si="139"/>
        <v>0</v>
      </c>
      <c r="K493" s="165">
        <f t="shared" si="139"/>
        <v>0</v>
      </c>
      <c r="L493" s="165"/>
    </row>
    <row r="494" spans="1:12" ht="27.6" x14ac:dyDescent="0.3">
      <c r="A494" s="39" t="str">
        <f t="shared" si="120"/>
        <v>Do Not Print</v>
      </c>
      <c r="B494" t="s">
        <v>94</v>
      </c>
      <c r="C494" s="39" t="s">
        <v>498</v>
      </c>
      <c r="E494" s="242" t="s">
        <v>714</v>
      </c>
      <c r="F494" s="165">
        <f t="shared" si="135"/>
        <v>0</v>
      </c>
      <c r="G494" s="165">
        <f t="shared" si="136"/>
        <v>0</v>
      </c>
      <c r="H494" s="198"/>
      <c r="I494" s="165"/>
      <c r="J494" s="165">
        <f t="shared" si="139"/>
        <v>0</v>
      </c>
      <c r="K494" s="165">
        <f t="shared" si="139"/>
        <v>0</v>
      </c>
      <c r="L494" s="165"/>
    </row>
    <row r="495" spans="1:12" ht="27.6" x14ac:dyDescent="0.3">
      <c r="A495" s="39" t="str">
        <f t="shared" si="120"/>
        <v>Do Not Print</v>
      </c>
      <c r="B495" t="s">
        <v>94</v>
      </c>
      <c r="C495" s="39" t="s">
        <v>499</v>
      </c>
      <c r="E495" s="242" t="s">
        <v>714</v>
      </c>
      <c r="F495" s="165">
        <f t="shared" si="135"/>
        <v>0</v>
      </c>
      <c r="G495" s="165">
        <f t="shared" si="136"/>
        <v>0</v>
      </c>
      <c r="H495" s="198"/>
      <c r="I495" s="165"/>
      <c r="J495" s="165">
        <f t="shared" si="139"/>
        <v>0</v>
      </c>
      <c r="K495" s="165">
        <f t="shared" si="139"/>
        <v>0</v>
      </c>
      <c r="L495" s="165"/>
    </row>
    <row r="496" spans="1:12" ht="27.6" x14ac:dyDescent="0.3">
      <c r="A496" s="39" t="str">
        <f t="shared" si="120"/>
        <v>Do Not Print</v>
      </c>
      <c r="B496" t="s">
        <v>94</v>
      </c>
      <c r="C496" s="39" t="s">
        <v>411</v>
      </c>
      <c r="E496" s="242" t="s">
        <v>714</v>
      </c>
      <c r="F496" s="165">
        <f t="shared" si="135"/>
        <v>0</v>
      </c>
      <c r="G496" s="165">
        <f t="shared" si="136"/>
        <v>0</v>
      </c>
      <c r="H496" s="198"/>
      <c r="I496" s="165"/>
      <c r="J496" s="165">
        <f t="shared" si="137"/>
        <v>0</v>
      </c>
      <c r="K496" s="165">
        <f t="shared" si="138"/>
        <v>0</v>
      </c>
      <c r="L496" s="165"/>
    </row>
    <row r="497" spans="1:12" ht="27.6" x14ac:dyDescent="0.3">
      <c r="A497" s="39" t="str">
        <f t="shared" si="120"/>
        <v>Do Not Print</v>
      </c>
      <c r="B497" t="s">
        <v>94</v>
      </c>
      <c r="C497" s="39" t="s">
        <v>412</v>
      </c>
      <c r="E497" s="242" t="s">
        <v>714</v>
      </c>
      <c r="F497" s="165">
        <f t="shared" si="135"/>
        <v>0</v>
      </c>
      <c r="G497" s="165">
        <f t="shared" si="136"/>
        <v>0</v>
      </c>
      <c r="H497" s="198"/>
      <c r="I497" s="165"/>
      <c r="J497" s="165">
        <f t="shared" si="137"/>
        <v>0</v>
      </c>
      <c r="K497" s="165">
        <f t="shared" si="138"/>
        <v>0</v>
      </c>
      <c r="L497" s="165"/>
    </row>
    <row r="498" spans="1:12" ht="27.6" x14ac:dyDescent="0.3">
      <c r="A498" s="39" t="str">
        <f t="shared" si="120"/>
        <v>Do Not Print</v>
      </c>
      <c r="E498" s="242" t="s">
        <v>714</v>
      </c>
      <c r="F498" s="165">
        <f>SUM(F485:F497)</f>
        <v>0</v>
      </c>
      <c r="G498" s="165">
        <f>SUM(G485:G497)</f>
        <v>0</v>
      </c>
      <c r="H498" s="198"/>
      <c r="I498" s="165"/>
      <c r="J498" s="165">
        <f>SUM(J485:J497)</f>
        <v>0</v>
      </c>
      <c r="K498" s="165">
        <f>SUM(K485:K497)</f>
        <v>0</v>
      </c>
      <c r="L498" s="165"/>
    </row>
    <row r="499" spans="1:12" x14ac:dyDescent="0.3">
      <c r="A499" s="39" t="s">
        <v>448</v>
      </c>
      <c r="F499" s="165"/>
      <c r="G499" s="165"/>
      <c r="H499" s="198"/>
      <c r="I499" s="165"/>
      <c r="J499" s="165"/>
      <c r="K499" s="165"/>
      <c r="L499" s="165"/>
    </row>
    <row r="500" spans="1:12" ht="27.6" x14ac:dyDescent="0.3">
      <c r="A500" s="39" t="str">
        <f t="shared" si="120"/>
        <v>Do Not Print</v>
      </c>
      <c r="B500" t="s">
        <v>95</v>
      </c>
      <c r="C500" s="39" t="s">
        <v>406</v>
      </c>
      <c r="E500" s="242" t="s">
        <v>714</v>
      </c>
      <c r="F500" s="165">
        <f t="shared" ref="F500:F507" si="140">VLOOKUP($C500,LTPA,5,0)</f>
        <v>0</v>
      </c>
      <c r="G500" s="165">
        <f t="shared" ref="G500:G508" si="141">VLOOKUP($C500,LTPA,11,0)</f>
        <v>0</v>
      </c>
      <c r="H500" s="198"/>
      <c r="I500" s="165"/>
      <c r="J500" s="165">
        <f t="shared" ref="J500:J508" si="142">ROUND(F500,0)</f>
        <v>0</v>
      </c>
      <c r="K500" s="165">
        <f t="shared" ref="K500:K508" si="143">ROUND(G500,0)</f>
        <v>0</v>
      </c>
      <c r="L500" s="165"/>
    </row>
    <row r="501" spans="1:12" ht="27.6" x14ac:dyDescent="0.3">
      <c r="A501" s="39" t="str">
        <f t="shared" si="120"/>
        <v>Do Not Print</v>
      </c>
      <c r="B501" t="s">
        <v>95</v>
      </c>
      <c r="C501" s="18" t="s">
        <v>1585</v>
      </c>
      <c r="E501" s="242" t="s">
        <v>714</v>
      </c>
      <c r="F501" s="165">
        <f t="shared" si="140"/>
        <v>0</v>
      </c>
      <c r="G501" s="165">
        <f t="shared" si="141"/>
        <v>0</v>
      </c>
      <c r="H501" s="198"/>
      <c r="I501" s="165"/>
      <c r="J501" s="165">
        <f t="shared" si="142"/>
        <v>0</v>
      </c>
      <c r="K501" s="165">
        <f t="shared" si="143"/>
        <v>0</v>
      </c>
      <c r="L501" s="165"/>
    </row>
    <row r="502" spans="1:12" ht="27.6" x14ac:dyDescent="0.3">
      <c r="A502" s="39" t="str">
        <f t="shared" si="120"/>
        <v>Do Not Print</v>
      </c>
      <c r="B502" t="s">
        <v>95</v>
      </c>
      <c r="C502" s="39" t="s">
        <v>409</v>
      </c>
      <c r="E502" s="242" t="s">
        <v>714</v>
      </c>
      <c r="F502" s="165">
        <f t="shared" si="140"/>
        <v>0</v>
      </c>
      <c r="G502" s="165">
        <f t="shared" si="141"/>
        <v>0</v>
      </c>
      <c r="H502" s="198"/>
      <c r="I502" s="165"/>
      <c r="J502" s="165">
        <f t="shared" si="142"/>
        <v>0</v>
      </c>
      <c r="K502" s="165">
        <f t="shared" si="143"/>
        <v>0</v>
      </c>
      <c r="L502" s="165"/>
    </row>
    <row r="503" spans="1:12" ht="27.6" x14ac:dyDescent="0.3">
      <c r="A503" s="39" t="str">
        <f t="shared" si="120"/>
        <v>Do Not Print</v>
      </c>
      <c r="B503" t="s">
        <v>95</v>
      </c>
      <c r="C503" s="39" t="s">
        <v>415</v>
      </c>
      <c r="E503" s="242" t="s">
        <v>714</v>
      </c>
      <c r="F503" s="165">
        <f t="shared" si="140"/>
        <v>0</v>
      </c>
      <c r="G503" s="165">
        <f t="shared" si="141"/>
        <v>0</v>
      </c>
      <c r="H503" s="198"/>
      <c r="I503" s="165"/>
      <c r="J503" s="165">
        <f>ROUND(F503,0)</f>
        <v>0</v>
      </c>
      <c r="K503" s="165">
        <f>ROUND(G503,0)</f>
        <v>0</v>
      </c>
      <c r="L503" s="165"/>
    </row>
    <row r="504" spans="1:12" ht="27.6" x14ac:dyDescent="0.3">
      <c r="A504" s="39" t="str">
        <f t="shared" si="120"/>
        <v>Do Not Print</v>
      </c>
      <c r="B504" t="s">
        <v>95</v>
      </c>
      <c r="C504" s="39" t="s">
        <v>416</v>
      </c>
      <c r="E504" s="242" t="s">
        <v>714</v>
      </c>
      <c r="F504" s="165">
        <f t="shared" si="140"/>
        <v>0</v>
      </c>
      <c r="G504" s="165">
        <f t="shared" si="141"/>
        <v>0</v>
      </c>
      <c r="H504" s="198"/>
      <c r="I504" s="165"/>
      <c r="J504" s="165">
        <f t="shared" si="142"/>
        <v>0</v>
      </c>
      <c r="K504" s="165">
        <f t="shared" si="143"/>
        <v>0</v>
      </c>
      <c r="L504" s="165"/>
    </row>
    <row r="505" spans="1:12" ht="27.6" x14ac:dyDescent="0.3">
      <c r="A505" s="39" t="str">
        <f t="shared" si="120"/>
        <v>Do Not Print</v>
      </c>
      <c r="B505" t="s">
        <v>95</v>
      </c>
      <c r="C505" s="18" t="s">
        <v>2974</v>
      </c>
      <c r="E505" s="242" t="s">
        <v>714</v>
      </c>
      <c r="F505" s="165">
        <f>-VLOOKUP($C505,LTPA,5,0)</f>
        <v>0</v>
      </c>
      <c r="G505" s="165">
        <f>-VLOOKUP($C505,LTPA,11,0)</f>
        <v>0</v>
      </c>
      <c r="H505" s="198"/>
      <c r="I505" s="165"/>
      <c r="J505" s="165">
        <f t="shared" si="142"/>
        <v>0</v>
      </c>
      <c r="K505" s="165">
        <f t="shared" si="143"/>
        <v>0</v>
      </c>
      <c r="L505" s="165"/>
    </row>
    <row r="506" spans="1:12" ht="27.6" x14ac:dyDescent="0.3">
      <c r="A506" s="39" t="str">
        <f t="shared" si="120"/>
        <v>Do Not Print</v>
      </c>
      <c r="B506" t="s">
        <v>95</v>
      </c>
      <c r="C506" s="39" t="s">
        <v>504</v>
      </c>
      <c r="E506" s="242" t="s">
        <v>714</v>
      </c>
      <c r="F506" s="165">
        <f t="shared" si="140"/>
        <v>0</v>
      </c>
      <c r="G506" s="165">
        <f t="shared" si="141"/>
        <v>0</v>
      </c>
      <c r="H506" s="198"/>
      <c r="I506" s="165"/>
      <c r="J506" s="165">
        <f>ROUND(F506,0)</f>
        <v>0</v>
      </c>
      <c r="K506" s="165">
        <f>ROUND(G506,0)</f>
        <v>0</v>
      </c>
      <c r="L506" s="165"/>
    </row>
    <row r="507" spans="1:12" ht="27.6" x14ac:dyDescent="0.3">
      <c r="A507" s="39" t="str">
        <f t="shared" si="120"/>
        <v>Do Not Print</v>
      </c>
      <c r="B507" t="s">
        <v>95</v>
      </c>
      <c r="C507" s="39" t="s">
        <v>417</v>
      </c>
      <c r="E507" s="242" t="s">
        <v>714</v>
      </c>
      <c r="F507" s="165">
        <f t="shared" si="140"/>
        <v>0</v>
      </c>
      <c r="G507" s="165">
        <f t="shared" si="141"/>
        <v>0</v>
      </c>
      <c r="H507" s="198"/>
      <c r="I507" s="165"/>
      <c r="J507" s="165">
        <f>ROUND(F507,0)</f>
        <v>0</v>
      </c>
      <c r="K507" s="165">
        <f t="shared" si="143"/>
        <v>0</v>
      </c>
      <c r="L507" s="165"/>
    </row>
    <row r="508" spans="1:12" ht="27.6" x14ac:dyDescent="0.3">
      <c r="A508" s="39" t="str">
        <f t="shared" si="120"/>
        <v>Do Not Print</v>
      </c>
      <c r="B508" t="s">
        <v>95</v>
      </c>
      <c r="C508" s="39" t="s">
        <v>418</v>
      </c>
      <c r="E508" s="242" t="s">
        <v>714</v>
      </c>
      <c r="F508" s="165">
        <f>VLOOKUP($C508,LTPA,5,0)</f>
        <v>0</v>
      </c>
      <c r="G508" s="165">
        <f t="shared" si="141"/>
        <v>0</v>
      </c>
      <c r="H508" s="198"/>
      <c r="I508" s="165"/>
      <c r="J508" s="165">
        <f t="shared" si="142"/>
        <v>0</v>
      </c>
      <c r="K508" s="165">
        <f t="shared" si="143"/>
        <v>0</v>
      </c>
      <c r="L508" s="165"/>
    </row>
    <row r="509" spans="1:12" ht="27.6" x14ac:dyDescent="0.3">
      <c r="A509" s="39" t="str">
        <f t="shared" si="120"/>
        <v>Do Not Print</v>
      </c>
      <c r="E509" s="242" t="s">
        <v>714</v>
      </c>
      <c r="F509" s="165">
        <f>SUM(F500:F508)</f>
        <v>0</v>
      </c>
      <c r="G509" s="165">
        <f>SUM(G500:G508)</f>
        <v>0</v>
      </c>
      <c r="H509" s="198"/>
      <c r="I509" s="165"/>
      <c r="J509" s="165">
        <f>SUM(J500:J508)</f>
        <v>0</v>
      </c>
      <c r="K509" s="165">
        <f>SUM(K500:K508)</f>
        <v>0</v>
      </c>
      <c r="L509" s="165"/>
    </row>
    <row r="510" spans="1:12" x14ac:dyDescent="0.3">
      <c r="A510" s="39" t="s">
        <v>448</v>
      </c>
      <c r="F510" s="165"/>
      <c r="G510" s="165"/>
      <c r="H510" s="198"/>
      <c r="I510" s="165"/>
      <c r="J510" s="165"/>
      <c r="K510" s="165"/>
      <c r="L510" s="165"/>
    </row>
    <row r="511" spans="1:12" ht="27.6" x14ac:dyDescent="0.3">
      <c r="A511" s="39" t="str">
        <f t="shared" si="120"/>
        <v>Do Not Print</v>
      </c>
      <c r="C511" s="38" t="s">
        <v>588</v>
      </c>
      <c r="D511" s="6"/>
      <c r="E511" s="242" t="s">
        <v>714</v>
      </c>
      <c r="F511" s="183">
        <f>F498-F509</f>
        <v>0</v>
      </c>
      <c r="G511" s="183">
        <f>G498-G509</f>
        <v>0</v>
      </c>
      <c r="H511" s="201"/>
      <c r="I511" s="165"/>
      <c r="J511" s="165">
        <f>J498-J509</f>
        <v>0</v>
      </c>
      <c r="K511" s="165">
        <f>K498-K509</f>
        <v>0</v>
      </c>
      <c r="L511" s="165"/>
    </row>
    <row r="512" spans="1:12" ht="27.6" x14ac:dyDescent="0.3">
      <c r="A512" s="39" t="str">
        <f t="shared" ref="A512:A558" si="144">IF(AND(F512=0,G512=0),"Do Not Print","Print")</f>
        <v>Do Not Print</v>
      </c>
      <c r="C512" s="38"/>
      <c r="D512" s="6"/>
      <c r="F512" s="183"/>
      <c r="G512" s="183"/>
      <c r="H512" s="201"/>
      <c r="I512" s="165"/>
      <c r="J512" s="165"/>
      <c r="K512" s="165"/>
      <c r="L512" s="165"/>
    </row>
    <row r="513" spans="1:12" ht="27.6" x14ac:dyDescent="0.3">
      <c r="A513" s="39" t="str">
        <f t="shared" si="144"/>
        <v>Do Not Print</v>
      </c>
      <c r="C513" s="38"/>
      <c r="D513" s="6"/>
      <c r="F513" s="183"/>
      <c r="G513" s="183"/>
      <c r="H513" s="201"/>
      <c r="I513" s="165"/>
      <c r="J513" s="165"/>
      <c r="K513" s="165"/>
      <c r="L513" s="165"/>
    </row>
    <row r="514" spans="1:12" ht="27.6" x14ac:dyDescent="0.3">
      <c r="A514" s="39" t="str">
        <f t="shared" si="144"/>
        <v>Do Not Print</v>
      </c>
      <c r="B514" t="s">
        <v>2756</v>
      </c>
      <c r="C514" s="38" t="s">
        <v>2364</v>
      </c>
      <c r="D514" s="6"/>
      <c r="F514" s="183">
        <f>VLOOKUP($C514,LTCL,5,0)</f>
        <v>0</v>
      </c>
      <c r="G514" s="183">
        <f>VLOOKUP($C514,LTCL,11,0)</f>
        <v>0</v>
      </c>
      <c r="H514" s="201"/>
      <c r="I514" s="165"/>
      <c r="J514" s="165">
        <f>ROUND(F514,0)</f>
        <v>0</v>
      </c>
      <c r="K514" s="165">
        <f>ROUND(G514,0)</f>
        <v>0</v>
      </c>
      <c r="L514" s="165"/>
    </row>
    <row r="515" spans="1:12" ht="27.6" x14ac:dyDescent="0.3">
      <c r="A515" s="39" t="str">
        <f t="shared" si="144"/>
        <v>Do Not Print</v>
      </c>
      <c r="C515" s="38"/>
      <c r="D515" s="6"/>
      <c r="F515" s="183">
        <f>F514</f>
        <v>0</v>
      </c>
      <c r="G515" s="183">
        <f>G514</f>
        <v>0</v>
      </c>
      <c r="H515" s="201"/>
      <c r="I515" s="165"/>
      <c r="J515" s="165">
        <f>ROUND(F515,0)</f>
        <v>0</v>
      </c>
      <c r="K515" s="165">
        <f>ROUND(G515,0)</f>
        <v>0</v>
      </c>
      <c r="L515" s="165"/>
    </row>
    <row r="516" spans="1:12" ht="27.6" x14ac:dyDescent="0.3">
      <c r="A516" s="39" t="str">
        <f t="shared" si="144"/>
        <v>Do Not Print</v>
      </c>
      <c r="C516" s="38"/>
      <c r="D516" s="6"/>
      <c r="F516" s="183"/>
      <c r="G516" s="183"/>
      <c r="H516" s="201"/>
      <c r="I516" s="165"/>
      <c r="J516" s="165"/>
      <c r="K516" s="165"/>
      <c r="L516" s="165"/>
    </row>
    <row r="517" spans="1:12" x14ac:dyDescent="0.3">
      <c r="A517" s="39" t="s">
        <v>448</v>
      </c>
      <c r="C517" s="38" t="s">
        <v>788</v>
      </c>
      <c r="F517" s="165"/>
      <c r="G517" s="165"/>
      <c r="H517" s="198"/>
      <c r="I517" s="165"/>
      <c r="J517" s="165"/>
      <c r="K517" s="165"/>
      <c r="L517" s="165"/>
    </row>
    <row r="518" spans="1:12" ht="27.6" x14ac:dyDescent="0.3">
      <c r="A518" s="39" t="str">
        <f t="shared" si="144"/>
        <v>Do Not Print</v>
      </c>
      <c r="B518" t="s">
        <v>130</v>
      </c>
      <c r="C518" s="39" t="s">
        <v>402</v>
      </c>
      <c r="E518" s="50" t="s">
        <v>715</v>
      </c>
      <c r="F518" s="165">
        <f>'Input - BS'!O419</f>
        <v>0</v>
      </c>
      <c r="G518" s="165">
        <f>'Input - BS'!U419</f>
        <v>0</v>
      </c>
      <c r="H518" s="198"/>
      <c r="I518" s="165"/>
      <c r="J518" s="165">
        <f t="shared" ref="J518:K520" si="145">ROUND(F518,0)</f>
        <v>0</v>
      </c>
      <c r="K518" s="165">
        <f t="shared" si="145"/>
        <v>0</v>
      </c>
      <c r="L518" s="165"/>
    </row>
    <row r="519" spans="1:12" ht="27.6" x14ac:dyDescent="0.3">
      <c r="A519" s="39" t="str">
        <f t="shared" si="144"/>
        <v>Do Not Print</v>
      </c>
      <c r="B519" t="s">
        <v>130</v>
      </c>
      <c r="C519" s="39" t="s">
        <v>1557</v>
      </c>
      <c r="E519" s="50" t="s">
        <v>715</v>
      </c>
      <c r="F519" s="165">
        <f>'Non TB - Note 12 to 24'!H306</f>
        <v>0</v>
      </c>
      <c r="G519" s="165">
        <f>'Non TB - Note 12 to 24'!I306</f>
        <v>0</v>
      </c>
      <c r="H519" s="198"/>
      <c r="I519" s="165"/>
      <c r="J519" s="165">
        <f t="shared" si="145"/>
        <v>0</v>
      </c>
      <c r="K519" s="165">
        <f t="shared" si="145"/>
        <v>0</v>
      </c>
      <c r="L519" s="165"/>
    </row>
    <row r="520" spans="1:12" ht="27.6" x14ac:dyDescent="0.3">
      <c r="A520" s="39" t="str">
        <f t="shared" si="144"/>
        <v>Do Not Print</v>
      </c>
      <c r="B520" t="s">
        <v>130</v>
      </c>
      <c r="C520" s="39" t="s">
        <v>1556</v>
      </c>
      <c r="E520" s="50" t="s">
        <v>715</v>
      </c>
      <c r="F520" s="165">
        <f>'Det CIES'!P129</f>
        <v>0</v>
      </c>
      <c r="G520" s="165">
        <f>'Det CIES'!S129</f>
        <v>0</v>
      </c>
      <c r="H520" s="198"/>
      <c r="I520" s="165"/>
      <c r="J520" s="165">
        <f>ROUND(F520,0)</f>
        <v>0</v>
      </c>
      <c r="K520" s="165">
        <f t="shared" si="145"/>
        <v>0</v>
      </c>
      <c r="L520" s="165"/>
    </row>
    <row r="521" spans="1:12" ht="27.6" x14ac:dyDescent="0.3">
      <c r="A521" s="39" t="str">
        <f t="shared" si="144"/>
        <v>Do Not Print</v>
      </c>
      <c r="C521" s="38" t="s">
        <v>788</v>
      </c>
      <c r="F521" s="183">
        <f>SUM(F518:F520)</f>
        <v>0</v>
      </c>
      <c r="G521" s="183">
        <f>SUM(G518:G520)</f>
        <v>0</v>
      </c>
      <c r="H521" s="201"/>
      <c r="I521" s="165"/>
      <c r="J521" s="183">
        <f>SUM(J518:J520)</f>
        <v>0</v>
      </c>
      <c r="K521" s="183">
        <f>SUM(K518:K520)</f>
        <v>0</v>
      </c>
      <c r="L521" s="165"/>
    </row>
    <row r="522" spans="1:12" x14ac:dyDescent="0.3">
      <c r="A522" s="18" t="s">
        <v>448</v>
      </c>
      <c r="F522" s="183"/>
      <c r="G522" s="183"/>
      <c r="H522" s="201"/>
      <c r="I522" s="165"/>
      <c r="J522" s="165"/>
      <c r="K522" s="165"/>
      <c r="L522" s="165"/>
    </row>
    <row r="523" spans="1:12" ht="27.6" x14ac:dyDescent="0.3">
      <c r="A523" s="39" t="str">
        <f t="shared" si="144"/>
        <v>Do Not Print</v>
      </c>
      <c r="C523" s="38" t="s">
        <v>316</v>
      </c>
      <c r="F523" s="183"/>
      <c r="G523" s="183"/>
      <c r="H523" s="201"/>
      <c r="I523" s="165"/>
      <c r="J523" s="165"/>
      <c r="K523" s="165"/>
      <c r="L523" s="165"/>
    </row>
    <row r="524" spans="1:12" ht="27.6" x14ac:dyDescent="0.3">
      <c r="A524" s="39" t="str">
        <f t="shared" si="144"/>
        <v>Do Not Print</v>
      </c>
      <c r="C524" s="39" t="s">
        <v>402</v>
      </c>
      <c r="E524" s="50" t="s">
        <v>715</v>
      </c>
      <c r="F524" s="185">
        <f>'Input - BS'!O420</f>
        <v>0</v>
      </c>
      <c r="G524" s="185">
        <f>'Input - BS'!U420</f>
        <v>0</v>
      </c>
      <c r="H524" s="201"/>
      <c r="I524" s="165"/>
      <c r="J524" s="165">
        <f t="shared" ref="J524:K527" si="146">ROUND(F524,0)</f>
        <v>0</v>
      </c>
      <c r="K524" s="165">
        <f t="shared" si="146"/>
        <v>0</v>
      </c>
      <c r="L524" s="165"/>
    </row>
    <row r="525" spans="1:12" ht="27.6" x14ac:dyDescent="0.3">
      <c r="A525" s="39" t="str">
        <f t="shared" si="144"/>
        <v>Do Not Print</v>
      </c>
      <c r="C525" s="39" t="s">
        <v>1555</v>
      </c>
      <c r="E525" s="50" t="s">
        <v>715</v>
      </c>
      <c r="F525" s="185">
        <f>'Non TB - Note 12 to 24'!H312</f>
        <v>0</v>
      </c>
      <c r="G525" s="185">
        <f>'Non TB - Note 12 to 24'!I312</f>
        <v>0</v>
      </c>
      <c r="H525" s="201"/>
      <c r="I525" s="165"/>
      <c r="J525" s="165">
        <f t="shared" si="146"/>
        <v>0</v>
      </c>
      <c r="K525" s="165">
        <f t="shared" si="146"/>
        <v>0</v>
      </c>
      <c r="L525" s="165"/>
    </row>
    <row r="526" spans="1:12" ht="27.6" x14ac:dyDescent="0.3">
      <c r="A526" s="39" t="str">
        <f t="shared" si="144"/>
        <v>Do Not Print</v>
      </c>
      <c r="C526" s="39" t="s">
        <v>1556</v>
      </c>
      <c r="E526" s="50" t="s">
        <v>715</v>
      </c>
      <c r="F526" s="185">
        <f>'Det CIES'!P127</f>
        <v>0</v>
      </c>
      <c r="G526" s="185">
        <f>'Det CIES'!S127</f>
        <v>0</v>
      </c>
      <c r="H526" s="201"/>
      <c r="I526" s="165"/>
      <c r="J526" s="165">
        <f t="shared" si="146"/>
        <v>0</v>
      </c>
      <c r="K526" s="165">
        <f t="shared" si="146"/>
        <v>0</v>
      </c>
      <c r="L526" s="165"/>
    </row>
    <row r="527" spans="1:12" ht="27.6" x14ac:dyDescent="0.3">
      <c r="A527" s="39" t="str">
        <f t="shared" si="144"/>
        <v>Do Not Print</v>
      </c>
      <c r="C527" s="38" t="s">
        <v>316</v>
      </c>
      <c r="F527" s="183">
        <f>SUM(F524:F526)</f>
        <v>0</v>
      </c>
      <c r="G527" s="183">
        <f>SUM(G524:G526)</f>
        <v>0</v>
      </c>
      <c r="H527" s="201"/>
      <c r="I527" s="165"/>
      <c r="J527" s="183">
        <f t="shared" si="146"/>
        <v>0</v>
      </c>
      <c r="K527" s="183">
        <f t="shared" si="146"/>
        <v>0</v>
      </c>
      <c r="L527" s="165"/>
    </row>
    <row r="528" spans="1:12" x14ac:dyDescent="0.3">
      <c r="A528" s="39" t="s">
        <v>448</v>
      </c>
      <c r="F528" s="165"/>
      <c r="G528" s="165"/>
      <c r="H528" s="198"/>
      <c r="I528" s="165"/>
      <c r="J528" s="165"/>
      <c r="K528" s="165"/>
      <c r="L528" s="165"/>
    </row>
    <row r="529" spans="1:12" ht="27.6" x14ac:dyDescent="0.3">
      <c r="A529" s="39" t="str">
        <f t="shared" si="144"/>
        <v>Do Not Print</v>
      </c>
      <c r="C529" s="38" t="s">
        <v>389</v>
      </c>
      <c r="D529" s="6"/>
      <c r="F529" s="183">
        <f>F444+F458+F481+F511+F521+F527+F515</f>
        <v>0</v>
      </c>
      <c r="G529" s="183">
        <f>G444+G458+G481+G511+G521+G527+G515</f>
        <v>0</v>
      </c>
      <c r="H529" s="201"/>
      <c r="I529" s="165"/>
      <c r="J529" s="183">
        <f>ROUND(F529,0)</f>
        <v>0</v>
      </c>
      <c r="K529" s="183">
        <f>ROUND(G529,0)</f>
        <v>0</v>
      </c>
      <c r="L529" s="165"/>
    </row>
    <row r="530" spans="1:12" x14ac:dyDescent="0.3">
      <c r="A530" s="39" t="s">
        <v>448</v>
      </c>
      <c r="C530" s="38"/>
      <c r="D530" s="6"/>
      <c r="F530" s="183"/>
      <c r="G530" s="183"/>
      <c r="H530" s="201"/>
      <c r="I530" s="165"/>
      <c r="J530" s="165"/>
      <c r="K530" s="165"/>
      <c r="L530" s="165"/>
    </row>
    <row r="531" spans="1:12" ht="27.6" x14ac:dyDescent="0.3">
      <c r="A531" s="39" t="str">
        <f t="shared" si="144"/>
        <v>Do Not Print</v>
      </c>
      <c r="C531" s="45" t="s">
        <v>590</v>
      </c>
      <c r="D531" s="14"/>
      <c r="E531" s="244"/>
      <c r="F531" s="197">
        <f>F322+F386-F436-F529</f>
        <v>0</v>
      </c>
      <c r="G531" s="197">
        <f>G322+G386-G436-G529</f>
        <v>0</v>
      </c>
      <c r="H531" s="202"/>
      <c r="I531" s="165"/>
      <c r="J531" s="183">
        <f>J322+J386-J436-J529</f>
        <v>0</v>
      </c>
      <c r="K531" s="183">
        <f>K322+K386-K436-K529</f>
        <v>0</v>
      </c>
      <c r="L531" s="165"/>
    </row>
    <row r="532" spans="1:12" x14ac:dyDescent="0.3">
      <c r="A532" s="39" t="s">
        <v>448</v>
      </c>
      <c r="F532" s="165"/>
      <c r="G532" s="165"/>
      <c r="H532" s="198"/>
      <c r="I532" s="165"/>
      <c r="J532" s="165"/>
      <c r="K532" s="165"/>
      <c r="L532" s="165"/>
    </row>
    <row r="533" spans="1:12" x14ac:dyDescent="0.3">
      <c r="A533" s="39" t="s">
        <v>448</v>
      </c>
      <c r="C533" s="38" t="s">
        <v>1497</v>
      </c>
      <c r="D533" s="6"/>
      <c r="F533" s="165"/>
      <c r="G533" s="165"/>
      <c r="H533" s="198"/>
      <c r="I533" s="165"/>
      <c r="J533" s="165"/>
      <c r="K533" s="165"/>
      <c r="L533" s="165"/>
    </row>
    <row r="534" spans="1:12" ht="27.6" x14ac:dyDescent="0.3">
      <c r="A534" s="39" t="str">
        <f t="shared" si="144"/>
        <v>Do Not Print</v>
      </c>
      <c r="B534" t="s">
        <v>131</v>
      </c>
      <c r="C534" s="39" t="s">
        <v>421</v>
      </c>
      <c r="E534" s="50" t="s">
        <v>1558</v>
      </c>
      <c r="F534" s="165">
        <f>VLOOKUP($C534,ACRR,6,0)</f>
        <v>0</v>
      </c>
      <c r="G534" s="165">
        <f>VLOOKUP($C534,ACRR,12,0)</f>
        <v>0</v>
      </c>
      <c r="H534" s="198"/>
      <c r="I534" s="165"/>
      <c r="J534" s="165">
        <f t="shared" ref="J534:K538" si="147">ROUND(F534,0)</f>
        <v>0</v>
      </c>
      <c r="K534" s="165">
        <f t="shared" si="147"/>
        <v>0</v>
      </c>
      <c r="L534" s="165"/>
    </row>
    <row r="535" spans="1:12" ht="27.6" x14ac:dyDescent="0.3">
      <c r="A535" s="39" t="str">
        <f t="shared" si="144"/>
        <v>Do Not Print</v>
      </c>
      <c r="B535" t="s">
        <v>132</v>
      </c>
      <c r="C535" s="39" t="s">
        <v>422</v>
      </c>
      <c r="E535" s="50" t="s">
        <v>1558</v>
      </c>
      <c r="F535" s="185">
        <f>VLOOKUP($C535,ACGU,6,0)</f>
        <v>0</v>
      </c>
      <c r="G535" s="165">
        <f>VLOOKUP($C535,ACGU,12,0)</f>
        <v>0</v>
      </c>
      <c r="H535" s="203"/>
      <c r="I535" s="187"/>
      <c r="J535" s="165">
        <f t="shared" si="147"/>
        <v>0</v>
      </c>
      <c r="K535" s="165">
        <f t="shared" si="147"/>
        <v>0</v>
      </c>
      <c r="L535" s="165"/>
    </row>
    <row r="536" spans="1:12" ht="27.6" x14ac:dyDescent="0.3">
      <c r="A536" s="39" t="str">
        <f t="shared" si="144"/>
        <v>Do Not Print</v>
      </c>
      <c r="B536" t="s">
        <v>133</v>
      </c>
      <c r="C536" s="39" t="s">
        <v>423</v>
      </c>
      <c r="E536" s="50" t="s">
        <v>1558</v>
      </c>
      <c r="F536" s="165">
        <f>VLOOKUP($C536,ACFR,6,0)</f>
        <v>0</v>
      </c>
      <c r="G536" s="165">
        <f>VLOOKUP($C536,ACFR,12,0)</f>
        <v>0</v>
      </c>
      <c r="H536" s="198"/>
      <c r="I536" s="165"/>
      <c r="J536" s="165">
        <f t="shared" si="147"/>
        <v>0</v>
      </c>
      <c r="K536" s="165">
        <f t="shared" si="147"/>
        <v>0</v>
      </c>
      <c r="L536" s="165"/>
    </row>
    <row r="537" spans="1:12" ht="27.6" x14ac:dyDescent="0.3">
      <c r="A537" s="39" t="str">
        <f t="shared" si="144"/>
        <v>Do Not Print</v>
      </c>
      <c r="B537" t="s">
        <v>134</v>
      </c>
      <c r="C537" s="39" t="s">
        <v>424</v>
      </c>
      <c r="E537" s="50" t="s">
        <v>1558</v>
      </c>
      <c r="F537" s="165">
        <f>VLOOKUP($C537,ARRR,6,0)</f>
        <v>0</v>
      </c>
      <c r="G537" s="165">
        <f>VLOOKUP($C537,ARRR,12,0)</f>
        <v>0</v>
      </c>
      <c r="H537" s="198"/>
      <c r="I537" s="165"/>
      <c r="J537" s="165">
        <f t="shared" si="147"/>
        <v>0</v>
      </c>
      <c r="K537" s="165">
        <f t="shared" si="147"/>
        <v>0</v>
      </c>
      <c r="L537" s="165"/>
    </row>
    <row r="538" spans="1:12" ht="27.6" x14ac:dyDescent="0.3">
      <c r="A538" s="39" t="str">
        <f t="shared" si="144"/>
        <v>Do Not Print</v>
      </c>
      <c r="B538" t="s">
        <v>135</v>
      </c>
      <c r="C538" s="39" t="s">
        <v>425</v>
      </c>
      <c r="E538" s="50" t="s">
        <v>1558</v>
      </c>
      <c r="F538" s="165">
        <f>VLOOKUP($C538,AOTR,6,0)</f>
        <v>0</v>
      </c>
      <c r="G538" s="165">
        <f>VLOOKUP($C538,AOTR,12,0)</f>
        <v>0</v>
      </c>
      <c r="H538" s="198"/>
      <c r="I538" s="165"/>
      <c r="J538" s="165">
        <f t="shared" si="147"/>
        <v>0</v>
      </c>
      <c r="K538" s="165">
        <f t="shared" si="147"/>
        <v>0</v>
      </c>
      <c r="L538" s="165"/>
    </row>
    <row r="539" spans="1:12" ht="27.6" x14ac:dyDescent="0.3">
      <c r="A539" s="39" t="str">
        <f t="shared" si="144"/>
        <v>Do Not Print</v>
      </c>
      <c r="B539" t="s">
        <v>136</v>
      </c>
      <c r="C539" s="39" t="s">
        <v>426</v>
      </c>
      <c r="E539" s="50" t="s">
        <v>1558</v>
      </c>
      <c r="F539" s="185">
        <f>VLOOKUP($C539,AGNF,6,0)</f>
        <v>0</v>
      </c>
      <c r="G539" s="165">
        <f>VLOOKUP($C539,AGNF,12,0)</f>
        <v>0</v>
      </c>
      <c r="H539" s="198"/>
      <c r="I539" s="187"/>
      <c r="J539" s="165">
        <f>ROUND(F539,0)</f>
        <v>0</v>
      </c>
      <c r="K539" s="165">
        <f>ROUND(G539,0)</f>
        <v>0</v>
      </c>
      <c r="L539" s="165"/>
    </row>
    <row r="540" spans="1:12" x14ac:dyDescent="0.3">
      <c r="A540" s="39" t="s">
        <v>448</v>
      </c>
      <c r="B540" t="s">
        <v>1836</v>
      </c>
      <c r="C540" s="39" t="s">
        <v>1834</v>
      </c>
      <c r="E540" s="50" t="s">
        <v>1558</v>
      </c>
      <c r="F540" s="185">
        <f>VLOOKUP($C540,AOUR,6,0)</f>
        <v>0</v>
      </c>
      <c r="G540" s="165">
        <f>VLOOKUP($C540,AOUR,12,0)</f>
        <v>0</v>
      </c>
      <c r="H540" s="198"/>
      <c r="I540" s="165"/>
      <c r="J540" s="165">
        <f>ROUND(F540,0)</f>
        <v>0</v>
      </c>
      <c r="K540" s="165">
        <f>ROUND(G540,0)</f>
        <v>0</v>
      </c>
      <c r="L540" s="165"/>
    </row>
    <row r="541" spans="1:12" ht="27.6" x14ac:dyDescent="0.3">
      <c r="A541" s="39" t="str">
        <f t="shared" si="144"/>
        <v>Do Not Print</v>
      </c>
      <c r="F541" s="183">
        <f>SUM(F534:F540)</f>
        <v>0</v>
      </c>
      <c r="G541" s="183">
        <f>SUM(G534:G540)</f>
        <v>0</v>
      </c>
      <c r="H541" s="201"/>
      <c r="I541" s="165"/>
      <c r="J541" s="183">
        <f>SUM(J534:J540)</f>
        <v>0</v>
      </c>
      <c r="K541" s="183">
        <f>SUM(K534:K540)</f>
        <v>0</v>
      </c>
      <c r="L541" s="165"/>
    </row>
    <row r="542" spans="1:12" ht="27.6" x14ac:dyDescent="0.3">
      <c r="A542" s="39" t="str">
        <f t="shared" si="144"/>
        <v>Do Not Print</v>
      </c>
      <c r="F542" s="183"/>
      <c r="G542" s="183"/>
      <c r="H542" s="201"/>
      <c r="I542" s="165"/>
      <c r="J542" s="165"/>
      <c r="K542" s="165"/>
      <c r="L542" s="165"/>
    </row>
    <row r="543" spans="1:12" ht="27.6" x14ac:dyDescent="0.3">
      <c r="A543" s="39" t="str">
        <f t="shared" si="144"/>
        <v>Do Not Print</v>
      </c>
      <c r="F543" s="183"/>
      <c r="G543" s="183"/>
      <c r="H543" s="201"/>
      <c r="I543" s="165"/>
      <c r="J543" s="165"/>
      <c r="K543" s="165"/>
      <c r="L543" s="165"/>
    </row>
    <row r="544" spans="1:12" x14ac:dyDescent="0.3">
      <c r="A544" s="39" t="s">
        <v>448</v>
      </c>
      <c r="C544" s="38" t="s">
        <v>1498</v>
      </c>
      <c r="D544" s="6"/>
      <c r="F544" s="165"/>
      <c r="G544" s="165"/>
      <c r="H544" s="198"/>
      <c r="I544" s="165"/>
      <c r="J544" s="165"/>
      <c r="K544" s="165"/>
      <c r="L544" s="165"/>
    </row>
    <row r="545" spans="1:12" ht="27.6" x14ac:dyDescent="0.3">
      <c r="A545" s="39" t="str">
        <f t="shared" si="144"/>
        <v>Do Not Print</v>
      </c>
      <c r="B545" t="s">
        <v>137</v>
      </c>
      <c r="C545" s="39" t="s">
        <v>428</v>
      </c>
      <c r="E545" s="50" t="s">
        <v>1558</v>
      </c>
      <c r="F545" s="165">
        <f>VLOOKUP($C545,BCAA,6,0)</f>
        <v>0</v>
      </c>
      <c r="G545" s="165">
        <f>VLOOKUP($C545,BCAA,12,0)</f>
        <v>0</v>
      </c>
      <c r="H545" s="198"/>
      <c r="I545" s="165"/>
      <c r="J545" s="165">
        <f t="shared" ref="J545:J553" si="148">ROUND(F545,0)</f>
        <v>0</v>
      </c>
      <c r="K545" s="165">
        <f t="shared" ref="K545:K553" si="149">ROUND(G545,0)</f>
        <v>0</v>
      </c>
      <c r="L545" s="165"/>
    </row>
    <row r="546" spans="1:12" ht="27.6" x14ac:dyDescent="0.3">
      <c r="A546" s="39" t="str">
        <f t="shared" si="144"/>
        <v>Do Not Print</v>
      </c>
      <c r="B546" t="s">
        <v>138</v>
      </c>
      <c r="C546" s="39" t="s">
        <v>429</v>
      </c>
      <c r="E546" s="50" t="s">
        <v>1558</v>
      </c>
      <c r="F546" s="165">
        <f>VLOOKUP($C546,BFIA,6,0)</f>
        <v>0</v>
      </c>
      <c r="G546" s="165">
        <f>VLOOKUP($C546,BFIA,12,0)</f>
        <v>0</v>
      </c>
      <c r="H546" s="198"/>
      <c r="I546" s="165"/>
      <c r="J546" s="165">
        <f t="shared" si="148"/>
        <v>0</v>
      </c>
      <c r="K546" s="165">
        <f t="shared" si="149"/>
        <v>0</v>
      </c>
      <c r="L546" s="165"/>
    </row>
    <row r="547" spans="1:12" ht="27.6" x14ac:dyDescent="0.3">
      <c r="A547" s="39" t="str">
        <f t="shared" si="144"/>
        <v>Do Not Print</v>
      </c>
      <c r="B547" t="s">
        <v>139</v>
      </c>
      <c r="C547" s="39" t="s">
        <v>430</v>
      </c>
      <c r="E547" s="50" t="s">
        <v>1558</v>
      </c>
      <c r="F547" s="165">
        <f>VLOOKUP($C547,BRVR,6,0)</f>
        <v>0</v>
      </c>
      <c r="G547" s="165">
        <f>VLOOKUP($C547,BRVR,12,0)</f>
        <v>0</v>
      </c>
      <c r="H547" s="198"/>
      <c r="I547" s="165"/>
      <c r="J547" s="165">
        <f t="shared" si="148"/>
        <v>0</v>
      </c>
      <c r="K547" s="165">
        <f t="shared" si="149"/>
        <v>0</v>
      </c>
      <c r="L547" s="165"/>
    </row>
    <row r="548" spans="1:12" ht="27.6" x14ac:dyDescent="0.3">
      <c r="A548" s="39" t="str">
        <f t="shared" si="144"/>
        <v>Do Not Print</v>
      </c>
      <c r="B548" t="s">
        <v>140</v>
      </c>
      <c r="C548" s="39" t="s">
        <v>431</v>
      </c>
      <c r="E548" s="50" t="s">
        <v>1558</v>
      </c>
      <c r="F548" s="165">
        <f>VLOOKUP($C548,BFIR,6,0)</f>
        <v>0</v>
      </c>
      <c r="G548" s="165">
        <f>VLOOKUP($C548,BFIR,12,0)</f>
        <v>0</v>
      </c>
      <c r="H548" s="198"/>
      <c r="I548" s="165"/>
      <c r="J548" s="165">
        <f t="shared" si="148"/>
        <v>0</v>
      </c>
      <c r="K548" s="165">
        <f t="shared" si="149"/>
        <v>0</v>
      </c>
      <c r="L548" s="165"/>
    </row>
    <row r="549" spans="1:12" ht="27.6" x14ac:dyDescent="0.3">
      <c r="A549" s="39" t="str">
        <f t="shared" ref="A549" si="150">IF(AND(F549=0,G549=0),"Do Not Print","Print")</f>
        <v>Do Not Print</v>
      </c>
      <c r="B549" t="s">
        <v>2770</v>
      </c>
      <c r="C549" s="39" t="s">
        <v>2769</v>
      </c>
      <c r="E549" s="50" t="s">
        <v>1558</v>
      </c>
      <c r="F549" s="165">
        <f>VLOOKUP($C549,BFIRR,6,0)</f>
        <v>0</v>
      </c>
      <c r="G549" s="165">
        <f>VLOOKUP($C549,BFIRR,12,0)</f>
        <v>0</v>
      </c>
      <c r="H549" s="198"/>
      <c r="I549" s="165"/>
      <c r="J549" s="165">
        <f t="shared" ref="J549" si="151">ROUND(F549,0)</f>
        <v>0</v>
      </c>
      <c r="K549" s="165">
        <f t="shared" ref="K549" si="152">ROUND(G549,0)</f>
        <v>0</v>
      </c>
      <c r="L549" s="165"/>
    </row>
    <row r="550" spans="1:12" ht="27.6" x14ac:dyDescent="0.3">
      <c r="A550" s="39" t="str">
        <f t="shared" si="144"/>
        <v>Do Not Print</v>
      </c>
      <c r="B550" t="s">
        <v>141</v>
      </c>
      <c r="C550" s="39" t="s">
        <v>432</v>
      </c>
      <c r="E550" s="50" t="s">
        <v>1558</v>
      </c>
      <c r="F550" s="165">
        <f>VLOOKUP($C550,BPER,6,0)</f>
        <v>0</v>
      </c>
      <c r="G550" s="165">
        <f>VLOOKUP($C550,BPER,12,0)</f>
        <v>0</v>
      </c>
      <c r="H550" s="198"/>
      <c r="I550" s="165"/>
      <c r="J550" s="165">
        <f t="shared" si="148"/>
        <v>0</v>
      </c>
      <c r="K550" s="165">
        <f t="shared" si="149"/>
        <v>0</v>
      </c>
      <c r="L550" s="165"/>
    </row>
    <row r="551" spans="1:12" ht="27.6" x14ac:dyDescent="0.3">
      <c r="A551" s="39" t="str">
        <f t="shared" si="144"/>
        <v>Do Not Print</v>
      </c>
      <c r="B551" t="s">
        <v>142</v>
      </c>
      <c r="C551" s="39" t="s">
        <v>433</v>
      </c>
      <c r="E551" s="50" t="s">
        <v>1558</v>
      </c>
      <c r="F551" s="165">
        <f>VLOOKUP($C551,BCRD,6,0)</f>
        <v>0</v>
      </c>
      <c r="G551" s="165">
        <f>VLOOKUP($C551,BCRD,12,0)</f>
        <v>0</v>
      </c>
      <c r="H551" s="198"/>
      <c r="I551" s="165"/>
      <c r="J551" s="165">
        <f t="shared" si="148"/>
        <v>0</v>
      </c>
      <c r="K551" s="165">
        <f t="shared" si="149"/>
        <v>0</v>
      </c>
      <c r="L551" s="165"/>
    </row>
    <row r="552" spans="1:12" ht="27.6" x14ac:dyDescent="0.3">
      <c r="A552" s="39" t="str">
        <f t="shared" si="144"/>
        <v>Do Not Print</v>
      </c>
      <c r="B552" t="s">
        <v>143</v>
      </c>
      <c r="C552" s="39" t="s">
        <v>434</v>
      </c>
      <c r="E552" s="50" t="s">
        <v>1558</v>
      </c>
      <c r="F552" s="165">
        <f>VLOOKUP($C552,BAAA,6,0)</f>
        <v>0</v>
      </c>
      <c r="G552" s="165">
        <f>VLOOKUP($C552,BAAA,12,0)</f>
        <v>0</v>
      </c>
      <c r="H552" s="198"/>
      <c r="I552" s="165"/>
      <c r="J552" s="165">
        <f t="shared" si="148"/>
        <v>0</v>
      </c>
      <c r="K552" s="165">
        <f t="shared" si="149"/>
        <v>0</v>
      </c>
      <c r="L552" s="165"/>
    </row>
    <row r="553" spans="1:12" ht="27.6" x14ac:dyDescent="0.3">
      <c r="A553" s="39" t="str">
        <f t="shared" si="144"/>
        <v>Do Not Print</v>
      </c>
      <c r="B553" t="s">
        <v>963</v>
      </c>
      <c r="C553" s="39" t="s">
        <v>328</v>
      </c>
      <c r="E553" s="50" t="s">
        <v>1558</v>
      </c>
      <c r="F553" s="165">
        <f>VLOOKUP($C553,BLRR,6,0)</f>
        <v>0</v>
      </c>
      <c r="G553" s="165">
        <f>VLOOKUP($C553,BLRR,12,0)</f>
        <v>0</v>
      </c>
      <c r="H553" s="198"/>
      <c r="I553" s="165"/>
      <c r="J553" s="165">
        <f t="shared" si="148"/>
        <v>0</v>
      </c>
      <c r="K553" s="165">
        <f t="shared" si="149"/>
        <v>0</v>
      </c>
      <c r="L553" s="165"/>
    </row>
    <row r="554" spans="1:12" ht="27.6" x14ac:dyDescent="0.3">
      <c r="A554" s="39" t="str">
        <f t="shared" si="144"/>
        <v>Do Not Print</v>
      </c>
      <c r="B554" t="s">
        <v>964</v>
      </c>
      <c r="C554" s="39" t="s">
        <v>965</v>
      </c>
      <c r="E554" s="50" t="s">
        <v>1558</v>
      </c>
      <c r="F554" s="165">
        <f>VLOOKUP($C554,BPDR,6,0)</f>
        <v>0</v>
      </c>
      <c r="G554" s="165">
        <f>VLOOKUP($C554,BPDR,12,0)</f>
        <v>0</v>
      </c>
      <c r="H554" s="198"/>
      <c r="I554" s="165"/>
      <c r="J554" s="165">
        <f>ROUND(F554,0)</f>
        <v>0</v>
      </c>
      <c r="K554" s="165">
        <f>ROUND(G554,0)</f>
        <v>0</v>
      </c>
      <c r="L554" s="165"/>
    </row>
    <row r="555" spans="1:12" x14ac:dyDescent="0.3">
      <c r="A555" s="39" t="s">
        <v>448</v>
      </c>
      <c r="F555" s="165"/>
      <c r="G555" s="165"/>
      <c r="H555" s="198"/>
      <c r="I555" s="165"/>
      <c r="J555" s="165"/>
      <c r="K555" s="165"/>
      <c r="L555" s="165"/>
    </row>
    <row r="556" spans="1:12" x14ac:dyDescent="0.3">
      <c r="A556" s="39" t="s">
        <v>448</v>
      </c>
      <c r="F556" s="183">
        <f>SUM(F545:F555)</f>
        <v>0</v>
      </c>
      <c r="G556" s="183">
        <f>SUM(G545:G555)</f>
        <v>0</v>
      </c>
      <c r="H556" s="201"/>
      <c r="I556" s="165"/>
      <c r="J556" s="183">
        <f>SUM(J545:J555)</f>
        <v>0</v>
      </c>
      <c r="K556" s="183">
        <f>SUM(K545:K555)</f>
        <v>0</v>
      </c>
      <c r="L556" s="165"/>
    </row>
    <row r="557" spans="1:12" x14ac:dyDescent="0.3">
      <c r="A557" s="39" t="s">
        <v>448</v>
      </c>
      <c r="F557" s="165"/>
      <c r="G557" s="165"/>
      <c r="H557" s="198"/>
      <c r="I557" s="165"/>
      <c r="J557" s="183"/>
      <c r="K557" s="183"/>
      <c r="L557" s="165"/>
    </row>
    <row r="558" spans="1:12" ht="27.6" x14ac:dyDescent="0.3">
      <c r="A558" s="39" t="str">
        <f t="shared" si="144"/>
        <v>Do Not Print</v>
      </c>
      <c r="C558" s="45" t="s">
        <v>1643</v>
      </c>
      <c r="D558" s="14"/>
      <c r="E558" s="244"/>
      <c r="F558" s="197">
        <f>F541+F556</f>
        <v>0</v>
      </c>
      <c r="G558" s="197">
        <f>G541+G556</f>
        <v>0</v>
      </c>
      <c r="H558" s="202"/>
      <c r="I558" s="165"/>
      <c r="J558" s="183">
        <f>J541+J556</f>
        <v>0</v>
      </c>
      <c r="K558" s="183">
        <f>K541+K556</f>
        <v>0</v>
      </c>
      <c r="L558" s="165"/>
    </row>
    <row r="562" spans="3:12" x14ac:dyDescent="0.3">
      <c r="C562" s="44"/>
    </row>
    <row r="563" spans="3:12" x14ac:dyDescent="0.3">
      <c r="J563" s="16"/>
      <c r="K563" s="16"/>
      <c r="L563" s="7"/>
    </row>
  </sheetData>
  <autoFilter ref="A5:C558" xr:uid="{00000000-0009-0000-0000-000010000000}"/>
  <phoneticPr fontId="9" type="noConversion"/>
  <conditionalFormatting sqref="J282:K283 J289:K295 J324:K324 L333:L339 J333:K340 J360:K360 J387:K387 J392:K392 J409:K409 J437:K437 J445:K445 J530:K530 J560:K560">
    <cfRule type="cellIs" dxfId="5" priority="3" stopIfTrue="1" operator="notEqual">
      <formula>0</formula>
    </cfRule>
  </conditionalFormatting>
  <conditionalFormatting sqref="J511:K511">
    <cfRule type="cellIs" dxfId="4" priority="2" stopIfTrue="1" operator="notEqual">
      <formula>-J550</formula>
    </cfRule>
  </conditionalFormatting>
  <pageMargins left="0.75" right="0.75" top="1" bottom="1" header="0.5" footer="0.5"/>
  <pageSetup paperSize="9" scale="90" fitToHeight="3" orientation="portrait" r:id="rId1"/>
  <headerFooter alignWithMargins="0"/>
  <rowBreaks count="1" manualBreakCount="1">
    <brk id="331" min="2" max="6" man="1"/>
  </rowBreaks>
  <ignoredErrors>
    <ignoredError sqref="J367"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7:L999"/>
  <sheetViews>
    <sheetView topLeftCell="A28" zoomScaleNormal="100" zoomScaleSheetLayoutView="80" workbookViewId="0">
      <selection activeCell="O28" sqref="O28"/>
    </sheetView>
  </sheetViews>
  <sheetFormatPr defaultRowHeight="13.8" x14ac:dyDescent="0.3"/>
  <sheetData>
    <row r="7" spans="4:4" x14ac:dyDescent="0.3">
      <c r="D7">
        <v>3</v>
      </c>
    </row>
    <row r="9" spans="4:4" x14ac:dyDescent="0.3">
      <c r="D9">
        <v>9</v>
      </c>
    </row>
    <row r="23" spans="3:3" x14ac:dyDescent="0.3">
      <c r="C23" s="401"/>
    </row>
    <row r="31" spans="3:3" x14ac:dyDescent="0.3">
      <c r="C31" s="401"/>
    </row>
    <row r="39" spans="1:12" ht="23.4" x14ac:dyDescent="0.45">
      <c r="A39" s="1498" t="str">
        <f>'Standing Data'!D4</f>
        <v>NAME OF COUNCIL</v>
      </c>
      <c r="B39" s="1498"/>
      <c r="C39" s="1498"/>
      <c r="D39" s="1498"/>
      <c r="E39" s="1498"/>
      <c r="F39" s="1498"/>
      <c r="G39" s="1498"/>
      <c r="H39" s="1498"/>
      <c r="I39" s="1498"/>
      <c r="J39" s="1498"/>
      <c r="K39" s="1498"/>
      <c r="L39" s="1498"/>
    </row>
    <row r="41" spans="1:12" ht="23.4" x14ac:dyDescent="0.45">
      <c r="A41" s="1498" t="str">
        <f>CONCATENATE("For the year ended ",'Standing Data'!D40)</f>
        <v>For the year ended 31st March 2026</v>
      </c>
      <c r="B41" s="1498"/>
      <c r="C41" s="1498"/>
      <c r="D41" s="1498"/>
      <c r="E41" s="1498"/>
      <c r="F41" s="1498"/>
      <c r="G41" s="1498"/>
      <c r="H41" s="1498"/>
      <c r="I41" s="1498"/>
      <c r="J41" s="1498"/>
      <c r="K41" s="1498"/>
      <c r="L41" s="1498"/>
    </row>
    <row r="79" spans="7:9" x14ac:dyDescent="0.3">
      <c r="G79" s="242"/>
      <c r="H79" s="242"/>
      <c r="I79" s="242"/>
    </row>
    <row r="144" spans="7:8" x14ac:dyDescent="0.3">
      <c r="G144" s="242"/>
      <c r="H144" s="242"/>
    </row>
    <row r="416" spans="8:11" x14ac:dyDescent="0.3">
      <c r="H416" s="165"/>
      <c r="I416" s="165"/>
      <c r="J416" s="165"/>
      <c r="K416" s="165"/>
    </row>
    <row r="417" spans="8:11" x14ac:dyDescent="0.3">
      <c r="H417" s="165"/>
      <c r="I417" s="165"/>
      <c r="J417" s="165"/>
      <c r="K417" s="165"/>
    </row>
    <row r="418" spans="8:11" x14ac:dyDescent="0.3">
      <c r="H418" s="165"/>
      <c r="I418" s="165"/>
      <c r="J418" s="165"/>
      <c r="K418" s="165"/>
    </row>
    <row r="419" spans="8:11" x14ac:dyDescent="0.3">
      <c r="H419" s="165"/>
      <c r="I419" s="165"/>
      <c r="J419" s="165"/>
      <c r="K419" s="165"/>
    </row>
    <row r="420" spans="8:11" x14ac:dyDescent="0.3">
      <c r="H420" s="165"/>
      <c r="I420" s="165"/>
      <c r="J420" s="165"/>
      <c r="K420" s="165"/>
    </row>
    <row r="426" spans="8:11" x14ac:dyDescent="0.3">
      <c r="H426" s="165"/>
      <c r="I426" s="165"/>
      <c r="J426" s="165"/>
      <c r="K426" s="165"/>
    </row>
    <row r="427" spans="8:11" x14ac:dyDescent="0.3">
      <c r="H427" s="165"/>
      <c r="I427" s="165"/>
      <c r="J427" s="165"/>
      <c r="K427" s="165"/>
    </row>
    <row r="428" spans="8:11" x14ac:dyDescent="0.3">
      <c r="H428" s="165"/>
      <c r="I428" s="165"/>
      <c r="J428" s="165"/>
      <c r="K428" s="165"/>
    </row>
    <row r="429" spans="8:11" x14ac:dyDescent="0.3">
      <c r="H429" s="165"/>
      <c r="I429" s="165"/>
      <c r="J429" s="165"/>
      <c r="K429" s="165"/>
    </row>
    <row r="430" spans="8:11" x14ac:dyDescent="0.3">
      <c r="H430" s="165"/>
      <c r="I430" s="165"/>
      <c r="J430" s="165"/>
      <c r="K430" s="165"/>
    </row>
    <row r="431" spans="8:11" x14ac:dyDescent="0.3">
      <c r="H431" s="165"/>
      <c r="I431" s="165"/>
      <c r="J431" s="165"/>
      <c r="K431" s="165"/>
    </row>
    <row r="432" spans="8:11" x14ac:dyDescent="0.3">
      <c r="H432" s="165"/>
      <c r="I432" s="165"/>
      <c r="J432" s="165"/>
      <c r="K432" s="165"/>
    </row>
    <row r="433" spans="8:11" x14ac:dyDescent="0.3">
      <c r="H433" s="165"/>
      <c r="I433" s="165"/>
      <c r="J433" s="165"/>
      <c r="K433" s="165"/>
    </row>
    <row r="434" spans="8:11" x14ac:dyDescent="0.3">
      <c r="H434" s="165"/>
      <c r="I434" s="165"/>
      <c r="J434" s="165"/>
      <c r="K434" s="165"/>
    </row>
    <row r="435" spans="8:11" x14ac:dyDescent="0.3">
      <c r="H435" s="165"/>
      <c r="I435" s="165"/>
      <c r="J435" s="165"/>
      <c r="K435" s="165"/>
    </row>
    <row r="436" spans="8:11" x14ac:dyDescent="0.3">
      <c r="H436" s="165"/>
      <c r="I436" s="165"/>
      <c r="J436" s="165"/>
      <c r="K436" s="165"/>
    </row>
    <row r="437" spans="8:11" x14ac:dyDescent="0.3">
      <c r="H437" s="165"/>
      <c r="I437" s="165"/>
      <c r="J437" s="165"/>
      <c r="K437" s="165"/>
    </row>
    <row r="438" spans="8:11" x14ac:dyDescent="0.3">
      <c r="H438" s="165"/>
      <c r="I438" s="165"/>
      <c r="J438" s="165"/>
      <c r="K438" s="165"/>
    </row>
    <row r="482" spans="7:11" x14ac:dyDescent="0.3">
      <c r="G482" s="165"/>
      <c r="H482" s="165"/>
      <c r="I482" s="165"/>
      <c r="J482" s="165"/>
      <c r="K482" s="165"/>
    </row>
    <row r="483" spans="7:11" x14ac:dyDescent="0.3">
      <c r="G483" s="165"/>
      <c r="H483" s="165"/>
      <c r="I483" s="165"/>
      <c r="J483" s="165"/>
      <c r="K483" s="165"/>
    </row>
    <row r="484" spans="7:11" x14ac:dyDescent="0.3">
      <c r="G484" s="165"/>
      <c r="H484" s="165"/>
      <c r="I484" s="165"/>
      <c r="J484" s="165"/>
      <c r="K484" s="165"/>
    </row>
    <row r="650" spans="4:11" x14ac:dyDescent="0.3">
      <c r="D650" s="893"/>
    </row>
    <row r="651" spans="4:11" x14ac:dyDescent="0.3">
      <c r="D651" s="893"/>
    </row>
    <row r="652" spans="4:11" x14ac:dyDescent="0.3">
      <c r="D652" s="893"/>
    </row>
    <row r="653" spans="4:11" x14ac:dyDescent="0.3">
      <c r="D653" s="893"/>
    </row>
    <row r="654" spans="4:11" x14ac:dyDescent="0.3">
      <c r="D654" s="1499"/>
      <c r="E654" s="1499"/>
      <c r="F654" s="1499"/>
      <c r="G654" s="1499"/>
      <c r="H654" s="1499"/>
      <c r="I654" s="1499"/>
      <c r="J654" s="1499"/>
      <c r="K654" s="1499"/>
    </row>
    <row r="904" spans="11:11" x14ac:dyDescent="0.3">
      <c r="K904">
        <f>J884</f>
        <v>0</v>
      </c>
    </row>
    <row r="999" spans="9:11" x14ac:dyDescent="0.3">
      <c r="I999" s="101">
        <v>42825</v>
      </c>
      <c r="J999" s="101">
        <v>42460</v>
      </c>
      <c r="K999" s="101"/>
    </row>
  </sheetData>
  <mergeCells count="3">
    <mergeCell ref="A39:L39"/>
    <mergeCell ref="A41:L41"/>
    <mergeCell ref="D654:K654"/>
  </mergeCells>
  <pageMargins left="0.70866141732283472" right="0.70866141732283472" top="0.74803149606299213" bottom="0.74803149606299213" header="0.31496062992125984" footer="0.31496062992125984"/>
  <pageSetup paperSize="9" scale="82" firstPageNumber="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K1008"/>
  <sheetViews>
    <sheetView tabSelected="1" zoomScaleNormal="100" zoomScaleSheetLayoutView="80" workbookViewId="0">
      <selection activeCell="C59" sqref="C59"/>
    </sheetView>
  </sheetViews>
  <sheetFormatPr defaultColWidth="9.109375" defaultRowHeight="13.2" x14ac:dyDescent="0.25"/>
  <cols>
    <col min="1" max="1" width="2.33203125" style="401" customWidth="1"/>
    <col min="2" max="2" width="9.6640625" style="485" customWidth="1"/>
    <col min="3" max="3" width="49.6640625" style="478" customWidth="1"/>
    <col min="4" max="4" width="19.109375" style="421" customWidth="1"/>
    <col min="5" max="12" width="9.109375" style="401"/>
    <col min="13" max="13" width="3.5546875" style="401" bestFit="1" customWidth="1"/>
    <col min="14" max="16384" width="9.109375" style="401"/>
  </cols>
  <sheetData>
    <row r="2" spans="2:5" s="665" customFormat="1" ht="17.399999999999999" x14ac:dyDescent="0.3">
      <c r="B2" s="663"/>
      <c r="C2" s="937" t="s">
        <v>1684</v>
      </c>
      <c r="D2" s="1250"/>
    </row>
    <row r="3" spans="2:5" s="665" customFormat="1" ht="17.399999999999999" x14ac:dyDescent="0.3">
      <c r="B3" s="663"/>
      <c r="C3" s="664" t="str">
        <f>'Standing Data'!D4</f>
        <v>NAME OF COUNCIL</v>
      </c>
      <c r="D3" s="1250"/>
    </row>
    <row r="5" spans="2:5" s="668" customFormat="1" ht="15" x14ac:dyDescent="0.25">
      <c r="B5" s="666"/>
      <c r="C5" s="667" t="s">
        <v>232</v>
      </c>
      <c r="D5" s="1251" t="s">
        <v>1625</v>
      </c>
      <c r="E5" s="971" t="s">
        <v>2022</v>
      </c>
    </row>
    <row r="6" spans="2:5" ht="20.25" customHeight="1" x14ac:dyDescent="0.25">
      <c r="C6" s="639" t="s">
        <v>1584</v>
      </c>
      <c r="D6" s="871">
        <v>1</v>
      </c>
    </row>
    <row r="7" spans="2:5" ht="39.6" x14ac:dyDescent="0.25">
      <c r="C7" s="639" t="s">
        <v>910</v>
      </c>
      <c r="D7" s="871">
        <v>7</v>
      </c>
    </row>
    <row r="8" spans="2:5" x14ac:dyDescent="0.25">
      <c r="C8" s="639" t="s">
        <v>1680</v>
      </c>
      <c r="D8" s="871">
        <v>8</v>
      </c>
    </row>
    <row r="9" spans="2:5" x14ac:dyDescent="0.25">
      <c r="C9" s="639" t="s">
        <v>1681</v>
      </c>
      <c r="D9" s="871">
        <v>19</v>
      </c>
    </row>
    <row r="10" spans="2:5" x14ac:dyDescent="0.25">
      <c r="C10" s="639" t="s">
        <v>1682</v>
      </c>
      <c r="D10" s="871">
        <v>26</v>
      </c>
    </row>
    <row r="11" spans="2:5" x14ac:dyDescent="0.25">
      <c r="C11" s="639" t="s">
        <v>934</v>
      </c>
      <c r="D11" s="871">
        <v>26</v>
      </c>
    </row>
    <row r="12" spans="2:5" x14ac:dyDescent="0.25">
      <c r="C12" s="639" t="s">
        <v>1683</v>
      </c>
      <c r="D12" s="871">
        <v>27</v>
      </c>
    </row>
    <row r="13" spans="2:5" ht="26.4" x14ac:dyDescent="0.25">
      <c r="C13" s="639" t="s">
        <v>237</v>
      </c>
      <c r="D13" s="871">
        <v>29</v>
      </c>
    </row>
    <row r="14" spans="2:5" ht="24.75" customHeight="1" x14ac:dyDescent="0.25">
      <c r="C14" s="639" t="s">
        <v>235</v>
      </c>
      <c r="D14" s="871">
        <v>30</v>
      </c>
    </row>
    <row r="15" spans="2:5" ht="18" customHeight="1" x14ac:dyDescent="0.25">
      <c r="C15" s="639" t="s">
        <v>239</v>
      </c>
      <c r="D15" s="871">
        <v>31</v>
      </c>
    </row>
    <row r="16" spans="2:5" x14ac:dyDescent="0.25">
      <c r="C16" s="639" t="s">
        <v>241</v>
      </c>
      <c r="D16" s="871">
        <v>32</v>
      </c>
    </row>
    <row r="17" spans="2:4" x14ac:dyDescent="0.25">
      <c r="B17" s="871"/>
      <c r="C17" s="639" t="s">
        <v>1939</v>
      </c>
      <c r="D17" s="871">
        <v>33</v>
      </c>
    </row>
    <row r="18" spans="2:4" x14ac:dyDescent="0.25">
      <c r="B18" s="871"/>
      <c r="C18" s="639" t="s">
        <v>2021</v>
      </c>
      <c r="D18" s="871">
        <v>56</v>
      </c>
    </row>
    <row r="19" spans="2:4" ht="26.4" x14ac:dyDescent="0.25">
      <c r="B19" s="871"/>
      <c r="C19" s="639" t="s">
        <v>2204</v>
      </c>
      <c r="D19" s="871">
        <v>59</v>
      </c>
    </row>
    <row r="20" spans="2:4" ht="26.4" x14ac:dyDescent="0.25">
      <c r="B20" s="871"/>
      <c r="C20" s="639" t="s">
        <v>2205</v>
      </c>
      <c r="D20" s="871">
        <v>59</v>
      </c>
    </row>
    <row r="21" spans="2:4" x14ac:dyDescent="0.25">
      <c r="B21" s="871"/>
      <c r="C21" s="639" t="s">
        <v>2206</v>
      </c>
      <c r="D21" s="871">
        <v>60</v>
      </c>
    </row>
    <row r="22" spans="2:4" x14ac:dyDescent="0.25">
      <c r="B22" s="871"/>
      <c r="C22" s="639" t="s">
        <v>2837</v>
      </c>
      <c r="D22" s="871">
        <v>60</v>
      </c>
    </row>
    <row r="23" spans="2:4" x14ac:dyDescent="0.25">
      <c r="B23" s="871"/>
      <c r="C23" s="639" t="s">
        <v>2207</v>
      </c>
      <c r="D23" s="871">
        <v>62</v>
      </c>
    </row>
    <row r="24" spans="2:4" x14ac:dyDescent="0.25">
      <c r="B24" s="871"/>
      <c r="C24" s="639" t="s">
        <v>2208</v>
      </c>
      <c r="D24" s="871">
        <v>63</v>
      </c>
    </row>
    <row r="25" spans="2:4" ht="31.5" customHeight="1" x14ac:dyDescent="0.25">
      <c r="B25" s="871"/>
      <c r="C25" s="639" t="s">
        <v>2209</v>
      </c>
      <c r="D25" s="871">
        <v>63</v>
      </c>
    </row>
    <row r="26" spans="2:4" x14ac:dyDescent="0.25">
      <c r="B26" s="871"/>
      <c r="C26" s="639" t="s">
        <v>2210</v>
      </c>
      <c r="D26" s="871">
        <v>64</v>
      </c>
    </row>
    <row r="27" spans="2:4" x14ac:dyDescent="0.25">
      <c r="B27" s="871"/>
      <c r="C27" s="639" t="s">
        <v>2211</v>
      </c>
      <c r="D27" s="871">
        <v>65</v>
      </c>
    </row>
    <row r="28" spans="2:4" ht="26.4" x14ac:dyDescent="0.25">
      <c r="B28" s="871"/>
      <c r="C28" s="639" t="s">
        <v>2212</v>
      </c>
      <c r="D28" s="871">
        <v>67</v>
      </c>
    </row>
    <row r="29" spans="2:4" x14ac:dyDescent="0.25">
      <c r="B29" s="871"/>
      <c r="C29" s="639" t="s">
        <v>2213</v>
      </c>
      <c r="D29" s="871">
        <v>67</v>
      </c>
    </row>
    <row r="30" spans="2:4" x14ac:dyDescent="0.25">
      <c r="B30" s="871"/>
      <c r="C30" s="639" t="s">
        <v>2214</v>
      </c>
      <c r="D30" s="871">
        <v>67</v>
      </c>
    </row>
    <row r="31" spans="2:4" x14ac:dyDescent="0.25">
      <c r="B31" s="871"/>
      <c r="C31" s="639" t="s">
        <v>2215</v>
      </c>
      <c r="D31" s="871">
        <v>68</v>
      </c>
    </row>
    <row r="32" spans="2:4" x14ac:dyDescent="0.25">
      <c r="B32" s="871"/>
      <c r="C32" s="639" t="s">
        <v>2790</v>
      </c>
      <c r="D32" s="871">
        <v>68</v>
      </c>
    </row>
    <row r="33" spans="2:4" x14ac:dyDescent="0.25">
      <c r="B33" s="871"/>
      <c r="C33" s="639" t="s">
        <v>2791</v>
      </c>
      <c r="D33" s="871">
        <v>68</v>
      </c>
    </row>
    <row r="34" spans="2:4" x14ac:dyDescent="0.25">
      <c r="B34" s="871"/>
      <c r="C34" s="639" t="s">
        <v>2792</v>
      </c>
      <c r="D34" s="871">
        <v>68</v>
      </c>
    </row>
    <row r="35" spans="2:4" x14ac:dyDescent="0.25">
      <c r="B35" s="871"/>
      <c r="C35" s="639" t="s">
        <v>2793</v>
      </c>
      <c r="D35" s="871">
        <v>69</v>
      </c>
    </row>
    <row r="36" spans="2:4" x14ac:dyDescent="0.25">
      <c r="B36" s="871"/>
      <c r="C36" s="639" t="s">
        <v>2794</v>
      </c>
      <c r="D36" s="871">
        <v>69</v>
      </c>
    </row>
    <row r="37" spans="2:4" x14ac:dyDescent="0.25">
      <c r="B37" s="871"/>
      <c r="C37" s="401" t="s">
        <v>2795</v>
      </c>
      <c r="D37" s="871">
        <v>70</v>
      </c>
    </row>
    <row r="38" spans="2:4" x14ac:dyDescent="0.25">
      <c r="B38" s="871"/>
      <c r="C38" s="401" t="s">
        <v>2796</v>
      </c>
      <c r="D38" s="871">
        <v>74</v>
      </c>
    </row>
    <row r="39" spans="2:4" x14ac:dyDescent="0.25">
      <c r="B39" s="871"/>
      <c r="C39" s="401" t="s">
        <v>2797</v>
      </c>
      <c r="D39" s="871">
        <v>75</v>
      </c>
    </row>
    <row r="40" spans="2:4" x14ac:dyDescent="0.25">
      <c r="B40" s="871"/>
      <c r="C40" s="401" t="s">
        <v>2798</v>
      </c>
      <c r="D40" s="871">
        <v>74</v>
      </c>
    </row>
    <row r="41" spans="2:4" x14ac:dyDescent="0.25">
      <c r="B41" s="871"/>
      <c r="C41" s="401" t="s">
        <v>2799</v>
      </c>
      <c r="D41" s="871">
        <v>75</v>
      </c>
    </row>
    <row r="42" spans="2:4" x14ac:dyDescent="0.25">
      <c r="B42" s="871"/>
      <c r="C42" s="401" t="s">
        <v>2800</v>
      </c>
      <c r="D42" s="871">
        <v>76</v>
      </c>
    </row>
    <row r="43" spans="2:4" x14ac:dyDescent="0.25">
      <c r="B43" s="871"/>
      <c r="C43" s="401" t="s">
        <v>2801</v>
      </c>
      <c r="D43" s="871">
        <v>78</v>
      </c>
    </row>
    <row r="44" spans="2:4" x14ac:dyDescent="0.25">
      <c r="B44" s="871"/>
      <c r="C44" s="401" t="s">
        <v>2802</v>
      </c>
      <c r="D44" s="871">
        <v>80</v>
      </c>
    </row>
    <row r="45" spans="2:4" x14ac:dyDescent="0.25">
      <c r="B45" s="871"/>
      <c r="C45" s="401" t="s">
        <v>2803</v>
      </c>
      <c r="D45" s="871">
        <v>81</v>
      </c>
    </row>
    <row r="46" spans="2:4" x14ac:dyDescent="0.25">
      <c r="B46" s="871"/>
      <c r="C46" s="401" t="s">
        <v>2804</v>
      </c>
      <c r="D46" s="871">
        <v>85</v>
      </c>
    </row>
    <row r="47" spans="2:4" x14ac:dyDescent="0.25">
      <c r="B47" s="669"/>
      <c r="C47" s="401" t="s">
        <v>2805</v>
      </c>
      <c r="D47" s="421">
        <v>86</v>
      </c>
    </row>
    <row r="48" spans="2:4" x14ac:dyDescent="0.25">
      <c r="B48" s="669"/>
      <c r="C48" s="401" t="s">
        <v>2806</v>
      </c>
      <c r="D48" s="421">
        <v>87</v>
      </c>
    </row>
    <row r="49" spans="2:4" x14ac:dyDescent="0.25">
      <c r="B49" s="669"/>
      <c r="C49" s="401" t="s">
        <v>2807</v>
      </c>
      <c r="D49" s="421">
        <v>88</v>
      </c>
    </row>
    <row r="50" spans="2:4" x14ac:dyDescent="0.25">
      <c r="B50" s="669"/>
    </row>
    <row r="51" spans="2:4" x14ac:dyDescent="0.25">
      <c r="B51" s="669"/>
    </row>
    <row r="52" spans="2:4" x14ac:dyDescent="0.25">
      <c r="B52" s="669"/>
    </row>
    <row r="53" spans="2:4" x14ac:dyDescent="0.25">
      <c r="B53" s="669"/>
    </row>
    <row r="54" spans="2:4" x14ac:dyDescent="0.25">
      <c r="B54" s="669"/>
      <c r="C54" s="489" t="s">
        <v>1901</v>
      </c>
    </row>
    <row r="55" spans="2:4" x14ac:dyDescent="0.25">
      <c r="B55" s="807" t="s">
        <v>1875</v>
      </c>
      <c r="C55" s="823" t="s">
        <v>1701</v>
      </c>
    </row>
    <row r="56" spans="2:4" x14ac:dyDescent="0.25">
      <c r="B56" s="807" t="s">
        <v>1876</v>
      </c>
      <c r="C56" s="823" t="s">
        <v>1714</v>
      </c>
    </row>
    <row r="57" spans="2:4" x14ac:dyDescent="0.25">
      <c r="B57" s="807" t="s">
        <v>1877</v>
      </c>
      <c r="C57" s="823" t="s">
        <v>1715</v>
      </c>
    </row>
    <row r="58" spans="2:4" ht="26.4" x14ac:dyDescent="0.25">
      <c r="B58" s="807" t="s">
        <v>1878</v>
      </c>
      <c r="C58" s="823" t="s">
        <v>2989</v>
      </c>
    </row>
    <row r="59" spans="2:4" ht="90.75" customHeight="1" x14ac:dyDescent="0.25">
      <c r="B59" s="807" t="s">
        <v>1879</v>
      </c>
      <c r="C59" s="823" t="s">
        <v>1891</v>
      </c>
    </row>
    <row r="60" spans="2:4" ht="26.4" x14ac:dyDescent="0.25">
      <c r="B60" s="807" t="s">
        <v>1889</v>
      </c>
      <c r="C60" s="823" t="s">
        <v>1716</v>
      </c>
    </row>
    <row r="61" spans="2:4" x14ac:dyDescent="0.25">
      <c r="B61" s="807" t="s">
        <v>1890</v>
      </c>
      <c r="C61" s="823" t="s">
        <v>1892</v>
      </c>
    </row>
    <row r="62" spans="2:4" x14ac:dyDescent="0.25">
      <c r="B62" s="807" t="s">
        <v>1893</v>
      </c>
      <c r="C62" s="823" t="s">
        <v>297</v>
      </c>
    </row>
    <row r="63" spans="2:4" x14ac:dyDescent="0.25">
      <c r="B63" s="807" t="s">
        <v>1894</v>
      </c>
      <c r="C63" s="823" t="s">
        <v>1479</v>
      </c>
    </row>
    <row r="64" spans="2:4" x14ac:dyDescent="0.25">
      <c r="B64" s="807" t="s">
        <v>1895</v>
      </c>
      <c r="C64" s="823" t="s">
        <v>310</v>
      </c>
    </row>
    <row r="65" spans="2:3" x14ac:dyDescent="0.25">
      <c r="B65" s="807" t="s">
        <v>1896</v>
      </c>
      <c r="C65" s="823" t="s">
        <v>1481</v>
      </c>
    </row>
    <row r="66" spans="2:3" x14ac:dyDescent="0.25">
      <c r="B66" s="807" t="s">
        <v>1897</v>
      </c>
      <c r="C66" s="823" t="s">
        <v>1474</v>
      </c>
    </row>
    <row r="67" spans="2:3" x14ac:dyDescent="0.25">
      <c r="B67" s="807" t="s">
        <v>1898</v>
      </c>
      <c r="C67" s="823" t="s">
        <v>420</v>
      </c>
    </row>
    <row r="68" spans="2:3" x14ac:dyDescent="0.25">
      <c r="B68" s="807" t="s">
        <v>1899</v>
      </c>
      <c r="C68" s="823" t="s">
        <v>427</v>
      </c>
    </row>
    <row r="69" spans="2:3" x14ac:dyDescent="0.25">
      <c r="B69" s="807" t="s">
        <v>1900</v>
      </c>
      <c r="C69" s="823" t="s">
        <v>331</v>
      </c>
    </row>
    <row r="89" spans="7:9" x14ac:dyDescent="0.25">
      <c r="G89" s="421"/>
      <c r="H89" s="421"/>
      <c r="I89" s="421"/>
    </row>
    <row r="154" spans="7:8" x14ac:dyDescent="0.25">
      <c r="G154" s="421"/>
      <c r="H154" s="421"/>
    </row>
    <row r="425" spans="8:11" x14ac:dyDescent="0.25">
      <c r="H425" s="525"/>
      <c r="I425" s="525"/>
      <c r="J425" s="525"/>
      <c r="K425" s="525"/>
    </row>
    <row r="426" spans="8:11" x14ac:dyDescent="0.25">
      <c r="H426" s="525"/>
      <c r="I426" s="525"/>
      <c r="J426" s="525"/>
      <c r="K426" s="525"/>
    </row>
    <row r="427" spans="8:11" x14ac:dyDescent="0.25">
      <c r="H427" s="525"/>
      <c r="I427" s="525"/>
      <c r="J427" s="525"/>
      <c r="K427" s="525"/>
    </row>
    <row r="428" spans="8:11" x14ac:dyDescent="0.25">
      <c r="H428" s="525"/>
      <c r="I428" s="525"/>
      <c r="J428" s="525"/>
      <c r="K428" s="525"/>
    </row>
    <row r="429" spans="8:11" x14ac:dyDescent="0.25">
      <c r="H429" s="525"/>
      <c r="I429" s="525"/>
      <c r="J429" s="525"/>
      <c r="K429" s="525"/>
    </row>
    <row r="435" spans="8:11" x14ac:dyDescent="0.25">
      <c r="H435" s="525"/>
      <c r="I435" s="525"/>
      <c r="J435" s="525"/>
      <c r="K435" s="525"/>
    </row>
    <row r="436" spans="8:11" x14ac:dyDescent="0.25">
      <c r="H436" s="525"/>
      <c r="I436" s="525"/>
      <c r="J436" s="525"/>
      <c r="K436" s="525"/>
    </row>
    <row r="437" spans="8:11" x14ac:dyDescent="0.25">
      <c r="H437" s="525"/>
      <c r="I437" s="525"/>
      <c r="J437" s="525"/>
      <c r="K437" s="525"/>
    </row>
    <row r="438" spans="8:11" x14ac:dyDescent="0.25">
      <c r="H438" s="525"/>
      <c r="I438" s="525"/>
      <c r="J438" s="525"/>
      <c r="K438" s="525"/>
    </row>
    <row r="439" spans="8:11" x14ac:dyDescent="0.25">
      <c r="H439" s="525"/>
      <c r="I439" s="525"/>
      <c r="J439" s="525"/>
      <c r="K439" s="525"/>
    </row>
    <row r="440" spans="8:11" x14ac:dyDescent="0.25">
      <c r="H440" s="525"/>
      <c r="I440" s="525"/>
      <c r="J440" s="525"/>
      <c r="K440" s="525"/>
    </row>
    <row r="441" spans="8:11" x14ac:dyDescent="0.25">
      <c r="H441" s="525"/>
      <c r="I441" s="525"/>
      <c r="J441" s="525"/>
      <c r="K441" s="525"/>
    </row>
    <row r="442" spans="8:11" x14ac:dyDescent="0.25">
      <c r="H442" s="525"/>
      <c r="I442" s="525"/>
      <c r="J442" s="525"/>
      <c r="K442" s="525"/>
    </row>
    <row r="443" spans="8:11" x14ac:dyDescent="0.25">
      <c r="H443" s="525"/>
      <c r="I443" s="525"/>
      <c r="J443" s="525"/>
      <c r="K443" s="525"/>
    </row>
    <row r="444" spans="8:11" x14ac:dyDescent="0.25">
      <c r="H444" s="525"/>
      <c r="I444" s="525"/>
      <c r="J444" s="525"/>
      <c r="K444" s="525"/>
    </row>
    <row r="445" spans="8:11" x14ac:dyDescent="0.25">
      <c r="H445" s="525"/>
      <c r="I445" s="525"/>
      <c r="J445" s="525"/>
      <c r="K445" s="525"/>
    </row>
    <row r="446" spans="8:11" x14ac:dyDescent="0.25">
      <c r="H446" s="525"/>
      <c r="I446" s="525"/>
      <c r="J446" s="525"/>
      <c r="K446" s="525"/>
    </row>
    <row r="447" spans="8:11" x14ac:dyDescent="0.25">
      <c r="H447" s="525"/>
      <c r="I447" s="525"/>
      <c r="J447" s="525"/>
      <c r="K447" s="525"/>
    </row>
    <row r="491" spans="7:11" x14ac:dyDescent="0.25">
      <c r="G491" s="525"/>
      <c r="H491" s="525"/>
      <c r="I491" s="525"/>
      <c r="J491" s="525"/>
      <c r="K491" s="525"/>
    </row>
    <row r="492" spans="7:11" x14ac:dyDescent="0.25">
      <c r="G492" s="525"/>
      <c r="H492" s="525"/>
      <c r="I492" s="525"/>
      <c r="J492" s="525"/>
      <c r="K492" s="525"/>
    </row>
    <row r="493" spans="7:11" x14ac:dyDescent="0.25">
      <c r="G493" s="525"/>
      <c r="H493" s="525"/>
      <c r="I493" s="525"/>
      <c r="J493" s="525"/>
      <c r="K493" s="525"/>
    </row>
    <row r="659" spans="4:11" x14ac:dyDescent="0.25">
      <c r="D659" s="1252"/>
    </row>
    <row r="660" spans="4:11" x14ac:dyDescent="0.25">
      <c r="D660" s="1252"/>
    </row>
    <row r="661" spans="4:11" x14ac:dyDescent="0.25">
      <c r="D661" s="1252"/>
    </row>
    <row r="662" spans="4:11" x14ac:dyDescent="0.25">
      <c r="D662" s="1252"/>
    </row>
    <row r="663" spans="4:11" x14ac:dyDescent="0.25">
      <c r="D663" s="1500"/>
      <c r="E663" s="1500"/>
      <c r="F663" s="1500"/>
      <c r="G663" s="1500"/>
      <c r="H663" s="1500"/>
      <c r="I663" s="1500"/>
      <c r="J663" s="1500"/>
      <c r="K663" s="1500"/>
    </row>
    <row r="913" spans="11:11" x14ac:dyDescent="0.25">
      <c r="K913" s="401">
        <f>J893</f>
        <v>0</v>
      </c>
    </row>
    <row r="1008" spans="9:11" x14ac:dyDescent="0.25">
      <c r="I1008" s="900">
        <v>42825</v>
      </c>
      <c r="J1008" s="900">
        <v>42460</v>
      </c>
      <c r="K1008" s="900"/>
    </row>
  </sheetData>
  <mergeCells count="1">
    <mergeCell ref="D663:K663"/>
  </mergeCells>
  <pageMargins left="0.70866141732283472" right="0.70866141732283472" top="0.74803149606299213" bottom="0.74803149606299213" header="0.31496062992125984" footer="0.31496062992125984"/>
  <pageSetup paperSize="9" firstPageNumber="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5"/>
  <sheetViews>
    <sheetView zoomScale="90" workbookViewId="0">
      <pane xSplit="1" ySplit="5" topLeftCell="B6" activePane="bottomRight" state="frozen"/>
      <selection pane="topRight" activeCell="B1" sqref="B1"/>
      <selection pane="bottomLeft" activeCell="A6" sqref="A6"/>
      <selection pane="bottomRight" activeCell="A32" sqref="A32"/>
    </sheetView>
  </sheetViews>
  <sheetFormatPr defaultRowHeight="13.8" x14ac:dyDescent="0.3"/>
  <cols>
    <col min="1" max="1" width="23.44140625" style="46" customWidth="1"/>
    <col min="2" max="2" width="19.33203125" style="46" customWidth="1"/>
    <col min="3" max="4" width="54.6640625" style="214" customWidth="1"/>
  </cols>
  <sheetData>
    <row r="1" spans="1:4" x14ac:dyDescent="0.3">
      <c r="A1" s="1241" t="s">
        <v>2779</v>
      </c>
    </row>
    <row r="2" spans="1:4" x14ac:dyDescent="0.3">
      <c r="A2" s="80"/>
    </row>
    <row r="3" spans="1:4" x14ac:dyDescent="0.3">
      <c r="A3" s="80" t="s">
        <v>2765</v>
      </c>
    </row>
    <row r="4" spans="1:4" x14ac:dyDescent="0.3">
      <c r="A4" s="80"/>
    </row>
    <row r="5" spans="1:4" x14ac:dyDescent="0.3">
      <c r="A5" s="1241" t="s">
        <v>2763</v>
      </c>
      <c r="B5" s="1241" t="s">
        <v>2764</v>
      </c>
      <c r="C5" s="82" t="s">
        <v>2766</v>
      </c>
      <c r="D5" s="82" t="s">
        <v>2767</v>
      </c>
    </row>
    <row r="6" spans="1:4" x14ac:dyDescent="0.3">
      <c r="A6" s="80"/>
      <c r="B6" s="80"/>
      <c r="C6" s="1261"/>
      <c r="D6" s="1261"/>
    </row>
    <row r="7" spans="1:4" x14ac:dyDescent="0.3">
      <c r="A7" s="80"/>
      <c r="B7" s="80"/>
      <c r="C7" s="1261"/>
      <c r="D7" s="1261"/>
    </row>
    <row r="8" spans="1:4" x14ac:dyDescent="0.3">
      <c r="A8" s="80"/>
      <c r="B8" s="80"/>
      <c r="C8" s="1261"/>
      <c r="D8" s="1261"/>
    </row>
    <row r="9" spans="1:4" x14ac:dyDescent="0.3">
      <c r="A9" s="80"/>
      <c r="B9" s="80"/>
      <c r="C9" s="1261"/>
      <c r="D9" s="1261"/>
    </row>
    <row r="10" spans="1:4" x14ac:dyDescent="0.3">
      <c r="A10" s="80"/>
      <c r="B10" s="80"/>
      <c r="C10" s="1261"/>
      <c r="D10" s="1261"/>
    </row>
    <row r="11" spans="1:4" x14ac:dyDescent="0.3">
      <c r="A11" s="80"/>
      <c r="B11" s="80"/>
      <c r="C11" s="1261"/>
      <c r="D11" s="1261"/>
    </row>
    <row r="12" spans="1:4" x14ac:dyDescent="0.3">
      <c r="A12" s="80"/>
      <c r="B12" s="80"/>
      <c r="C12" s="1261"/>
      <c r="D12" s="1261"/>
    </row>
    <row r="13" spans="1:4" x14ac:dyDescent="0.3">
      <c r="A13" s="80"/>
      <c r="B13" s="80"/>
      <c r="C13" s="1261"/>
      <c r="D13" s="1261"/>
    </row>
    <row r="14" spans="1:4" x14ac:dyDescent="0.3">
      <c r="A14" s="80"/>
      <c r="B14" s="80"/>
      <c r="C14" s="1261"/>
      <c r="D14" s="1261"/>
    </row>
    <row r="15" spans="1:4" x14ac:dyDescent="0.3">
      <c r="A15" s="80"/>
      <c r="B15" s="80"/>
      <c r="C15" s="1261"/>
      <c r="D15" s="1261"/>
    </row>
    <row r="16" spans="1:4" x14ac:dyDescent="0.3">
      <c r="A16" s="80"/>
      <c r="B16" s="80"/>
      <c r="C16" s="1261"/>
      <c r="D16" s="1261"/>
    </row>
    <row r="17" spans="1:4" x14ac:dyDescent="0.3">
      <c r="A17" s="80"/>
      <c r="B17" s="80"/>
      <c r="C17" s="213"/>
      <c r="D17" s="213"/>
    </row>
    <row r="18" spans="1:4" x14ac:dyDescent="0.3">
      <c r="A18" s="80"/>
      <c r="B18" s="80"/>
      <c r="C18" s="213"/>
      <c r="D18" s="213"/>
    </row>
    <row r="19" spans="1:4" x14ac:dyDescent="0.3">
      <c r="A19" s="80"/>
      <c r="B19" s="80"/>
      <c r="C19" s="213"/>
      <c r="D19" s="213"/>
    </row>
    <row r="20" spans="1:4" x14ac:dyDescent="0.3">
      <c r="A20" s="80"/>
      <c r="B20" s="80"/>
      <c r="C20" s="213"/>
      <c r="D20" s="213"/>
    </row>
    <row r="21" spans="1:4" x14ac:dyDescent="0.3">
      <c r="A21" s="80"/>
      <c r="B21" s="80"/>
      <c r="C21" s="213"/>
      <c r="D21" s="213"/>
    </row>
    <row r="22" spans="1:4" x14ac:dyDescent="0.3">
      <c r="A22" s="80"/>
      <c r="B22" s="80"/>
      <c r="C22" s="213"/>
      <c r="D22" s="213"/>
    </row>
    <row r="23" spans="1:4" x14ac:dyDescent="0.3">
      <c r="A23" s="80"/>
      <c r="B23" s="80"/>
      <c r="C23" s="213"/>
      <c r="D23" s="213"/>
    </row>
    <row r="24" spans="1:4" x14ac:dyDescent="0.3">
      <c r="A24" s="80"/>
      <c r="B24" s="80"/>
      <c r="C24" s="213"/>
      <c r="D24" s="213"/>
    </row>
    <row r="25" spans="1:4" x14ac:dyDescent="0.3">
      <c r="A25" s="80"/>
      <c r="B25" s="80"/>
      <c r="C25" s="213"/>
      <c r="D25" s="213"/>
    </row>
    <row r="26" spans="1:4" x14ac:dyDescent="0.3">
      <c r="A26" s="80"/>
      <c r="B26" s="80"/>
      <c r="C26" s="213"/>
      <c r="D26" s="213"/>
    </row>
    <row r="27" spans="1:4" x14ac:dyDescent="0.3">
      <c r="A27" s="80"/>
      <c r="B27" s="80"/>
      <c r="C27" s="213"/>
      <c r="D27" s="213"/>
    </row>
    <row r="28" spans="1:4" x14ac:dyDescent="0.3">
      <c r="A28" s="80"/>
      <c r="B28" s="80"/>
      <c r="C28" s="213"/>
      <c r="D28" s="213"/>
    </row>
    <row r="29" spans="1:4" x14ac:dyDescent="0.3">
      <c r="A29" s="80"/>
      <c r="B29" s="80"/>
      <c r="C29" s="213"/>
      <c r="D29" s="213"/>
    </row>
    <row r="30" spans="1:4" x14ac:dyDescent="0.3">
      <c r="A30" s="80"/>
      <c r="B30" s="80"/>
      <c r="C30" s="213"/>
    </row>
    <row r="31" spans="1:4" ht="12" customHeight="1" x14ac:dyDescent="0.3">
      <c r="A31" s="80"/>
      <c r="B31" s="80"/>
      <c r="C31" s="213"/>
    </row>
    <row r="32" spans="1:4" x14ac:dyDescent="0.3">
      <c r="A32" s="80"/>
      <c r="B32" s="80"/>
      <c r="C32" s="213"/>
    </row>
    <row r="33" spans="1:4" x14ac:dyDescent="0.3">
      <c r="A33" s="80"/>
      <c r="B33" s="80"/>
      <c r="C33" s="213"/>
    </row>
    <row r="34" spans="1:4" x14ac:dyDescent="0.3">
      <c r="A34" s="80"/>
      <c r="B34" s="80"/>
      <c r="C34" s="213"/>
    </row>
    <row r="35" spans="1:4" x14ac:dyDescent="0.3">
      <c r="A35" s="80"/>
      <c r="B35" s="80"/>
      <c r="C35" s="213"/>
    </row>
    <row r="36" spans="1:4" x14ac:dyDescent="0.3">
      <c r="A36" s="80"/>
      <c r="B36" s="80"/>
      <c r="C36" s="213"/>
    </row>
    <row r="37" spans="1:4" x14ac:dyDescent="0.3">
      <c r="A37" s="80"/>
      <c r="B37" s="80"/>
      <c r="C37" s="213"/>
    </row>
    <row r="38" spans="1:4" x14ac:dyDescent="0.3">
      <c r="A38" s="80"/>
      <c r="B38" s="80"/>
      <c r="C38" s="213"/>
    </row>
    <row r="39" spans="1:4" x14ac:dyDescent="0.3">
      <c r="A39" s="80"/>
      <c r="B39" s="80"/>
      <c r="C39" s="213"/>
    </row>
    <row r="40" spans="1:4" x14ac:dyDescent="0.3">
      <c r="A40" s="80"/>
      <c r="B40" s="80"/>
      <c r="C40" s="213"/>
      <c r="D40" s="213"/>
    </row>
    <row r="41" spans="1:4" x14ac:dyDescent="0.3">
      <c r="A41" s="80"/>
      <c r="B41" s="80"/>
      <c r="C41" s="213"/>
    </row>
    <row r="42" spans="1:4" x14ac:dyDescent="0.3">
      <c r="A42" s="80"/>
      <c r="B42" s="80"/>
      <c r="C42" s="213"/>
    </row>
    <row r="44" spans="1:4" x14ac:dyDescent="0.3">
      <c r="D44" s="213"/>
    </row>
    <row r="45" spans="1:4" x14ac:dyDescent="0.3">
      <c r="A45" s="80"/>
      <c r="B45" s="80"/>
      <c r="C45" s="213"/>
    </row>
  </sheetData>
  <mergeCells count="2">
    <mergeCell ref="C6:C16"/>
    <mergeCell ref="D6:D1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FF0000"/>
    <pageSetUpPr fitToPage="1"/>
  </sheetPr>
  <dimension ref="B1:N215"/>
  <sheetViews>
    <sheetView view="pageBreakPreview" zoomScaleNormal="100" zoomScaleSheetLayoutView="100" workbookViewId="0">
      <selection activeCell="C68" sqref="C68"/>
    </sheetView>
  </sheetViews>
  <sheetFormatPr defaultRowHeight="13.8" x14ac:dyDescent="0.3"/>
  <cols>
    <col min="3" max="3" width="75.44140625" customWidth="1"/>
    <col min="4" max="4" width="9" customWidth="1"/>
    <col min="5" max="5" width="9.109375" style="46"/>
  </cols>
  <sheetData>
    <row r="1" spans="2:14" x14ac:dyDescent="0.3">
      <c r="C1" t="str">
        <f>'Standing Data'!D4</f>
        <v>NAME OF COUNCIL</v>
      </c>
      <c r="N1" s="111" t="s">
        <v>236</v>
      </c>
    </row>
    <row r="2" spans="2:14" ht="14.4" x14ac:dyDescent="0.3">
      <c r="F2" s="85"/>
      <c r="N2" s="111" t="s">
        <v>1473</v>
      </c>
    </row>
    <row r="5" spans="2:14" ht="27.6" x14ac:dyDescent="0.3">
      <c r="B5" s="12" t="s">
        <v>231</v>
      </c>
      <c r="C5" s="6" t="s">
        <v>232</v>
      </c>
      <c r="D5" s="38" t="s">
        <v>1625</v>
      </c>
      <c r="E5" s="82" t="s">
        <v>233</v>
      </c>
    </row>
    <row r="6" spans="2:14" x14ac:dyDescent="0.3">
      <c r="B6" s="13" t="s">
        <v>154</v>
      </c>
      <c r="C6" t="s">
        <v>237</v>
      </c>
      <c r="E6" s="46" t="s">
        <v>154</v>
      </c>
    </row>
    <row r="7" spans="2:14" x14ac:dyDescent="0.3">
      <c r="B7" s="13" t="s">
        <v>234</v>
      </c>
      <c r="C7" t="s">
        <v>235</v>
      </c>
      <c r="E7" s="46" t="s">
        <v>234</v>
      </c>
    </row>
    <row r="8" spans="2:14" x14ac:dyDescent="0.3">
      <c r="B8" s="13" t="s">
        <v>238</v>
      </c>
      <c r="C8" t="s">
        <v>239</v>
      </c>
      <c r="E8" s="46" t="s">
        <v>238</v>
      </c>
    </row>
    <row r="9" spans="2:14" x14ac:dyDescent="0.3">
      <c r="B9" s="13" t="s">
        <v>240</v>
      </c>
      <c r="C9" t="s">
        <v>241</v>
      </c>
      <c r="E9" s="46" t="s">
        <v>240</v>
      </c>
    </row>
    <row r="10" spans="2:14" x14ac:dyDescent="0.3">
      <c r="B10" s="13">
        <v>1</v>
      </c>
      <c r="C10" s="3" t="s">
        <v>243</v>
      </c>
      <c r="D10" s="3"/>
      <c r="E10" s="46">
        <v>1</v>
      </c>
      <c r="F10" s="3"/>
    </row>
    <row r="11" spans="2:14" x14ac:dyDescent="0.3">
      <c r="B11" s="13" t="s">
        <v>242</v>
      </c>
      <c r="C11" t="s">
        <v>1133</v>
      </c>
      <c r="E11" s="80" t="s">
        <v>717</v>
      </c>
      <c r="F11" s="3"/>
    </row>
    <row r="12" spans="2:14" x14ac:dyDescent="0.3">
      <c r="B12" s="13" t="s">
        <v>31</v>
      </c>
      <c r="C12" t="s">
        <v>183</v>
      </c>
      <c r="E12" s="13" t="s">
        <v>31</v>
      </c>
    </row>
    <row r="13" spans="2:14" x14ac:dyDescent="0.3">
      <c r="B13" s="13" t="s">
        <v>7</v>
      </c>
      <c r="C13" s="3" t="s">
        <v>2682</v>
      </c>
      <c r="E13" s="13" t="s">
        <v>7</v>
      </c>
    </row>
    <row r="14" spans="2:14" x14ac:dyDescent="0.3">
      <c r="B14" s="13" t="s">
        <v>8</v>
      </c>
      <c r="C14" t="str">
        <f>IF('Non TB - Note 1'!F16=1,'Non TB - Note 1'!D16,"")</f>
        <v>Provision for Single Status, Job Evaluation and Pay and Grading Reviews</v>
      </c>
      <c r="E14" s="13" t="s">
        <v>8</v>
      </c>
    </row>
    <row r="15" spans="2:14" x14ac:dyDescent="0.3">
      <c r="B15" s="13" t="s">
        <v>9</v>
      </c>
      <c r="C15" t="str">
        <f>IF('Non TB - Note 1'!F17=1,'Non TB - Note 1'!D17,"")</f>
        <v>Cash and Cash Equivalents</v>
      </c>
      <c r="E15" s="13" t="s">
        <v>9</v>
      </c>
    </row>
    <row r="16" spans="2:14" x14ac:dyDescent="0.3">
      <c r="B16" s="84" t="s">
        <v>10</v>
      </c>
      <c r="C16" t="str">
        <f>IF('Non TB - Note 1'!F19=1,'Non TB - Note 1'!D19,"")</f>
        <v>Contingent Assets</v>
      </c>
      <c r="E16" s="84" t="s">
        <v>10</v>
      </c>
    </row>
    <row r="17" spans="2:5" x14ac:dyDescent="0.3">
      <c r="B17" s="84" t="s">
        <v>11</v>
      </c>
      <c r="C17" t="str">
        <f>IF('Non TB - Note 1'!F21=1,'Non TB - Note 1'!D21,"")</f>
        <v>Contingent Liabilities</v>
      </c>
      <c r="E17" s="84" t="s">
        <v>11</v>
      </c>
    </row>
    <row r="18" spans="2:5" x14ac:dyDescent="0.3">
      <c r="B18" s="84" t="s">
        <v>12</v>
      </c>
      <c r="C18" t="str">
        <f>IF('Non TB - Note 1'!F23=1,'Non TB - Note 1'!D23,"")</f>
        <v xml:space="preserve">Employee Benefits </v>
      </c>
      <c r="E18" s="84" t="s">
        <v>12</v>
      </c>
    </row>
    <row r="19" spans="2:5" x14ac:dyDescent="0.3">
      <c r="B19" s="84" t="s">
        <v>13</v>
      </c>
      <c r="C19" t="str">
        <f>IF('Non TB - Note 1'!F38=1,'Non TB - Note 1'!D38,"")</f>
        <v xml:space="preserve">Events After the Balance Sheet Date </v>
      </c>
      <c r="E19" s="84" t="s">
        <v>13</v>
      </c>
    </row>
    <row r="20" spans="2:5" x14ac:dyDescent="0.3">
      <c r="B20" s="84" t="s">
        <v>14</v>
      </c>
      <c r="C20" t="str">
        <f>IF('Non TB - Note 1'!F40=1,'Non TB - Note 1'!D40,"")</f>
        <v xml:space="preserve">Exceptional Items </v>
      </c>
      <c r="E20" s="84" t="s">
        <v>14</v>
      </c>
    </row>
    <row r="21" spans="2:5" x14ac:dyDescent="0.3">
      <c r="B21" s="84" t="s">
        <v>15</v>
      </c>
      <c r="C21" t="str">
        <f>IF('Non TB - Note 1'!F41=1,'Non TB - Note 1'!D41,"")</f>
        <v xml:space="preserve">Prior Period Adjustments, Changes in Accounting Policies and Estimates and Errors </v>
      </c>
      <c r="E21" s="84" t="s">
        <v>15</v>
      </c>
    </row>
    <row r="22" spans="2:5" x14ac:dyDescent="0.3">
      <c r="B22" s="84" t="s">
        <v>16</v>
      </c>
      <c r="C22" t="str">
        <f>IF('Non TB - Note 1'!F44=1,'Non TB - Note 1'!D44,"")</f>
        <v xml:space="preserve">Financial Instruments </v>
      </c>
      <c r="E22" s="84" t="s">
        <v>16</v>
      </c>
    </row>
    <row r="23" spans="2:5" x14ac:dyDescent="0.3">
      <c r="B23" s="84" t="s">
        <v>17</v>
      </c>
      <c r="C23" t="str">
        <f>IF('Non TB - Note 1'!F67=1,'Non TB - Note 1'!E67,"")</f>
        <v>Foreign Currency Translation</v>
      </c>
      <c r="E23" s="84" t="s">
        <v>17</v>
      </c>
    </row>
    <row r="24" spans="2:5" x14ac:dyDescent="0.3">
      <c r="B24" s="84" t="s">
        <v>18</v>
      </c>
      <c r="C24" t="str">
        <f>IF('Non TB - Note 1'!F68=1,'Non TB - Note 1'!D68,"")</f>
        <v>Government Grants and Contributions</v>
      </c>
      <c r="E24" s="84" t="s">
        <v>18</v>
      </c>
    </row>
    <row r="25" spans="2:5" x14ac:dyDescent="0.3">
      <c r="B25" s="84" t="s">
        <v>19</v>
      </c>
      <c r="C25" t="str">
        <f>IF('Non TB - Note 1'!F72=1,'Non TB - Note 1'!E72,"")</f>
        <v>Intangible Assets</v>
      </c>
      <c r="E25" s="84" t="s">
        <v>19</v>
      </c>
    </row>
    <row r="26" spans="2:5" x14ac:dyDescent="0.3">
      <c r="B26" s="84" t="s">
        <v>20</v>
      </c>
      <c r="C26" t="str">
        <f>IF('Non TB - Note 1'!F77=1,'Non TB - Note 1'!D77,"")</f>
        <v>Inventories &amp; Long Term Contracts</v>
      </c>
      <c r="E26" s="84" t="s">
        <v>20</v>
      </c>
    </row>
    <row r="27" spans="2:5" x14ac:dyDescent="0.3">
      <c r="B27" s="84" t="s">
        <v>21</v>
      </c>
      <c r="C27" t="str">
        <f>IF('Non TB - Note 1'!F81=1,'Non TB - Note 1'!D81,"")</f>
        <v>Investment Property</v>
      </c>
      <c r="E27" s="84" t="s">
        <v>21</v>
      </c>
    </row>
    <row r="28" spans="2:5" x14ac:dyDescent="0.3">
      <c r="B28" s="84" t="s">
        <v>22</v>
      </c>
      <c r="C28" t="str">
        <f>IF('Non TB - Note 1'!F84=1,'Non TB - Note 1'!D84,"")</f>
        <v>Landfill Allowance Scheme</v>
      </c>
      <c r="E28" s="84" t="s">
        <v>22</v>
      </c>
    </row>
    <row r="29" spans="2:5" x14ac:dyDescent="0.3">
      <c r="B29" s="84" t="s">
        <v>23</v>
      </c>
      <c r="C29" t="str">
        <f>IF('Non TB - Note 1'!F85=1,'Non TB - Note 1'!D85,"")</f>
        <v xml:space="preserve">Leases </v>
      </c>
      <c r="E29" s="84" t="s">
        <v>23</v>
      </c>
    </row>
    <row r="30" spans="2:5" x14ac:dyDescent="0.3">
      <c r="B30" s="84" t="s">
        <v>24</v>
      </c>
      <c r="C30" t="str">
        <f>IF('Non TB - Note 1'!F99=1,'Non TB - Note 1'!E99,"")</f>
        <v xml:space="preserve">Disposals and Non-Current Assets Held for Sale </v>
      </c>
      <c r="E30" s="84" t="s">
        <v>24</v>
      </c>
    </row>
    <row r="31" spans="2:5" x14ac:dyDescent="0.3">
      <c r="B31" s="84" t="s">
        <v>25</v>
      </c>
      <c r="C31" t="str">
        <f>IF('Non TB - Note 1'!F106=1,'Non TB - Note 1'!E106,"")</f>
        <v>Overheads and Support Services</v>
      </c>
      <c r="E31" s="84" t="s">
        <v>25</v>
      </c>
    </row>
    <row r="32" spans="2:5" x14ac:dyDescent="0.3">
      <c r="B32" s="84" t="s">
        <v>26</v>
      </c>
      <c r="C32" t="str">
        <f>IF('Non TB - Note 1'!F107=1,'Non TB - Note 1'!D107,"")</f>
        <v>Property, Plant and Equipment</v>
      </c>
      <c r="E32" s="84" t="s">
        <v>26</v>
      </c>
    </row>
    <row r="33" spans="2:5" x14ac:dyDescent="0.3">
      <c r="B33" s="84" t="s">
        <v>27</v>
      </c>
      <c r="C33" t="str">
        <f>IF('Non TB - Note 1'!F125=1,'Non TB - Note 1'!E125,"")</f>
        <v>Heritage Assets</v>
      </c>
      <c r="E33" s="84" t="s">
        <v>27</v>
      </c>
    </row>
    <row r="34" spans="2:5" x14ac:dyDescent="0.3">
      <c r="B34" s="84" t="s">
        <v>28</v>
      </c>
      <c r="C34" t="str">
        <f>IF('Non TB - Note 1'!F129=1,'Non TB - Note 1'!D129,"")</f>
        <v>Provisions</v>
      </c>
      <c r="E34" s="84" t="s">
        <v>28</v>
      </c>
    </row>
    <row r="35" spans="2:5" x14ac:dyDescent="0.3">
      <c r="B35" s="84" t="s">
        <v>29</v>
      </c>
      <c r="C35" t="str">
        <f>IF('Non TB - Note 1'!F134=1,'Non TB - Note 1'!D134,"")</f>
        <v>Reserves</v>
      </c>
      <c r="E35" s="84" t="s">
        <v>29</v>
      </c>
    </row>
    <row r="36" spans="2:5" x14ac:dyDescent="0.3">
      <c r="B36" s="84" t="s">
        <v>30</v>
      </c>
      <c r="C36" t="str">
        <f>IF('Non TB - Note 1'!F136=1,'Non TB - Note 1'!D136,"")</f>
        <v>Charges to Revenue for Non-Current Assets</v>
      </c>
      <c r="E36" s="84" t="s">
        <v>30</v>
      </c>
    </row>
    <row r="37" spans="2:5" x14ac:dyDescent="0.3">
      <c r="B37" s="84" t="s">
        <v>2683</v>
      </c>
      <c r="C37" t="str">
        <f>IF('Non TB - Note 1'!F138=1,'Non TB - Note 1'!D138,"")</f>
        <v xml:space="preserve">Revenue Expenditure Funded from Capital under Statute </v>
      </c>
      <c r="E37" s="84" t="s">
        <v>2683</v>
      </c>
    </row>
    <row r="38" spans="2:5" x14ac:dyDescent="0.3">
      <c r="B38" s="84" t="s">
        <v>2684</v>
      </c>
      <c r="C38" t="str">
        <f>IF('Non TB - Note 1'!F139=1,'Non TB - Note 1'!D139,"")</f>
        <v>Value Added Tax</v>
      </c>
      <c r="E38" s="84" t="s">
        <v>2684</v>
      </c>
    </row>
    <row r="39" spans="2:5" x14ac:dyDescent="0.3">
      <c r="B39" s="84" t="s">
        <v>2685</v>
      </c>
      <c r="C39" s="3" t="s">
        <v>2687</v>
      </c>
      <c r="E39" s="84" t="s">
        <v>2685</v>
      </c>
    </row>
    <row r="40" spans="2:5" x14ac:dyDescent="0.3">
      <c r="B40" s="84" t="s">
        <v>2686</v>
      </c>
      <c r="C40" t="str">
        <f>IF('Non TB - Note 1'!F140=1,'Non TB - Note 1'!D140,"")</f>
        <v>Fair Value Measurement</v>
      </c>
      <c r="E40" s="84" t="s">
        <v>2686</v>
      </c>
    </row>
    <row r="41" spans="2:5" x14ac:dyDescent="0.3">
      <c r="B41" s="13" t="s">
        <v>244</v>
      </c>
      <c r="C41" t="s">
        <v>245</v>
      </c>
      <c r="E41" s="80" t="s">
        <v>1551</v>
      </c>
    </row>
    <row r="42" spans="2:5" x14ac:dyDescent="0.3">
      <c r="B42" s="13" t="s">
        <v>246</v>
      </c>
      <c r="C42" t="s">
        <v>247</v>
      </c>
      <c r="E42" s="80" t="s">
        <v>533</v>
      </c>
    </row>
    <row r="43" spans="2:5" x14ac:dyDescent="0.3">
      <c r="B43" s="13" t="s">
        <v>248</v>
      </c>
      <c r="C43" t="s">
        <v>249</v>
      </c>
      <c r="E43" s="80" t="s">
        <v>534</v>
      </c>
    </row>
    <row r="44" spans="2:5" x14ac:dyDescent="0.3">
      <c r="B44" s="84" t="s">
        <v>31</v>
      </c>
      <c r="C44" s="3" t="s">
        <v>603</v>
      </c>
      <c r="D44" s="3"/>
      <c r="E44" s="84" t="s">
        <v>31</v>
      </c>
    </row>
    <row r="45" spans="2:5" x14ac:dyDescent="0.3">
      <c r="B45" s="84" t="s">
        <v>7</v>
      </c>
      <c r="C45" s="3" t="s">
        <v>1348</v>
      </c>
      <c r="D45" s="3"/>
      <c r="E45" s="84" t="s">
        <v>7</v>
      </c>
    </row>
    <row r="46" spans="2:5" x14ac:dyDescent="0.3">
      <c r="B46" s="84" t="s">
        <v>8</v>
      </c>
      <c r="C46" s="3" t="s">
        <v>308</v>
      </c>
      <c r="D46" s="3"/>
      <c r="E46" s="84" t="s">
        <v>8</v>
      </c>
    </row>
    <row r="47" spans="2:5" x14ac:dyDescent="0.3">
      <c r="B47" s="84" t="s">
        <v>9</v>
      </c>
      <c r="C47" s="3" t="s">
        <v>588</v>
      </c>
      <c r="D47" s="3"/>
      <c r="E47" s="84" t="s">
        <v>9</v>
      </c>
    </row>
    <row r="48" spans="2:5" x14ac:dyDescent="0.3">
      <c r="B48" s="84" t="s">
        <v>10</v>
      </c>
      <c r="C48" s="3" t="s">
        <v>32</v>
      </c>
      <c r="D48" s="3"/>
      <c r="E48" s="84" t="s">
        <v>10</v>
      </c>
    </row>
    <row r="49" spans="2:8" x14ac:dyDescent="0.3">
      <c r="B49" s="84" t="s">
        <v>11</v>
      </c>
      <c r="C49" s="3" t="s">
        <v>1257</v>
      </c>
      <c r="D49" s="3"/>
      <c r="E49" s="84" t="s">
        <v>11</v>
      </c>
    </row>
    <row r="50" spans="2:8" x14ac:dyDescent="0.3">
      <c r="B50" s="13">
        <v>2</v>
      </c>
      <c r="C50" s="3" t="s">
        <v>1983</v>
      </c>
      <c r="D50" s="3"/>
      <c r="E50" s="46">
        <v>2</v>
      </c>
    </row>
    <row r="51" spans="2:8" x14ac:dyDescent="0.3">
      <c r="B51" s="13" t="s">
        <v>250</v>
      </c>
      <c r="C51" s="3" t="s">
        <v>1983</v>
      </c>
      <c r="E51" s="80" t="s">
        <v>717</v>
      </c>
    </row>
    <row r="52" spans="2:8" ht="26.25" customHeight="1" x14ac:dyDescent="0.3">
      <c r="B52" s="13" t="s">
        <v>251</v>
      </c>
      <c r="C52" s="18" t="s">
        <v>1993</v>
      </c>
      <c r="D52" s="39"/>
      <c r="E52" s="80" t="s">
        <v>718</v>
      </c>
    </row>
    <row r="53" spans="2:8" ht="26.25" customHeight="1" x14ac:dyDescent="0.3">
      <c r="B53" s="84" t="s">
        <v>1984</v>
      </c>
      <c r="C53" s="18" t="s">
        <v>1973</v>
      </c>
      <c r="D53" s="39"/>
      <c r="E53" s="80" t="s">
        <v>533</v>
      </c>
    </row>
    <row r="54" spans="2:8" ht="26.25" customHeight="1" x14ac:dyDescent="0.3">
      <c r="B54" s="84">
        <v>3</v>
      </c>
      <c r="C54" s="18" t="s">
        <v>2150</v>
      </c>
      <c r="D54" s="39"/>
      <c r="E54" s="80">
        <v>3</v>
      </c>
    </row>
    <row r="55" spans="2:8" ht="26.25" customHeight="1" x14ac:dyDescent="0.3">
      <c r="B55" s="84" t="s">
        <v>2688</v>
      </c>
      <c r="C55" s="18" t="s">
        <v>2150</v>
      </c>
      <c r="D55" s="39"/>
      <c r="E55" s="80" t="s">
        <v>717</v>
      </c>
    </row>
    <row r="56" spans="2:8" ht="26.25" customHeight="1" x14ac:dyDescent="0.3">
      <c r="B56" s="84" t="s">
        <v>2689</v>
      </c>
      <c r="C56" s="18" t="s">
        <v>2690</v>
      </c>
      <c r="D56" s="39"/>
      <c r="E56" s="80" t="s">
        <v>718</v>
      </c>
    </row>
    <row r="57" spans="2:8" ht="26.25" customHeight="1" x14ac:dyDescent="0.3">
      <c r="B57" s="13">
        <v>4</v>
      </c>
      <c r="C57" s="3" t="s">
        <v>1943</v>
      </c>
      <c r="E57" s="46">
        <v>4</v>
      </c>
    </row>
    <row r="58" spans="2:8" ht="41.4" x14ac:dyDescent="0.3">
      <c r="B58" s="80" t="s">
        <v>253</v>
      </c>
      <c r="C58" s="18" t="s">
        <v>561</v>
      </c>
      <c r="D58" s="18"/>
      <c r="E58" s="80" t="s">
        <v>717</v>
      </c>
    </row>
    <row r="59" spans="2:8" x14ac:dyDescent="0.3">
      <c r="B59" s="84" t="s">
        <v>254</v>
      </c>
      <c r="C59" t="s">
        <v>252</v>
      </c>
      <c r="E59" s="80" t="s">
        <v>718</v>
      </c>
      <c r="H59" s="46"/>
    </row>
    <row r="60" spans="2:8" x14ac:dyDescent="0.3">
      <c r="B60" s="13">
        <v>5</v>
      </c>
      <c r="C60" t="s">
        <v>344</v>
      </c>
      <c r="E60" s="46">
        <v>5</v>
      </c>
    </row>
    <row r="61" spans="2:8" x14ac:dyDescent="0.3">
      <c r="B61" s="84" t="s">
        <v>256</v>
      </c>
      <c r="C61" s="3" t="s">
        <v>2691</v>
      </c>
      <c r="E61" s="80" t="s">
        <v>717</v>
      </c>
    </row>
    <row r="62" spans="2:8" x14ac:dyDescent="0.3">
      <c r="B62" s="84" t="s">
        <v>257</v>
      </c>
      <c r="C62" t="s">
        <v>255</v>
      </c>
      <c r="E62" s="80" t="s">
        <v>718</v>
      </c>
    </row>
    <row r="63" spans="2:8" x14ac:dyDescent="0.3">
      <c r="B63" s="13">
        <v>6</v>
      </c>
      <c r="C63" t="s">
        <v>2819</v>
      </c>
      <c r="E63" s="46">
        <v>6</v>
      </c>
    </row>
    <row r="64" spans="2:8" x14ac:dyDescent="0.3">
      <c r="B64" s="84" t="s">
        <v>261</v>
      </c>
      <c r="C64" t="s">
        <v>2838</v>
      </c>
      <c r="E64" s="80" t="s">
        <v>717</v>
      </c>
    </row>
    <row r="65" spans="2:5" x14ac:dyDescent="0.3">
      <c r="B65" s="84" t="s">
        <v>263</v>
      </c>
      <c r="C65" t="s">
        <v>258</v>
      </c>
      <c r="E65" s="80" t="s">
        <v>718</v>
      </c>
    </row>
    <row r="66" spans="2:5" x14ac:dyDescent="0.3">
      <c r="B66" s="84" t="s">
        <v>265</v>
      </c>
      <c r="C66" t="s">
        <v>2839</v>
      </c>
      <c r="E66" s="80" t="s">
        <v>533</v>
      </c>
    </row>
    <row r="67" spans="2:5" x14ac:dyDescent="0.3">
      <c r="B67" s="84" t="s">
        <v>267</v>
      </c>
      <c r="C67" t="s">
        <v>259</v>
      </c>
      <c r="E67" s="80" t="s">
        <v>534</v>
      </c>
    </row>
    <row r="68" spans="2:5" x14ac:dyDescent="0.3">
      <c r="B68" s="13">
        <v>7</v>
      </c>
      <c r="C68" t="s">
        <v>260</v>
      </c>
      <c r="E68" s="46">
        <v>7</v>
      </c>
    </row>
    <row r="69" spans="2:5" x14ac:dyDescent="0.3">
      <c r="B69" s="84" t="s">
        <v>270</v>
      </c>
      <c r="C69" t="s">
        <v>262</v>
      </c>
      <c r="E69" s="80" t="s">
        <v>717</v>
      </c>
    </row>
    <row r="70" spans="2:5" x14ac:dyDescent="0.3">
      <c r="B70" s="84" t="s">
        <v>272</v>
      </c>
      <c r="C70" t="s">
        <v>264</v>
      </c>
      <c r="E70" s="80" t="s">
        <v>718</v>
      </c>
    </row>
    <row r="71" spans="2:5" x14ac:dyDescent="0.3">
      <c r="B71" s="84" t="s">
        <v>2046</v>
      </c>
      <c r="C71" t="s">
        <v>266</v>
      </c>
      <c r="E71" s="80" t="s">
        <v>533</v>
      </c>
    </row>
    <row r="72" spans="2:5" x14ac:dyDescent="0.3">
      <c r="B72" s="84" t="s">
        <v>2120</v>
      </c>
      <c r="C72" t="s">
        <v>268</v>
      </c>
      <c r="E72" s="80" t="s">
        <v>534</v>
      </c>
    </row>
    <row r="73" spans="2:5" x14ac:dyDescent="0.3">
      <c r="B73" s="84" t="s">
        <v>2121</v>
      </c>
      <c r="C73" s="3" t="s">
        <v>1458</v>
      </c>
      <c r="D73" s="3"/>
      <c r="E73" s="80" t="s">
        <v>535</v>
      </c>
    </row>
    <row r="74" spans="2:5" x14ac:dyDescent="0.3">
      <c r="B74" s="13">
        <v>8</v>
      </c>
      <c r="C74" t="s">
        <v>269</v>
      </c>
      <c r="E74" s="46">
        <v>8</v>
      </c>
    </row>
    <row r="75" spans="2:5" x14ac:dyDescent="0.3">
      <c r="B75" s="84" t="s">
        <v>274</v>
      </c>
      <c r="C75" t="s">
        <v>271</v>
      </c>
      <c r="E75" s="80" t="s">
        <v>717</v>
      </c>
    </row>
    <row r="76" spans="2:5" x14ac:dyDescent="0.3">
      <c r="B76" s="84" t="s">
        <v>276</v>
      </c>
      <c r="C76" t="s">
        <v>273</v>
      </c>
      <c r="E76" s="80" t="s">
        <v>718</v>
      </c>
    </row>
    <row r="77" spans="2:5" x14ac:dyDescent="0.3">
      <c r="B77" s="13">
        <v>9</v>
      </c>
      <c r="C77" t="s">
        <v>164</v>
      </c>
      <c r="E77" s="46">
        <v>9</v>
      </c>
    </row>
    <row r="78" spans="2:5" x14ac:dyDescent="0.3">
      <c r="B78" s="84" t="s">
        <v>281</v>
      </c>
      <c r="C78" t="s">
        <v>275</v>
      </c>
      <c r="E78" s="80" t="s">
        <v>717</v>
      </c>
    </row>
    <row r="79" spans="2:5" x14ac:dyDescent="0.3">
      <c r="B79" s="84" t="s">
        <v>282</v>
      </c>
      <c r="C79" t="s">
        <v>277</v>
      </c>
      <c r="E79" s="80" t="s">
        <v>718</v>
      </c>
    </row>
    <row r="80" spans="2:5" x14ac:dyDescent="0.3">
      <c r="B80" s="84" t="s">
        <v>284</v>
      </c>
      <c r="C80" t="s">
        <v>278</v>
      </c>
      <c r="E80" s="80" t="s">
        <v>533</v>
      </c>
    </row>
    <row r="81" spans="2:5" x14ac:dyDescent="0.3">
      <c r="B81" s="84" t="s">
        <v>2004</v>
      </c>
      <c r="C81" t="s">
        <v>279</v>
      </c>
      <c r="E81" s="80" t="s">
        <v>534</v>
      </c>
    </row>
    <row r="82" spans="2:5" x14ac:dyDescent="0.3">
      <c r="B82" s="84" t="s">
        <v>2084</v>
      </c>
      <c r="C82" t="s">
        <v>280</v>
      </c>
      <c r="E82" s="80" t="s">
        <v>535</v>
      </c>
    </row>
    <row r="83" spans="2:5" x14ac:dyDescent="0.3">
      <c r="B83" s="13">
        <v>10</v>
      </c>
      <c r="C83" t="s">
        <v>664</v>
      </c>
      <c r="E83" s="46">
        <v>10</v>
      </c>
    </row>
    <row r="84" spans="2:5" x14ac:dyDescent="0.3">
      <c r="B84" s="84" t="s">
        <v>287</v>
      </c>
      <c r="C84" t="s">
        <v>665</v>
      </c>
      <c r="E84" s="80" t="s">
        <v>717</v>
      </c>
    </row>
    <row r="85" spans="2:5" x14ac:dyDescent="0.3">
      <c r="B85" s="84" t="s">
        <v>289</v>
      </c>
      <c r="C85" s="3" t="s">
        <v>2085</v>
      </c>
      <c r="E85" s="80" t="s">
        <v>718</v>
      </c>
    </row>
    <row r="86" spans="2:5" x14ac:dyDescent="0.3">
      <c r="B86" s="84" t="s">
        <v>291</v>
      </c>
      <c r="C86" t="s">
        <v>283</v>
      </c>
      <c r="E86" s="80" t="s">
        <v>533</v>
      </c>
    </row>
    <row r="87" spans="2:5" x14ac:dyDescent="0.3">
      <c r="B87" s="84" t="s">
        <v>2005</v>
      </c>
      <c r="C87" t="s">
        <v>285</v>
      </c>
      <c r="E87" s="80" t="s">
        <v>534</v>
      </c>
    </row>
    <row r="88" spans="2:5" x14ac:dyDescent="0.3">
      <c r="B88" s="84" t="s">
        <v>2006</v>
      </c>
      <c r="C88" t="s">
        <v>286</v>
      </c>
      <c r="E88" s="80" t="s">
        <v>535</v>
      </c>
    </row>
    <row r="89" spans="2:5" x14ac:dyDescent="0.3">
      <c r="B89" s="13">
        <v>11</v>
      </c>
      <c r="C89" s="3" t="s">
        <v>1474</v>
      </c>
      <c r="D89" s="3"/>
      <c r="E89" s="46">
        <v>11</v>
      </c>
    </row>
    <row r="90" spans="2:5" x14ac:dyDescent="0.3">
      <c r="B90" s="84" t="s">
        <v>2122</v>
      </c>
      <c r="C90" t="s">
        <v>288</v>
      </c>
      <c r="E90" s="80" t="s">
        <v>717</v>
      </c>
    </row>
    <row r="91" spans="2:5" x14ac:dyDescent="0.3">
      <c r="B91" s="84" t="s">
        <v>2123</v>
      </c>
      <c r="C91" t="s">
        <v>290</v>
      </c>
      <c r="E91" s="80" t="s">
        <v>718</v>
      </c>
    </row>
    <row r="92" spans="2:5" x14ac:dyDescent="0.3">
      <c r="B92" s="84" t="s">
        <v>2124</v>
      </c>
      <c r="C92" s="3" t="s">
        <v>603</v>
      </c>
      <c r="E92" s="80" t="s">
        <v>533</v>
      </c>
    </row>
    <row r="93" spans="2:5" x14ac:dyDescent="0.3">
      <c r="B93" s="84" t="s">
        <v>2125</v>
      </c>
      <c r="C93" s="3" t="s">
        <v>354</v>
      </c>
      <c r="D93" s="3"/>
      <c r="E93" s="80" t="s">
        <v>534</v>
      </c>
    </row>
    <row r="94" spans="2:5" x14ac:dyDescent="0.3">
      <c r="B94" s="84" t="s">
        <v>2126</v>
      </c>
      <c r="C94" s="3" t="s">
        <v>902</v>
      </c>
      <c r="D94" s="3"/>
      <c r="E94" s="80" t="s">
        <v>535</v>
      </c>
    </row>
    <row r="95" spans="2:5" x14ac:dyDescent="0.3">
      <c r="B95" s="84" t="s">
        <v>2127</v>
      </c>
      <c r="C95" s="3" t="s">
        <v>741</v>
      </c>
      <c r="D95" s="3"/>
      <c r="E95" s="80" t="s">
        <v>467</v>
      </c>
    </row>
    <row r="96" spans="2:5" x14ac:dyDescent="0.3">
      <c r="B96" s="84" t="s">
        <v>2128</v>
      </c>
      <c r="C96" s="3" t="s">
        <v>1475</v>
      </c>
      <c r="D96" s="3"/>
      <c r="E96" s="80" t="s">
        <v>1526</v>
      </c>
    </row>
    <row r="97" spans="2:5" x14ac:dyDescent="0.3">
      <c r="B97" s="84" t="s">
        <v>2129</v>
      </c>
      <c r="C97" s="3" t="s">
        <v>1476</v>
      </c>
      <c r="D97" s="3"/>
      <c r="E97" s="80" t="s">
        <v>1527</v>
      </c>
    </row>
    <row r="98" spans="2:5" x14ac:dyDescent="0.3">
      <c r="B98" s="84" t="s">
        <v>2130</v>
      </c>
      <c r="C98" s="3" t="s">
        <v>1477</v>
      </c>
      <c r="D98" s="3"/>
      <c r="E98" s="80" t="s">
        <v>1525</v>
      </c>
    </row>
    <row r="99" spans="2:5" x14ac:dyDescent="0.3">
      <c r="B99" s="13">
        <v>12</v>
      </c>
      <c r="C99" t="s">
        <v>294</v>
      </c>
      <c r="E99" s="46">
        <v>12</v>
      </c>
    </row>
    <row r="100" spans="2:5" x14ac:dyDescent="0.3">
      <c r="B100" s="13">
        <v>13</v>
      </c>
      <c r="C100" t="s">
        <v>295</v>
      </c>
      <c r="E100" s="46">
        <v>13</v>
      </c>
    </row>
    <row r="101" spans="2:5" x14ac:dyDescent="0.3">
      <c r="B101" s="13">
        <v>14</v>
      </c>
      <c r="C101" t="s">
        <v>296</v>
      </c>
      <c r="E101" s="46">
        <v>14</v>
      </c>
    </row>
    <row r="102" spans="2:5" x14ac:dyDescent="0.3">
      <c r="B102" s="13">
        <v>15</v>
      </c>
      <c r="C102" t="s">
        <v>297</v>
      </c>
      <c r="E102" s="46">
        <v>15</v>
      </c>
    </row>
    <row r="103" spans="2:5" x14ac:dyDescent="0.3">
      <c r="B103" s="84" t="s">
        <v>298</v>
      </c>
      <c r="C103" t="s">
        <v>364</v>
      </c>
      <c r="E103" s="80" t="s">
        <v>717</v>
      </c>
    </row>
    <row r="104" spans="2:5" x14ac:dyDescent="0.3">
      <c r="B104" s="84" t="s">
        <v>300</v>
      </c>
      <c r="C104" t="s">
        <v>376</v>
      </c>
      <c r="E104" s="80" t="s">
        <v>718</v>
      </c>
    </row>
    <row r="105" spans="2:5" x14ac:dyDescent="0.3">
      <c r="B105" s="13">
        <v>16</v>
      </c>
      <c r="C105" s="3" t="s">
        <v>1104</v>
      </c>
      <c r="D105" s="3"/>
      <c r="E105" s="46">
        <v>16</v>
      </c>
    </row>
    <row r="106" spans="2:5" x14ac:dyDescent="0.3">
      <c r="B106" s="84" t="s">
        <v>302</v>
      </c>
      <c r="C106" t="s">
        <v>299</v>
      </c>
      <c r="E106" s="80" t="s">
        <v>717</v>
      </c>
    </row>
    <row r="107" spans="2:5" x14ac:dyDescent="0.3">
      <c r="B107" s="84" t="s">
        <v>304</v>
      </c>
      <c r="C107" t="s">
        <v>301</v>
      </c>
      <c r="E107" s="80" t="s">
        <v>718</v>
      </c>
    </row>
    <row r="108" spans="2:5" x14ac:dyDescent="0.3">
      <c r="B108" s="13">
        <v>17</v>
      </c>
      <c r="C108" s="3" t="s">
        <v>1478</v>
      </c>
      <c r="D108" s="3"/>
      <c r="E108" s="46">
        <v>17</v>
      </c>
    </row>
    <row r="109" spans="2:5" x14ac:dyDescent="0.3">
      <c r="B109" s="84" t="s">
        <v>2007</v>
      </c>
      <c r="C109" t="s">
        <v>303</v>
      </c>
      <c r="E109" s="80" t="s">
        <v>717</v>
      </c>
    </row>
    <row r="110" spans="2:5" x14ac:dyDescent="0.3">
      <c r="B110" s="84" t="s">
        <v>2008</v>
      </c>
      <c r="C110" t="s">
        <v>305</v>
      </c>
      <c r="E110" s="80" t="s">
        <v>718</v>
      </c>
    </row>
    <row r="111" spans="2:5" x14ac:dyDescent="0.3">
      <c r="B111" s="13">
        <v>18</v>
      </c>
      <c r="C111" s="3" t="s">
        <v>1479</v>
      </c>
      <c r="D111" s="3"/>
      <c r="E111" s="46">
        <v>18</v>
      </c>
    </row>
    <row r="112" spans="2:5" x14ac:dyDescent="0.3">
      <c r="B112" s="84" t="s">
        <v>2131</v>
      </c>
      <c r="C112" t="s">
        <v>306</v>
      </c>
      <c r="E112" s="80" t="s">
        <v>717</v>
      </c>
    </row>
    <row r="113" spans="2:5" x14ac:dyDescent="0.3">
      <c r="B113" s="84" t="s">
        <v>2132</v>
      </c>
      <c r="C113" t="s">
        <v>307</v>
      </c>
      <c r="E113" s="80" t="s">
        <v>718</v>
      </c>
    </row>
    <row r="114" spans="2:5" x14ac:dyDescent="0.3">
      <c r="B114" s="84" t="s">
        <v>2133</v>
      </c>
      <c r="C114" t="s">
        <v>5</v>
      </c>
      <c r="E114" s="80" t="s">
        <v>533</v>
      </c>
    </row>
    <row r="115" spans="2:5" x14ac:dyDescent="0.3">
      <c r="B115" s="13">
        <v>19</v>
      </c>
      <c r="C115" t="s">
        <v>308</v>
      </c>
      <c r="E115" s="46">
        <v>19</v>
      </c>
    </row>
    <row r="116" spans="2:5" x14ac:dyDescent="0.3">
      <c r="B116" s="13">
        <v>20</v>
      </c>
      <c r="C116" t="s">
        <v>309</v>
      </c>
      <c r="E116" s="46">
        <v>20</v>
      </c>
    </row>
    <row r="117" spans="2:5" x14ac:dyDescent="0.3">
      <c r="B117" s="13">
        <v>21</v>
      </c>
      <c r="C117" t="s">
        <v>310</v>
      </c>
      <c r="E117" s="46">
        <v>21</v>
      </c>
    </row>
    <row r="118" spans="2:5" x14ac:dyDescent="0.3">
      <c r="B118" s="84" t="s">
        <v>2134</v>
      </c>
      <c r="C118" s="3" t="s">
        <v>1480</v>
      </c>
      <c r="D118" s="3"/>
      <c r="E118" s="80" t="s">
        <v>717</v>
      </c>
    </row>
    <row r="119" spans="2:5" x14ac:dyDescent="0.3">
      <c r="B119" s="84" t="s">
        <v>2135</v>
      </c>
      <c r="C119" t="s">
        <v>311</v>
      </c>
      <c r="E119" s="80" t="s">
        <v>718</v>
      </c>
    </row>
    <row r="120" spans="2:5" x14ac:dyDescent="0.3">
      <c r="B120" s="84" t="s">
        <v>2136</v>
      </c>
      <c r="C120" t="s">
        <v>312</v>
      </c>
      <c r="E120" s="80" t="s">
        <v>533</v>
      </c>
    </row>
    <row r="121" spans="2:5" x14ac:dyDescent="0.3">
      <c r="B121" s="84" t="s">
        <v>2137</v>
      </c>
      <c r="C121" t="s">
        <v>313</v>
      </c>
      <c r="E121" s="80" t="s">
        <v>534</v>
      </c>
    </row>
    <row r="122" spans="2:5" x14ac:dyDescent="0.3">
      <c r="B122" s="84" t="s">
        <v>2138</v>
      </c>
      <c r="C122" t="s">
        <v>314</v>
      </c>
      <c r="E122" s="80" t="s">
        <v>535</v>
      </c>
    </row>
    <row r="123" spans="2:5" x14ac:dyDescent="0.3">
      <c r="B123" s="84" t="s">
        <v>2139</v>
      </c>
      <c r="C123" t="s">
        <v>315</v>
      </c>
      <c r="E123" s="80" t="s">
        <v>467</v>
      </c>
    </row>
    <row r="124" spans="2:5" x14ac:dyDescent="0.3">
      <c r="B124" s="84" t="s">
        <v>2140</v>
      </c>
      <c r="C124" s="3" t="s">
        <v>1458</v>
      </c>
      <c r="D124" s="3"/>
      <c r="E124" s="80" t="s">
        <v>1526</v>
      </c>
    </row>
    <row r="125" spans="2:5" x14ac:dyDescent="0.3">
      <c r="B125" s="13">
        <v>22</v>
      </c>
      <c r="C125" s="3" t="s">
        <v>788</v>
      </c>
      <c r="E125" s="46">
        <v>22</v>
      </c>
    </row>
    <row r="126" spans="2:5" x14ac:dyDescent="0.3">
      <c r="B126" s="13">
        <v>23</v>
      </c>
      <c r="C126" t="s">
        <v>316</v>
      </c>
      <c r="E126" s="46">
        <v>23</v>
      </c>
    </row>
    <row r="127" spans="2:5" x14ac:dyDescent="0.3">
      <c r="B127" s="13">
        <v>24</v>
      </c>
      <c r="C127" t="s">
        <v>317</v>
      </c>
      <c r="E127" s="46">
        <v>24</v>
      </c>
    </row>
    <row r="128" spans="2:5" x14ac:dyDescent="0.3">
      <c r="B128" s="13">
        <v>25</v>
      </c>
      <c r="C128" s="3" t="s">
        <v>1481</v>
      </c>
      <c r="D128" s="3"/>
      <c r="E128" s="46">
        <v>25</v>
      </c>
    </row>
    <row r="129" spans="2:5" x14ac:dyDescent="0.3">
      <c r="B129" s="84" t="s">
        <v>2009</v>
      </c>
      <c r="C129" s="3" t="s">
        <v>803</v>
      </c>
      <c r="D129" s="3"/>
      <c r="E129" s="80" t="s">
        <v>717</v>
      </c>
    </row>
    <row r="130" spans="2:5" x14ac:dyDescent="0.3">
      <c r="B130" s="84" t="s">
        <v>2010</v>
      </c>
      <c r="C130" t="s">
        <v>382</v>
      </c>
      <c r="E130" s="80" t="s">
        <v>718</v>
      </c>
    </row>
    <row r="131" spans="2:5" x14ac:dyDescent="0.3">
      <c r="B131" s="84" t="s">
        <v>2011</v>
      </c>
      <c r="C131" t="s">
        <v>1549</v>
      </c>
      <c r="E131" s="80" t="s">
        <v>533</v>
      </c>
    </row>
    <row r="132" spans="2:5" x14ac:dyDescent="0.3">
      <c r="B132" s="84" t="s">
        <v>2012</v>
      </c>
      <c r="C132" t="s">
        <v>318</v>
      </c>
      <c r="E132" s="80" t="s">
        <v>534</v>
      </c>
    </row>
    <row r="133" spans="2:5" x14ac:dyDescent="0.3">
      <c r="B133" s="84" t="s">
        <v>2013</v>
      </c>
      <c r="C133" t="s">
        <v>319</v>
      </c>
      <c r="E133" s="80" t="s">
        <v>535</v>
      </c>
    </row>
    <row r="134" spans="2:5" x14ac:dyDescent="0.3">
      <c r="B134" s="13">
        <v>26</v>
      </c>
      <c r="C134" s="3" t="s">
        <v>420</v>
      </c>
      <c r="D134" s="3"/>
      <c r="E134" s="46">
        <v>26</v>
      </c>
    </row>
    <row r="135" spans="2:5" x14ac:dyDescent="0.3">
      <c r="B135" s="84" t="s">
        <v>2014</v>
      </c>
      <c r="C135" t="s">
        <v>421</v>
      </c>
      <c r="E135" s="80" t="s">
        <v>717</v>
      </c>
    </row>
    <row r="136" spans="2:5" x14ac:dyDescent="0.3">
      <c r="B136" s="84" t="s">
        <v>2015</v>
      </c>
      <c r="C136" t="s">
        <v>320</v>
      </c>
      <c r="E136" s="80" t="s">
        <v>718</v>
      </c>
    </row>
    <row r="137" spans="2:5" x14ac:dyDescent="0.3">
      <c r="B137" s="84" t="s">
        <v>2016</v>
      </c>
      <c r="C137" t="s">
        <v>423</v>
      </c>
      <c r="E137" s="80" t="s">
        <v>533</v>
      </c>
    </row>
    <row r="138" spans="2:5" x14ac:dyDescent="0.3">
      <c r="B138" s="84" t="s">
        <v>2017</v>
      </c>
      <c r="C138" t="s">
        <v>321</v>
      </c>
      <c r="E138" s="80" t="s">
        <v>534</v>
      </c>
    </row>
    <row r="139" spans="2:5" x14ac:dyDescent="0.3">
      <c r="B139" s="84" t="s">
        <v>2018</v>
      </c>
      <c r="C139" t="s">
        <v>322</v>
      </c>
      <c r="E139" s="80" t="s">
        <v>535</v>
      </c>
    </row>
    <row r="140" spans="2:5" x14ac:dyDescent="0.3">
      <c r="B140" s="84" t="s">
        <v>2019</v>
      </c>
      <c r="C140" s="3" t="s">
        <v>426</v>
      </c>
      <c r="D140" s="3"/>
      <c r="E140" s="80" t="s">
        <v>467</v>
      </c>
    </row>
    <row r="141" spans="2:5" x14ac:dyDescent="0.3">
      <c r="B141" s="84" t="s">
        <v>2020</v>
      </c>
      <c r="C141" s="3" t="s">
        <v>1612</v>
      </c>
      <c r="D141" s="3"/>
      <c r="E141" s="80" t="s">
        <v>1526</v>
      </c>
    </row>
    <row r="142" spans="2:5" x14ac:dyDescent="0.3">
      <c r="B142" s="13">
        <v>27</v>
      </c>
      <c r="C142" s="3" t="s">
        <v>427</v>
      </c>
      <c r="D142" s="3"/>
      <c r="E142" s="46">
        <v>27</v>
      </c>
    </row>
    <row r="143" spans="2:5" x14ac:dyDescent="0.3">
      <c r="B143" s="84" t="s">
        <v>2141</v>
      </c>
      <c r="C143" t="s">
        <v>323</v>
      </c>
      <c r="E143" s="80" t="s">
        <v>717</v>
      </c>
    </row>
    <row r="144" spans="2:5" x14ac:dyDescent="0.3">
      <c r="B144" s="84" t="s">
        <v>2142</v>
      </c>
      <c r="C144" t="s">
        <v>324</v>
      </c>
      <c r="E144" s="80" t="s">
        <v>718</v>
      </c>
    </row>
    <row r="145" spans="2:5" x14ac:dyDescent="0.3">
      <c r="B145" s="84" t="s">
        <v>2143</v>
      </c>
      <c r="C145" t="s">
        <v>210</v>
      </c>
      <c r="E145" s="80" t="s">
        <v>533</v>
      </c>
    </row>
    <row r="146" spans="2:5" ht="27.6" x14ac:dyDescent="0.3">
      <c r="B146" s="1247" t="s">
        <v>2144</v>
      </c>
      <c r="C146" s="39" t="s">
        <v>2776</v>
      </c>
      <c r="E146" s="80" t="s">
        <v>534</v>
      </c>
    </row>
    <row r="147" spans="2:5" x14ac:dyDescent="0.3">
      <c r="B147" s="84" t="s">
        <v>2145</v>
      </c>
      <c r="C147" t="s">
        <v>432</v>
      </c>
      <c r="E147" s="80" t="s">
        <v>535</v>
      </c>
    </row>
    <row r="148" spans="2:5" x14ac:dyDescent="0.3">
      <c r="B148" s="84" t="s">
        <v>2146</v>
      </c>
      <c r="C148" t="s">
        <v>326</v>
      </c>
      <c r="E148" s="80" t="s">
        <v>467</v>
      </c>
    </row>
    <row r="149" spans="2:5" x14ac:dyDescent="0.3">
      <c r="B149" s="84" t="s">
        <v>2147</v>
      </c>
      <c r="C149" t="s">
        <v>434</v>
      </c>
      <c r="E149" s="80" t="s">
        <v>1526</v>
      </c>
    </row>
    <row r="150" spans="2:5" x14ac:dyDescent="0.3">
      <c r="B150" s="84" t="s">
        <v>2148</v>
      </c>
      <c r="C150" t="s">
        <v>327</v>
      </c>
      <c r="E150" s="80" t="s">
        <v>1527</v>
      </c>
    </row>
    <row r="151" spans="2:5" x14ac:dyDescent="0.3">
      <c r="B151" s="84" t="s">
        <v>2149</v>
      </c>
      <c r="C151" t="s">
        <v>328</v>
      </c>
      <c r="E151" s="80" t="s">
        <v>1525</v>
      </c>
    </row>
    <row r="152" spans="2:5" x14ac:dyDescent="0.3">
      <c r="B152" s="84">
        <v>28</v>
      </c>
      <c r="C152" s="3" t="s">
        <v>2694</v>
      </c>
      <c r="E152" s="13">
        <v>28</v>
      </c>
    </row>
    <row r="153" spans="2:5" x14ac:dyDescent="0.3">
      <c r="B153" s="13">
        <v>29</v>
      </c>
      <c r="C153" t="s">
        <v>329</v>
      </c>
      <c r="E153" s="13">
        <v>29</v>
      </c>
    </row>
    <row r="154" spans="2:5" x14ac:dyDescent="0.3">
      <c r="B154" s="13">
        <v>30</v>
      </c>
      <c r="C154" t="s">
        <v>330</v>
      </c>
      <c r="E154" s="13">
        <v>30</v>
      </c>
    </row>
    <row r="155" spans="2:5" x14ac:dyDescent="0.3">
      <c r="B155" s="13">
        <v>31</v>
      </c>
      <c r="C155" s="3" t="s">
        <v>1938</v>
      </c>
      <c r="E155" s="13">
        <v>31</v>
      </c>
    </row>
    <row r="156" spans="2:5" x14ac:dyDescent="0.3">
      <c r="B156" s="13">
        <v>32</v>
      </c>
      <c r="C156" t="s">
        <v>331</v>
      </c>
      <c r="E156" s="13">
        <v>32</v>
      </c>
    </row>
    <row r="157" spans="2:5" x14ac:dyDescent="0.3">
      <c r="B157" s="13">
        <v>33</v>
      </c>
      <c r="C157" t="s">
        <v>332</v>
      </c>
      <c r="E157" s="13">
        <v>33</v>
      </c>
    </row>
    <row r="158" spans="2:5" x14ac:dyDescent="0.3">
      <c r="B158" s="84"/>
      <c r="E158" s="80"/>
    </row>
    <row r="159" spans="2:5" x14ac:dyDescent="0.3">
      <c r="B159" s="84"/>
    </row>
    <row r="160" spans="2:5" ht="14.4" x14ac:dyDescent="0.3">
      <c r="B160" s="84"/>
      <c r="C160" s="422" t="s">
        <v>1713</v>
      </c>
    </row>
    <row r="161" spans="2:5" x14ac:dyDescent="0.3">
      <c r="B161" s="84" t="s">
        <v>1875</v>
      </c>
      <c r="C161" s="3" t="s">
        <v>907</v>
      </c>
      <c r="E161" s="80" t="s">
        <v>1875</v>
      </c>
    </row>
    <row r="162" spans="2:5" x14ac:dyDescent="0.3">
      <c r="B162" s="84" t="s">
        <v>1876</v>
      </c>
      <c r="C162" t="s">
        <v>1701</v>
      </c>
      <c r="E162" s="84" t="s">
        <v>1876</v>
      </c>
    </row>
    <row r="163" spans="2:5" ht="55.2" x14ac:dyDescent="0.3">
      <c r="B163" s="84" t="s">
        <v>1877</v>
      </c>
      <c r="C163" s="18" t="s">
        <v>1891</v>
      </c>
      <c r="E163" s="84" t="s">
        <v>1877</v>
      </c>
    </row>
    <row r="164" spans="2:5" x14ac:dyDescent="0.3">
      <c r="B164" s="84" t="s">
        <v>1878</v>
      </c>
      <c r="C164" t="s">
        <v>1716</v>
      </c>
      <c r="E164" s="84" t="s">
        <v>1878</v>
      </c>
    </row>
    <row r="165" spans="2:5" x14ac:dyDescent="0.3">
      <c r="B165" s="84" t="s">
        <v>1879</v>
      </c>
      <c r="C165" s="3" t="s">
        <v>1892</v>
      </c>
      <c r="E165" s="84" t="s">
        <v>1879</v>
      </c>
    </row>
    <row r="166" spans="2:5" x14ac:dyDescent="0.3">
      <c r="B166" s="84" t="s">
        <v>717</v>
      </c>
      <c r="C166" t="s">
        <v>262</v>
      </c>
      <c r="E166" s="84" t="s">
        <v>717</v>
      </c>
    </row>
    <row r="167" spans="2:5" x14ac:dyDescent="0.3">
      <c r="B167" s="84" t="s">
        <v>718</v>
      </c>
      <c r="C167" t="s">
        <v>264</v>
      </c>
      <c r="E167" s="84" t="s">
        <v>718</v>
      </c>
    </row>
    <row r="168" spans="2:5" x14ac:dyDescent="0.3">
      <c r="B168" s="84" t="s">
        <v>533</v>
      </c>
      <c r="C168" t="s">
        <v>266</v>
      </c>
      <c r="E168" s="84" t="s">
        <v>533</v>
      </c>
    </row>
    <row r="169" spans="2:5" x14ac:dyDescent="0.3">
      <c r="B169" s="84" t="s">
        <v>534</v>
      </c>
      <c r="C169" t="s">
        <v>268</v>
      </c>
      <c r="E169" s="84" t="s">
        <v>534</v>
      </c>
    </row>
    <row r="170" spans="2:5" x14ac:dyDescent="0.3">
      <c r="B170" s="84" t="s">
        <v>535</v>
      </c>
      <c r="C170" s="3" t="s">
        <v>1458</v>
      </c>
      <c r="D170" s="3"/>
      <c r="E170" s="84" t="s">
        <v>535</v>
      </c>
    </row>
    <row r="171" spans="2:5" x14ac:dyDescent="0.3">
      <c r="B171" s="84" t="s">
        <v>1889</v>
      </c>
      <c r="C171" t="s">
        <v>297</v>
      </c>
      <c r="E171" s="84" t="s">
        <v>1889</v>
      </c>
    </row>
    <row r="172" spans="2:5" x14ac:dyDescent="0.3">
      <c r="B172" s="80" t="s">
        <v>717</v>
      </c>
      <c r="C172" t="s">
        <v>364</v>
      </c>
      <c r="E172" s="80" t="s">
        <v>717</v>
      </c>
    </row>
    <row r="173" spans="2:5" x14ac:dyDescent="0.3">
      <c r="B173" s="80" t="s">
        <v>718</v>
      </c>
      <c r="C173" t="s">
        <v>376</v>
      </c>
      <c r="E173" s="80" t="s">
        <v>718</v>
      </c>
    </row>
    <row r="174" spans="2:5" x14ac:dyDescent="0.3">
      <c r="B174" s="80" t="s">
        <v>1890</v>
      </c>
      <c r="C174" s="3" t="s">
        <v>1479</v>
      </c>
      <c r="D174" s="3"/>
      <c r="E174" s="80" t="s">
        <v>1890</v>
      </c>
    </row>
    <row r="175" spans="2:5" x14ac:dyDescent="0.3">
      <c r="B175" s="80" t="s">
        <v>717</v>
      </c>
      <c r="C175" t="s">
        <v>306</v>
      </c>
      <c r="E175" s="80" t="s">
        <v>717</v>
      </c>
    </row>
    <row r="176" spans="2:5" x14ac:dyDescent="0.3">
      <c r="B176" s="80" t="s">
        <v>718</v>
      </c>
      <c r="C176" t="s">
        <v>307</v>
      </c>
      <c r="E176" s="80" t="s">
        <v>718</v>
      </c>
    </row>
    <row r="177" spans="2:5" x14ac:dyDescent="0.3">
      <c r="B177" s="84" t="s">
        <v>1893</v>
      </c>
      <c r="C177" t="s">
        <v>310</v>
      </c>
      <c r="E177" s="84" t="s">
        <v>1893</v>
      </c>
    </row>
    <row r="178" spans="2:5" x14ac:dyDescent="0.3">
      <c r="B178" s="80" t="s">
        <v>717</v>
      </c>
      <c r="C178" s="3" t="s">
        <v>1480</v>
      </c>
      <c r="D178" s="3"/>
      <c r="E178" s="80" t="s">
        <v>717</v>
      </c>
    </row>
    <row r="179" spans="2:5" x14ac:dyDescent="0.3">
      <c r="B179" s="80" t="s">
        <v>718</v>
      </c>
      <c r="C179" t="s">
        <v>311</v>
      </c>
      <c r="E179" s="80" t="s">
        <v>718</v>
      </c>
    </row>
    <row r="180" spans="2:5" x14ac:dyDescent="0.3">
      <c r="B180" s="80" t="s">
        <v>533</v>
      </c>
      <c r="C180" t="s">
        <v>312</v>
      </c>
      <c r="E180" s="80" t="s">
        <v>533</v>
      </c>
    </row>
    <row r="181" spans="2:5" x14ac:dyDescent="0.3">
      <c r="B181" s="80" t="s">
        <v>534</v>
      </c>
      <c r="C181" t="s">
        <v>313</v>
      </c>
      <c r="E181" s="80" t="s">
        <v>534</v>
      </c>
    </row>
    <row r="182" spans="2:5" x14ac:dyDescent="0.3">
      <c r="B182" s="80" t="s">
        <v>535</v>
      </c>
      <c r="C182" t="s">
        <v>314</v>
      </c>
      <c r="E182" s="80" t="s">
        <v>535</v>
      </c>
    </row>
    <row r="183" spans="2:5" x14ac:dyDescent="0.3">
      <c r="B183" s="80" t="s">
        <v>467</v>
      </c>
      <c r="C183" t="s">
        <v>315</v>
      </c>
      <c r="E183" s="80" t="s">
        <v>467</v>
      </c>
    </row>
    <row r="184" spans="2:5" x14ac:dyDescent="0.3">
      <c r="B184" s="80" t="s">
        <v>1526</v>
      </c>
      <c r="C184" s="3" t="s">
        <v>1458</v>
      </c>
      <c r="D184" s="3"/>
      <c r="E184" s="80" t="s">
        <v>1526</v>
      </c>
    </row>
    <row r="185" spans="2:5" x14ac:dyDescent="0.3">
      <c r="B185" s="80" t="s">
        <v>1894</v>
      </c>
      <c r="C185" s="3" t="s">
        <v>1481</v>
      </c>
      <c r="D185" s="3"/>
      <c r="E185" s="80" t="s">
        <v>1894</v>
      </c>
    </row>
    <row r="186" spans="2:5" x14ac:dyDescent="0.3">
      <c r="B186" s="80" t="s">
        <v>717</v>
      </c>
      <c r="C186" s="3" t="s">
        <v>803</v>
      </c>
      <c r="D186" s="3"/>
      <c r="E186" s="80" t="s">
        <v>717</v>
      </c>
    </row>
    <row r="187" spans="2:5" x14ac:dyDescent="0.3">
      <c r="B187" s="80" t="s">
        <v>718</v>
      </c>
      <c r="C187" t="s">
        <v>382</v>
      </c>
      <c r="E187" s="80" t="s">
        <v>718</v>
      </c>
    </row>
    <row r="188" spans="2:5" x14ac:dyDescent="0.3">
      <c r="B188" s="80" t="s">
        <v>533</v>
      </c>
      <c r="C188" t="s">
        <v>1549</v>
      </c>
      <c r="E188" s="80" t="s">
        <v>533</v>
      </c>
    </row>
    <row r="189" spans="2:5" x14ac:dyDescent="0.3">
      <c r="B189" s="80" t="s">
        <v>534</v>
      </c>
      <c r="C189" t="s">
        <v>318</v>
      </c>
      <c r="E189" s="80" t="s">
        <v>534</v>
      </c>
    </row>
    <row r="190" spans="2:5" x14ac:dyDescent="0.3">
      <c r="B190" s="80" t="s">
        <v>535</v>
      </c>
      <c r="C190" t="s">
        <v>319</v>
      </c>
      <c r="E190" s="80" t="s">
        <v>535</v>
      </c>
    </row>
    <row r="191" spans="2:5" x14ac:dyDescent="0.3">
      <c r="B191" s="80" t="s">
        <v>1895</v>
      </c>
      <c r="C191" s="3" t="s">
        <v>1474</v>
      </c>
      <c r="D191" s="3"/>
      <c r="E191" s="80" t="s">
        <v>1895</v>
      </c>
    </row>
    <row r="192" spans="2:5" x14ac:dyDescent="0.3">
      <c r="B192" s="80" t="s">
        <v>717</v>
      </c>
      <c r="C192" t="s">
        <v>288</v>
      </c>
      <c r="E192" s="80" t="s">
        <v>717</v>
      </c>
    </row>
    <row r="193" spans="2:5" x14ac:dyDescent="0.3">
      <c r="B193" s="80" t="s">
        <v>718</v>
      </c>
      <c r="C193" t="s">
        <v>290</v>
      </c>
      <c r="E193" s="80" t="s">
        <v>718</v>
      </c>
    </row>
    <row r="194" spans="2:5" x14ac:dyDescent="0.3">
      <c r="B194" s="80" t="s">
        <v>1896</v>
      </c>
      <c r="C194" s="3" t="s">
        <v>420</v>
      </c>
      <c r="D194" s="3"/>
      <c r="E194" s="80" t="s">
        <v>1896</v>
      </c>
    </row>
    <row r="195" spans="2:5" x14ac:dyDescent="0.3">
      <c r="B195" s="80" t="s">
        <v>717</v>
      </c>
      <c r="C195" t="s">
        <v>421</v>
      </c>
      <c r="E195" s="80" t="s">
        <v>717</v>
      </c>
    </row>
    <row r="196" spans="2:5" x14ac:dyDescent="0.3">
      <c r="B196" s="80" t="s">
        <v>718</v>
      </c>
      <c r="C196" t="s">
        <v>320</v>
      </c>
      <c r="E196" s="80" t="s">
        <v>718</v>
      </c>
    </row>
    <row r="197" spans="2:5" x14ac:dyDescent="0.3">
      <c r="B197" s="80" t="s">
        <v>533</v>
      </c>
      <c r="C197" t="s">
        <v>423</v>
      </c>
      <c r="E197" s="80" t="s">
        <v>533</v>
      </c>
    </row>
    <row r="198" spans="2:5" x14ac:dyDescent="0.3">
      <c r="B198" s="80" t="s">
        <v>534</v>
      </c>
      <c r="C198" t="s">
        <v>321</v>
      </c>
      <c r="E198" s="80" t="s">
        <v>534</v>
      </c>
    </row>
    <row r="199" spans="2:5" x14ac:dyDescent="0.3">
      <c r="B199" s="80" t="s">
        <v>535</v>
      </c>
      <c r="C199" t="s">
        <v>322</v>
      </c>
      <c r="E199" s="80" t="s">
        <v>535</v>
      </c>
    </row>
    <row r="200" spans="2:5" x14ac:dyDescent="0.3">
      <c r="B200" s="80" t="s">
        <v>467</v>
      </c>
      <c r="C200" s="3" t="s">
        <v>426</v>
      </c>
      <c r="D200" s="3"/>
      <c r="E200" s="80" t="s">
        <v>467</v>
      </c>
    </row>
    <row r="201" spans="2:5" x14ac:dyDescent="0.3">
      <c r="B201" s="80" t="s">
        <v>1526</v>
      </c>
      <c r="C201" s="3" t="s">
        <v>1612</v>
      </c>
      <c r="D201" s="3"/>
      <c r="E201" s="80" t="s">
        <v>1526</v>
      </c>
    </row>
    <row r="202" spans="2:5" x14ac:dyDescent="0.3">
      <c r="B202" s="80" t="s">
        <v>1897</v>
      </c>
      <c r="C202" s="3" t="s">
        <v>427</v>
      </c>
      <c r="D202" s="3"/>
      <c r="E202" s="80" t="s">
        <v>1897</v>
      </c>
    </row>
    <row r="203" spans="2:5" x14ac:dyDescent="0.3">
      <c r="B203" s="80" t="s">
        <v>717</v>
      </c>
      <c r="C203" t="s">
        <v>323</v>
      </c>
      <c r="E203" s="80" t="s">
        <v>717</v>
      </c>
    </row>
    <row r="204" spans="2:5" x14ac:dyDescent="0.3">
      <c r="B204" s="80" t="s">
        <v>718</v>
      </c>
      <c r="C204" t="s">
        <v>324</v>
      </c>
      <c r="E204" s="80" t="s">
        <v>718</v>
      </c>
    </row>
    <row r="205" spans="2:5" x14ac:dyDescent="0.3">
      <c r="B205" s="80" t="s">
        <v>533</v>
      </c>
      <c r="C205" t="s">
        <v>210</v>
      </c>
      <c r="E205" s="80" t="s">
        <v>533</v>
      </c>
    </row>
    <row r="206" spans="2:5" x14ac:dyDescent="0.3">
      <c r="B206" s="80" t="s">
        <v>534</v>
      </c>
      <c r="C206" t="s">
        <v>325</v>
      </c>
      <c r="E206" s="80" t="s">
        <v>534</v>
      </c>
    </row>
    <row r="207" spans="2:5" x14ac:dyDescent="0.3">
      <c r="B207" s="80" t="s">
        <v>535</v>
      </c>
      <c r="C207" t="s">
        <v>432</v>
      </c>
      <c r="E207" s="80" t="s">
        <v>535</v>
      </c>
    </row>
    <row r="208" spans="2:5" x14ac:dyDescent="0.3">
      <c r="B208" s="80" t="s">
        <v>467</v>
      </c>
      <c r="C208" t="s">
        <v>326</v>
      </c>
      <c r="E208" s="80" t="s">
        <v>467</v>
      </c>
    </row>
    <row r="209" spans="2:5" x14ac:dyDescent="0.3">
      <c r="B209" s="80" t="s">
        <v>1526</v>
      </c>
      <c r="C209" t="s">
        <v>434</v>
      </c>
      <c r="E209" s="80" t="s">
        <v>1526</v>
      </c>
    </row>
    <row r="210" spans="2:5" x14ac:dyDescent="0.3">
      <c r="B210" s="80" t="s">
        <v>1527</v>
      </c>
      <c r="C210" t="s">
        <v>327</v>
      </c>
      <c r="E210" s="80" t="s">
        <v>1527</v>
      </c>
    </row>
    <row r="211" spans="2:5" x14ac:dyDescent="0.3">
      <c r="B211" s="80" t="s">
        <v>1525</v>
      </c>
      <c r="C211" t="s">
        <v>328</v>
      </c>
      <c r="E211" s="80" t="s">
        <v>1525</v>
      </c>
    </row>
    <row r="212" spans="2:5" x14ac:dyDescent="0.3">
      <c r="B212" s="84" t="s">
        <v>1898</v>
      </c>
      <c r="C212" t="s">
        <v>331</v>
      </c>
      <c r="E212" s="84" t="s">
        <v>1898</v>
      </c>
    </row>
    <row r="213" spans="2:5" x14ac:dyDescent="0.3">
      <c r="B213" s="13"/>
    </row>
    <row r="214" spans="2:5" x14ac:dyDescent="0.3">
      <c r="B214" s="13"/>
    </row>
    <row r="215" spans="2:5" x14ac:dyDescent="0.3">
      <c r="B215" s="13" t="s">
        <v>333</v>
      </c>
      <c r="C215" t="s">
        <v>334</v>
      </c>
    </row>
  </sheetData>
  <phoneticPr fontId="9" type="noConversion"/>
  <pageMargins left="0.7" right="0.7" top="0.75" bottom="0.75" header="0.3" footer="0.3"/>
  <pageSetup paperSize="9" scale="87"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FF0000"/>
    <pageSetUpPr fitToPage="1"/>
  </sheetPr>
  <dimension ref="C1:V1024"/>
  <sheetViews>
    <sheetView zoomScaleNormal="100" zoomScaleSheetLayoutView="100" workbookViewId="0">
      <selection activeCell="D200" sqref="D200:L200"/>
    </sheetView>
  </sheetViews>
  <sheetFormatPr defaultColWidth="9.109375" defaultRowHeight="13.8" x14ac:dyDescent="0.3"/>
  <cols>
    <col min="1" max="2" width="9.109375" style="2"/>
    <col min="3" max="3" width="8.88671875" style="478" customWidth="1"/>
    <col min="4" max="4" width="11.5546875" style="478" customWidth="1"/>
    <col min="5" max="5" width="14" style="478" customWidth="1"/>
    <col min="6" max="6" width="11.88671875" style="478" customWidth="1"/>
    <col min="7" max="7" width="11.5546875" style="478" customWidth="1"/>
    <col min="8" max="8" width="13" style="478" customWidth="1"/>
    <col min="9" max="9" width="13.6640625" style="478" customWidth="1"/>
    <col min="10" max="10" width="12.109375" style="478" customWidth="1"/>
    <col min="11" max="11" width="11" style="478" customWidth="1"/>
    <col min="12" max="12" width="10.44140625" style="478" customWidth="1"/>
    <col min="13" max="13" width="11.5546875" style="2" customWidth="1"/>
    <col min="14" max="16384" width="9.109375" style="2"/>
  </cols>
  <sheetData>
    <row r="1" spans="3:21" ht="27.6" x14ac:dyDescent="0.3">
      <c r="C1" s="478">
        <v>12.75</v>
      </c>
      <c r="D1" s="478">
        <f t="shared" ref="D1:N1" si="0">$C1*D2</f>
        <v>25.5</v>
      </c>
      <c r="E1" s="478">
        <f t="shared" si="0"/>
        <v>38.25</v>
      </c>
      <c r="F1" s="478">
        <f t="shared" si="0"/>
        <v>51</v>
      </c>
      <c r="G1" s="478">
        <f t="shared" si="0"/>
        <v>63.75</v>
      </c>
      <c r="H1" s="478">
        <f t="shared" si="0"/>
        <v>76.5</v>
      </c>
      <c r="I1" s="478">
        <f t="shared" si="0"/>
        <v>89.25</v>
      </c>
      <c r="J1" s="478">
        <f t="shared" si="0"/>
        <v>102</v>
      </c>
      <c r="K1" s="478">
        <f t="shared" si="0"/>
        <v>114.75</v>
      </c>
      <c r="L1" s="478">
        <f t="shared" si="0"/>
        <v>127.5</v>
      </c>
      <c r="M1" s="2">
        <f t="shared" si="0"/>
        <v>140.25</v>
      </c>
      <c r="N1" s="2">
        <f t="shared" si="0"/>
        <v>153</v>
      </c>
      <c r="O1" s="2" t="s">
        <v>855</v>
      </c>
    </row>
    <row r="2" spans="3:21" ht="69" x14ac:dyDescent="0.3">
      <c r="C2" s="478">
        <v>1</v>
      </c>
      <c r="D2" s="478">
        <v>2</v>
      </c>
      <c r="E2" s="478">
        <v>3</v>
      </c>
      <c r="F2" s="478">
        <v>4</v>
      </c>
      <c r="G2" s="478">
        <v>5</v>
      </c>
      <c r="H2" s="478">
        <v>6</v>
      </c>
      <c r="I2" s="478">
        <v>7</v>
      </c>
      <c r="J2" s="478">
        <v>8</v>
      </c>
      <c r="K2" s="478">
        <v>9</v>
      </c>
      <c r="L2" s="478">
        <v>10</v>
      </c>
      <c r="M2" s="2">
        <v>11</v>
      </c>
      <c r="N2" s="2">
        <v>12</v>
      </c>
      <c r="O2" s="2" t="s">
        <v>857</v>
      </c>
    </row>
    <row r="4" spans="3:21" ht="27.6" x14ac:dyDescent="0.3">
      <c r="C4" s="478">
        <v>8.43</v>
      </c>
      <c r="D4" s="478">
        <v>8.43</v>
      </c>
      <c r="E4" s="478">
        <v>8.43</v>
      </c>
      <c r="F4" s="478">
        <v>8.43</v>
      </c>
      <c r="G4" s="478">
        <v>8.43</v>
      </c>
      <c r="H4" s="478">
        <v>8.43</v>
      </c>
      <c r="I4" s="478">
        <v>8.43</v>
      </c>
      <c r="J4" s="478">
        <v>8.43</v>
      </c>
      <c r="K4" s="478">
        <v>8.43</v>
      </c>
      <c r="L4" s="478">
        <v>8.43</v>
      </c>
      <c r="M4" s="2" t="s">
        <v>856</v>
      </c>
    </row>
    <row r="5" spans="3:21" ht="14.25" customHeight="1" x14ac:dyDescent="0.3">
      <c r="C5" s="1514" t="s">
        <v>2808</v>
      </c>
      <c r="D5" s="1514"/>
      <c r="E5" s="1514"/>
      <c r="F5" s="1514"/>
      <c r="G5" s="1514"/>
      <c r="H5" s="1514"/>
      <c r="I5" s="1514"/>
      <c r="J5" s="1514"/>
      <c r="K5" s="1514"/>
      <c r="L5" s="1514"/>
    </row>
    <row r="6" spans="3:21" x14ac:dyDescent="0.3">
      <c r="C6" s="1501"/>
      <c r="D6" s="1501"/>
      <c r="E6" s="1501"/>
      <c r="F6" s="1501"/>
      <c r="G6" s="1501"/>
      <c r="H6" s="1501"/>
      <c r="I6" s="1501"/>
      <c r="J6" s="1501"/>
      <c r="K6" s="1501"/>
      <c r="L6" s="1501"/>
    </row>
    <row r="7" spans="3:21" ht="12.75" customHeight="1" x14ac:dyDescent="0.3">
      <c r="C7" s="1507" t="s">
        <v>906</v>
      </c>
      <c r="D7" s="1507"/>
      <c r="E7" s="1507"/>
      <c r="F7" s="1507"/>
      <c r="G7" s="1507"/>
      <c r="H7" s="1507"/>
      <c r="I7" s="1507"/>
      <c r="J7" s="1507"/>
      <c r="K7" s="1507"/>
      <c r="L7" s="1507"/>
    </row>
    <row r="8" spans="3:21" x14ac:dyDescent="0.3">
      <c r="C8" s="1507"/>
      <c r="D8" s="1507"/>
      <c r="E8" s="1507"/>
      <c r="F8" s="1507"/>
      <c r="G8" s="1507"/>
      <c r="H8" s="1507"/>
      <c r="I8" s="1507"/>
      <c r="J8" s="1507"/>
      <c r="K8" s="1507"/>
      <c r="L8" s="1507"/>
    </row>
    <row r="9" spans="3:21" ht="42.75" customHeight="1" x14ac:dyDescent="0.3">
      <c r="C9" s="1512" t="str">
        <f>CONCATENATE("The Council’s financial performance for the year ended ",('Standing Data'!D40),"  is as set out in the Comprehensive Income and Expenditure Statement and it's financial position is as set out in the Balance Sheet and Cash Flow Statement.")</f>
        <v>The Council’s financial performance for the year ended 31st March 2026  is as set out in the Comprehensive Income and Expenditure Statement and it's financial position is as set out in the Balance Sheet and Cash Flow Statement.</v>
      </c>
      <c r="D9" s="1512"/>
      <c r="E9" s="1512"/>
      <c r="F9" s="1512"/>
      <c r="G9" s="1512"/>
      <c r="H9" s="1512"/>
      <c r="I9" s="1512"/>
      <c r="J9" s="1512"/>
      <c r="K9" s="1512"/>
      <c r="L9" s="1512"/>
      <c r="P9" s="1690" t="s">
        <v>2095</v>
      </c>
      <c r="Q9" s="1690"/>
      <c r="R9" s="1690"/>
      <c r="S9" s="1690"/>
      <c r="T9" s="1690"/>
      <c r="U9" s="1690"/>
    </row>
    <row r="10" spans="3:21" x14ac:dyDescent="0.3">
      <c r="C10" s="1537"/>
      <c r="D10" s="1537"/>
      <c r="E10" s="1537"/>
      <c r="F10" s="1537"/>
      <c r="G10" s="1537"/>
      <c r="H10" s="1537"/>
      <c r="I10" s="1537"/>
      <c r="J10" s="1537"/>
      <c r="K10" s="1537"/>
      <c r="L10" s="1537"/>
      <c r="P10" s="1039"/>
      <c r="Q10" s="1039"/>
      <c r="R10" s="1039"/>
      <c r="S10" s="1039"/>
      <c r="T10" s="1039"/>
      <c r="U10" s="1039"/>
    </row>
    <row r="11" spans="3:21" ht="66" customHeight="1" x14ac:dyDescent="0.3">
      <c r="C11" s="1512" t="str">
        <f>CONCATENATE("These financial statements have been prepared in line with the Code of Practice on Local Authority Accounting in the United Kingdom for the year ended ",('Standing Data'!D40)," (the Code) and the Department for Communities Accounts Direction, Circular ",('Standing Data'!D96),".","  It is the purpose of this foreword to explain, in an easily understandable way, the financial facts in relation to the Council."," ")</f>
        <v xml:space="preserve">These financial statements have been prepared in line with the Code of Practice on Local Authority Accounting in the United Kingdom for the year ended 31st March 2026 (the Code) and the Department for Communities Accounts Direction, Circular LG xx/2026.  It is the purpose of this foreword to explain, in an easily understandable way, the financial facts in relation to the Council. </v>
      </c>
      <c r="D11" s="1512"/>
      <c r="E11" s="1512"/>
      <c r="F11" s="1512"/>
      <c r="G11" s="1512"/>
      <c r="H11" s="1512"/>
      <c r="I11" s="1512"/>
      <c r="J11" s="1512"/>
      <c r="K11" s="1512"/>
      <c r="L11" s="1512"/>
      <c r="M11" s="864" t="s">
        <v>3005</v>
      </c>
      <c r="P11" s="1691" t="s">
        <v>2096</v>
      </c>
      <c r="Q11" s="1691"/>
      <c r="R11" s="1691"/>
      <c r="S11" s="1691"/>
      <c r="T11" s="1691"/>
      <c r="U11" s="1691"/>
    </row>
    <row r="12" spans="3:21" x14ac:dyDescent="0.3">
      <c r="C12" s="1537"/>
      <c r="D12" s="1537"/>
      <c r="E12" s="1537"/>
      <c r="F12" s="1537"/>
      <c r="G12" s="1537"/>
      <c r="H12" s="1537"/>
      <c r="I12" s="1537"/>
      <c r="J12" s="1537"/>
      <c r="K12" s="1537"/>
      <c r="L12" s="1537"/>
      <c r="P12" s="1039"/>
      <c r="Q12" s="1039"/>
      <c r="R12" s="1039"/>
      <c r="S12" s="1039"/>
      <c r="T12" s="1039"/>
      <c r="U12" s="1039"/>
    </row>
    <row r="13" spans="3:21" ht="39" customHeight="1" x14ac:dyDescent="0.3">
      <c r="C13" s="1512" t="str">
        <f>CONCATENATE("This Statement of Accounts explains ",('Standing Data'!D4),"'s finances during the financial year ",('Standing Data'!D34)," and its financial position at the end of that year.  It follows approved accounting standards and is necessarily technical in parts.")</f>
        <v>This Statement of Accounts explains NAME OF COUNCIL's finances during the financial year 2025/26 and its financial position at the end of that year.  It follows approved accounting standards and is necessarily technical in parts.</v>
      </c>
      <c r="D13" s="1512"/>
      <c r="E13" s="1512"/>
      <c r="F13" s="1512"/>
      <c r="G13" s="1512"/>
      <c r="H13" s="1512"/>
      <c r="I13" s="1512"/>
      <c r="J13" s="1512"/>
      <c r="K13" s="1512"/>
      <c r="L13" s="1512"/>
      <c r="P13" s="1691" t="s">
        <v>2097</v>
      </c>
      <c r="Q13" s="1691"/>
      <c r="R13" s="1691"/>
      <c r="S13" s="1691"/>
      <c r="T13" s="1691"/>
      <c r="U13" s="1691"/>
    </row>
    <row r="14" spans="3:21" x14ac:dyDescent="0.3">
      <c r="C14" s="1512"/>
      <c r="D14" s="1512"/>
      <c r="E14" s="1512"/>
      <c r="F14" s="1512"/>
      <c r="G14" s="1512"/>
      <c r="H14" s="1512"/>
      <c r="I14" s="1512"/>
      <c r="J14" s="1512"/>
      <c r="K14" s="1512"/>
      <c r="L14" s="1512"/>
      <c r="P14" s="1039"/>
      <c r="Q14" s="1039"/>
      <c r="R14" s="1039"/>
      <c r="S14" s="1039"/>
      <c r="T14" s="1039"/>
      <c r="U14" s="1039"/>
    </row>
    <row r="15" spans="3:21" ht="37.5" customHeight="1" x14ac:dyDescent="0.3">
      <c r="C15" s="1512" t="s">
        <v>2093</v>
      </c>
      <c r="D15" s="1512"/>
      <c r="E15" s="1512"/>
      <c r="F15" s="1512"/>
      <c r="G15" s="1512"/>
      <c r="H15" s="1512"/>
      <c r="I15" s="1512"/>
      <c r="J15" s="1512"/>
      <c r="K15" s="1512"/>
      <c r="L15" s="1512"/>
      <c r="M15" s="18"/>
      <c r="N15" s="18"/>
      <c r="O15" s="18"/>
      <c r="P15" s="1692" t="s">
        <v>2098</v>
      </c>
      <c r="Q15" s="1690"/>
      <c r="R15" s="1690"/>
      <c r="S15" s="1690"/>
      <c r="T15" s="1690"/>
      <c r="U15" s="1690"/>
    </row>
    <row r="16" spans="3:21" x14ac:dyDescent="0.3">
      <c r="C16" s="1501"/>
      <c r="D16" s="1501"/>
      <c r="E16" s="1501"/>
      <c r="F16" s="1501"/>
      <c r="G16" s="1501"/>
      <c r="H16" s="1501"/>
      <c r="I16" s="1501"/>
      <c r="J16" s="1501"/>
      <c r="K16" s="1501"/>
      <c r="L16" s="1501"/>
      <c r="P16" s="1039"/>
      <c r="Q16" s="1039"/>
      <c r="R16" s="1039"/>
      <c r="S16" s="1039"/>
      <c r="T16" s="1039"/>
      <c r="U16" s="1039"/>
    </row>
    <row r="17" spans="3:21" ht="12.75" customHeight="1" x14ac:dyDescent="0.3">
      <c r="C17" s="1507" t="s">
        <v>907</v>
      </c>
      <c r="D17" s="1507"/>
      <c r="E17" s="1507"/>
      <c r="F17" s="1507"/>
      <c r="G17" s="1507"/>
      <c r="H17" s="1507"/>
      <c r="I17" s="1507"/>
      <c r="J17" s="1507"/>
      <c r="K17" s="1507"/>
      <c r="L17" s="1507"/>
      <c r="P17" s="1039"/>
      <c r="Q17" s="1039"/>
      <c r="R17" s="1039"/>
      <c r="S17" s="1039"/>
      <c r="T17" s="1039"/>
      <c r="U17" s="1039"/>
    </row>
    <row r="18" spans="3:21" x14ac:dyDescent="0.3">
      <c r="C18" s="1507"/>
      <c r="D18" s="1507"/>
      <c r="E18" s="1507"/>
      <c r="F18" s="1507"/>
      <c r="G18" s="1507"/>
      <c r="H18" s="1507"/>
      <c r="I18" s="1507"/>
      <c r="J18" s="1507"/>
      <c r="K18" s="1507"/>
      <c r="L18" s="1507"/>
      <c r="P18" s="1039"/>
      <c r="Q18" s="1039"/>
      <c r="R18" s="1039"/>
      <c r="S18" s="1039"/>
      <c r="T18" s="1039"/>
      <c r="U18" s="1039"/>
    </row>
    <row r="19" spans="3:21" ht="56.25" customHeight="1" x14ac:dyDescent="0.3">
      <c r="C19" s="1512" t="str">
        <f>CONCATENATE("The Code requires Local Authorities to consider all their interests and to prepare a full set of group financial statements where they have material interests in subsidiaries, associates or joint ventures. ",'Standing Data'!D4," does not have material interests in such bodies and accordingly is not required to prepare group financial statements.")</f>
        <v>The Code requires Local Authorities to consider all their interests and to prepare a full set of group financial statements where they have material interests in subsidiaries, associates or joint ventures. NAME OF COUNCIL does not have material interests in such bodies and accordingly is not required to prepare group financial statements.</v>
      </c>
      <c r="D19" s="1512"/>
      <c r="E19" s="1512"/>
      <c r="F19" s="1512"/>
      <c r="G19" s="1512"/>
      <c r="H19" s="1512"/>
      <c r="I19" s="1512"/>
      <c r="J19" s="1512"/>
      <c r="K19" s="1512"/>
      <c r="L19" s="1512"/>
      <c r="P19" s="1690" t="s">
        <v>2094</v>
      </c>
      <c r="Q19" s="1690"/>
      <c r="R19" s="1690"/>
      <c r="S19" s="1690"/>
      <c r="T19" s="1690"/>
      <c r="U19" s="1690"/>
    </row>
    <row r="20" spans="3:21" x14ac:dyDescent="0.3">
      <c r="C20" s="1501"/>
      <c r="D20" s="1501"/>
      <c r="E20" s="1501"/>
      <c r="F20" s="1501"/>
      <c r="G20" s="1501"/>
      <c r="H20" s="1501"/>
      <c r="I20" s="1501"/>
      <c r="J20" s="1501"/>
      <c r="K20" s="1501"/>
      <c r="L20" s="1501"/>
    </row>
    <row r="21" spans="3:21" ht="25.5" customHeight="1" x14ac:dyDescent="0.3">
      <c r="C21" s="1507" t="s">
        <v>867</v>
      </c>
      <c r="D21" s="1507"/>
      <c r="E21" s="1507"/>
      <c r="F21" s="1507"/>
      <c r="G21" s="1507"/>
      <c r="H21" s="1507"/>
      <c r="I21" s="1507"/>
      <c r="J21" s="1507"/>
      <c r="K21" s="1507"/>
      <c r="L21" s="1507"/>
      <c r="M21" s="1502" t="s">
        <v>868</v>
      </c>
      <c r="N21" s="1502"/>
      <c r="O21" s="1502"/>
      <c r="P21" s="1502"/>
      <c r="Q21" s="1502"/>
    </row>
    <row r="22" spans="3:21" x14ac:dyDescent="0.3">
      <c r="C22" s="1507"/>
      <c r="D22" s="1507"/>
      <c r="E22" s="1507"/>
      <c r="F22" s="1507"/>
      <c r="G22" s="1507"/>
      <c r="H22" s="1507"/>
      <c r="I22" s="1507"/>
      <c r="J22" s="1507"/>
      <c r="K22" s="1507"/>
      <c r="L22" s="1507"/>
      <c r="M22" s="780"/>
    </row>
    <row r="23" spans="3:21" ht="104.25" customHeight="1" x14ac:dyDescent="0.3">
      <c r="C23" s="1641" t="s">
        <v>3002</v>
      </c>
      <c r="D23" s="1641"/>
      <c r="E23" s="1641"/>
      <c r="F23" s="1641"/>
      <c r="G23" s="1641"/>
      <c r="H23" s="1641"/>
      <c r="I23" s="1641"/>
      <c r="J23" s="1641"/>
      <c r="K23" s="1641"/>
      <c r="L23" s="1641"/>
    </row>
    <row r="24" spans="3:21" x14ac:dyDescent="0.3">
      <c r="C24" s="1501"/>
      <c r="D24" s="1501"/>
      <c r="E24" s="1501"/>
      <c r="F24" s="1501"/>
      <c r="G24" s="1501"/>
      <c r="H24" s="1501"/>
      <c r="I24" s="1501"/>
      <c r="J24" s="1501"/>
      <c r="K24" s="1501"/>
      <c r="L24" s="1501"/>
    </row>
    <row r="25" spans="3:21" ht="27" customHeight="1" x14ac:dyDescent="0.3">
      <c r="C25" s="1507" t="s">
        <v>43</v>
      </c>
      <c r="D25" s="1507"/>
      <c r="E25" s="1507"/>
      <c r="F25" s="1507"/>
      <c r="G25" s="1507"/>
      <c r="H25" s="1507"/>
      <c r="I25" s="1507"/>
      <c r="J25" s="1507"/>
      <c r="K25" s="1507"/>
      <c r="L25" s="1507"/>
      <c r="M25" s="1502" t="s">
        <v>868</v>
      </c>
      <c r="N25" s="1502"/>
      <c r="O25" s="1502"/>
      <c r="P25" s="1502"/>
      <c r="Q25" s="1502"/>
    </row>
    <row r="26" spans="3:21" x14ac:dyDescent="0.3">
      <c r="C26" s="1507"/>
      <c r="D26" s="1507"/>
      <c r="E26" s="1507"/>
      <c r="F26" s="1507"/>
      <c r="G26" s="1507"/>
      <c r="H26" s="1507"/>
      <c r="I26" s="1507"/>
      <c r="J26" s="1507"/>
      <c r="K26" s="1507"/>
      <c r="L26" s="1507"/>
      <c r="M26" s="780"/>
    </row>
    <row r="27" spans="3:21" ht="58.5" customHeight="1" x14ac:dyDescent="0.3">
      <c r="C27" s="1512" t="s">
        <v>2099</v>
      </c>
      <c r="D27" s="1512"/>
      <c r="E27" s="1512"/>
      <c r="F27" s="1512"/>
      <c r="G27" s="1512"/>
      <c r="H27" s="1512"/>
      <c r="I27" s="1512"/>
      <c r="J27" s="1512"/>
      <c r="K27" s="1512"/>
      <c r="L27" s="1512"/>
    </row>
    <row r="28" spans="3:21" x14ac:dyDescent="0.3">
      <c r="C28" s="1506"/>
      <c r="D28" s="1506"/>
      <c r="E28" s="1506"/>
      <c r="F28" s="1506"/>
      <c r="G28" s="1506"/>
      <c r="H28" s="1506"/>
      <c r="I28" s="1506"/>
      <c r="J28" s="1506"/>
      <c r="K28" s="1506"/>
      <c r="L28" s="1506"/>
    </row>
    <row r="29" spans="3:21" ht="24" customHeight="1" x14ac:dyDescent="0.3">
      <c r="C29" s="1507" t="s">
        <v>44</v>
      </c>
      <c r="D29" s="1507"/>
      <c r="E29" s="1507"/>
      <c r="F29" s="1507"/>
      <c r="G29" s="1507"/>
      <c r="H29" s="1507"/>
      <c r="I29" s="1507"/>
      <c r="J29" s="1507"/>
      <c r="K29" s="1507"/>
      <c r="L29" s="1507"/>
      <c r="M29" s="1502" t="s">
        <v>868</v>
      </c>
      <c r="N29" s="1502"/>
      <c r="O29" s="1502"/>
      <c r="P29" s="1502"/>
      <c r="Q29" s="1502"/>
    </row>
    <row r="30" spans="3:21" x14ac:dyDescent="0.3">
      <c r="C30" s="1507"/>
      <c r="D30" s="1507"/>
      <c r="E30" s="1507"/>
      <c r="F30" s="1507"/>
      <c r="G30" s="1507"/>
      <c r="H30" s="1507"/>
      <c r="I30" s="1507"/>
      <c r="J30" s="1507"/>
      <c r="K30" s="1507"/>
      <c r="L30" s="1507"/>
      <c r="M30" s="780"/>
    </row>
    <row r="31" spans="3:21" ht="126.75" customHeight="1" x14ac:dyDescent="0.3">
      <c r="C31" s="1512" t="s">
        <v>2899</v>
      </c>
      <c r="D31" s="1512"/>
      <c r="E31" s="1512"/>
      <c r="F31" s="1512"/>
      <c r="G31" s="1512"/>
      <c r="H31" s="1512"/>
      <c r="I31" s="1512"/>
      <c r="J31" s="1512"/>
      <c r="K31" s="1512"/>
      <c r="L31" s="1512"/>
    </row>
    <row r="32" spans="3:21" x14ac:dyDescent="0.3">
      <c r="C32" s="1501"/>
      <c r="D32" s="1501"/>
      <c r="E32" s="1501"/>
      <c r="F32" s="1501"/>
      <c r="G32" s="1501"/>
      <c r="H32" s="1501"/>
      <c r="I32" s="1501"/>
      <c r="J32" s="1501"/>
      <c r="K32" s="1501"/>
      <c r="L32" s="1501"/>
    </row>
    <row r="33" spans="3:22" ht="25.5" customHeight="1" x14ac:dyDescent="0.3">
      <c r="C33" s="1507" t="s">
        <v>45</v>
      </c>
      <c r="D33" s="1507"/>
      <c r="E33" s="1507"/>
      <c r="F33" s="1507"/>
      <c r="G33" s="1507"/>
      <c r="H33" s="1507"/>
      <c r="I33" s="1507"/>
      <c r="J33" s="1507"/>
      <c r="K33" s="1507"/>
      <c r="L33" s="1507"/>
      <c r="M33" s="1502" t="s">
        <v>868</v>
      </c>
      <c r="N33" s="1502"/>
      <c r="O33" s="1502"/>
      <c r="P33" s="1502"/>
      <c r="Q33" s="1502"/>
    </row>
    <row r="34" spans="3:22" x14ac:dyDescent="0.3">
      <c r="C34" s="1507"/>
      <c r="D34" s="1507"/>
      <c r="E34" s="1507"/>
      <c r="F34" s="1507"/>
      <c r="G34" s="1507"/>
      <c r="H34" s="1507"/>
      <c r="I34" s="1507"/>
      <c r="J34" s="1507"/>
      <c r="K34" s="1507"/>
      <c r="L34" s="1507"/>
      <c r="M34" s="780"/>
    </row>
    <row r="35" spans="3:22" ht="99.75" customHeight="1" x14ac:dyDescent="0.3">
      <c r="C35" s="1512" t="s">
        <v>2100</v>
      </c>
      <c r="D35" s="1512"/>
      <c r="E35" s="1512"/>
      <c r="F35" s="1512"/>
      <c r="G35" s="1512"/>
      <c r="H35" s="1512"/>
      <c r="I35" s="1512"/>
      <c r="J35" s="1512"/>
      <c r="K35" s="1512"/>
      <c r="L35" s="1512"/>
    </row>
    <row r="36" spans="3:22" x14ac:dyDescent="0.3">
      <c r="C36" s="1507"/>
      <c r="D36" s="1507"/>
      <c r="E36" s="1507"/>
      <c r="F36" s="1507"/>
      <c r="G36" s="1507"/>
      <c r="H36" s="1507"/>
      <c r="I36" s="1507"/>
      <c r="J36" s="1507"/>
      <c r="K36" s="1507"/>
      <c r="L36" s="1507"/>
    </row>
    <row r="37" spans="3:22" ht="12.75" customHeight="1" x14ac:dyDescent="0.3">
      <c r="C37" s="1507" t="s">
        <v>2101</v>
      </c>
      <c r="D37" s="1507"/>
      <c r="E37" s="1507"/>
      <c r="F37" s="1507"/>
      <c r="G37" s="1507"/>
      <c r="H37" s="1507"/>
      <c r="I37" s="1507"/>
      <c r="J37" s="1507"/>
      <c r="K37" s="1507"/>
      <c r="L37" s="1507"/>
    </row>
    <row r="38" spans="3:22" x14ac:dyDescent="0.3">
      <c r="C38" s="1507"/>
      <c r="D38" s="1507"/>
      <c r="E38" s="1507"/>
      <c r="F38" s="1507"/>
      <c r="G38" s="1507"/>
      <c r="H38" s="1507"/>
      <c r="I38" s="1507"/>
      <c r="J38" s="1507"/>
      <c r="K38" s="1507"/>
      <c r="L38" s="1507"/>
    </row>
    <row r="39" spans="3:22" ht="169.5" customHeight="1" x14ac:dyDescent="0.3">
      <c r="C39" s="1506" t="s">
        <v>2102</v>
      </c>
      <c r="D39" s="1506"/>
      <c r="E39" s="1506"/>
      <c r="F39" s="1506"/>
      <c r="G39" s="1506"/>
      <c r="H39" s="1506"/>
      <c r="I39" s="1506"/>
      <c r="J39" s="1506"/>
      <c r="K39" s="1506"/>
      <c r="L39" s="1506"/>
    </row>
    <row r="40" spans="3:22" x14ac:dyDescent="0.3">
      <c r="C40" s="1507"/>
      <c r="D40" s="1507"/>
      <c r="E40" s="1507"/>
      <c r="F40" s="1507"/>
      <c r="G40" s="1507"/>
      <c r="H40" s="1507"/>
      <c r="I40" s="1507"/>
      <c r="J40" s="1507"/>
      <c r="K40" s="1507"/>
      <c r="L40" s="1507"/>
    </row>
    <row r="41" spans="3:22" x14ac:dyDescent="0.3">
      <c r="C41" s="1507" t="s">
        <v>1983</v>
      </c>
      <c r="D41" s="1507"/>
      <c r="E41" s="1507"/>
      <c r="F41" s="1507"/>
      <c r="G41" s="1507"/>
      <c r="H41" s="1507"/>
      <c r="I41" s="1507"/>
      <c r="J41" s="1507"/>
      <c r="K41" s="1507"/>
      <c r="L41" s="1507"/>
    </row>
    <row r="42" spans="3:22" x14ac:dyDescent="0.3">
      <c r="C42" s="1507"/>
      <c r="D42" s="1507"/>
      <c r="E42" s="1507"/>
      <c r="F42" s="1507"/>
      <c r="G42" s="1507"/>
      <c r="H42" s="1507"/>
      <c r="I42" s="1507"/>
      <c r="J42" s="1507"/>
      <c r="K42" s="1507"/>
      <c r="L42" s="1507"/>
    </row>
    <row r="43" spans="3:22" s="772" customFormat="1" ht="98.25" customHeight="1" x14ac:dyDescent="0.3">
      <c r="C43" s="1512" t="s">
        <v>2873</v>
      </c>
      <c r="D43" s="1512"/>
      <c r="E43" s="1512"/>
      <c r="F43" s="1512"/>
      <c r="G43" s="1512"/>
      <c r="H43" s="1512"/>
      <c r="I43" s="1512"/>
      <c r="J43" s="1512"/>
      <c r="K43" s="1512"/>
      <c r="L43" s="1512"/>
    </row>
    <row r="44" spans="3:22" x14ac:dyDescent="0.3">
      <c r="C44" s="1501"/>
      <c r="D44" s="1501"/>
      <c r="E44" s="1501"/>
      <c r="F44" s="1501"/>
      <c r="G44" s="1501"/>
      <c r="H44" s="1501"/>
      <c r="I44" s="1501"/>
      <c r="J44" s="1501"/>
      <c r="K44" s="1501"/>
      <c r="L44" s="1501"/>
    </row>
    <row r="45" spans="3:22" ht="18" customHeight="1" x14ac:dyDescent="0.3">
      <c r="C45" s="1508" t="s">
        <v>2103</v>
      </c>
      <c r="D45" s="1508"/>
      <c r="E45" s="1508"/>
      <c r="F45" s="1508"/>
      <c r="G45" s="1508"/>
      <c r="H45" s="1508"/>
      <c r="I45" s="1508"/>
      <c r="J45" s="1508"/>
      <c r="K45" s="1508"/>
      <c r="L45" s="1508"/>
      <c r="M45" s="1509" t="s">
        <v>1821</v>
      </c>
      <c r="N45" s="1509"/>
      <c r="O45" s="1509"/>
      <c r="P45" s="1509"/>
      <c r="Q45" s="1509"/>
      <c r="R45" s="1509"/>
      <c r="S45" s="1509"/>
      <c r="T45" s="1509"/>
      <c r="U45" s="1509"/>
      <c r="V45" s="1509"/>
    </row>
    <row r="46" spans="3:22" x14ac:dyDescent="0.3">
      <c r="C46" s="1501"/>
      <c r="D46" s="1501"/>
      <c r="E46" s="1501"/>
      <c r="F46" s="1501"/>
      <c r="G46" s="1501"/>
      <c r="H46" s="1501"/>
      <c r="I46" s="1501"/>
      <c r="J46" s="1501"/>
      <c r="K46" s="1501"/>
      <c r="L46" s="1501"/>
    </row>
    <row r="47" spans="3:22" ht="57" customHeight="1" x14ac:dyDescent="0.3">
      <c r="C47" s="1503" t="s">
        <v>2109</v>
      </c>
      <c r="D47" s="1503"/>
      <c r="E47" s="1503"/>
      <c r="F47" s="1503"/>
      <c r="G47" s="1503"/>
      <c r="H47" s="1503"/>
      <c r="I47" s="1503"/>
      <c r="J47" s="1503"/>
      <c r="K47" s="1503"/>
      <c r="L47" s="1503"/>
    </row>
    <row r="48" spans="3:22" x14ac:dyDescent="0.3">
      <c r="C48" s="1504"/>
      <c r="D48" s="1504"/>
      <c r="E48" s="1504"/>
      <c r="F48" s="1504"/>
      <c r="G48" s="1504"/>
      <c r="H48" s="1504"/>
      <c r="I48" s="1504"/>
      <c r="J48" s="1504"/>
      <c r="K48" s="1504"/>
      <c r="L48" s="1504"/>
    </row>
    <row r="49" spans="3:22" ht="13.5" customHeight="1" x14ac:dyDescent="0.3">
      <c r="C49" s="1508" t="s">
        <v>2104</v>
      </c>
      <c r="D49" s="1508"/>
      <c r="E49" s="1508"/>
      <c r="F49" s="1508"/>
      <c r="G49" s="1508"/>
      <c r="H49" s="1508"/>
      <c r="I49" s="1508"/>
      <c r="J49" s="1508"/>
      <c r="K49" s="1508"/>
      <c r="L49" s="1508"/>
    </row>
    <row r="50" spans="3:22" x14ac:dyDescent="0.3">
      <c r="C50" s="1504"/>
      <c r="D50" s="1504"/>
      <c r="E50" s="1504"/>
      <c r="F50" s="1504"/>
      <c r="G50" s="1504"/>
      <c r="H50" s="1504"/>
      <c r="I50" s="1504"/>
      <c r="J50" s="1504"/>
      <c r="K50" s="1504"/>
      <c r="L50" s="1504"/>
      <c r="M50" s="769"/>
      <c r="N50" s="781"/>
      <c r="O50" s="781"/>
      <c r="P50" s="781"/>
      <c r="Q50" s="781"/>
      <c r="R50" s="781"/>
      <c r="S50" s="781"/>
      <c r="T50" s="781"/>
      <c r="U50" s="781"/>
    </row>
    <row r="51" spans="3:22" ht="43.5" customHeight="1" x14ac:dyDescent="0.3">
      <c r="C51" s="1505" t="s">
        <v>2110</v>
      </c>
      <c r="D51" s="1505"/>
      <c r="E51" s="1505"/>
      <c r="F51" s="1505"/>
      <c r="G51" s="1505"/>
      <c r="H51" s="1505"/>
      <c r="I51" s="1505"/>
      <c r="J51" s="1505"/>
      <c r="K51" s="1505"/>
      <c r="L51" s="1505"/>
      <c r="M51" s="1509" t="s">
        <v>1821</v>
      </c>
      <c r="N51" s="1509"/>
      <c r="O51" s="1509"/>
      <c r="P51" s="1509"/>
      <c r="Q51" s="1509"/>
      <c r="R51" s="1509"/>
      <c r="S51" s="1509"/>
      <c r="T51" s="1509"/>
      <c r="U51" s="1509"/>
      <c r="V51" s="1509"/>
    </row>
    <row r="52" spans="3:22" x14ac:dyDescent="0.3">
      <c r="C52" s="1504"/>
      <c r="D52" s="1504"/>
      <c r="E52" s="1504"/>
      <c r="F52" s="1504"/>
      <c r="G52" s="1504"/>
      <c r="H52" s="1504"/>
      <c r="I52" s="1504"/>
      <c r="J52" s="1504"/>
      <c r="K52" s="1504"/>
      <c r="L52" s="1504"/>
      <c r="M52" s="769"/>
      <c r="N52" s="781"/>
      <c r="O52" s="781"/>
      <c r="P52" s="781"/>
      <c r="Q52" s="781"/>
      <c r="R52" s="781"/>
      <c r="S52" s="781"/>
      <c r="T52" s="781"/>
      <c r="U52" s="781"/>
    </row>
    <row r="53" spans="3:22" ht="13.5" customHeight="1" x14ac:dyDescent="0.3">
      <c r="C53" s="1508" t="s">
        <v>2111</v>
      </c>
      <c r="D53" s="1508"/>
      <c r="E53" s="1508"/>
      <c r="F53" s="1508"/>
      <c r="G53" s="1508"/>
      <c r="H53" s="1508"/>
      <c r="I53" s="1508"/>
      <c r="J53" s="1508"/>
      <c r="K53" s="1508"/>
      <c r="L53" s="1508"/>
      <c r="M53" s="1509" t="s">
        <v>1821</v>
      </c>
      <c r="N53" s="1509"/>
      <c r="O53" s="1509"/>
      <c r="P53" s="1509"/>
      <c r="Q53" s="1509"/>
      <c r="R53" s="1509"/>
      <c r="S53" s="1509"/>
      <c r="T53" s="1509"/>
      <c r="U53" s="1509"/>
      <c r="V53" s="1509"/>
    </row>
    <row r="54" spans="3:22" x14ac:dyDescent="0.3">
      <c r="C54" s="1504"/>
      <c r="D54" s="1504"/>
      <c r="E54" s="1504"/>
      <c r="F54" s="1504"/>
      <c r="G54" s="1504"/>
      <c r="H54" s="1504"/>
      <c r="I54" s="1504"/>
      <c r="J54" s="1504"/>
      <c r="K54" s="1504"/>
      <c r="L54" s="1504"/>
      <c r="M54" s="769"/>
      <c r="N54" s="781"/>
      <c r="O54" s="781"/>
      <c r="P54" s="781"/>
      <c r="Q54" s="781"/>
      <c r="R54" s="781"/>
      <c r="S54" s="781"/>
      <c r="T54" s="781"/>
      <c r="U54" s="781"/>
    </row>
    <row r="55" spans="3:22" ht="47.1" customHeight="1" x14ac:dyDescent="0.3">
      <c r="C55" s="1505" t="s">
        <v>2112</v>
      </c>
      <c r="D55" s="1505"/>
      <c r="E55" s="1505"/>
      <c r="F55" s="1505"/>
      <c r="G55" s="1505"/>
      <c r="H55" s="1505"/>
      <c r="I55" s="1505"/>
      <c r="J55" s="1505"/>
      <c r="K55" s="1505"/>
      <c r="L55" s="1505"/>
      <c r="M55" s="1509" t="s">
        <v>1821</v>
      </c>
      <c r="N55" s="1509"/>
      <c r="O55" s="1509"/>
      <c r="P55" s="1509"/>
      <c r="Q55" s="1509"/>
      <c r="R55" s="1509"/>
      <c r="S55" s="1509"/>
      <c r="T55" s="1509"/>
      <c r="U55" s="1509"/>
      <c r="V55" s="1509"/>
    </row>
    <row r="56" spans="3:22" x14ac:dyDescent="0.3">
      <c r="C56" s="1504"/>
      <c r="D56" s="1504"/>
      <c r="E56" s="1504"/>
      <c r="F56" s="1504"/>
      <c r="G56" s="1504"/>
      <c r="H56" s="1504"/>
      <c r="I56" s="1504"/>
      <c r="J56" s="1504"/>
      <c r="K56" s="1504"/>
      <c r="L56" s="1504"/>
      <c r="M56" s="769"/>
      <c r="N56" s="781"/>
      <c r="O56" s="781"/>
      <c r="P56" s="781"/>
      <c r="Q56" s="781"/>
      <c r="R56" s="781"/>
      <c r="S56" s="781"/>
      <c r="T56" s="781"/>
      <c r="U56" s="781"/>
    </row>
    <row r="57" spans="3:22" ht="13.5" customHeight="1" x14ac:dyDescent="0.3">
      <c r="C57" s="1508" t="s">
        <v>2105</v>
      </c>
      <c r="D57" s="1508"/>
      <c r="E57" s="1508"/>
      <c r="F57" s="1508"/>
      <c r="G57" s="1508"/>
      <c r="H57" s="1508"/>
      <c r="I57" s="1508"/>
      <c r="J57" s="1508"/>
      <c r="K57" s="1508"/>
      <c r="L57" s="1508"/>
      <c r="M57" s="769"/>
      <c r="N57" s="781"/>
      <c r="O57" s="781"/>
      <c r="P57" s="781"/>
      <c r="Q57" s="781"/>
      <c r="R57" s="781"/>
      <c r="S57" s="781"/>
      <c r="T57" s="781"/>
      <c r="U57" s="781"/>
    </row>
    <row r="58" spans="3:22" x14ac:dyDescent="0.3">
      <c r="C58" s="1504"/>
      <c r="D58" s="1504"/>
      <c r="E58" s="1504"/>
      <c r="F58" s="1504"/>
      <c r="G58" s="1504"/>
      <c r="H58" s="1504"/>
      <c r="I58" s="1504"/>
      <c r="J58" s="1504"/>
      <c r="K58" s="1504"/>
      <c r="L58" s="1504"/>
      <c r="M58" s="1509" t="s">
        <v>1821</v>
      </c>
      <c r="N58" s="1509"/>
      <c r="O58" s="1509"/>
      <c r="P58" s="1509"/>
      <c r="Q58" s="1509"/>
      <c r="R58" s="1509"/>
      <c r="S58" s="1509"/>
      <c r="T58" s="1509"/>
      <c r="U58" s="1509"/>
      <c r="V58" s="1509"/>
    </row>
    <row r="59" spans="3:22" ht="55.5" customHeight="1" x14ac:dyDescent="0.3">
      <c r="C59" s="1505" t="s">
        <v>2113</v>
      </c>
      <c r="D59" s="1505"/>
      <c r="E59" s="1505"/>
      <c r="F59" s="1505"/>
      <c r="G59" s="1505"/>
      <c r="H59" s="1505"/>
      <c r="I59" s="1505"/>
      <c r="J59" s="1505"/>
      <c r="K59" s="1505"/>
      <c r="L59" s="1505"/>
      <c r="M59" s="769"/>
      <c r="N59" s="781"/>
      <c r="O59" s="781"/>
      <c r="P59" s="781"/>
      <c r="Q59" s="781"/>
      <c r="R59" s="781"/>
      <c r="S59" s="781"/>
      <c r="T59" s="781"/>
      <c r="U59" s="781"/>
    </row>
    <row r="60" spans="3:22" x14ac:dyDescent="0.3">
      <c r="C60" s="1504"/>
      <c r="D60" s="1504"/>
      <c r="E60" s="1504"/>
      <c r="F60" s="1504"/>
      <c r="G60" s="1504"/>
      <c r="H60" s="1504"/>
      <c r="I60" s="1504"/>
      <c r="J60" s="1504"/>
      <c r="K60" s="1504"/>
      <c r="L60" s="1504"/>
      <c r="M60" s="1509" t="s">
        <v>1821</v>
      </c>
      <c r="N60" s="1509"/>
      <c r="O60" s="1509"/>
      <c r="P60" s="1509"/>
      <c r="Q60" s="1509"/>
      <c r="R60" s="1509"/>
      <c r="S60" s="1509"/>
      <c r="T60" s="1509"/>
      <c r="U60" s="1509"/>
      <c r="V60" s="1509"/>
    </row>
    <row r="61" spans="3:22" ht="13.5" customHeight="1" x14ac:dyDescent="0.3">
      <c r="C61" s="1508" t="s">
        <v>2106</v>
      </c>
      <c r="D61" s="1508"/>
      <c r="E61" s="1508"/>
      <c r="F61" s="1508"/>
      <c r="G61" s="1508"/>
      <c r="H61" s="1508"/>
      <c r="I61" s="1508"/>
      <c r="J61" s="1508"/>
      <c r="K61" s="1508"/>
      <c r="L61" s="1508"/>
      <c r="M61" s="769"/>
      <c r="N61" s="781"/>
      <c r="O61" s="781"/>
      <c r="P61" s="781"/>
      <c r="Q61" s="781"/>
      <c r="R61" s="781"/>
      <c r="S61" s="781"/>
      <c r="T61" s="781"/>
      <c r="U61" s="781"/>
    </row>
    <row r="62" spans="3:22" x14ac:dyDescent="0.3">
      <c r="C62" s="1504"/>
      <c r="D62" s="1504"/>
      <c r="E62" s="1504"/>
      <c r="F62" s="1504"/>
      <c r="G62" s="1504"/>
      <c r="H62" s="1504"/>
      <c r="I62" s="1504"/>
      <c r="J62" s="1504"/>
      <c r="K62" s="1504"/>
      <c r="L62" s="1504"/>
      <c r="M62" s="1509" t="s">
        <v>1821</v>
      </c>
      <c r="N62" s="1509"/>
      <c r="O62" s="1509"/>
      <c r="P62" s="1509"/>
      <c r="Q62" s="1509"/>
      <c r="R62" s="1509"/>
      <c r="S62" s="1509"/>
      <c r="T62" s="1509"/>
      <c r="U62" s="1509"/>
      <c r="V62" s="1509"/>
    </row>
    <row r="63" spans="3:22" ht="29.1" customHeight="1" x14ac:dyDescent="0.3">
      <c r="C63" s="1505" t="s">
        <v>2114</v>
      </c>
      <c r="D63" s="1505"/>
      <c r="E63" s="1505"/>
      <c r="F63" s="1505"/>
      <c r="G63" s="1505"/>
      <c r="H63" s="1505"/>
      <c r="I63" s="1505"/>
      <c r="J63" s="1505"/>
      <c r="K63" s="1505"/>
      <c r="L63" s="1505"/>
      <c r="M63" s="769"/>
      <c r="N63" s="781"/>
      <c r="O63" s="781"/>
      <c r="P63" s="781"/>
      <c r="Q63" s="781"/>
      <c r="R63" s="781"/>
      <c r="S63" s="781"/>
      <c r="T63" s="781"/>
      <c r="U63" s="781"/>
    </row>
    <row r="64" spans="3:22" x14ac:dyDescent="0.3">
      <c r="C64" s="1504"/>
      <c r="D64" s="1504"/>
      <c r="E64" s="1504"/>
      <c r="F64" s="1504"/>
      <c r="G64" s="1504"/>
      <c r="H64" s="1504"/>
      <c r="I64" s="1504"/>
      <c r="J64" s="1504"/>
      <c r="K64" s="1504"/>
      <c r="L64" s="1504"/>
      <c r="M64" s="769"/>
      <c r="N64" s="781"/>
      <c r="O64" s="781"/>
      <c r="P64" s="781"/>
      <c r="Q64" s="781"/>
      <c r="R64" s="781"/>
      <c r="S64" s="781"/>
      <c r="T64" s="781"/>
      <c r="U64" s="781"/>
    </row>
    <row r="65" spans="3:22" ht="13.5" customHeight="1" x14ac:dyDescent="0.3">
      <c r="C65" s="1508" t="s">
        <v>2107</v>
      </c>
      <c r="D65" s="1508"/>
      <c r="E65" s="1508"/>
      <c r="F65" s="1508"/>
      <c r="G65" s="1508"/>
      <c r="H65" s="1508"/>
      <c r="I65" s="1508"/>
      <c r="J65" s="1508"/>
      <c r="K65" s="1508"/>
      <c r="L65" s="1508"/>
      <c r="M65" s="1509" t="s">
        <v>1821</v>
      </c>
      <c r="N65" s="1509"/>
      <c r="O65" s="1509"/>
      <c r="P65" s="1509"/>
      <c r="Q65" s="1509"/>
      <c r="R65" s="1509"/>
      <c r="S65" s="1509"/>
      <c r="T65" s="1509"/>
      <c r="U65" s="1509"/>
      <c r="V65" s="1509"/>
    </row>
    <row r="66" spans="3:22" x14ac:dyDescent="0.3">
      <c r="C66" s="1504"/>
      <c r="D66" s="1504"/>
      <c r="E66" s="1504"/>
      <c r="F66" s="1504"/>
      <c r="G66" s="1504"/>
      <c r="H66" s="1504"/>
      <c r="I66" s="1504"/>
      <c r="J66" s="1504"/>
      <c r="K66" s="1504"/>
      <c r="L66" s="1504"/>
      <c r="M66" s="769"/>
      <c r="N66" s="781"/>
      <c r="O66" s="781"/>
      <c r="P66" s="781"/>
      <c r="Q66" s="781"/>
      <c r="R66" s="781"/>
      <c r="S66" s="781"/>
      <c r="T66" s="781"/>
      <c r="U66" s="781"/>
    </row>
    <row r="67" spans="3:22" ht="29.1" customHeight="1" x14ac:dyDescent="0.3">
      <c r="C67" s="1505" t="s">
        <v>2115</v>
      </c>
      <c r="D67" s="1505"/>
      <c r="E67" s="1505"/>
      <c r="F67" s="1505"/>
      <c r="G67" s="1505"/>
      <c r="H67" s="1505"/>
      <c r="I67" s="1505"/>
      <c r="J67" s="1505"/>
      <c r="K67" s="1505"/>
      <c r="L67" s="1505"/>
      <c r="M67" s="1509" t="s">
        <v>1821</v>
      </c>
      <c r="N67" s="1509"/>
      <c r="O67" s="1509"/>
      <c r="P67" s="1509"/>
      <c r="Q67" s="1509"/>
      <c r="R67" s="1509"/>
      <c r="S67" s="1509"/>
      <c r="T67" s="1509"/>
      <c r="U67" s="1509"/>
      <c r="V67" s="1509"/>
    </row>
    <row r="68" spans="3:22" x14ac:dyDescent="0.3">
      <c r="C68" s="1505"/>
      <c r="D68" s="1505"/>
      <c r="E68" s="1505"/>
      <c r="F68" s="1505"/>
      <c r="G68" s="1505"/>
      <c r="H68" s="1505"/>
      <c r="I68" s="1505"/>
      <c r="J68" s="1505"/>
      <c r="K68" s="1505"/>
      <c r="L68" s="1505"/>
      <c r="M68" s="769"/>
      <c r="N68" s="781"/>
      <c r="O68" s="781"/>
      <c r="P68" s="781"/>
      <c r="Q68" s="781"/>
      <c r="R68" s="781"/>
      <c r="S68" s="781"/>
      <c r="T68" s="781"/>
      <c r="U68" s="781"/>
    </row>
    <row r="69" spans="3:22" ht="18" customHeight="1" x14ac:dyDescent="0.3">
      <c r="C69" s="1505" t="s">
        <v>2116</v>
      </c>
      <c r="D69" s="1505"/>
      <c r="E69" s="1505"/>
      <c r="F69" s="1505"/>
      <c r="G69" s="1505"/>
      <c r="H69" s="1505"/>
      <c r="I69" s="1505"/>
      <c r="J69" s="1505"/>
      <c r="K69" s="1505"/>
      <c r="L69" s="1505"/>
      <c r="M69" s="1509" t="s">
        <v>1821</v>
      </c>
      <c r="N69" s="1509"/>
      <c r="O69" s="1509"/>
      <c r="P69" s="1509"/>
      <c r="Q69" s="1509"/>
      <c r="R69" s="1509"/>
      <c r="S69" s="1509"/>
      <c r="T69" s="1509"/>
      <c r="U69" s="1509"/>
      <c r="V69" s="1509"/>
    </row>
    <row r="70" spans="3:22" x14ac:dyDescent="0.3">
      <c r="C70" s="1505"/>
      <c r="D70" s="1505"/>
      <c r="E70" s="1505"/>
      <c r="F70" s="1505"/>
      <c r="G70" s="1505"/>
      <c r="H70" s="1505"/>
      <c r="I70" s="1505"/>
      <c r="J70" s="1505"/>
      <c r="K70" s="1505"/>
      <c r="L70" s="1505"/>
      <c r="M70" s="769"/>
      <c r="N70" s="781"/>
      <c r="O70" s="781"/>
      <c r="P70" s="781"/>
      <c r="Q70" s="781"/>
      <c r="R70" s="781"/>
      <c r="S70" s="781"/>
      <c r="T70" s="781"/>
      <c r="U70" s="781"/>
    </row>
    <row r="71" spans="3:22" ht="38.549999999999997" customHeight="1" x14ac:dyDescent="0.3">
      <c r="C71" s="1505" t="s">
        <v>2119</v>
      </c>
      <c r="D71" s="1505"/>
      <c r="E71" s="1505"/>
      <c r="F71" s="1505"/>
      <c r="G71" s="1505"/>
      <c r="H71" s="1505"/>
      <c r="I71" s="1505"/>
      <c r="J71" s="1505"/>
      <c r="K71" s="1505"/>
      <c r="L71" s="1505"/>
      <c r="M71" s="781"/>
      <c r="N71" s="781"/>
      <c r="O71" s="781"/>
      <c r="P71" s="781"/>
      <c r="Q71" s="781"/>
      <c r="R71" s="781"/>
      <c r="S71" s="781"/>
      <c r="T71" s="781"/>
      <c r="U71" s="781"/>
    </row>
    <row r="72" spans="3:22" x14ac:dyDescent="0.3">
      <c r="C72" s="1505"/>
      <c r="D72" s="1505"/>
      <c r="E72" s="1505"/>
      <c r="F72" s="1505"/>
      <c r="G72" s="1505"/>
      <c r="H72" s="1505"/>
      <c r="I72" s="1505"/>
      <c r="J72" s="1505"/>
      <c r="K72" s="1505"/>
      <c r="L72" s="1505"/>
      <c r="M72" s="1509" t="s">
        <v>1821</v>
      </c>
      <c r="N72" s="1509"/>
      <c r="O72" s="1509"/>
      <c r="P72" s="1509"/>
      <c r="Q72" s="1509"/>
      <c r="R72" s="1509"/>
      <c r="S72" s="1509"/>
      <c r="T72" s="1509"/>
      <c r="U72" s="1509"/>
      <c r="V72" s="1509"/>
    </row>
    <row r="73" spans="3:22" ht="29.1" customHeight="1" x14ac:dyDescent="0.3">
      <c r="C73" s="1505" t="s">
        <v>2118</v>
      </c>
      <c r="D73" s="1505"/>
      <c r="E73" s="1505"/>
      <c r="F73" s="1505"/>
      <c r="G73" s="1505"/>
      <c r="H73" s="1505"/>
      <c r="I73" s="1505"/>
      <c r="J73" s="1505"/>
      <c r="K73" s="1505"/>
      <c r="L73" s="1505"/>
      <c r="M73" s="769"/>
      <c r="N73" s="781"/>
      <c r="O73" s="781"/>
      <c r="P73" s="781"/>
      <c r="Q73" s="781"/>
      <c r="R73" s="781"/>
      <c r="S73" s="781"/>
      <c r="T73" s="781"/>
      <c r="U73" s="781"/>
    </row>
    <row r="74" spans="3:22" x14ac:dyDescent="0.3">
      <c r="C74" s="1504"/>
      <c r="D74" s="1504"/>
      <c r="E74" s="1504"/>
      <c r="F74" s="1504"/>
      <c r="G74" s="1504"/>
      <c r="H74" s="1504"/>
      <c r="I74" s="1504"/>
      <c r="J74" s="1504"/>
      <c r="K74" s="1504"/>
      <c r="L74" s="1504"/>
      <c r="M74" s="1509" t="s">
        <v>1821</v>
      </c>
      <c r="N74" s="1509"/>
      <c r="O74" s="1509"/>
      <c r="P74" s="1509"/>
      <c r="Q74" s="1509"/>
      <c r="R74" s="1509"/>
      <c r="S74" s="1509"/>
      <c r="T74" s="1509"/>
      <c r="U74" s="1509"/>
      <c r="V74" s="1509"/>
    </row>
    <row r="75" spans="3:22" ht="33.75" customHeight="1" x14ac:dyDescent="0.3">
      <c r="C75" s="1508" t="s">
        <v>2108</v>
      </c>
      <c r="D75" s="1508"/>
      <c r="E75" s="1508"/>
      <c r="F75" s="1508"/>
      <c r="G75" s="1508"/>
      <c r="H75" s="1508"/>
      <c r="I75" s="1508"/>
      <c r="J75" s="1508"/>
      <c r="K75" s="1508"/>
      <c r="L75" s="1508"/>
      <c r="M75" s="769"/>
      <c r="N75" s="781"/>
      <c r="O75" s="781"/>
      <c r="P75" s="781"/>
      <c r="Q75" s="781"/>
      <c r="R75" s="781"/>
      <c r="S75" s="781"/>
      <c r="T75" s="781"/>
      <c r="U75" s="781"/>
    </row>
    <row r="76" spans="3:22" x14ac:dyDescent="0.3">
      <c r="C76" s="1504"/>
      <c r="D76" s="1504"/>
      <c r="E76" s="1504"/>
      <c r="F76" s="1504"/>
      <c r="G76" s="1504"/>
      <c r="H76" s="1504"/>
      <c r="I76" s="1504"/>
      <c r="J76" s="1504"/>
      <c r="K76" s="1504"/>
      <c r="L76" s="1504"/>
      <c r="M76" s="1509" t="s">
        <v>1821</v>
      </c>
      <c r="N76" s="1509"/>
      <c r="O76" s="1509"/>
      <c r="P76" s="1509"/>
      <c r="Q76" s="1509"/>
      <c r="R76" s="1509"/>
      <c r="S76" s="1509"/>
      <c r="T76" s="1509"/>
      <c r="U76" s="1509"/>
      <c r="V76" s="1509"/>
    </row>
    <row r="77" spans="3:22" ht="46.5" customHeight="1" x14ac:dyDescent="0.3">
      <c r="C77" s="1505" t="s">
        <v>2117</v>
      </c>
      <c r="D77" s="1505"/>
      <c r="E77" s="1505"/>
      <c r="F77" s="1505"/>
      <c r="G77" s="1505"/>
      <c r="H77" s="1505"/>
      <c r="I77" s="1505"/>
      <c r="J77" s="1505"/>
      <c r="K77" s="1505"/>
      <c r="L77" s="1505"/>
      <c r="M77" s="769"/>
      <c r="N77" s="781"/>
      <c r="O77" s="781"/>
      <c r="P77" s="781"/>
      <c r="Q77" s="781"/>
      <c r="R77" s="781"/>
      <c r="S77" s="781"/>
      <c r="T77" s="781"/>
      <c r="U77" s="781"/>
    </row>
    <row r="78" spans="3:22" x14ac:dyDescent="0.3">
      <c r="C78" s="1504"/>
      <c r="D78" s="1504"/>
      <c r="E78" s="1504"/>
      <c r="F78" s="1504"/>
      <c r="G78" s="1504"/>
      <c r="H78" s="1504"/>
      <c r="I78" s="1504"/>
      <c r="J78" s="1504"/>
      <c r="K78" s="1504"/>
      <c r="L78" s="1504"/>
      <c r="M78" s="769"/>
      <c r="N78" s="781"/>
      <c r="O78" s="781"/>
      <c r="P78" s="781"/>
      <c r="Q78" s="781"/>
      <c r="R78" s="781"/>
      <c r="S78" s="781"/>
      <c r="T78" s="781"/>
      <c r="U78" s="781"/>
    </row>
    <row r="79" spans="3:22" x14ac:dyDescent="0.3">
      <c r="C79" s="1504"/>
      <c r="D79" s="1504"/>
      <c r="E79" s="1504"/>
      <c r="F79" s="1504"/>
      <c r="G79" s="1504"/>
      <c r="H79" s="1504"/>
      <c r="I79" s="1504"/>
      <c r="J79" s="1504"/>
      <c r="K79" s="1504"/>
      <c r="L79" s="1504"/>
      <c r="M79" s="769"/>
      <c r="N79" s="781"/>
      <c r="O79" s="781"/>
      <c r="P79" s="781"/>
      <c r="Q79" s="781"/>
      <c r="R79" s="781"/>
      <c r="S79" s="781"/>
      <c r="T79" s="781"/>
      <c r="U79" s="781"/>
    </row>
    <row r="80" spans="3:22" x14ac:dyDescent="0.3">
      <c r="C80" s="1504"/>
      <c r="D80" s="1504"/>
      <c r="E80" s="1504"/>
      <c r="F80" s="1504"/>
      <c r="G80" s="1504"/>
      <c r="H80" s="1504"/>
      <c r="I80" s="1504"/>
      <c r="J80" s="1504"/>
      <c r="K80" s="1504"/>
      <c r="L80" s="1504"/>
    </row>
    <row r="81" spans="3:12" ht="12.75" customHeight="1" x14ac:dyDescent="0.3">
      <c r="C81" s="1543" t="s">
        <v>910</v>
      </c>
      <c r="D81" s="1543"/>
      <c r="E81" s="1543"/>
      <c r="F81" s="1543"/>
      <c r="G81" s="1543"/>
      <c r="H81" s="1543"/>
      <c r="I81" s="1543"/>
      <c r="J81" s="1543"/>
      <c r="K81" s="1543"/>
      <c r="L81" s="1543"/>
    </row>
    <row r="82" spans="3:12" x14ac:dyDescent="0.3">
      <c r="C82" s="1501"/>
      <c r="D82" s="1501"/>
      <c r="E82" s="1501"/>
      <c r="F82" s="1501"/>
      <c r="G82" s="1501"/>
      <c r="H82" s="1501"/>
      <c r="I82" s="1501"/>
      <c r="J82" s="1501"/>
      <c r="K82" s="1501"/>
      <c r="L82" s="1501"/>
    </row>
    <row r="83" spans="3:12" ht="12.75" customHeight="1" x14ac:dyDescent="0.3">
      <c r="C83" s="1507" t="s">
        <v>911</v>
      </c>
      <c r="D83" s="1507"/>
      <c r="E83" s="1507"/>
      <c r="F83" s="1507"/>
      <c r="G83" s="1507"/>
      <c r="H83" s="1507"/>
      <c r="I83" s="1507"/>
      <c r="J83" s="1507"/>
      <c r="K83" s="1507"/>
      <c r="L83" s="1507"/>
    </row>
    <row r="84" spans="3:12" ht="48.75" customHeight="1" x14ac:dyDescent="0.3">
      <c r="C84" s="1512" t="s">
        <v>912</v>
      </c>
      <c r="D84" s="1512"/>
      <c r="E84" s="1512"/>
      <c r="F84" s="1512"/>
      <c r="G84" s="1512"/>
      <c r="H84" s="1512"/>
      <c r="I84" s="1512"/>
      <c r="J84" s="1512"/>
      <c r="K84" s="1512"/>
      <c r="L84" s="1512"/>
    </row>
    <row r="85" spans="3:12" x14ac:dyDescent="0.3">
      <c r="C85" s="1512"/>
      <c r="D85" s="1512"/>
      <c r="E85" s="1512"/>
      <c r="F85" s="1512"/>
      <c r="G85" s="1512"/>
      <c r="H85" s="1512"/>
      <c r="I85" s="1512"/>
      <c r="J85" s="1512"/>
      <c r="K85" s="1512"/>
      <c r="L85" s="1512"/>
    </row>
    <row r="86" spans="3:12" ht="31.5" customHeight="1" x14ac:dyDescent="0.3">
      <c r="C86" s="1512" t="s">
        <v>1524</v>
      </c>
      <c r="D86" s="1512"/>
      <c r="E86" s="1512"/>
      <c r="F86" s="1512"/>
      <c r="G86" s="1512"/>
      <c r="H86" s="1512"/>
      <c r="I86" s="1512"/>
      <c r="J86" s="1512"/>
      <c r="K86" s="1512"/>
      <c r="L86" s="1512"/>
    </row>
    <row r="87" spans="3:12" x14ac:dyDescent="0.3">
      <c r="C87" s="1504"/>
      <c r="D87" s="1504"/>
      <c r="E87" s="1504"/>
      <c r="F87" s="1504"/>
      <c r="G87" s="1504"/>
      <c r="H87" s="1504"/>
      <c r="I87" s="1504"/>
      <c r="J87" s="1504"/>
      <c r="K87" s="1504"/>
      <c r="L87" s="1504"/>
    </row>
    <row r="88" spans="3:12" ht="13.5" customHeight="1" x14ac:dyDescent="0.3">
      <c r="C88" s="1504" t="s">
        <v>3153</v>
      </c>
      <c r="D88" s="1504"/>
      <c r="E88" s="1504"/>
      <c r="F88" s="1504"/>
      <c r="G88" s="1504"/>
      <c r="H88" s="1504"/>
      <c r="I88" s="1504"/>
      <c r="J88" s="1504"/>
      <c r="K88" s="1504"/>
      <c r="L88" s="1504"/>
    </row>
    <row r="89" spans="3:12" x14ac:dyDescent="0.3">
      <c r="C89" s="1501"/>
      <c r="D89" s="1501"/>
      <c r="E89" s="1501"/>
      <c r="F89" s="1501"/>
      <c r="G89" s="1501"/>
      <c r="H89" s="1501"/>
      <c r="I89" s="1501"/>
      <c r="J89" s="1501"/>
      <c r="K89" s="1501"/>
      <c r="L89" s="1501"/>
    </row>
    <row r="90" spans="3:12" ht="12.75" customHeight="1" x14ac:dyDescent="0.3">
      <c r="C90" s="1535" t="s">
        <v>913</v>
      </c>
      <c r="D90" s="1535"/>
      <c r="E90" s="1535"/>
      <c r="F90" s="1535"/>
      <c r="G90" s="1535"/>
      <c r="H90" s="1535"/>
      <c r="I90" s="1535"/>
      <c r="J90" s="1535"/>
      <c r="K90" s="1535"/>
      <c r="L90" s="1535"/>
    </row>
    <row r="91" spans="3:12" x14ac:dyDescent="0.3">
      <c r="C91" s="1535"/>
      <c r="D91" s="1535"/>
      <c r="E91" s="1535"/>
      <c r="F91" s="1535"/>
      <c r="G91" s="1535"/>
      <c r="H91" s="1535"/>
      <c r="I91" s="1535"/>
      <c r="J91" s="1535"/>
      <c r="K91" s="1535"/>
      <c r="L91" s="1535"/>
    </row>
    <row r="92" spans="3:12" ht="43.5" customHeight="1" x14ac:dyDescent="0.3">
      <c r="C92" s="1512" t="s">
        <v>1946</v>
      </c>
      <c r="D92" s="1512"/>
      <c r="E92" s="1512"/>
      <c r="F92" s="1512"/>
      <c r="G92" s="1512"/>
      <c r="H92" s="1512"/>
      <c r="I92" s="1512"/>
      <c r="J92" s="1512"/>
      <c r="K92" s="1512"/>
      <c r="L92" s="1512"/>
    </row>
    <row r="93" spans="3:12" x14ac:dyDescent="0.3">
      <c r="C93" s="1512"/>
      <c r="D93" s="1512"/>
      <c r="E93" s="1512"/>
      <c r="F93" s="1512"/>
      <c r="G93" s="1512"/>
      <c r="H93" s="1512"/>
      <c r="I93" s="1512"/>
      <c r="J93" s="1512"/>
      <c r="K93" s="1512"/>
      <c r="L93" s="1512"/>
    </row>
    <row r="94" spans="3:12" ht="33" customHeight="1" x14ac:dyDescent="0.3">
      <c r="C94" s="1512" t="s">
        <v>914</v>
      </c>
      <c r="D94" s="1512"/>
      <c r="E94" s="1512"/>
      <c r="F94" s="1512"/>
      <c r="G94" s="1512"/>
      <c r="H94" s="1512"/>
      <c r="I94" s="1512"/>
      <c r="J94" s="1512"/>
      <c r="K94" s="1512"/>
      <c r="L94" s="1512"/>
    </row>
    <row r="95" spans="3:12" x14ac:dyDescent="0.3">
      <c r="C95" s="1501"/>
      <c r="D95" s="1501"/>
      <c r="E95" s="1501"/>
      <c r="F95" s="1501"/>
      <c r="G95" s="1501"/>
      <c r="H95" s="1501"/>
      <c r="I95" s="1501"/>
      <c r="J95" s="1501"/>
      <c r="K95" s="1501"/>
      <c r="L95" s="1501"/>
    </row>
    <row r="96" spans="3:12" ht="13.5" customHeight="1" x14ac:dyDescent="0.3">
      <c r="C96" s="1504" t="s">
        <v>915</v>
      </c>
      <c r="D96" s="1504"/>
      <c r="E96" s="1504"/>
      <c r="F96" s="1504"/>
      <c r="G96" s="1504"/>
      <c r="H96" s="1504"/>
      <c r="I96" s="1504"/>
      <c r="J96" s="1504"/>
      <c r="K96" s="1504"/>
      <c r="L96" s="1504"/>
    </row>
    <row r="98" spans="3:12" ht="31.5" customHeight="1" x14ac:dyDescent="0.3">
      <c r="C98" s="643" t="s">
        <v>916</v>
      </c>
      <c r="D98" s="1512" t="s">
        <v>1723</v>
      </c>
      <c r="E98" s="1512"/>
      <c r="F98" s="1512"/>
      <c r="G98" s="1512"/>
      <c r="H98" s="1512"/>
      <c r="I98" s="1512"/>
      <c r="J98" s="1512"/>
      <c r="K98" s="1512"/>
      <c r="L98" s="1512"/>
    </row>
    <row r="99" spans="3:12" x14ac:dyDescent="0.3">
      <c r="C99" s="643"/>
      <c r="D99" s="406"/>
      <c r="E99" s="406"/>
      <c r="F99" s="406"/>
      <c r="G99" s="406"/>
      <c r="H99" s="406"/>
      <c r="I99" s="406"/>
      <c r="J99" s="406"/>
      <c r="K99" s="406"/>
      <c r="L99" s="406"/>
    </row>
    <row r="100" spans="3:12" ht="31.5" customHeight="1" x14ac:dyDescent="0.3">
      <c r="C100" s="643" t="s">
        <v>916</v>
      </c>
      <c r="D100" s="1512" t="s">
        <v>917</v>
      </c>
      <c r="E100" s="1512"/>
      <c r="F100" s="1512"/>
      <c r="G100" s="1512"/>
      <c r="H100" s="1512"/>
      <c r="I100" s="1512"/>
      <c r="J100" s="1512"/>
      <c r="K100" s="1512"/>
      <c r="L100" s="1512"/>
    </row>
    <row r="101" spans="3:12" x14ac:dyDescent="0.3">
      <c r="C101" s="643"/>
      <c r="D101" s="406"/>
      <c r="E101" s="406"/>
      <c r="F101" s="406"/>
      <c r="G101" s="406"/>
      <c r="H101" s="406"/>
      <c r="I101" s="406"/>
      <c r="J101" s="406"/>
      <c r="K101" s="406"/>
      <c r="L101" s="406"/>
    </row>
    <row r="102" spans="3:12" ht="13.5" customHeight="1" x14ac:dyDescent="0.3">
      <c r="C102" s="643" t="s">
        <v>916</v>
      </c>
      <c r="D102" s="1512" t="s">
        <v>918</v>
      </c>
      <c r="E102" s="1512"/>
      <c r="F102" s="1512"/>
      <c r="G102" s="1512"/>
      <c r="H102" s="1512"/>
      <c r="I102" s="1512"/>
      <c r="J102" s="1512"/>
      <c r="K102" s="406"/>
      <c r="L102" s="406"/>
    </row>
    <row r="103" spans="3:12" x14ac:dyDescent="0.3">
      <c r="C103" s="1504"/>
      <c r="D103" s="1504"/>
      <c r="E103" s="1504"/>
      <c r="F103" s="1504"/>
      <c r="G103" s="1504"/>
      <c r="H103" s="1504"/>
      <c r="I103" s="1504"/>
      <c r="J103" s="1504"/>
      <c r="K103" s="1504"/>
      <c r="L103" s="1504"/>
    </row>
    <row r="104" spans="3:12" ht="13.5" customHeight="1" x14ac:dyDescent="0.3">
      <c r="C104" s="1504" t="s">
        <v>919</v>
      </c>
      <c r="D104" s="1504"/>
      <c r="E104" s="1504"/>
      <c r="F104" s="1504"/>
      <c r="G104" s="1504"/>
      <c r="H104" s="1504"/>
      <c r="I104" s="1504"/>
      <c r="J104" s="1504"/>
    </row>
    <row r="106" spans="3:12" ht="13.5" customHeight="1" x14ac:dyDescent="0.3">
      <c r="C106" s="643" t="s">
        <v>916</v>
      </c>
      <c r="D106" s="1504" t="s">
        <v>920</v>
      </c>
      <c r="E106" s="1504"/>
      <c r="F106" s="1504"/>
      <c r="G106" s="1504"/>
      <c r="H106" s="1504"/>
      <c r="I106" s="1504"/>
      <c r="J106" s="1504"/>
    </row>
    <row r="107" spans="3:12" x14ac:dyDescent="0.3">
      <c r="C107" s="643"/>
    </row>
    <row r="108" spans="3:12" ht="13.5" customHeight="1" x14ac:dyDescent="0.3">
      <c r="C108" s="643" t="s">
        <v>916</v>
      </c>
      <c r="D108" s="1504" t="s">
        <v>921</v>
      </c>
      <c r="E108" s="1504"/>
      <c r="F108" s="1504"/>
      <c r="G108" s="1504"/>
      <c r="H108" s="1504"/>
      <c r="I108" s="1504"/>
      <c r="J108" s="1504"/>
      <c r="K108" s="1501"/>
      <c r="L108" s="1501"/>
    </row>
    <row r="109" spans="3:12" x14ac:dyDescent="0.3">
      <c r="C109" s="1506"/>
      <c r="D109" s="1506"/>
      <c r="E109" s="1506"/>
      <c r="F109" s="1506"/>
      <c r="G109" s="1506"/>
      <c r="H109" s="1506"/>
      <c r="I109" s="1506"/>
      <c r="J109" s="1506"/>
      <c r="K109" s="1506"/>
      <c r="L109" s="1506"/>
    </row>
    <row r="110" spans="3:12" x14ac:dyDescent="0.3">
      <c r="C110" s="1506"/>
      <c r="D110" s="1506"/>
      <c r="E110" s="1506"/>
      <c r="F110" s="1506"/>
      <c r="G110" s="1506"/>
      <c r="H110" s="1506"/>
      <c r="I110" s="1506"/>
      <c r="J110" s="1506"/>
      <c r="K110" s="1506"/>
      <c r="L110" s="1506"/>
    </row>
    <row r="111" spans="3:12" x14ac:dyDescent="0.3">
      <c r="C111" s="1541" t="s">
        <v>922</v>
      </c>
      <c r="D111" s="1541"/>
      <c r="E111" s="1542"/>
      <c r="F111" s="1542"/>
      <c r="G111" s="1542"/>
      <c r="H111" s="1542"/>
      <c r="I111" s="1542"/>
      <c r="J111" s="1542"/>
      <c r="K111" s="1542"/>
      <c r="L111" s="1542"/>
    </row>
    <row r="112" spans="3:12" x14ac:dyDescent="0.3">
      <c r="C112" s="1500"/>
      <c r="D112" s="1500"/>
      <c r="E112" s="1500"/>
      <c r="F112" s="1500"/>
      <c r="G112" s="1500"/>
      <c r="H112" s="1500"/>
      <c r="I112" s="1500"/>
      <c r="J112" s="1500"/>
      <c r="K112" s="1500"/>
      <c r="L112" s="1500"/>
    </row>
    <row r="113" spans="3:12" ht="12.75" customHeight="1" x14ac:dyDescent="0.3">
      <c r="C113" s="1539" t="s">
        <v>923</v>
      </c>
      <c r="D113" s="1539"/>
      <c r="E113" s="1540"/>
      <c r="F113" s="1540"/>
      <c r="G113" s="1540"/>
      <c r="H113" s="1540"/>
      <c r="I113" s="1540"/>
      <c r="J113" s="1540"/>
      <c r="K113" s="1540"/>
      <c r="L113" s="1540"/>
    </row>
    <row r="114" spans="3:12" x14ac:dyDescent="0.3">
      <c r="C114" s="1500"/>
      <c r="D114" s="1500"/>
      <c r="E114" s="1500"/>
      <c r="F114" s="1500"/>
      <c r="G114" s="1500"/>
      <c r="H114" s="1500"/>
      <c r="I114" s="1500"/>
      <c r="J114" s="1500"/>
      <c r="K114" s="1500"/>
      <c r="L114" s="1500"/>
    </row>
    <row r="115" spans="3:12" ht="12.75" customHeight="1" x14ac:dyDescent="0.3">
      <c r="C115" s="1538" t="s">
        <v>924</v>
      </c>
      <c r="D115" s="1538"/>
      <c r="E115" s="1499"/>
      <c r="F115" s="1499"/>
      <c r="G115" s="1499"/>
      <c r="H115" s="1499"/>
      <c r="I115" s="1499"/>
      <c r="J115" s="1499"/>
      <c r="K115" s="1499"/>
      <c r="L115" s="1499"/>
    </row>
    <row r="116" spans="3:12" x14ac:dyDescent="0.3">
      <c r="C116" s="1538"/>
      <c r="D116" s="1538"/>
      <c r="E116" s="1538"/>
      <c r="F116" s="1538"/>
      <c r="G116" s="1538"/>
      <c r="H116" s="1538"/>
      <c r="I116" s="1538"/>
      <c r="J116" s="1538"/>
      <c r="K116" s="1538"/>
      <c r="L116" s="1538"/>
    </row>
    <row r="117" spans="3:12" ht="41.55" customHeight="1" x14ac:dyDescent="0.3">
      <c r="C117" s="1512" t="str">
        <f>CONCATENATE('Standing Data'!B4," is responsible for ensuring that its business is conducted in accordance with the law and proper standards, and that public money is safeguarded and properly accounted for, and used economically, efficiently and effectively.")</f>
        <v>NAME OF COUNCIL is responsible for ensuring that its business is conducted in accordance with the law and proper standards, and that public money is safeguarded and properly accounted for, and used economically, efficiently and effectively.</v>
      </c>
      <c r="D117" s="1512"/>
      <c r="E117" s="1512"/>
      <c r="F117" s="1512"/>
      <c r="G117" s="1512"/>
      <c r="H117" s="1512"/>
      <c r="I117" s="1512"/>
      <c r="J117" s="1512"/>
      <c r="K117" s="1512"/>
      <c r="L117" s="1512"/>
    </row>
    <row r="118" spans="3:12" x14ac:dyDescent="0.3">
      <c r="C118" s="1500"/>
      <c r="D118" s="1500"/>
      <c r="E118" s="1500"/>
      <c r="F118" s="1500"/>
      <c r="G118" s="1500"/>
      <c r="H118" s="1500"/>
      <c r="I118" s="1500"/>
      <c r="J118" s="1500"/>
      <c r="K118" s="1500"/>
      <c r="L118" s="1500"/>
    </row>
    <row r="119" spans="3:12" ht="38.549999999999997" customHeight="1" x14ac:dyDescent="0.3">
      <c r="C119" s="1504" t="str">
        <f>CONCATENATE('Standing Data'!B4," also has a duty under Local Government Act (Northern Ireland) 2014 to make arrangements for continuous improvement in the way in which its functions are exercised, having regard to a combination of economy, efficiency and effectiveness.")</f>
        <v>NAME OF COUNCIL also has a duty under Local Government Act (Northern Ireland) 2014 to make arrangements for continuous improvement in the way in which its functions are exercised, having regard to a combination of economy, efficiency and effectiveness.</v>
      </c>
      <c r="D119" s="1504"/>
      <c r="E119" s="1504"/>
      <c r="F119" s="1504"/>
      <c r="G119" s="1504"/>
      <c r="H119" s="1504"/>
      <c r="I119" s="1504"/>
      <c r="J119" s="1504"/>
      <c r="K119" s="1504"/>
      <c r="L119" s="1504"/>
    </row>
    <row r="120" spans="3:12" x14ac:dyDescent="0.3">
      <c r="C120" s="1500"/>
      <c r="D120" s="1500"/>
      <c r="E120" s="1500"/>
      <c r="F120" s="1500"/>
      <c r="G120" s="1500"/>
      <c r="H120" s="1500"/>
      <c r="I120" s="1500"/>
      <c r="J120" s="1500"/>
      <c r="K120" s="1500"/>
      <c r="L120" s="1500"/>
    </row>
    <row r="121" spans="3:12" ht="38.1" customHeight="1" x14ac:dyDescent="0.3">
      <c r="C121" s="1532" t="str">
        <f>CONCATENATE("In discharging this overall responsibility, ",'Standing Data'!B4," is responsible for putting in place proper arrangements for the governance of its affairs, facilitating the effective exercise of its functions, which includes arrangements for the management of risk.")</f>
        <v>In discharging this overall responsibility, NAME OF COUNCIL is responsible for putting in place proper arrangements for the governance of its affairs, facilitating the effective exercise of its functions, which includes arrangements for the management of risk.</v>
      </c>
      <c r="D121" s="1504"/>
      <c r="E121" s="1504"/>
      <c r="F121" s="1504"/>
      <c r="G121" s="1504"/>
      <c r="H121" s="1504"/>
      <c r="I121" s="1504"/>
      <c r="J121" s="1504"/>
      <c r="K121" s="1504"/>
      <c r="L121" s="1504"/>
    </row>
    <row r="122" spans="3:12" x14ac:dyDescent="0.3">
      <c r="C122" s="1500"/>
      <c r="D122" s="1500"/>
      <c r="E122" s="1500"/>
      <c r="F122" s="1500"/>
      <c r="G122" s="1500"/>
      <c r="H122" s="1500"/>
      <c r="I122" s="1500"/>
      <c r="J122" s="1500"/>
      <c r="K122" s="1500"/>
      <c r="L122" s="1500"/>
    </row>
    <row r="123" spans="3:12" ht="67.05" customHeight="1" x14ac:dyDescent="0.3">
      <c r="C123" s="1532" t="str">
        <f>CONCATENATE('Standing Data'!B4," is required to prepare an Annual Governance Statement which is consistent with the principles of the CIPFA/SOLACE Framework Delivering Good Governance in Local Government.  A copy of the code is on our website at .... or can be obtained from..."," This statement explains how ",'Standing Data'!B4," meets the requirements of Regulation 4 of the Local Government (Accounts and Audit) Regulations (Northern Ireland) 2015"," in relation to the publication of a statement on internal control.")</f>
        <v>NAME OF COUNCIL is required to prepare an Annual Governance Statement which is consistent with the principles of the CIPFA/SOLACE Framework Delivering Good Governance in Local Government.  A copy of the code is on our website at .... or can be obtained from... This statement explains how NAME OF COUNCIL meets the requirements of Regulation 4 of the Local Government (Accounts and Audit) Regulations (Northern Ireland) 2015 in relation to the publication of a statement on internal control.</v>
      </c>
      <c r="D123" s="1504"/>
      <c r="E123" s="1504"/>
      <c r="F123" s="1504"/>
      <c r="G123" s="1504"/>
      <c r="H123" s="1504"/>
      <c r="I123" s="1504"/>
      <c r="J123" s="1504"/>
      <c r="K123" s="1504"/>
      <c r="L123" s="1504"/>
    </row>
    <row r="124" spans="3:12" x14ac:dyDescent="0.3">
      <c r="C124" s="1500"/>
      <c r="D124" s="1500"/>
      <c r="E124" s="1500"/>
      <c r="F124" s="1500"/>
      <c r="G124" s="1500"/>
      <c r="H124" s="1500"/>
      <c r="I124" s="1500"/>
      <c r="J124" s="1500"/>
      <c r="K124" s="1500"/>
      <c r="L124" s="1500"/>
    </row>
    <row r="125" spans="3:12" ht="12.75" customHeight="1" x14ac:dyDescent="0.3">
      <c r="C125" s="1538" t="s">
        <v>925</v>
      </c>
      <c r="D125" s="1538"/>
      <c r="E125" s="1500"/>
      <c r="F125" s="1500"/>
      <c r="G125" s="1500"/>
      <c r="H125" s="1500"/>
      <c r="I125" s="1500"/>
      <c r="J125" s="1500"/>
      <c r="K125" s="1500"/>
      <c r="L125" s="1500"/>
    </row>
    <row r="126" spans="3:12" x14ac:dyDescent="0.3">
      <c r="C126" s="1538"/>
      <c r="D126" s="1538"/>
      <c r="E126" s="1538"/>
      <c r="F126" s="1538"/>
      <c r="G126" s="1538"/>
      <c r="H126" s="1538"/>
      <c r="I126" s="1538"/>
      <c r="J126" s="1538"/>
      <c r="K126" s="1538"/>
      <c r="L126" s="1538"/>
    </row>
    <row r="127" spans="3:12" ht="59.25" customHeight="1" x14ac:dyDescent="0.3">
      <c r="C127" s="1512" t="s">
        <v>2163</v>
      </c>
      <c r="D127" s="1512"/>
      <c r="E127" s="1512"/>
      <c r="F127" s="1512"/>
      <c r="G127" s="1512"/>
      <c r="H127" s="1512"/>
      <c r="I127" s="1512"/>
      <c r="J127" s="1512"/>
      <c r="K127" s="1512"/>
      <c r="L127" s="1512"/>
    </row>
    <row r="128" spans="3:12" x14ac:dyDescent="0.3">
      <c r="C128" s="1525"/>
      <c r="D128" s="1525"/>
      <c r="E128" s="1525"/>
      <c r="F128" s="1525"/>
      <c r="G128" s="1525"/>
      <c r="H128" s="1525"/>
      <c r="I128" s="1525"/>
      <c r="J128" s="1525"/>
      <c r="K128" s="1525"/>
      <c r="L128" s="1525"/>
    </row>
    <row r="129" spans="3:21" ht="82.5" customHeight="1" x14ac:dyDescent="0.3">
      <c r="C129" s="1512" t="s">
        <v>926</v>
      </c>
      <c r="D129" s="1512"/>
      <c r="E129" s="1512"/>
      <c r="F129" s="1512"/>
      <c r="G129" s="1512"/>
      <c r="H129" s="1512"/>
      <c r="I129" s="1512"/>
      <c r="J129" s="1512"/>
      <c r="K129" s="1512"/>
      <c r="L129" s="1512"/>
    </row>
    <row r="130" spans="3:21" x14ac:dyDescent="0.3">
      <c r="C130" s="1525"/>
      <c r="D130" s="1525"/>
      <c r="E130" s="1525"/>
      <c r="F130" s="1525"/>
      <c r="G130" s="1525"/>
      <c r="H130" s="1525"/>
      <c r="I130" s="1525"/>
      <c r="J130" s="1525"/>
      <c r="K130" s="1525"/>
      <c r="L130" s="1525"/>
    </row>
    <row r="131" spans="3:21" ht="27.75" customHeight="1" x14ac:dyDescent="0.3">
      <c r="C131" s="1512" t="s">
        <v>3154</v>
      </c>
      <c r="D131" s="1512"/>
      <c r="E131" s="1512"/>
      <c r="F131" s="1512"/>
      <c r="G131" s="1512"/>
      <c r="H131" s="1512"/>
      <c r="I131" s="1512"/>
      <c r="J131" s="1512"/>
      <c r="K131" s="1512"/>
      <c r="L131" s="1512"/>
    </row>
    <row r="132" spans="3:21" x14ac:dyDescent="0.3">
      <c r="C132" s="1500"/>
      <c r="D132" s="1500"/>
      <c r="E132" s="1500"/>
      <c r="F132" s="1500"/>
      <c r="G132" s="1500"/>
      <c r="H132" s="1500"/>
      <c r="I132" s="1500"/>
      <c r="J132" s="1500"/>
      <c r="K132" s="1500"/>
      <c r="L132" s="1500"/>
    </row>
    <row r="133" spans="3:21" ht="12.75" customHeight="1" x14ac:dyDescent="0.3">
      <c r="C133" s="1538" t="s">
        <v>927</v>
      </c>
      <c r="D133" s="1538"/>
      <c r="E133" s="1500"/>
      <c r="F133" s="1500"/>
      <c r="G133" s="1500"/>
      <c r="H133" s="1500"/>
      <c r="I133" s="1500"/>
      <c r="J133" s="1500"/>
      <c r="K133" s="1500"/>
      <c r="L133" s="1500"/>
    </row>
    <row r="134" spans="3:21" x14ac:dyDescent="0.3">
      <c r="C134" s="1500"/>
      <c r="D134" s="1500"/>
      <c r="E134" s="1500"/>
      <c r="F134" s="1500"/>
      <c r="G134" s="1500"/>
      <c r="H134" s="1500"/>
      <c r="I134" s="1500"/>
      <c r="J134" s="1500"/>
      <c r="K134" s="1500"/>
      <c r="L134" s="1500"/>
    </row>
    <row r="135" spans="3:21" ht="13.5" customHeight="1" x14ac:dyDescent="0.3">
      <c r="C135" s="1506" t="s">
        <v>2164</v>
      </c>
      <c r="D135" s="1506"/>
      <c r="E135" s="1506"/>
      <c r="F135" s="1506"/>
      <c r="G135" s="1506"/>
      <c r="H135" s="1506"/>
      <c r="I135" s="1506"/>
      <c r="J135" s="1506"/>
      <c r="K135" s="1506"/>
      <c r="L135" s="1506"/>
    </row>
    <row r="136" spans="3:21" x14ac:dyDescent="0.3">
      <c r="C136" s="1500"/>
      <c r="D136" s="1500"/>
      <c r="E136" s="1500"/>
      <c r="F136" s="1500"/>
      <c r="G136" s="1500"/>
      <c r="H136" s="1500"/>
      <c r="I136" s="1500"/>
      <c r="J136" s="1500"/>
      <c r="K136" s="1500"/>
      <c r="L136" s="1500"/>
    </row>
    <row r="137" spans="3:21" ht="27" customHeight="1" x14ac:dyDescent="0.3">
      <c r="C137" s="643" t="s">
        <v>916</v>
      </c>
      <c r="D137" s="1544" t="s">
        <v>2165</v>
      </c>
      <c r="E137" s="1504"/>
      <c r="F137" s="1504"/>
      <c r="G137" s="1504"/>
      <c r="H137" s="1504"/>
      <c r="I137" s="1504"/>
      <c r="J137" s="1504"/>
      <c r="K137" s="1504"/>
      <c r="L137" s="1504"/>
      <c r="M137" s="1545"/>
      <c r="N137" s="1545"/>
      <c r="O137" s="1545"/>
      <c r="P137" s="1545"/>
      <c r="Q137" s="1545"/>
      <c r="R137" s="1545"/>
      <c r="S137" s="1545"/>
      <c r="T137" s="1545"/>
      <c r="U137" s="1545"/>
    </row>
    <row r="138" spans="3:21" ht="13.5" customHeight="1" x14ac:dyDescent="0.3">
      <c r="C138" s="643"/>
      <c r="D138" s="866"/>
      <c r="E138" s="643"/>
      <c r="F138" s="866"/>
      <c r="G138" s="643"/>
      <c r="H138" s="866"/>
      <c r="I138" s="643"/>
      <c r="J138" s="866"/>
      <c r="K138" s="643"/>
      <c r="L138" s="866"/>
      <c r="M138" s="1546"/>
      <c r="N138" s="1546"/>
      <c r="O138" s="1546"/>
      <c r="P138" s="1546"/>
      <c r="Q138" s="1546"/>
      <c r="R138" s="1546"/>
      <c r="S138" s="1546"/>
      <c r="T138" s="770"/>
      <c r="U138" s="770"/>
    </row>
    <row r="139" spans="3:21" ht="75.599999999999994" customHeight="1" x14ac:dyDescent="0.3">
      <c r="C139" s="421"/>
      <c r="D139" s="1506" t="s">
        <v>2166</v>
      </c>
      <c r="E139" s="1500"/>
      <c r="F139" s="1500"/>
      <c r="G139" s="1500"/>
      <c r="H139" s="1500"/>
      <c r="I139" s="1500"/>
      <c r="J139" s="1500"/>
      <c r="K139" s="1500"/>
      <c r="L139" s="1500"/>
      <c r="M139" s="770"/>
      <c r="N139" s="770"/>
      <c r="O139" s="770"/>
      <c r="P139" s="770"/>
      <c r="Q139" s="770"/>
      <c r="R139" s="770"/>
      <c r="S139" s="770"/>
      <c r="T139" s="770"/>
      <c r="U139" s="770"/>
    </row>
    <row r="140" spans="3:21" x14ac:dyDescent="0.3">
      <c r="C140" s="421"/>
      <c r="D140" s="768"/>
      <c r="E140" s="421"/>
      <c r="F140" s="768"/>
      <c r="G140" s="421"/>
      <c r="H140" s="768"/>
      <c r="I140" s="421"/>
      <c r="J140" s="768"/>
      <c r="K140" s="421"/>
      <c r="L140" s="768"/>
      <c r="M140" s="1545"/>
      <c r="N140" s="1545"/>
      <c r="O140" s="1545"/>
      <c r="P140" s="1545"/>
      <c r="Q140" s="1545"/>
      <c r="R140" s="1545"/>
      <c r="S140" s="1545"/>
      <c r="T140" s="1545"/>
      <c r="U140" s="1545"/>
    </row>
    <row r="141" spans="3:21" ht="18.600000000000001" customHeight="1" x14ac:dyDescent="0.3">
      <c r="C141" s="421"/>
      <c r="D141" s="1506"/>
      <c r="E141" s="1500"/>
      <c r="F141" s="1500"/>
      <c r="G141" s="1500"/>
      <c r="H141" s="1500"/>
      <c r="I141" s="1500"/>
      <c r="J141" s="1500"/>
      <c r="K141" s="1500"/>
      <c r="L141" s="1500"/>
      <c r="M141" s="770"/>
      <c r="N141" s="770"/>
      <c r="O141" s="770"/>
      <c r="P141" s="770"/>
      <c r="Q141" s="770"/>
      <c r="R141" s="770"/>
      <c r="S141" s="770"/>
      <c r="T141" s="770"/>
      <c r="U141" s="770"/>
    </row>
    <row r="142" spans="3:21" ht="35.25" customHeight="1" x14ac:dyDescent="0.3">
      <c r="C142" s="421"/>
      <c r="D142" s="1506"/>
      <c r="E142" s="1500"/>
      <c r="F142" s="1500"/>
      <c r="G142" s="1500"/>
      <c r="H142" s="1500"/>
      <c r="I142" s="1500"/>
      <c r="J142" s="1500"/>
      <c r="K142" s="1500"/>
      <c r="L142" s="1500"/>
      <c r="M142" s="1545"/>
      <c r="N142" s="1545"/>
      <c r="O142" s="1545"/>
      <c r="P142" s="1545"/>
      <c r="Q142" s="1545"/>
      <c r="R142" s="1545"/>
      <c r="S142" s="1545"/>
      <c r="T142" s="1545"/>
      <c r="U142" s="1545"/>
    </row>
    <row r="143" spans="3:21" ht="21" customHeight="1" x14ac:dyDescent="0.3">
      <c r="C143" s="421"/>
      <c r="D143" s="1506"/>
      <c r="E143" s="1500"/>
      <c r="F143" s="1500"/>
      <c r="G143" s="1500"/>
      <c r="H143" s="1500"/>
      <c r="I143" s="1500"/>
      <c r="J143" s="1500"/>
      <c r="K143" s="1500"/>
      <c r="L143" s="1500"/>
      <c r="M143" s="1546"/>
      <c r="N143" s="1546"/>
      <c r="O143" s="1546"/>
      <c r="P143" s="1546"/>
      <c r="Q143" s="1546"/>
      <c r="R143" s="1546"/>
      <c r="S143" s="1546"/>
      <c r="T143" s="770"/>
      <c r="U143" s="770"/>
    </row>
    <row r="144" spans="3:21" ht="35.25" customHeight="1" x14ac:dyDescent="0.3">
      <c r="C144" s="421"/>
      <c r="D144" s="1506"/>
      <c r="E144" s="1500"/>
      <c r="F144" s="1500"/>
      <c r="G144" s="1500"/>
      <c r="H144" s="1500"/>
      <c r="I144" s="1500"/>
      <c r="J144" s="1500"/>
      <c r="K144" s="1500"/>
      <c r="L144" s="1500"/>
      <c r="M144" s="770"/>
      <c r="N144" s="770"/>
      <c r="O144" s="770"/>
      <c r="P144" s="770"/>
      <c r="Q144" s="770"/>
      <c r="R144" s="770"/>
      <c r="S144" s="770"/>
      <c r="T144" s="770"/>
      <c r="U144" s="770"/>
    </row>
    <row r="145" spans="3:21" ht="49.5" customHeight="1" x14ac:dyDescent="0.3">
      <c r="C145" s="421"/>
      <c r="D145" s="1506"/>
      <c r="E145" s="1500"/>
      <c r="F145" s="1500"/>
      <c r="G145" s="1500"/>
      <c r="H145" s="1500"/>
      <c r="I145" s="1500"/>
      <c r="J145" s="1500"/>
      <c r="K145" s="1500"/>
      <c r="L145" s="1500"/>
      <c r="M145" s="1545"/>
      <c r="N145" s="1545"/>
      <c r="O145" s="1545"/>
      <c r="P145" s="1545"/>
      <c r="Q145" s="1545"/>
      <c r="R145" s="1545"/>
      <c r="S145" s="1545"/>
      <c r="T145" s="1545"/>
      <c r="U145" s="1545"/>
    </row>
    <row r="146" spans="3:21" ht="33" customHeight="1" x14ac:dyDescent="0.3">
      <c r="C146" s="421"/>
      <c r="D146" s="1506"/>
      <c r="E146" s="1500"/>
      <c r="F146" s="1500"/>
      <c r="G146" s="1500"/>
      <c r="H146" s="1500"/>
      <c r="I146" s="1500"/>
      <c r="J146" s="1500"/>
      <c r="K146" s="1500"/>
      <c r="L146" s="1500"/>
      <c r="M146" s="1546"/>
      <c r="N146" s="1546"/>
      <c r="O146" s="1546"/>
      <c r="P146" s="1546"/>
      <c r="Q146" s="1546"/>
      <c r="R146" s="1546"/>
      <c r="S146" s="1546"/>
      <c r="T146" s="770"/>
      <c r="U146" s="770"/>
    </row>
    <row r="147" spans="3:21" x14ac:dyDescent="0.3">
      <c r="C147" s="1547"/>
      <c r="D147" s="1547"/>
      <c r="E147" s="1547"/>
      <c r="F147" s="1547"/>
      <c r="G147" s="1547"/>
      <c r="H147" s="1547"/>
      <c r="I147" s="1547"/>
      <c r="J147" s="1547"/>
      <c r="K147" s="1547"/>
      <c r="L147" s="1547"/>
      <c r="M147" s="770"/>
      <c r="N147" s="770"/>
      <c r="O147" s="770"/>
      <c r="P147" s="770"/>
      <c r="Q147" s="770"/>
      <c r="R147" s="770"/>
      <c r="S147" s="770"/>
      <c r="T147" s="770"/>
      <c r="U147" s="770"/>
    </row>
    <row r="148" spans="3:21" ht="13.5" customHeight="1" x14ac:dyDescent="0.3">
      <c r="C148" s="643" t="s">
        <v>916</v>
      </c>
      <c r="D148" s="1544" t="s">
        <v>2167</v>
      </c>
      <c r="E148" s="1504"/>
      <c r="F148" s="1504"/>
      <c r="G148" s="1504"/>
      <c r="H148" s="1504"/>
      <c r="I148" s="1504"/>
      <c r="J148" s="1504"/>
      <c r="K148" s="1504"/>
      <c r="L148" s="1504"/>
      <c r="M148" s="1545"/>
      <c r="N148" s="1545"/>
      <c r="O148" s="1545"/>
      <c r="P148" s="1545"/>
      <c r="Q148" s="1545"/>
      <c r="R148" s="1545"/>
      <c r="S148" s="1545"/>
      <c r="T148" s="1545"/>
      <c r="U148" s="1545"/>
    </row>
    <row r="149" spans="3:21" ht="13.5" customHeight="1" x14ac:dyDescent="0.3">
      <c r="C149" s="643"/>
      <c r="D149" s="866"/>
      <c r="E149" s="643"/>
      <c r="F149" s="866"/>
      <c r="G149" s="643"/>
      <c r="H149" s="866"/>
      <c r="I149" s="643"/>
      <c r="J149" s="866"/>
      <c r="K149" s="643"/>
      <c r="L149" s="866"/>
      <c r="M149" s="1546"/>
      <c r="N149" s="1546"/>
      <c r="O149" s="1546"/>
      <c r="P149" s="1546"/>
      <c r="Q149" s="1546"/>
      <c r="R149" s="1546"/>
      <c r="S149" s="1546"/>
      <c r="T149" s="770"/>
      <c r="U149" s="770"/>
    </row>
    <row r="150" spans="3:21" ht="45" customHeight="1" x14ac:dyDescent="0.3">
      <c r="C150" s="643"/>
      <c r="D150" s="1512" t="s">
        <v>2168</v>
      </c>
      <c r="E150" s="1504"/>
      <c r="F150" s="1504"/>
      <c r="G150" s="1504"/>
      <c r="H150" s="1504"/>
      <c r="I150" s="1504"/>
      <c r="J150" s="1504"/>
      <c r="K150" s="1504"/>
      <c r="L150" s="1504"/>
      <c r="M150" s="770"/>
      <c r="N150" s="770"/>
      <c r="O150" s="770"/>
      <c r="P150" s="770"/>
      <c r="Q150" s="770"/>
      <c r="R150" s="770"/>
      <c r="S150" s="770"/>
      <c r="T150" s="770"/>
      <c r="U150" s="770"/>
    </row>
    <row r="151" spans="3:21" x14ac:dyDescent="0.3">
      <c r="C151" s="643"/>
      <c r="D151" s="406"/>
      <c r="E151" s="643"/>
      <c r="F151" s="406"/>
      <c r="G151" s="643"/>
      <c r="H151" s="406"/>
      <c r="I151" s="643"/>
      <c r="J151" s="406"/>
      <c r="K151" s="643"/>
      <c r="L151" s="406"/>
      <c r="M151" s="1545"/>
      <c r="N151" s="1545"/>
      <c r="O151" s="1545"/>
      <c r="P151" s="1545"/>
      <c r="Q151" s="1545"/>
      <c r="R151" s="1545"/>
      <c r="S151" s="1545"/>
      <c r="T151" s="1545"/>
      <c r="U151" s="1545"/>
    </row>
    <row r="152" spans="3:21" ht="43.5" customHeight="1" x14ac:dyDescent="0.3">
      <c r="C152" s="643"/>
      <c r="D152" s="1512"/>
      <c r="E152" s="1504"/>
      <c r="F152" s="1504"/>
      <c r="G152" s="1504"/>
      <c r="H152" s="1504"/>
      <c r="I152" s="1504"/>
      <c r="J152" s="1504"/>
      <c r="K152" s="1504"/>
      <c r="L152" s="1504"/>
      <c r="M152" s="1546"/>
      <c r="N152" s="1546"/>
      <c r="O152" s="1546"/>
      <c r="P152" s="1546"/>
      <c r="Q152" s="1546"/>
      <c r="R152" s="1546"/>
      <c r="S152" s="1546"/>
      <c r="T152" s="770"/>
      <c r="U152" s="770"/>
    </row>
    <row r="153" spans="3:21" x14ac:dyDescent="0.3">
      <c r="C153" s="643"/>
      <c r="D153" s="406"/>
      <c r="E153" s="643"/>
      <c r="F153" s="406"/>
      <c r="G153" s="643"/>
      <c r="H153" s="406"/>
      <c r="I153" s="643"/>
      <c r="J153" s="406"/>
      <c r="K153" s="643"/>
      <c r="L153" s="406"/>
      <c r="M153" s="770"/>
      <c r="N153" s="770"/>
      <c r="O153" s="770"/>
      <c r="P153" s="770"/>
      <c r="Q153" s="770"/>
      <c r="R153" s="770"/>
      <c r="S153" s="770"/>
      <c r="T153" s="770"/>
      <c r="U153" s="770"/>
    </row>
    <row r="154" spans="3:21" ht="59.25" customHeight="1" x14ac:dyDescent="0.3">
      <c r="C154" s="643"/>
      <c r="D154" s="1512"/>
      <c r="E154" s="1504"/>
      <c r="F154" s="1504"/>
      <c r="G154" s="1504"/>
      <c r="H154" s="1504"/>
      <c r="I154" s="1504"/>
      <c r="J154" s="1504"/>
      <c r="K154" s="1504"/>
      <c r="L154" s="1504"/>
      <c r="M154" s="1545"/>
      <c r="N154" s="1545"/>
      <c r="O154" s="1545"/>
      <c r="P154" s="1545"/>
      <c r="Q154" s="1545"/>
      <c r="R154" s="1545"/>
      <c r="S154" s="1545"/>
      <c r="T154" s="1545"/>
      <c r="U154" s="1545"/>
    </row>
    <row r="155" spans="3:21" ht="13.5" customHeight="1" x14ac:dyDescent="0.3">
      <c r="C155" s="643"/>
      <c r="D155" s="870"/>
      <c r="E155" s="643"/>
      <c r="F155" s="870"/>
      <c r="G155" s="643"/>
      <c r="H155" s="870"/>
      <c r="I155" s="643"/>
      <c r="J155" s="870"/>
      <c r="K155" s="643"/>
      <c r="L155" s="870"/>
      <c r="M155" s="1546"/>
      <c r="N155" s="1546"/>
      <c r="O155" s="1546"/>
      <c r="P155" s="1546"/>
      <c r="Q155" s="1546"/>
      <c r="R155" s="1546"/>
      <c r="S155" s="1546"/>
      <c r="T155" s="770"/>
      <c r="U155" s="770"/>
    </row>
    <row r="156" spans="3:21" ht="89.25" customHeight="1" x14ac:dyDescent="0.3">
      <c r="C156" s="643"/>
      <c r="D156" s="1512"/>
      <c r="E156" s="1504"/>
      <c r="F156" s="1504"/>
      <c r="G156" s="1504"/>
      <c r="H156" s="1504"/>
      <c r="I156" s="1504"/>
      <c r="J156" s="1504"/>
      <c r="K156" s="1504"/>
      <c r="L156" s="1504"/>
      <c r="M156" s="770"/>
      <c r="N156" s="770"/>
      <c r="O156" s="770"/>
      <c r="P156" s="770"/>
      <c r="Q156" s="770"/>
      <c r="R156" s="770"/>
      <c r="S156" s="770"/>
      <c r="T156" s="770"/>
      <c r="U156" s="770"/>
    </row>
    <row r="157" spans="3:21" x14ac:dyDescent="0.3">
      <c r="C157" s="643"/>
      <c r="D157" s="406"/>
      <c r="E157" s="643"/>
      <c r="F157" s="406"/>
      <c r="G157" s="643"/>
      <c r="H157" s="406"/>
      <c r="I157" s="643"/>
      <c r="J157" s="406"/>
      <c r="K157" s="643"/>
      <c r="L157" s="406"/>
      <c r="M157" s="1545"/>
      <c r="N157" s="1545"/>
      <c r="O157" s="1545"/>
      <c r="P157" s="1545"/>
      <c r="Q157" s="1545"/>
      <c r="R157" s="1545"/>
      <c r="S157" s="1545"/>
      <c r="T157" s="1545"/>
      <c r="U157" s="1545"/>
    </row>
    <row r="158" spans="3:21" ht="42" customHeight="1" x14ac:dyDescent="0.3">
      <c r="C158" s="643" t="s">
        <v>916</v>
      </c>
      <c r="D158" s="1544" t="s">
        <v>1929</v>
      </c>
      <c r="E158" s="1500"/>
      <c r="F158" s="1500"/>
      <c r="G158" s="1500"/>
      <c r="H158" s="1500"/>
      <c r="I158" s="1500"/>
      <c r="J158" s="1500"/>
      <c r="K158" s="1500"/>
      <c r="L158" s="1500"/>
      <c r="M158" s="1546"/>
      <c r="N158" s="1546"/>
      <c r="O158" s="1546"/>
      <c r="P158" s="1546"/>
      <c r="Q158" s="1546"/>
      <c r="R158" s="1546"/>
      <c r="S158" s="1546"/>
      <c r="T158" s="770"/>
      <c r="U158" s="770"/>
    </row>
    <row r="159" spans="3:21" x14ac:dyDescent="0.3">
      <c r="C159" s="643"/>
      <c r="D159" s="866"/>
      <c r="E159" s="643"/>
      <c r="F159" s="866"/>
      <c r="G159" s="643"/>
      <c r="H159" s="866"/>
      <c r="I159" s="643"/>
      <c r="J159" s="866"/>
      <c r="K159" s="643"/>
      <c r="L159" s="866"/>
      <c r="M159" s="770"/>
      <c r="N159" s="770"/>
      <c r="O159" s="770"/>
      <c r="P159" s="770"/>
      <c r="Q159" s="770"/>
      <c r="R159" s="770"/>
      <c r="S159" s="770"/>
      <c r="T159" s="770"/>
      <c r="U159" s="770"/>
    </row>
    <row r="160" spans="3:21" ht="100.5" customHeight="1" x14ac:dyDescent="0.3">
      <c r="C160" s="421"/>
      <c r="D160" s="1504" t="s">
        <v>2169</v>
      </c>
      <c r="E160" s="1500"/>
      <c r="F160" s="1500"/>
      <c r="G160" s="1500"/>
      <c r="H160" s="1500"/>
      <c r="I160" s="1500"/>
      <c r="J160" s="1500"/>
      <c r="K160" s="1500"/>
      <c r="L160" s="1500"/>
      <c r="M160" s="1545"/>
      <c r="N160" s="1545"/>
      <c r="O160" s="1545"/>
      <c r="P160" s="1545"/>
      <c r="Q160" s="1545"/>
      <c r="R160" s="1545"/>
      <c r="S160" s="1545"/>
      <c r="T160" s="1545"/>
      <c r="U160" s="1545"/>
    </row>
    <row r="161" spans="3:21" ht="13.5" customHeight="1" x14ac:dyDescent="0.3">
      <c r="C161" s="421"/>
      <c r="D161" s="639"/>
      <c r="E161" s="421"/>
      <c r="F161" s="639"/>
      <c r="G161" s="421"/>
      <c r="H161" s="639"/>
      <c r="I161" s="421"/>
      <c r="J161" s="639"/>
      <c r="K161" s="421"/>
      <c r="L161" s="639"/>
      <c r="M161" s="1546"/>
      <c r="N161" s="1546"/>
      <c r="O161" s="1546"/>
      <c r="P161" s="1546"/>
      <c r="Q161" s="1546"/>
      <c r="R161" s="1546"/>
      <c r="S161" s="1546"/>
      <c r="T161" s="770"/>
      <c r="U161" s="770"/>
    </row>
    <row r="162" spans="3:21" ht="120.75" customHeight="1" x14ac:dyDescent="0.3">
      <c r="C162" s="401"/>
      <c r="D162" s="1504"/>
      <c r="E162" s="1542"/>
      <c r="F162" s="1542"/>
      <c r="G162" s="1542"/>
      <c r="H162" s="1542"/>
      <c r="I162" s="1542"/>
      <c r="J162" s="1542"/>
      <c r="K162" s="1542"/>
      <c r="L162" s="1542"/>
      <c r="M162" s="770"/>
      <c r="N162" s="770"/>
      <c r="O162" s="770"/>
      <c r="P162" s="770"/>
      <c r="Q162" s="770"/>
      <c r="R162" s="770"/>
      <c r="S162" s="770"/>
      <c r="T162" s="770"/>
      <c r="U162" s="770"/>
    </row>
    <row r="163" spans="3:21" ht="15" customHeight="1" x14ac:dyDescent="0.3">
      <c r="C163" s="421"/>
      <c r="D163" s="421"/>
      <c r="E163" s="421"/>
      <c r="F163" s="421"/>
      <c r="G163" s="421"/>
      <c r="H163" s="421"/>
      <c r="I163" s="421"/>
      <c r="J163" s="421"/>
      <c r="K163" s="421"/>
      <c r="L163" s="421"/>
      <c r="M163" s="1545"/>
      <c r="N163" s="1545"/>
      <c r="O163" s="1545"/>
      <c r="P163" s="1545"/>
      <c r="Q163" s="1545"/>
      <c r="R163" s="1545"/>
      <c r="S163" s="1545"/>
      <c r="T163" s="1545"/>
      <c r="U163" s="1545"/>
    </row>
    <row r="164" spans="3:21" ht="30" customHeight="1" x14ac:dyDescent="0.3">
      <c r="C164" s="643" t="s">
        <v>916</v>
      </c>
      <c r="D164" s="1544" t="s">
        <v>1930</v>
      </c>
      <c r="E164" s="1500"/>
      <c r="F164" s="1500"/>
      <c r="G164" s="1500"/>
      <c r="H164" s="1500"/>
      <c r="I164" s="1500"/>
      <c r="J164" s="1500"/>
      <c r="K164" s="1500"/>
      <c r="L164" s="1500"/>
      <c r="M164" s="1546"/>
      <c r="N164" s="1546"/>
      <c r="O164" s="1546"/>
      <c r="P164" s="1546"/>
      <c r="Q164" s="1546"/>
      <c r="R164" s="1546"/>
      <c r="S164" s="1546"/>
      <c r="T164" s="770"/>
      <c r="U164" s="770"/>
    </row>
    <row r="165" spans="3:21" x14ac:dyDescent="0.3">
      <c r="C165" s="643"/>
      <c r="D165" s="866"/>
      <c r="E165" s="643"/>
      <c r="F165" s="866"/>
      <c r="G165" s="643"/>
      <c r="H165" s="866"/>
      <c r="I165" s="643"/>
      <c r="J165" s="866"/>
      <c r="K165" s="643"/>
      <c r="L165" s="866"/>
      <c r="M165" s="770"/>
      <c r="N165" s="770"/>
      <c r="O165" s="770"/>
      <c r="P165" s="770"/>
      <c r="Q165" s="770"/>
      <c r="R165" s="770"/>
      <c r="S165" s="770"/>
      <c r="T165" s="770"/>
      <c r="U165" s="770"/>
    </row>
    <row r="166" spans="3:21" ht="127.5" customHeight="1" x14ac:dyDescent="0.3">
      <c r="C166" s="421"/>
      <c r="D166" s="1506" t="s">
        <v>2170</v>
      </c>
      <c r="E166" s="1500"/>
      <c r="F166" s="1500"/>
      <c r="G166" s="1500"/>
      <c r="H166" s="1500"/>
      <c r="I166" s="1500"/>
      <c r="J166" s="1500"/>
      <c r="K166" s="1500"/>
      <c r="L166" s="1500"/>
      <c r="M166" s="1545"/>
      <c r="N166" s="1545"/>
      <c r="O166" s="1545"/>
      <c r="P166" s="1545"/>
      <c r="Q166" s="1545"/>
      <c r="R166" s="1545"/>
      <c r="S166" s="1545"/>
      <c r="T166" s="1545"/>
      <c r="U166" s="1545"/>
    </row>
    <row r="167" spans="3:21" ht="13.5" customHeight="1" x14ac:dyDescent="0.3">
      <c r="C167" s="1547"/>
      <c r="D167" s="1547"/>
      <c r="E167" s="1547"/>
      <c r="F167" s="1547"/>
      <c r="G167" s="1547"/>
      <c r="H167" s="1547"/>
      <c r="I167" s="1547"/>
      <c r="J167" s="1547"/>
      <c r="K167" s="1547"/>
      <c r="L167" s="1547"/>
      <c r="M167" s="1546"/>
      <c r="N167" s="1546"/>
      <c r="O167" s="1546"/>
      <c r="P167" s="1546"/>
      <c r="Q167" s="1546"/>
      <c r="R167" s="1546"/>
      <c r="S167" s="1546"/>
      <c r="T167" s="770"/>
      <c r="U167" s="770"/>
    </row>
    <row r="168" spans="3:21" ht="28.5" customHeight="1" x14ac:dyDescent="0.3">
      <c r="C168" s="643" t="s">
        <v>916</v>
      </c>
      <c r="D168" s="1544" t="s">
        <v>1931</v>
      </c>
      <c r="E168" s="1500"/>
      <c r="F168" s="1500"/>
      <c r="G168" s="1500"/>
      <c r="H168" s="1500"/>
      <c r="I168" s="1500"/>
      <c r="J168" s="1500"/>
      <c r="K168" s="1500"/>
      <c r="L168" s="1500"/>
    </row>
    <row r="169" spans="3:21" x14ac:dyDescent="0.3">
      <c r="C169" s="643"/>
      <c r="D169" s="866"/>
      <c r="E169" s="643"/>
      <c r="F169" s="866"/>
      <c r="G169" s="643"/>
      <c r="H169" s="866"/>
      <c r="I169" s="643"/>
      <c r="J169" s="866"/>
      <c r="K169" s="643"/>
      <c r="L169" s="866"/>
    </row>
    <row r="170" spans="3:21" ht="120" customHeight="1" x14ac:dyDescent="0.3">
      <c r="C170" s="421"/>
      <c r="D170" s="1506" t="s">
        <v>2170</v>
      </c>
      <c r="E170" s="1500"/>
      <c r="F170" s="1500"/>
      <c r="G170" s="1500"/>
      <c r="H170" s="1500"/>
      <c r="I170" s="1500"/>
      <c r="J170" s="1500"/>
      <c r="K170" s="1500"/>
      <c r="L170" s="1500"/>
    </row>
    <row r="171" spans="3:21" ht="13.5" customHeight="1" x14ac:dyDescent="0.3">
      <c r="C171" s="401"/>
      <c r="D171" s="401"/>
      <c r="E171" s="401"/>
      <c r="F171" s="401"/>
      <c r="G171" s="401"/>
      <c r="H171" s="401"/>
      <c r="I171" s="401"/>
      <c r="J171" s="401"/>
      <c r="K171" s="401"/>
      <c r="L171" s="401"/>
    </row>
    <row r="172" spans="3:21" ht="48.75" customHeight="1" x14ac:dyDescent="0.3">
      <c r="C172" s="643" t="s">
        <v>916</v>
      </c>
      <c r="D172" s="1544" t="s">
        <v>2880</v>
      </c>
      <c r="E172" s="1500"/>
      <c r="F172" s="1500"/>
      <c r="G172" s="1500"/>
      <c r="H172" s="1500"/>
      <c r="I172" s="1500"/>
      <c r="J172" s="1500"/>
      <c r="K172" s="1500"/>
      <c r="L172" s="1500"/>
    </row>
    <row r="173" spans="3:21" x14ac:dyDescent="0.3">
      <c r="C173" s="643"/>
      <c r="D173" s="866"/>
      <c r="E173" s="643"/>
      <c r="F173" s="866"/>
      <c r="G173" s="643"/>
      <c r="H173" s="866"/>
      <c r="I173" s="643"/>
      <c r="J173" s="866"/>
      <c r="K173" s="643"/>
      <c r="L173" s="866"/>
    </row>
    <row r="174" spans="3:21" ht="92.25" customHeight="1" x14ac:dyDescent="0.3">
      <c r="C174" s="421"/>
      <c r="D174" s="1506" t="s">
        <v>2170</v>
      </c>
      <c r="E174" s="1500"/>
      <c r="F174" s="1500"/>
      <c r="G174" s="1500"/>
      <c r="H174" s="1500"/>
      <c r="I174" s="1500"/>
      <c r="J174" s="1500"/>
      <c r="K174" s="1500"/>
      <c r="L174" s="1500"/>
    </row>
    <row r="175" spans="3:21" x14ac:dyDescent="0.3">
      <c r="C175" s="421"/>
      <c r="D175" s="768"/>
      <c r="E175" s="421"/>
      <c r="F175" s="768"/>
      <c r="G175" s="421"/>
      <c r="H175" s="768"/>
      <c r="I175" s="421"/>
      <c r="J175" s="768"/>
      <c r="K175" s="421"/>
      <c r="L175" s="768"/>
    </row>
    <row r="176" spans="3:21" ht="37.5" customHeight="1" x14ac:dyDescent="0.3">
      <c r="C176" s="421"/>
      <c r="D176" s="1506"/>
      <c r="E176" s="1500"/>
      <c r="F176" s="1500"/>
      <c r="G176" s="1500"/>
      <c r="H176" s="1500"/>
      <c r="I176" s="1500"/>
      <c r="J176" s="1500"/>
      <c r="K176" s="1500"/>
      <c r="L176" s="1500"/>
    </row>
    <row r="177" spans="3:22" x14ac:dyDescent="0.3">
      <c r="C177" s="421"/>
      <c r="D177" s="768"/>
      <c r="E177" s="421"/>
      <c r="F177" s="768"/>
      <c r="G177" s="421"/>
      <c r="H177" s="768"/>
      <c r="I177" s="421"/>
      <c r="J177" s="768"/>
      <c r="K177" s="421"/>
      <c r="L177" s="768"/>
    </row>
    <row r="178" spans="3:22" ht="47.25" customHeight="1" x14ac:dyDescent="0.3">
      <c r="C178" s="421"/>
      <c r="D178" s="1506"/>
      <c r="E178" s="1500"/>
      <c r="F178" s="1500"/>
      <c r="G178" s="1500"/>
      <c r="H178" s="1500"/>
      <c r="I178" s="1500"/>
      <c r="J178" s="1500"/>
      <c r="K178" s="1500"/>
      <c r="L178" s="1500"/>
    </row>
    <row r="179" spans="3:22" x14ac:dyDescent="0.3">
      <c r="C179" s="421"/>
      <c r="D179" s="768"/>
      <c r="E179" s="421"/>
      <c r="F179" s="768"/>
      <c r="G179" s="421"/>
      <c r="H179" s="768"/>
      <c r="I179" s="421"/>
      <c r="J179" s="768"/>
      <c r="K179" s="421"/>
      <c r="L179" s="768"/>
    </row>
    <row r="180" spans="3:22" ht="18.75" customHeight="1" x14ac:dyDescent="0.3">
      <c r="C180" s="421"/>
      <c r="D180" s="1506"/>
      <c r="E180" s="1500"/>
      <c r="F180" s="1500"/>
      <c r="G180" s="1500"/>
      <c r="H180" s="1500"/>
      <c r="I180" s="1500"/>
      <c r="J180" s="1500"/>
      <c r="K180" s="1500"/>
      <c r="L180" s="1500"/>
    </row>
    <row r="181" spans="3:22" x14ac:dyDescent="0.3">
      <c r="C181" s="1547"/>
      <c r="D181" s="1547"/>
      <c r="E181" s="1547"/>
      <c r="F181" s="1547"/>
      <c r="G181" s="1547"/>
      <c r="H181" s="1547"/>
      <c r="I181" s="1547"/>
      <c r="J181" s="1547"/>
      <c r="K181" s="1547"/>
      <c r="L181" s="1547"/>
    </row>
    <row r="182" spans="3:22" ht="33.75" customHeight="1" x14ac:dyDescent="0.3">
      <c r="C182" s="643" t="s">
        <v>916</v>
      </c>
      <c r="D182" s="1544" t="s">
        <v>2881</v>
      </c>
      <c r="E182" s="1500"/>
      <c r="F182" s="1500"/>
      <c r="G182" s="1500"/>
      <c r="H182" s="1500"/>
      <c r="I182" s="1500"/>
      <c r="J182" s="1500"/>
      <c r="K182" s="1500"/>
      <c r="L182" s="1500"/>
    </row>
    <row r="183" spans="3:22" x14ac:dyDescent="0.3">
      <c r="C183" s="643"/>
      <c r="D183" s="866"/>
      <c r="E183" s="643"/>
      <c r="F183" s="866"/>
      <c r="G183" s="643"/>
      <c r="H183" s="866"/>
      <c r="I183" s="643"/>
      <c r="J183" s="866"/>
      <c r="K183" s="643"/>
      <c r="L183" s="866"/>
    </row>
    <row r="184" spans="3:22" ht="52.5" customHeight="1" x14ac:dyDescent="0.3">
      <c r="C184" s="421"/>
      <c r="D184" s="1506" t="s">
        <v>2170</v>
      </c>
      <c r="E184" s="1500"/>
      <c r="F184" s="1500"/>
      <c r="G184" s="1500"/>
      <c r="H184" s="1500"/>
      <c r="I184" s="1500"/>
      <c r="J184" s="1500"/>
      <c r="K184" s="1500"/>
      <c r="L184" s="1500"/>
    </row>
    <row r="185" spans="3:22" x14ac:dyDescent="0.3">
      <c r="C185" s="421"/>
      <c r="D185" s="768"/>
      <c r="E185" s="421"/>
      <c r="F185" s="768"/>
      <c r="G185" s="421"/>
      <c r="H185" s="768"/>
      <c r="I185" s="421"/>
      <c r="J185" s="768"/>
      <c r="K185" s="421"/>
      <c r="L185" s="768"/>
    </row>
    <row r="186" spans="3:22" ht="69" customHeight="1" x14ac:dyDescent="0.3">
      <c r="C186" s="421"/>
      <c r="D186" s="1506"/>
      <c r="E186" s="1500"/>
      <c r="F186" s="1500"/>
      <c r="G186" s="1500"/>
      <c r="H186" s="1500"/>
      <c r="I186" s="1500"/>
      <c r="J186" s="1500"/>
      <c r="K186" s="1500"/>
      <c r="L186" s="1500"/>
    </row>
    <row r="187" spans="3:22" x14ac:dyDescent="0.3">
      <c r="C187" s="421"/>
      <c r="D187" s="768"/>
      <c r="E187" s="421"/>
      <c r="F187" s="768"/>
      <c r="G187" s="421"/>
      <c r="H187" s="768"/>
      <c r="I187" s="421"/>
      <c r="J187" s="768"/>
      <c r="K187" s="421"/>
      <c r="L187" s="768"/>
      <c r="M187" s="18"/>
    </row>
    <row r="188" spans="3:22" ht="27.75" customHeight="1" x14ac:dyDescent="0.3">
      <c r="C188" s="643" t="s">
        <v>916</v>
      </c>
      <c r="D188" s="1544" t="s">
        <v>2882</v>
      </c>
      <c r="E188" s="1500"/>
      <c r="F188" s="1500"/>
      <c r="G188" s="1500"/>
      <c r="H188" s="1500"/>
      <c r="I188" s="1500"/>
      <c r="J188" s="1500"/>
      <c r="K188" s="1500"/>
      <c r="L188" s="1500"/>
      <c r="M188" s="18"/>
    </row>
    <row r="189" spans="3:22" x14ac:dyDescent="0.3">
      <c r="C189" s="643"/>
      <c r="D189" s="866"/>
      <c r="E189" s="643"/>
      <c r="F189" s="866"/>
      <c r="G189" s="643"/>
      <c r="H189" s="866"/>
      <c r="I189" s="643"/>
      <c r="J189" s="866"/>
      <c r="K189" s="643"/>
      <c r="L189" s="866"/>
      <c r="M189" s="18"/>
    </row>
    <row r="190" spans="3:22" ht="103.5" customHeight="1" x14ac:dyDescent="0.3">
      <c r="C190" s="421"/>
      <c r="D190" s="1506" t="s">
        <v>2170</v>
      </c>
      <c r="E190" s="1500"/>
      <c r="F190" s="1500"/>
      <c r="G190" s="1500"/>
      <c r="H190" s="1500"/>
      <c r="I190" s="1500"/>
      <c r="J190" s="1500"/>
      <c r="K190" s="1500"/>
      <c r="L190" s="1500"/>
    </row>
    <row r="191" spans="3:22" x14ac:dyDescent="0.3">
      <c r="C191" s="1533"/>
      <c r="D191" s="1533"/>
      <c r="E191" s="1533"/>
      <c r="F191" s="1533"/>
      <c r="G191" s="1533"/>
      <c r="H191" s="1533"/>
      <c r="I191" s="1533"/>
      <c r="J191" s="1533"/>
      <c r="K191" s="1533"/>
      <c r="L191" s="1533"/>
      <c r="M191" s="1545"/>
      <c r="N191" s="1545"/>
      <c r="O191" s="1545"/>
      <c r="P191" s="1545"/>
      <c r="Q191" s="1545"/>
      <c r="R191" s="1545"/>
      <c r="S191" s="1545"/>
      <c r="T191" s="1545"/>
      <c r="U191" s="1545"/>
      <c r="V191" s="1545"/>
    </row>
    <row r="192" spans="3:22" ht="13.5" customHeight="1" x14ac:dyDescent="0.3">
      <c r="C192" s="643" t="s">
        <v>916</v>
      </c>
      <c r="D192" s="1507" t="s">
        <v>2883</v>
      </c>
      <c r="E192" s="1500"/>
      <c r="F192" s="1500"/>
      <c r="G192" s="1500"/>
      <c r="H192" s="1500"/>
      <c r="I192" s="1500"/>
      <c r="J192" s="1500"/>
      <c r="K192" s="1500"/>
      <c r="L192" s="1500"/>
    </row>
    <row r="193" spans="3:12" x14ac:dyDescent="0.3">
      <c r="C193" s="643"/>
      <c r="D193" s="767"/>
      <c r="E193" s="643"/>
      <c r="F193" s="767"/>
      <c r="G193" s="643"/>
      <c r="H193" s="767"/>
      <c r="I193" s="643"/>
      <c r="J193" s="767"/>
      <c r="K193" s="643"/>
      <c r="L193" s="767"/>
    </row>
    <row r="194" spans="3:12" ht="67.5" customHeight="1" x14ac:dyDescent="0.3">
      <c r="C194" s="871"/>
      <c r="D194" s="1506" t="s">
        <v>2170</v>
      </c>
      <c r="E194" s="1500"/>
      <c r="F194" s="1500"/>
      <c r="G194" s="1500"/>
      <c r="H194" s="1500"/>
      <c r="I194" s="1500"/>
      <c r="J194" s="1500"/>
      <c r="K194" s="1500"/>
      <c r="L194" s="1500"/>
    </row>
    <row r="195" spans="3:12" x14ac:dyDescent="0.3">
      <c r="C195" s="871"/>
      <c r="D195" s="768"/>
      <c r="E195" s="871"/>
      <c r="F195" s="768"/>
      <c r="G195" s="871"/>
      <c r="H195" s="768"/>
      <c r="I195" s="871"/>
      <c r="J195" s="768"/>
      <c r="K195" s="871"/>
      <c r="L195" s="768"/>
    </row>
    <row r="196" spans="3:12" ht="45.75" customHeight="1" x14ac:dyDescent="0.3">
      <c r="C196" s="871"/>
      <c r="D196" s="1506"/>
      <c r="E196" s="1542"/>
      <c r="F196" s="1542"/>
      <c r="G196" s="1542"/>
      <c r="H196" s="1542"/>
      <c r="I196" s="1542"/>
      <c r="J196" s="1542"/>
      <c r="K196" s="1542"/>
      <c r="L196" s="1542"/>
    </row>
    <row r="197" spans="3:12" x14ac:dyDescent="0.3">
      <c r="C197" s="871"/>
      <c r="D197" s="768"/>
      <c r="E197" s="871"/>
      <c r="F197" s="768"/>
      <c r="G197" s="871"/>
      <c r="H197" s="768"/>
      <c r="I197" s="871"/>
      <c r="J197" s="768"/>
      <c r="K197" s="871"/>
      <c r="L197" s="768"/>
    </row>
    <row r="198" spans="3:12" ht="49.5" customHeight="1" x14ac:dyDescent="0.3">
      <c r="C198" s="871"/>
      <c r="D198" s="1506"/>
      <c r="E198" s="1542"/>
      <c r="F198" s="1542"/>
      <c r="G198" s="1542"/>
      <c r="H198" s="1542"/>
      <c r="I198" s="1542"/>
      <c r="J198" s="1542"/>
      <c r="K198" s="1542"/>
      <c r="L198" s="1542"/>
    </row>
    <row r="199" spans="3:12" x14ac:dyDescent="0.3">
      <c r="C199" s="1533"/>
      <c r="D199" s="1533"/>
      <c r="E199" s="1533"/>
      <c r="F199" s="1533"/>
      <c r="G199" s="1533"/>
      <c r="H199" s="1533"/>
      <c r="I199" s="1533"/>
      <c r="J199" s="1533"/>
      <c r="K199" s="1533"/>
      <c r="L199" s="1533"/>
    </row>
    <row r="200" spans="3:12" ht="51.75" customHeight="1" x14ac:dyDescent="0.3">
      <c r="C200" s="643" t="s">
        <v>916</v>
      </c>
      <c r="D200" s="1544" t="s">
        <v>3190</v>
      </c>
      <c r="E200" s="1542"/>
      <c r="F200" s="1542"/>
      <c r="G200" s="1542"/>
      <c r="H200" s="1542"/>
      <c r="I200" s="1542"/>
      <c r="J200" s="1542"/>
      <c r="K200" s="1542"/>
      <c r="L200" s="1542"/>
    </row>
    <row r="201" spans="3:12" x14ac:dyDescent="0.3">
      <c r="C201" s="643"/>
      <c r="D201" s="866"/>
      <c r="E201" s="643"/>
      <c r="F201" s="866"/>
      <c r="G201" s="643"/>
      <c r="H201" s="866"/>
      <c r="I201" s="643"/>
      <c r="J201" s="866"/>
      <c r="K201" s="643"/>
      <c r="L201" s="866"/>
    </row>
    <row r="202" spans="3:12" ht="36" customHeight="1" x14ac:dyDescent="0.3">
      <c r="C202" s="643"/>
      <c r="D202" s="1506" t="s">
        <v>2170</v>
      </c>
      <c r="E202" s="1500"/>
      <c r="F202" s="1500"/>
      <c r="G202" s="1500"/>
      <c r="H202" s="1500"/>
      <c r="I202" s="1500"/>
      <c r="J202" s="1500"/>
      <c r="K202" s="1500"/>
      <c r="L202" s="1500"/>
    </row>
    <row r="203" spans="3:12" x14ac:dyDescent="0.3">
      <c r="C203" s="643"/>
      <c r="D203" s="406"/>
      <c r="E203" s="643"/>
      <c r="F203" s="406"/>
      <c r="G203" s="643"/>
      <c r="H203" s="406"/>
      <c r="I203" s="643"/>
      <c r="J203" s="406"/>
      <c r="K203" s="643"/>
      <c r="L203" s="406"/>
    </row>
    <row r="204" spans="3:12" ht="62.25" customHeight="1" x14ac:dyDescent="0.3">
      <c r="C204" s="643"/>
      <c r="D204" s="1512"/>
      <c r="E204" s="1542"/>
      <c r="F204" s="1542"/>
      <c r="G204" s="1542"/>
      <c r="H204" s="1542"/>
      <c r="I204" s="1542"/>
      <c r="J204" s="1542"/>
      <c r="K204" s="1542"/>
      <c r="L204" s="1542"/>
    </row>
    <row r="205" spans="3:12" x14ac:dyDescent="0.3">
      <c r="C205" s="643"/>
      <c r="D205" s="406"/>
      <c r="E205" s="643"/>
      <c r="F205" s="406"/>
      <c r="G205" s="643"/>
      <c r="H205" s="406"/>
      <c r="I205" s="643"/>
      <c r="J205" s="406"/>
      <c r="K205" s="643"/>
      <c r="L205" s="406"/>
    </row>
    <row r="206" spans="3:12" ht="52.5" customHeight="1" x14ac:dyDescent="0.3">
      <c r="C206" s="643"/>
      <c r="D206" s="1512"/>
      <c r="E206" s="1542"/>
      <c r="F206" s="1542"/>
      <c r="G206" s="1542"/>
      <c r="H206" s="1542"/>
      <c r="I206" s="1542"/>
      <c r="J206" s="1542"/>
      <c r="K206" s="1542"/>
      <c r="L206" s="1542"/>
    </row>
    <row r="207" spans="3:12" x14ac:dyDescent="0.3">
      <c r="C207" s="1533"/>
      <c r="D207" s="1533"/>
      <c r="E207" s="1533"/>
      <c r="F207" s="1533"/>
      <c r="G207" s="1533"/>
      <c r="H207" s="1533"/>
      <c r="I207" s="1533"/>
      <c r="J207" s="1533"/>
      <c r="K207" s="1533"/>
      <c r="L207" s="1533"/>
    </row>
    <row r="208" spans="3:12" ht="27" customHeight="1" x14ac:dyDescent="0.3">
      <c r="C208" s="643" t="s">
        <v>916</v>
      </c>
      <c r="D208" s="1544" t="s">
        <v>2884</v>
      </c>
      <c r="E208" s="1542"/>
      <c r="F208" s="1542"/>
      <c r="G208" s="1542"/>
      <c r="H208" s="1542"/>
      <c r="I208" s="1542"/>
      <c r="J208" s="1542"/>
      <c r="K208" s="1542"/>
      <c r="L208" s="1542"/>
    </row>
    <row r="209" spans="3:12" x14ac:dyDescent="0.3">
      <c r="C209" s="643"/>
      <c r="D209" s="866"/>
      <c r="E209" s="643"/>
      <c r="F209" s="866"/>
      <c r="G209" s="643"/>
      <c r="H209" s="866"/>
      <c r="I209" s="643"/>
      <c r="J209" s="866"/>
      <c r="K209" s="643"/>
      <c r="L209" s="866"/>
    </row>
    <row r="210" spans="3:12" ht="89.25" customHeight="1" x14ac:dyDescent="0.3">
      <c r="C210" s="871"/>
      <c r="D210" s="1506" t="s">
        <v>2170</v>
      </c>
      <c r="E210" s="1500"/>
      <c r="F210" s="1500"/>
      <c r="G210" s="1500"/>
      <c r="H210" s="1500"/>
      <c r="I210" s="1500"/>
      <c r="J210" s="1500"/>
      <c r="K210" s="1500"/>
      <c r="L210" s="1500"/>
    </row>
    <row r="211" spans="3:12" x14ac:dyDescent="0.3">
      <c r="C211" s="1510"/>
      <c r="D211" s="1510"/>
      <c r="E211" s="1510"/>
      <c r="F211" s="1510"/>
      <c r="G211" s="1510"/>
      <c r="H211" s="1510"/>
      <c r="I211" s="1510"/>
      <c r="J211" s="1510"/>
      <c r="K211" s="1510"/>
      <c r="L211" s="1510"/>
    </row>
    <row r="212" spans="3:12" ht="48.75" customHeight="1" x14ac:dyDescent="0.3">
      <c r="C212" s="643" t="s">
        <v>916</v>
      </c>
      <c r="D212" s="1507" t="s">
        <v>2885</v>
      </c>
      <c r="E212" s="1507"/>
      <c r="F212" s="1507"/>
      <c r="G212" s="1507"/>
      <c r="H212" s="1507"/>
      <c r="I212" s="1507"/>
      <c r="J212" s="1507"/>
      <c r="K212" s="1507"/>
      <c r="L212" s="1507"/>
    </row>
    <row r="213" spans="3:12" x14ac:dyDescent="0.3">
      <c r="C213" s="867"/>
      <c r="D213" s="867"/>
      <c r="E213" s="867"/>
      <c r="F213" s="867"/>
      <c r="G213" s="867"/>
      <c r="H213" s="867"/>
      <c r="I213" s="867"/>
      <c r="J213" s="867"/>
      <c r="K213" s="867"/>
      <c r="L213" s="867"/>
    </row>
    <row r="214" spans="3:12" x14ac:dyDescent="0.3">
      <c r="C214" s="867"/>
      <c r="D214" s="1506" t="s">
        <v>2170</v>
      </c>
      <c r="E214" s="1500"/>
      <c r="F214" s="1500"/>
      <c r="G214" s="1500"/>
      <c r="H214" s="1500"/>
      <c r="I214" s="1500"/>
      <c r="J214" s="1500"/>
      <c r="K214" s="1500"/>
      <c r="L214" s="1500"/>
    </row>
    <row r="215" spans="3:12" x14ac:dyDescent="0.3">
      <c r="C215" s="867"/>
      <c r="D215" s="867"/>
      <c r="E215" s="867"/>
      <c r="F215" s="867"/>
      <c r="G215" s="867"/>
      <c r="H215" s="867"/>
      <c r="I215" s="867"/>
      <c r="J215" s="867"/>
      <c r="K215" s="867"/>
      <c r="L215" s="867"/>
    </row>
    <row r="216" spans="3:12" x14ac:dyDescent="0.3">
      <c r="C216" s="867"/>
      <c r="D216" s="1510"/>
      <c r="E216" s="1510"/>
      <c r="F216" s="1510"/>
      <c r="G216" s="1510"/>
      <c r="H216" s="1510"/>
      <c r="I216" s="1510"/>
      <c r="J216" s="1510"/>
      <c r="K216" s="1510"/>
      <c r="L216" s="1510"/>
    </row>
    <row r="217" spans="3:12" x14ac:dyDescent="0.3">
      <c r="C217" s="867"/>
      <c r="D217" s="867"/>
      <c r="E217" s="867"/>
      <c r="F217" s="867"/>
      <c r="G217" s="867"/>
      <c r="H217" s="867"/>
      <c r="I217" s="867"/>
      <c r="J217" s="867"/>
      <c r="K217" s="867"/>
      <c r="L217" s="867"/>
    </row>
    <row r="218" spans="3:12" x14ac:dyDescent="0.3">
      <c r="C218" s="643" t="s">
        <v>916</v>
      </c>
      <c r="D218" s="1511" t="s">
        <v>2886</v>
      </c>
      <c r="E218" s="1511"/>
      <c r="F218" s="1511"/>
      <c r="G218" s="1511"/>
      <c r="H218" s="1511"/>
      <c r="I218" s="1511"/>
      <c r="J218" s="1511"/>
      <c r="K218" s="1511"/>
      <c r="L218" s="1511"/>
    </row>
    <row r="219" spans="3:12" x14ac:dyDescent="0.3">
      <c r="C219" s="867"/>
      <c r="D219" s="867"/>
      <c r="E219" s="867"/>
      <c r="F219" s="867"/>
      <c r="G219" s="867"/>
      <c r="H219" s="867"/>
      <c r="I219" s="867"/>
      <c r="J219" s="867"/>
      <c r="K219" s="867"/>
      <c r="L219" s="867"/>
    </row>
    <row r="220" spans="3:12" x14ac:dyDescent="0.3">
      <c r="C220" s="867"/>
      <c r="D220" s="1506" t="s">
        <v>2170</v>
      </c>
      <c r="E220" s="1500"/>
      <c r="F220" s="1500"/>
      <c r="G220" s="1500"/>
      <c r="H220" s="1500"/>
      <c r="I220" s="1500"/>
      <c r="J220" s="1500"/>
      <c r="K220" s="1500"/>
      <c r="L220" s="1500"/>
    </row>
    <row r="221" spans="3:12" x14ac:dyDescent="0.3">
      <c r="C221" s="867"/>
      <c r="D221" s="867"/>
      <c r="E221" s="867"/>
      <c r="F221" s="867"/>
      <c r="G221" s="867"/>
      <c r="H221" s="867"/>
      <c r="I221" s="867"/>
      <c r="J221" s="867"/>
      <c r="K221" s="867"/>
      <c r="L221" s="867"/>
    </row>
    <row r="222" spans="3:12" x14ac:dyDescent="0.3">
      <c r="C222" s="867"/>
      <c r="D222" s="1510"/>
      <c r="E222" s="1510"/>
      <c r="F222" s="1510"/>
      <c r="G222" s="1510"/>
      <c r="H222" s="1510"/>
      <c r="I222" s="1510"/>
      <c r="J222" s="1510"/>
      <c r="K222" s="1510"/>
      <c r="L222" s="1510"/>
    </row>
    <row r="223" spans="3:12" x14ac:dyDescent="0.3">
      <c r="C223" s="867"/>
      <c r="D223" s="867"/>
      <c r="E223" s="867"/>
      <c r="F223" s="867"/>
      <c r="G223" s="867"/>
      <c r="H223" s="867"/>
      <c r="I223" s="867"/>
      <c r="J223" s="867"/>
      <c r="K223" s="867"/>
      <c r="L223" s="867"/>
    </row>
    <row r="224" spans="3:12" x14ac:dyDescent="0.3">
      <c r="C224" s="643" t="s">
        <v>916</v>
      </c>
      <c r="D224" s="1511" t="s">
        <v>2887</v>
      </c>
      <c r="E224" s="1511"/>
      <c r="F224" s="1511"/>
      <c r="G224" s="1511"/>
      <c r="H224" s="1511"/>
      <c r="I224" s="1511"/>
      <c r="J224" s="1511"/>
      <c r="K224" s="1511"/>
      <c r="L224" s="1511"/>
    </row>
    <row r="225" spans="3:12" x14ac:dyDescent="0.3">
      <c r="C225" s="867"/>
      <c r="D225" s="867"/>
      <c r="E225" s="867"/>
      <c r="F225" s="867"/>
      <c r="G225" s="867"/>
      <c r="H225" s="867"/>
      <c r="I225" s="867"/>
      <c r="J225" s="867"/>
      <c r="K225" s="867"/>
      <c r="L225" s="867"/>
    </row>
    <row r="226" spans="3:12" x14ac:dyDescent="0.3">
      <c r="C226" s="867"/>
      <c r="D226" s="1506" t="s">
        <v>2170</v>
      </c>
      <c r="E226" s="1500"/>
      <c r="F226" s="1500"/>
      <c r="G226" s="1500"/>
      <c r="H226" s="1500"/>
      <c r="I226" s="1500"/>
      <c r="J226" s="1500"/>
      <c r="K226" s="1500"/>
      <c r="L226" s="1500"/>
    </row>
    <row r="227" spans="3:12" x14ac:dyDescent="0.3">
      <c r="C227" s="867"/>
      <c r="D227" s="867"/>
      <c r="E227" s="867"/>
      <c r="F227" s="867"/>
      <c r="G227" s="867"/>
      <c r="H227" s="867"/>
      <c r="I227" s="867"/>
      <c r="J227" s="867"/>
      <c r="K227" s="867"/>
      <c r="L227" s="867"/>
    </row>
    <row r="228" spans="3:12" x14ac:dyDescent="0.3">
      <c r="C228" s="867"/>
      <c r="D228" s="1510"/>
      <c r="E228" s="1510"/>
      <c r="F228" s="1510"/>
      <c r="G228" s="1510"/>
      <c r="H228" s="1510"/>
      <c r="I228" s="1510"/>
      <c r="J228" s="1510"/>
      <c r="K228" s="1510"/>
      <c r="L228" s="1510"/>
    </row>
    <row r="229" spans="3:12" x14ac:dyDescent="0.3">
      <c r="C229" s="867"/>
      <c r="D229" s="867"/>
      <c r="E229" s="867"/>
      <c r="F229" s="867"/>
      <c r="G229" s="867"/>
      <c r="H229" s="867"/>
      <c r="I229" s="867"/>
      <c r="J229" s="867"/>
      <c r="K229" s="867"/>
      <c r="L229" s="867"/>
    </row>
    <row r="230" spans="3:12" ht="28.5" customHeight="1" x14ac:dyDescent="0.3">
      <c r="C230" s="643" t="s">
        <v>916</v>
      </c>
      <c r="D230" s="1507" t="s">
        <v>2888</v>
      </c>
      <c r="E230" s="1507"/>
      <c r="F230" s="1507"/>
      <c r="G230" s="1507"/>
      <c r="H230" s="1507"/>
      <c r="I230" s="1507"/>
      <c r="J230" s="1507"/>
      <c r="K230" s="1507"/>
      <c r="L230" s="1507"/>
    </row>
    <row r="231" spans="3:12" x14ac:dyDescent="0.3">
      <c r="C231" s="867"/>
      <c r="D231" s="867"/>
      <c r="E231" s="867"/>
      <c r="F231" s="867"/>
      <c r="G231" s="867"/>
      <c r="H231" s="867"/>
      <c r="I231" s="867"/>
      <c r="J231" s="867"/>
      <c r="K231" s="867"/>
      <c r="L231" s="867"/>
    </row>
    <row r="232" spans="3:12" x14ac:dyDescent="0.3">
      <c r="C232" s="867"/>
      <c r="D232" s="1506" t="s">
        <v>2170</v>
      </c>
      <c r="E232" s="1500"/>
      <c r="F232" s="1500"/>
      <c r="G232" s="1500"/>
      <c r="H232" s="1500"/>
      <c r="I232" s="1500"/>
      <c r="J232" s="1500"/>
      <c r="K232" s="1500"/>
      <c r="L232" s="1500"/>
    </row>
    <row r="233" spans="3:12" x14ac:dyDescent="0.3">
      <c r="C233" s="867"/>
      <c r="D233" s="867"/>
      <c r="E233" s="867"/>
      <c r="F233" s="867"/>
      <c r="G233" s="867"/>
      <c r="H233" s="867"/>
      <c r="I233" s="867"/>
      <c r="J233" s="867"/>
      <c r="K233" s="867"/>
      <c r="L233" s="867"/>
    </row>
    <row r="234" spans="3:12" x14ac:dyDescent="0.3">
      <c r="C234" s="867"/>
      <c r="D234" s="1510"/>
      <c r="E234" s="1510"/>
      <c r="F234" s="1510"/>
      <c r="G234" s="1510"/>
      <c r="H234" s="1510"/>
      <c r="I234" s="1510"/>
      <c r="J234" s="1510"/>
      <c r="K234" s="1510"/>
      <c r="L234" s="1510"/>
    </row>
    <row r="235" spans="3:12" x14ac:dyDescent="0.3">
      <c r="C235" s="867"/>
      <c r="D235" s="867"/>
      <c r="E235" s="867"/>
      <c r="F235" s="867"/>
      <c r="G235" s="867"/>
      <c r="H235" s="867"/>
      <c r="I235" s="867"/>
      <c r="J235" s="867"/>
      <c r="K235" s="867"/>
      <c r="L235" s="867"/>
    </row>
    <row r="236" spans="3:12" ht="27" customHeight="1" x14ac:dyDescent="0.3">
      <c r="C236" s="643" t="s">
        <v>916</v>
      </c>
      <c r="D236" s="1507" t="s">
        <v>2879</v>
      </c>
      <c r="E236" s="1507"/>
      <c r="F236" s="1507"/>
      <c r="G236" s="1507"/>
      <c r="H236" s="1507"/>
      <c r="I236" s="1507"/>
      <c r="J236" s="1507"/>
      <c r="K236" s="1507"/>
      <c r="L236" s="1507"/>
    </row>
    <row r="237" spans="3:12" x14ac:dyDescent="0.3">
      <c r="C237" s="867"/>
      <c r="D237" s="867"/>
      <c r="E237" s="867"/>
      <c r="F237" s="867"/>
      <c r="G237" s="867"/>
      <c r="H237" s="867"/>
      <c r="I237" s="867"/>
      <c r="J237" s="867"/>
      <c r="K237" s="867"/>
      <c r="L237" s="867"/>
    </row>
    <row r="238" spans="3:12" x14ac:dyDescent="0.3">
      <c r="C238" s="867"/>
      <c r="D238" s="1506" t="s">
        <v>2170</v>
      </c>
      <c r="E238" s="1500"/>
      <c r="F238" s="1500"/>
      <c r="G238" s="1500"/>
      <c r="H238" s="1500"/>
      <c r="I238" s="1500"/>
      <c r="J238" s="1500"/>
      <c r="K238" s="1500"/>
      <c r="L238" s="1500"/>
    </row>
    <row r="239" spans="3:12" x14ac:dyDescent="0.3">
      <c r="C239" s="867"/>
      <c r="D239" s="867"/>
      <c r="E239" s="867"/>
      <c r="F239" s="867"/>
      <c r="G239" s="867"/>
      <c r="H239" s="867"/>
      <c r="I239" s="867"/>
      <c r="J239" s="867"/>
      <c r="K239" s="867"/>
      <c r="L239" s="867"/>
    </row>
    <row r="240" spans="3:12" x14ac:dyDescent="0.3">
      <c r="C240" s="867"/>
      <c r="D240" s="1510"/>
      <c r="E240" s="1510"/>
      <c r="F240" s="1510"/>
      <c r="G240" s="1510"/>
      <c r="H240" s="1510"/>
      <c r="I240" s="1510"/>
      <c r="J240" s="1510"/>
      <c r="K240" s="1510"/>
      <c r="L240" s="1510"/>
    </row>
    <row r="241" spans="3:12" x14ac:dyDescent="0.3">
      <c r="C241" s="867"/>
      <c r="D241" s="867"/>
      <c r="E241" s="867"/>
      <c r="F241" s="867"/>
      <c r="G241" s="867"/>
      <c r="H241" s="867"/>
      <c r="I241" s="867"/>
      <c r="J241" s="867"/>
      <c r="K241" s="867"/>
      <c r="L241" s="867"/>
    </row>
    <row r="242" spans="3:12" x14ac:dyDescent="0.3">
      <c r="C242" s="643" t="s">
        <v>916</v>
      </c>
      <c r="D242" s="1511" t="s">
        <v>2874</v>
      </c>
      <c r="E242" s="1511"/>
      <c r="F242" s="1511"/>
      <c r="G242" s="1511"/>
      <c r="H242" s="1511"/>
      <c r="I242" s="1511"/>
      <c r="J242" s="1511"/>
      <c r="K242" s="1511"/>
      <c r="L242" s="1511"/>
    </row>
    <row r="243" spans="3:12" x14ac:dyDescent="0.3">
      <c r="C243" s="867"/>
      <c r="D243" s="867"/>
      <c r="E243" s="867"/>
      <c r="F243" s="867"/>
      <c r="G243" s="867"/>
      <c r="H243" s="867"/>
      <c r="I243" s="867"/>
      <c r="J243" s="867"/>
      <c r="K243" s="867"/>
      <c r="L243" s="867"/>
    </row>
    <row r="244" spans="3:12" x14ac:dyDescent="0.3">
      <c r="C244" s="867"/>
      <c r="D244" s="1506" t="s">
        <v>2170</v>
      </c>
      <c r="E244" s="1500"/>
      <c r="F244" s="1500"/>
      <c r="G244" s="1500"/>
      <c r="H244" s="1500"/>
      <c r="I244" s="1500"/>
      <c r="J244" s="1500"/>
      <c r="K244" s="1500"/>
      <c r="L244" s="1500"/>
    </row>
    <row r="245" spans="3:12" x14ac:dyDescent="0.3">
      <c r="C245" s="867"/>
      <c r="D245" s="867"/>
      <c r="E245" s="867"/>
      <c r="F245" s="867"/>
      <c r="G245" s="867"/>
      <c r="H245" s="867"/>
      <c r="I245" s="867"/>
      <c r="J245" s="867"/>
      <c r="K245" s="867"/>
      <c r="L245" s="867"/>
    </row>
    <row r="246" spans="3:12" x14ac:dyDescent="0.3">
      <c r="C246" s="867"/>
      <c r="D246" s="1510"/>
      <c r="E246" s="1510"/>
      <c r="F246" s="1510"/>
      <c r="G246" s="1510"/>
      <c r="H246" s="1510"/>
      <c r="I246" s="1510"/>
      <c r="J246" s="1510"/>
      <c r="K246" s="1510"/>
      <c r="L246" s="1510"/>
    </row>
    <row r="247" spans="3:12" x14ac:dyDescent="0.3">
      <c r="C247" s="867"/>
      <c r="D247" s="867"/>
      <c r="E247" s="867"/>
      <c r="F247" s="867"/>
      <c r="G247" s="867"/>
      <c r="H247" s="867"/>
      <c r="I247" s="867"/>
      <c r="J247" s="867"/>
      <c r="K247" s="867"/>
      <c r="L247" s="867"/>
    </row>
    <row r="248" spans="3:12" ht="28.5" customHeight="1" x14ac:dyDescent="0.3">
      <c r="C248" s="643" t="s">
        <v>916</v>
      </c>
      <c r="D248" s="1507" t="s">
        <v>2889</v>
      </c>
      <c r="E248" s="1507"/>
      <c r="F248" s="1507"/>
      <c r="G248" s="1507"/>
      <c r="H248" s="1507"/>
      <c r="I248" s="1507"/>
      <c r="J248" s="1507"/>
      <c r="K248" s="1507"/>
      <c r="L248" s="1507"/>
    </row>
    <row r="249" spans="3:12" x14ac:dyDescent="0.3">
      <c r="C249" s="867"/>
      <c r="D249" s="867"/>
      <c r="E249" s="867"/>
      <c r="F249" s="867"/>
      <c r="G249" s="867"/>
      <c r="H249" s="867"/>
      <c r="I249" s="867"/>
      <c r="J249" s="867"/>
      <c r="K249" s="867"/>
      <c r="L249" s="867"/>
    </row>
    <row r="250" spans="3:12" x14ac:dyDescent="0.3">
      <c r="C250" s="867"/>
      <c r="D250" s="1506" t="s">
        <v>2170</v>
      </c>
      <c r="E250" s="1500"/>
      <c r="F250" s="1500"/>
      <c r="G250" s="1500"/>
      <c r="H250" s="1500"/>
      <c r="I250" s="1500"/>
      <c r="J250" s="1500"/>
      <c r="K250" s="1500"/>
      <c r="L250" s="1500"/>
    </row>
    <row r="251" spans="3:12" x14ac:dyDescent="0.3">
      <c r="C251" s="867"/>
      <c r="D251" s="867"/>
      <c r="E251" s="867"/>
      <c r="F251" s="867"/>
      <c r="G251" s="867"/>
      <c r="H251" s="867"/>
      <c r="I251" s="867"/>
      <c r="J251" s="867"/>
      <c r="K251" s="867"/>
      <c r="L251" s="867"/>
    </row>
    <row r="252" spans="3:12" x14ac:dyDescent="0.3">
      <c r="C252" s="867"/>
      <c r="D252" s="1510"/>
      <c r="E252" s="1510"/>
      <c r="F252" s="1510"/>
      <c r="G252" s="1510"/>
      <c r="H252" s="1510"/>
      <c r="I252" s="1510"/>
      <c r="J252" s="1510"/>
      <c r="K252" s="1510"/>
      <c r="L252" s="1510"/>
    </row>
    <row r="253" spans="3:12" x14ac:dyDescent="0.3">
      <c r="C253" s="867"/>
      <c r="D253" s="867"/>
      <c r="E253" s="867"/>
      <c r="F253" s="867"/>
      <c r="G253" s="867"/>
      <c r="H253" s="867"/>
      <c r="I253" s="867"/>
      <c r="J253" s="867"/>
      <c r="K253" s="867"/>
      <c r="L253" s="867"/>
    </row>
    <row r="254" spans="3:12" ht="29.25" customHeight="1" x14ac:dyDescent="0.3">
      <c r="C254" s="643" t="s">
        <v>916</v>
      </c>
      <c r="D254" s="1507" t="s">
        <v>2890</v>
      </c>
      <c r="E254" s="1507"/>
      <c r="F254" s="1507"/>
      <c r="G254" s="1507"/>
      <c r="H254" s="1507"/>
      <c r="I254" s="1507"/>
      <c r="J254" s="1507"/>
      <c r="K254" s="1507"/>
      <c r="L254" s="1507"/>
    </row>
    <row r="255" spans="3:12" x14ac:dyDescent="0.3">
      <c r="C255" s="867"/>
      <c r="D255" s="867"/>
      <c r="E255" s="867"/>
      <c r="F255" s="867"/>
      <c r="G255" s="867"/>
      <c r="H255" s="867"/>
      <c r="I255" s="867"/>
      <c r="J255" s="867"/>
      <c r="K255" s="867"/>
      <c r="L255" s="867"/>
    </row>
    <row r="256" spans="3:12" x14ac:dyDescent="0.3">
      <c r="C256" s="867"/>
      <c r="D256" s="1506" t="s">
        <v>2170</v>
      </c>
      <c r="E256" s="1500"/>
      <c r="F256" s="1500"/>
      <c r="G256" s="1500"/>
      <c r="H256" s="1500"/>
      <c r="I256" s="1500"/>
      <c r="J256" s="1500"/>
      <c r="K256" s="1500"/>
      <c r="L256" s="1500"/>
    </row>
    <row r="257" spans="3:12" x14ac:dyDescent="0.3">
      <c r="C257" s="867"/>
      <c r="D257" s="867"/>
      <c r="E257" s="867"/>
      <c r="F257" s="867"/>
      <c r="G257" s="867"/>
      <c r="H257" s="867"/>
      <c r="I257" s="867"/>
      <c r="J257" s="867"/>
      <c r="K257" s="867"/>
      <c r="L257" s="867"/>
    </row>
    <row r="258" spans="3:12" x14ac:dyDescent="0.3">
      <c r="C258" s="867"/>
      <c r="D258" s="1510"/>
      <c r="E258" s="1510"/>
      <c r="F258" s="1510"/>
      <c r="G258" s="1510"/>
      <c r="H258" s="1510"/>
      <c r="I258" s="1510"/>
      <c r="J258" s="1510"/>
      <c r="K258" s="1510"/>
      <c r="L258" s="1510"/>
    </row>
    <row r="259" spans="3:12" x14ac:dyDescent="0.3">
      <c r="C259" s="867"/>
      <c r="D259" s="867"/>
      <c r="E259" s="867"/>
      <c r="F259" s="867"/>
      <c r="G259" s="867"/>
      <c r="H259" s="867"/>
      <c r="I259" s="867"/>
      <c r="J259" s="867"/>
      <c r="K259" s="867"/>
      <c r="L259" s="867"/>
    </row>
    <row r="260" spans="3:12" x14ac:dyDescent="0.3">
      <c r="C260" s="643" t="s">
        <v>916</v>
      </c>
      <c r="D260" s="1511" t="s">
        <v>2891</v>
      </c>
      <c r="E260" s="1511"/>
      <c r="F260" s="1511"/>
      <c r="G260" s="1511"/>
      <c r="H260" s="1511"/>
      <c r="I260" s="1511"/>
      <c r="J260" s="1511"/>
      <c r="K260" s="1511"/>
      <c r="L260" s="1511"/>
    </row>
    <row r="261" spans="3:12" x14ac:dyDescent="0.3">
      <c r="C261" s="867"/>
      <c r="D261" s="867"/>
      <c r="E261" s="867"/>
      <c r="F261" s="867"/>
      <c r="G261" s="867"/>
      <c r="H261" s="867"/>
      <c r="I261" s="867"/>
      <c r="J261" s="867"/>
      <c r="K261" s="867"/>
      <c r="L261" s="867"/>
    </row>
    <row r="262" spans="3:12" x14ac:dyDescent="0.3">
      <c r="C262" s="867"/>
      <c r="D262" s="1506" t="s">
        <v>2170</v>
      </c>
      <c r="E262" s="1500"/>
      <c r="F262" s="1500"/>
      <c r="G262" s="1500"/>
      <c r="H262" s="1500"/>
      <c r="I262" s="1500"/>
      <c r="J262" s="1500"/>
      <c r="K262" s="1500"/>
      <c r="L262" s="1500"/>
    </row>
    <row r="263" spans="3:12" x14ac:dyDescent="0.3">
      <c r="C263" s="867"/>
      <c r="D263" s="867"/>
      <c r="E263" s="867"/>
      <c r="F263" s="867"/>
      <c r="G263" s="867"/>
      <c r="H263" s="867"/>
      <c r="I263" s="867"/>
      <c r="J263" s="867"/>
      <c r="K263" s="867"/>
      <c r="L263" s="867"/>
    </row>
    <row r="264" spans="3:12" x14ac:dyDescent="0.3">
      <c r="C264" s="867"/>
      <c r="D264" s="1510"/>
      <c r="E264" s="1510"/>
      <c r="F264" s="1510"/>
      <c r="G264" s="1510"/>
      <c r="H264" s="1510"/>
      <c r="I264" s="1510"/>
      <c r="J264" s="1510"/>
      <c r="K264" s="1510"/>
      <c r="L264" s="1510"/>
    </row>
    <row r="265" spans="3:12" x14ac:dyDescent="0.3">
      <c r="C265" s="867"/>
      <c r="D265" s="867"/>
      <c r="E265" s="867"/>
      <c r="F265" s="867"/>
      <c r="G265" s="867"/>
      <c r="H265" s="867"/>
      <c r="I265" s="867"/>
      <c r="J265" s="867"/>
      <c r="K265" s="867"/>
      <c r="L265" s="867"/>
    </row>
    <row r="266" spans="3:12" ht="45" customHeight="1" x14ac:dyDescent="0.3">
      <c r="C266" s="643" t="s">
        <v>916</v>
      </c>
      <c r="D266" s="1507" t="s">
        <v>2892</v>
      </c>
      <c r="E266" s="1507"/>
      <c r="F266" s="1507"/>
      <c r="G266" s="1507"/>
      <c r="H266" s="1507"/>
      <c r="I266" s="1507"/>
      <c r="J266" s="1507"/>
      <c r="K266" s="1507"/>
      <c r="L266" s="1507"/>
    </row>
    <row r="267" spans="3:12" x14ac:dyDescent="0.3">
      <c r="C267" s="867"/>
      <c r="D267" s="867"/>
      <c r="E267" s="867"/>
      <c r="F267" s="867"/>
      <c r="G267" s="867"/>
      <c r="H267" s="867"/>
      <c r="I267" s="867"/>
      <c r="J267" s="867"/>
      <c r="K267" s="867"/>
      <c r="L267" s="867"/>
    </row>
    <row r="268" spans="3:12" x14ac:dyDescent="0.3">
      <c r="C268" s="867"/>
      <c r="D268" s="1510"/>
      <c r="E268" s="1510"/>
      <c r="F268" s="1510"/>
      <c r="G268" s="1510"/>
      <c r="H268" s="1510"/>
      <c r="I268" s="1510"/>
      <c r="J268" s="1510"/>
      <c r="K268" s="1510"/>
      <c r="L268" s="1510"/>
    </row>
    <row r="269" spans="3:12" x14ac:dyDescent="0.3">
      <c r="C269" s="867"/>
      <c r="D269" s="867"/>
      <c r="E269" s="867"/>
      <c r="F269" s="867"/>
      <c r="G269" s="867"/>
      <c r="H269" s="867"/>
      <c r="I269" s="867"/>
      <c r="J269" s="867"/>
      <c r="K269" s="867"/>
      <c r="L269" s="867"/>
    </row>
    <row r="270" spans="3:12" x14ac:dyDescent="0.3">
      <c r="C270" s="867"/>
      <c r="D270" s="1510"/>
      <c r="E270" s="1510"/>
      <c r="F270" s="1510"/>
      <c r="G270" s="1510"/>
      <c r="H270" s="1510"/>
      <c r="I270" s="1510"/>
      <c r="J270" s="1510"/>
      <c r="K270" s="1510"/>
      <c r="L270" s="1510"/>
    </row>
    <row r="271" spans="3:12" x14ac:dyDescent="0.3">
      <c r="C271" s="867"/>
      <c r="D271" s="867"/>
      <c r="E271" s="867"/>
      <c r="F271" s="867"/>
      <c r="G271" s="867"/>
      <c r="H271" s="867"/>
      <c r="I271" s="867"/>
      <c r="J271" s="867"/>
      <c r="K271" s="867"/>
      <c r="L271" s="867"/>
    </row>
    <row r="272" spans="3:12" x14ac:dyDescent="0.3">
      <c r="C272" s="867"/>
      <c r="D272" s="1510"/>
      <c r="E272" s="1510"/>
      <c r="F272" s="1510"/>
      <c r="G272" s="1510"/>
      <c r="H272" s="1510"/>
      <c r="I272" s="1510"/>
      <c r="J272" s="1510"/>
      <c r="K272" s="1510"/>
      <c r="L272" s="1510"/>
    </row>
    <row r="273" spans="3:12" x14ac:dyDescent="0.3">
      <c r="C273" s="867"/>
      <c r="D273" s="867"/>
      <c r="E273" s="867"/>
      <c r="F273" s="867"/>
      <c r="G273" s="867"/>
      <c r="H273" s="867"/>
      <c r="I273" s="867"/>
      <c r="J273" s="867"/>
      <c r="K273" s="867"/>
      <c r="L273" s="867"/>
    </row>
    <row r="274" spans="3:12" x14ac:dyDescent="0.3">
      <c r="C274" s="1510"/>
      <c r="D274" s="1510"/>
      <c r="E274" s="1510"/>
      <c r="F274" s="1510"/>
      <c r="G274" s="1510"/>
      <c r="H274" s="1510"/>
      <c r="I274" s="1510"/>
      <c r="J274" s="1510"/>
      <c r="K274" s="1510"/>
      <c r="L274" s="1510"/>
    </row>
    <row r="275" spans="3:12" x14ac:dyDescent="0.3">
      <c r="C275" s="1511" t="s">
        <v>928</v>
      </c>
      <c r="D275" s="1511"/>
      <c r="E275" s="1542"/>
      <c r="F275" s="1542"/>
      <c r="G275" s="1542"/>
      <c r="H275" s="1542"/>
      <c r="I275" s="1542"/>
      <c r="J275" s="1542"/>
      <c r="K275" s="1542"/>
      <c r="L275" s="1542"/>
    </row>
    <row r="276" spans="3:12" x14ac:dyDescent="0.3">
      <c r="C276" s="865"/>
      <c r="D276" s="865"/>
      <c r="E276" s="865"/>
      <c r="F276" s="865"/>
      <c r="G276" s="865"/>
      <c r="H276" s="865"/>
      <c r="I276" s="865"/>
      <c r="J276" s="865"/>
      <c r="K276" s="865"/>
      <c r="L276" s="865"/>
    </row>
    <row r="277" spans="3:12" ht="67.5" customHeight="1" x14ac:dyDescent="0.3">
      <c r="C277" s="1512" t="s">
        <v>2171</v>
      </c>
      <c r="D277" s="1512"/>
      <c r="E277" s="1542"/>
      <c r="F277" s="1542"/>
      <c r="G277" s="1542"/>
      <c r="H277" s="1542"/>
      <c r="I277" s="1542"/>
      <c r="J277" s="1542"/>
      <c r="K277" s="1542"/>
      <c r="L277" s="1542"/>
    </row>
    <row r="278" spans="3:12" x14ac:dyDescent="0.3">
      <c r="C278" s="1525"/>
      <c r="D278" s="1525"/>
      <c r="E278" s="1525"/>
      <c r="F278" s="1525"/>
      <c r="G278" s="1525"/>
      <c r="H278" s="1525"/>
      <c r="I278" s="1525"/>
      <c r="J278" s="1525"/>
      <c r="K278" s="1525"/>
      <c r="L278" s="1525"/>
    </row>
    <row r="279" spans="3:12" ht="36" customHeight="1" x14ac:dyDescent="0.3">
      <c r="C279" s="1512" t="s">
        <v>2172</v>
      </c>
      <c r="D279" s="1512"/>
      <c r="E279" s="1542"/>
      <c r="F279" s="1542"/>
      <c r="G279" s="1542"/>
      <c r="H279" s="1542"/>
      <c r="I279" s="1542"/>
      <c r="J279" s="1542"/>
      <c r="K279" s="1542"/>
      <c r="L279" s="1542"/>
    </row>
    <row r="280" spans="3:12" x14ac:dyDescent="0.3">
      <c r="C280" s="867"/>
      <c r="D280" s="867"/>
      <c r="E280" s="867"/>
      <c r="F280" s="867"/>
      <c r="G280" s="867"/>
      <c r="H280" s="867"/>
      <c r="I280" s="867"/>
      <c r="J280" s="867"/>
      <c r="K280" s="867"/>
      <c r="L280" s="867"/>
    </row>
    <row r="281" spans="3:12" ht="19.5" customHeight="1" x14ac:dyDescent="0.3">
      <c r="C281" s="643" t="s">
        <v>916</v>
      </c>
      <c r="D281" s="1511" t="s">
        <v>2875</v>
      </c>
      <c r="E281" s="1542"/>
      <c r="F281" s="1542"/>
      <c r="G281" s="1542"/>
      <c r="H281" s="1542"/>
      <c r="I281" s="1542"/>
      <c r="J281" s="1542"/>
      <c r="K281" s="1542"/>
      <c r="L281" s="1542"/>
    </row>
    <row r="282" spans="3:12" ht="46.5" customHeight="1" x14ac:dyDescent="0.3">
      <c r="C282" s="871"/>
      <c r="D282" s="1506"/>
      <c r="E282" s="1542"/>
      <c r="F282" s="1542"/>
      <c r="G282" s="1542"/>
      <c r="H282" s="1542"/>
      <c r="I282" s="1542"/>
      <c r="J282" s="1542"/>
      <c r="K282" s="1542"/>
      <c r="L282" s="1542"/>
    </row>
    <row r="283" spans="3:12" x14ac:dyDescent="0.3">
      <c r="C283" s="871"/>
      <c r="D283" s="768"/>
      <c r="E283" s="871"/>
      <c r="F283" s="768"/>
      <c r="G283" s="871"/>
      <c r="H283" s="768"/>
      <c r="I283" s="871"/>
      <c r="J283" s="768"/>
      <c r="K283" s="871"/>
      <c r="L283" s="768"/>
    </row>
    <row r="284" spans="3:12" ht="88.5" customHeight="1" x14ac:dyDescent="0.3">
      <c r="C284" s="871"/>
      <c r="D284" s="1506"/>
      <c r="E284" s="1542"/>
      <c r="F284" s="1542"/>
      <c r="G284" s="1542"/>
      <c r="H284" s="1542"/>
      <c r="I284" s="1542"/>
      <c r="J284" s="1542"/>
      <c r="K284" s="1542"/>
      <c r="L284" s="1542"/>
    </row>
    <row r="285" spans="3:12" x14ac:dyDescent="0.3">
      <c r="C285" s="871"/>
      <c r="D285" s="768"/>
      <c r="E285" s="871"/>
      <c r="F285" s="768"/>
      <c r="G285" s="871"/>
      <c r="H285" s="768"/>
      <c r="I285" s="871"/>
      <c r="J285" s="768"/>
      <c r="K285" s="871"/>
      <c r="L285" s="768"/>
    </row>
    <row r="286" spans="3:12" ht="33.75" customHeight="1" x14ac:dyDescent="0.3">
      <c r="C286" s="871"/>
      <c r="D286" s="1506"/>
      <c r="E286" s="1542"/>
      <c r="F286" s="1542"/>
      <c r="G286" s="1542"/>
      <c r="H286" s="1542"/>
      <c r="I286" s="1542"/>
      <c r="J286" s="1542"/>
      <c r="K286" s="1542"/>
      <c r="L286" s="1542"/>
    </row>
    <row r="287" spans="3:12" x14ac:dyDescent="0.3">
      <c r="C287" s="871"/>
      <c r="D287" s="768"/>
      <c r="E287" s="871"/>
      <c r="F287" s="768"/>
      <c r="G287" s="871"/>
      <c r="H287" s="768"/>
      <c r="I287" s="871"/>
      <c r="J287" s="768"/>
      <c r="K287" s="871"/>
      <c r="L287" s="768"/>
    </row>
    <row r="288" spans="3:12" x14ac:dyDescent="0.3">
      <c r="C288" s="643" t="s">
        <v>916</v>
      </c>
      <c r="D288" s="1511" t="s">
        <v>2876</v>
      </c>
      <c r="E288" s="1542"/>
      <c r="F288" s="1542"/>
      <c r="G288" s="1542"/>
      <c r="H288" s="1542"/>
      <c r="I288" s="1542"/>
      <c r="J288" s="1542"/>
      <c r="K288" s="1542"/>
      <c r="L288" s="1542"/>
    </row>
    <row r="289" spans="3:12" x14ac:dyDescent="0.3">
      <c r="C289" s="643"/>
      <c r="D289" s="865"/>
      <c r="E289" s="643"/>
      <c r="F289" s="865"/>
      <c r="G289" s="643"/>
      <c r="H289" s="865"/>
      <c r="I289" s="643"/>
      <c r="J289" s="865"/>
      <c r="K289" s="643"/>
      <c r="L289" s="865"/>
    </row>
    <row r="290" spans="3:12" ht="76.5" customHeight="1" x14ac:dyDescent="0.3">
      <c r="C290" s="871"/>
      <c r="D290" s="1506"/>
      <c r="E290" s="1542"/>
      <c r="F290" s="1542"/>
      <c r="G290" s="1542"/>
      <c r="H290" s="1542"/>
      <c r="I290" s="1542"/>
      <c r="J290" s="1542"/>
      <c r="K290" s="1542"/>
      <c r="L290" s="1542"/>
    </row>
    <row r="291" spans="3:12" x14ac:dyDescent="0.3">
      <c r="C291" s="871"/>
      <c r="D291" s="768"/>
      <c r="E291" s="871"/>
      <c r="F291" s="768"/>
      <c r="G291" s="871"/>
      <c r="H291" s="768"/>
      <c r="I291" s="871"/>
      <c r="J291" s="768"/>
      <c r="K291" s="871"/>
      <c r="L291" s="768"/>
    </row>
    <row r="292" spans="3:12" ht="51" customHeight="1" x14ac:dyDescent="0.3">
      <c r="C292" s="871"/>
      <c r="D292" s="1506"/>
      <c r="E292" s="1542"/>
      <c r="F292" s="1542"/>
      <c r="G292" s="1542"/>
      <c r="H292" s="1542"/>
      <c r="I292" s="1542"/>
      <c r="J292" s="1542"/>
      <c r="K292" s="1542"/>
      <c r="L292" s="1542"/>
    </row>
    <row r="293" spans="3:12" ht="13.5" customHeight="1" x14ac:dyDescent="0.3">
      <c r="C293" s="871"/>
      <c r="D293" s="768"/>
      <c r="E293" s="402"/>
      <c r="F293" s="402"/>
      <c r="G293" s="402"/>
      <c r="H293" s="402"/>
      <c r="I293" s="402"/>
      <c r="J293" s="402"/>
      <c r="K293" s="402"/>
      <c r="L293" s="402"/>
    </row>
    <row r="294" spans="3:12" ht="21" customHeight="1" x14ac:dyDescent="0.3">
      <c r="C294" s="643" t="s">
        <v>916</v>
      </c>
      <c r="D294" s="1507" t="s">
        <v>1932</v>
      </c>
      <c r="E294" s="1542"/>
      <c r="F294" s="1542"/>
      <c r="G294" s="1542"/>
      <c r="H294" s="1542"/>
      <c r="I294" s="1542"/>
      <c r="J294" s="1542"/>
      <c r="K294" s="1542"/>
      <c r="L294" s="1542"/>
    </row>
    <row r="295" spans="3:12" x14ac:dyDescent="0.3">
      <c r="C295" s="643"/>
      <c r="D295" s="767"/>
      <c r="E295" s="643"/>
      <c r="F295" s="767"/>
      <c r="G295" s="643"/>
      <c r="H295" s="767"/>
      <c r="I295" s="643"/>
      <c r="J295" s="767"/>
      <c r="K295" s="643"/>
      <c r="L295" s="767"/>
    </row>
    <row r="296" spans="3:12" ht="93.75" customHeight="1" x14ac:dyDescent="0.3">
      <c r="C296" s="871"/>
      <c r="D296" s="1506"/>
      <c r="E296" s="1542"/>
      <c r="F296" s="1542"/>
      <c r="G296" s="1542"/>
      <c r="H296" s="1542"/>
      <c r="I296" s="1542"/>
      <c r="J296" s="1542"/>
      <c r="K296" s="1542"/>
      <c r="L296" s="1542"/>
    </row>
    <row r="297" spans="3:12" x14ac:dyDescent="0.3">
      <c r="C297" s="871"/>
      <c r="D297" s="768"/>
      <c r="E297" s="871"/>
      <c r="F297" s="768"/>
      <c r="G297" s="871"/>
      <c r="H297" s="768"/>
      <c r="I297" s="871"/>
      <c r="J297" s="768"/>
      <c r="K297" s="871"/>
      <c r="L297" s="768"/>
    </row>
    <row r="298" spans="3:12" x14ac:dyDescent="0.3">
      <c r="C298" s="643" t="s">
        <v>916</v>
      </c>
      <c r="D298" s="1511" t="s">
        <v>2877</v>
      </c>
      <c r="E298" s="1542"/>
      <c r="F298" s="1542"/>
      <c r="G298" s="1542"/>
      <c r="H298" s="1542"/>
      <c r="I298" s="1542"/>
      <c r="J298" s="1542"/>
      <c r="K298" s="1542"/>
      <c r="L298" s="1542"/>
    </row>
    <row r="299" spans="3:12" x14ac:dyDescent="0.3">
      <c r="C299" s="643"/>
      <c r="D299" s="865"/>
      <c r="E299" s="643"/>
      <c r="F299" s="865"/>
      <c r="G299" s="643"/>
      <c r="H299" s="865"/>
      <c r="I299" s="643"/>
      <c r="J299" s="865"/>
      <c r="K299" s="643"/>
      <c r="L299" s="865"/>
    </row>
    <row r="300" spans="3:12" ht="129" customHeight="1" x14ac:dyDescent="0.3">
      <c r="C300" s="871"/>
      <c r="D300" s="1506"/>
      <c r="E300" s="1542"/>
      <c r="F300" s="1542"/>
      <c r="G300" s="1542"/>
      <c r="H300" s="1542"/>
      <c r="I300" s="1542"/>
      <c r="J300" s="1542"/>
      <c r="K300" s="1542"/>
      <c r="L300" s="1542"/>
    </row>
    <row r="301" spans="3:12" x14ac:dyDescent="0.3">
      <c r="C301" s="871"/>
      <c r="D301" s="768"/>
      <c r="E301" s="871"/>
      <c r="F301" s="768"/>
      <c r="G301" s="871"/>
      <c r="H301" s="768"/>
      <c r="I301" s="871"/>
      <c r="J301" s="768"/>
      <c r="K301" s="871"/>
      <c r="L301" s="768"/>
    </row>
    <row r="302" spans="3:12" ht="93.75" customHeight="1" x14ac:dyDescent="0.3">
      <c r="C302" s="871"/>
      <c r="D302" s="1506"/>
      <c r="E302" s="1506"/>
      <c r="F302" s="1506"/>
      <c r="G302" s="1506"/>
      <c r="H302" s="1506"/>
      <c r="I302" s="1506"/>
      <c r="J302" s="1506"/>
      <c r="K302" s="1506"/>
      <c r="L302" s="1506"/>
    </row>
    <row r="303" spans="3:12" x14ac:dyDescent="0.3">
      <c r="C303" s="871"/>
      <c r="D303" s="768"/>
      <c r="E303" s="871"/>
      <c r="F303" s="768"/>
      <c r="G303" s="871"/>
      <c r="H303" s="768"/>
      <c r="I303" s="871"/>
      <c r="J303" s="768"/>
      <c r="K303" s="871"/>
      <c r="L303" s="768"/>
    </row>
    <row r="304" spans="3:12" x14ac:dyDescent="0.3">
      <c r="C304" s="643" t="s">
        <v>916</v>
      </c>
      <c r="D304" s="1507" t="s">
        <v>2878</v>
      </c>
      <c r="E304" s="1507"/>
      <c r="F304" s="1507"/>
      <c r="G304" s="1507"/>
      <c r="H304" s="1507"/>
      <c r="I304" s="1507"/>
      <c r="J304" s="1507"/>
      <c r="K304" s="1507"/>
      <c r="L304" s="1507"/>
    </row>
    <row r="305" spans="3:12" x14ac:dyDescent="0.3">
      <c r="C305" s="871"/>
      <c r="D305" s="768"/>
      <c r="E305" s="871"/>
      <c r="F305" s="768"/>
      <c r="G305" s="871"/>
      <c r="H305" s="768"/>
      <c r="I305" s="871"/>
      <c r="J305" s="768"/>
      <c r="K305" s="871"/>
      <c r="L305" s="768"/>
    </row>
    <row r="306" spans="3:12" x14ac:dyDescent="0.3">
      <c r="C306" s="871"/>
      <c r="D306" s="1506"/>
      <c r="E306" s="1506"/>
      <c r="F306" s="1506"/>
      <c r="G306" s="1506"/>
      <c r="H306" s="1506"/>
      <c r="I306" s="1506"/>
      <c r="J306" s="1506"/>
      <c r="K306" s="1506"/>
      <c r="L306" s="1506"/>
    </row>
    <row r="307" spans="3:12" x14ac:dyDescent="0.3">
      <c r="C307" s="871"/>
      <c r="D307" s="768"/>
      <c r="E307" s="871"/>
      <c r="F307" s="768"/>
      <c r="G307" s="871"/>
      <c r="H307" s="768"/>
      <c r="I307" s="871"/>
      <c r="J307" s="768"/>
      <c r="K307" s="871"/>
      <c r="L307" s="768"/>
    </row>
    <row r="308" spans="3:12" x14ac:dyDescent="0.3">
      <c r="C308" s="871"/>
      <c r="D308" s="1506"/>
      <c r="E308" s="1506"/>
      <c r="F308" s="1506"/>
      <c r="G308" s="1506"/>
      <c r="H308" s="1506"/>
      <c r="I308" s="1506"/>
      <c r="J308" s="1506"/>
      <c r="K308" s="1506"/>
      <c r="L308" s="1506"/>
    </row>
    <row r="309" spans="3:12" x14ac:dyDescent="0.3">
      <c r="C309" s="871"/>
      <c r="D309" s="768"/>
      <c r="E309" s="871"/>
      <c r="F309" s="768"/>
      <c r="G309" s="871"/>
      <c r="H309" s="768"/>
      <c r="I309" s="871"/>
      <c r="J309" s="768"/>
      <c r="K309" s="871"/>
      <c r="L309" s="768"/>
    </row>
    <row r="310" spans="3:12" ht="13.5" customHeight="1" x14ac:dyDescent="0.3">
      <c r="C310" s="643" t="s">
        <v>916</v>
      </c>
      <c r="D310" s="1507" t="s">
        <v>1933</v>
      </c>
      <c r="E310" s="1542"/>
      <c r="F310" s="1542"/>
      <c r="G310" s="1542"/>
      <c r="H310" s="1542"/>
      <c r="I310" s="1542"/>
      <c r="J310" s="1542"/>
      <c r="K310" s="1542"/>
      <c r="L310" s="1542"/>
    </row>
    <row r="311" spans="3:12" x14ac:dyDescent="0.3">
      <c r="C311" s="643"/>
      <c r="D311" s="767"/>
      <c r="E311" s="643"/>
      <c r="F311" s="767"/>
      <c r="G311" s="643"/>
      <c r="H311" s="767"/>
      <c r="I311" s="643"/>
      <c r="J311" s="767"/>
      <c r="K311" s="643"/>
      <c r="L311" s="767"/>
    </row>
    <row r="312" spans="3:12" ht="48.45" customHeight="1" x14ac:dyDescent="0.3">
      <c r="C312" s="643"/>
      <c r="D312" s="1506"/>
      <c r="E312" s="1542"/>
      <c r="F312" s="1542"/>
      <c r="G312" s="1542"/>
      <c r="H312" s="1542"/>
      <c r="I312" s="1542"/>
      <c r="J312" s="1542"/>
      <c r="K312" s="1542"/>
      <c r="L312" s="1542"/>
    </row>
    <row r="313" spans="3:12" x14ac:dyDescent="0.3">
      <c r="C313" s="1510"/>
      <c r="D313" s="1510"/>
      <c r="E313" s="1510"/>
      <c r="F313" s="1510"/>
      <c r="G313" s="1510"/>
      <c r="H313" s="1510"/>
      <c r="I313" s="1510"/>
      <c r="J313" s="1510"/>
      <c r="K313" s="1510"/>
      <c r="L313" s="1510"/>
    </row>
    <row r="314" spans="3:12" ht="51" customHeight="1" x14ac:dyDescent="0.3">
      <c r="C314" s="1512" t="s">
        <v>2990</v>
      </c>
      <c r="D314" s="1512"/>
      <c r="E314" s="1542"/>
      <c r="F314" s="1542"/>
      <c r="G314" s="1542"/>
      <c r="H314" s="1542"/>
      <c r="I314" s="1542"/>
      <c r="J314" s="1542"/>
      <c r="K314" s="1542"/>
      <c r="L314" s="1542"/>
    </row>
    <row r="315" spans="3:12" x14ac:dyDescent="0.3">
      <c r="C315" s="1510"/>
      <c r="D315" s="1510"/>
      <c r="E315" s="1510"/>
      <c r="F315" s="1510"/>
      <c r="G315" s="1510"/>
      <c r="H315" s="1510"/>
      <c r="I315" s="1510"/>
      <c r="J315" s="1510"/>
      <c r="K315" s="1510"/>
      <c r="L315" s="1510"/>
    </row>
    <row r="316" spans="3:12" ht="13.5" customHeight="1" x14ac:dyDescent="0.3">
      <c r="C316" s="1512"/>
      <c r="D316" s="1512"/>
      <c r="E316" s="1512"/>
      <c r="F316" s="1512"/>
      <c r="G316" s="1512"/>
      <c r="H316" s="1512"/>
      <c r="I316" s="1512"/>
      <c r="J316" s="1512"/>
      <c r="K316" s="1512"/>
      <c r="L316" s="1512"/>
    </row>
    <row r="317" spans="3:12" ht="18.75" customHeight="1" x14ac:dyDescent="0.3">
      <c r="C317" s="1507" t="s">
        <v>929</v>
      </c>
      <c r="D317" s="1507"/>
      <c r="E317" s="1501"/>
      <c r="F317" s="1501"/>
      <c r="G317" s="1501"/>
      <c r="H317" s="1501"/>
      <c r="I317" s="1501"/>
      <c r="J317" s="1501"/>
      <c r="K317" s="1501"/>
      <c r="L317" s="1501"/>
    </row>
    <row r="318" spans="3:12" x14ac:dyDescent="0.3">
      <c r="C318" s="1500"/>
      <c r="D318" s="1500"/>
      <c r="E318" s="1500"/>
      <c r="F318" s="1500"/>
      <c r="G318" s="1500"/>
      <c r="H318" s="1500"/>
      <c r="I318" s="1500"/>
      <c r="J318" s="1500"/>
      <c r="K318" s="1500"/>
      <c r="L318" s="1500"/>
    </row>
    <row r="319" spans="3:12" ht="48" customHeight="1" x14ac:dyDescent="0.3">
      <c r="C319" s="1512" t="s">
        <v>2173</v>
      </c>
      <c r="D319" s="1512"/>
      <c r="E319" s="1501"/>
      <c r="F319" s="1501"/>
      <c r="G319" s="1501"/>
      <c r="H319" s="1501"/>
      <c r="I319" s="1501"/>
      <c r="J319" s="1501"/>
      <c r="K319" s="1501"/>
      <c r="L319" s="1501"/>
    </row>
    <row r="320" spans="3:12" x14ac:dyDescent="0.3">
      <c r="C320" s="406"/>
      <c r="D320" s="406"/>
      <c r="E320" s="406"/>
      <c r="F320" s="406"/>
      <c r="G320" s="406"/>
      <c r="H320" s="406"/>
      <c r="I320" s="406"/>
      <c r="J320" s="406"/>
      <c r="K320" s="406"/>
      <c r="L320" s="406"/>
    </row>
    <row r="321" spans="3:12" ht="54" customHeight="1" x14ac:dyDescent="0.3">
      <c r="C321" s="1512" t="s">
        <v>930</v>
      </c>
      <c r="D321" s="1512"/>
      <c r="E321" s="1504"/>
      <c r="F321" s="1504"/>
      <c r="G321" s="1504"/>
      <c r="H321" s="1504"/>
      <c r="I321" s="1504"/>
      <c r="J321" s="1504"/>
      <c r="K321" s="1504"/>
      <c r="L321" s="1504"/>
    </row>
    <row r="322" spans="3:12" x14ac:dyDescent="0.3">
      <c r="C322" s="1510"/>
      <c r="D322" s="1510"/>
      <c r="E322" s="1510"/>
      <c r="F322" s="1510"/>
      <c r="G322" s="1510"/>
      <c r="H322" s="1510"/>
      <c r="I322" s="1510"/>
      <c r="J322" s="1510"/>
      <c r="K322" s="1510"/>
      <c r="L322" s="1510"/>
    </row>
    <row r="323" spans="3:12" x14ac:dyDescent="0.3">
      <c r="C323" s="1507" t="s">
        <v>869</v>
      </c>
      <c r="D323" s="1504"/>
      <c r="E323" s="1504"/>
      <c r="F323" s="1504"/>
      <c r="G323" s="1504"/>
      <c r="H323" s="1504"/>
      <c r="I323" s="1504"/>
      <c r="J323" s="1504"/>
      <c r="K323" s="1504"/>
      <c r="L323" s="867"/>
    </row>
    <row r="324" spans="3:12" x14ac:dyDescent="0.3">
      <c r="C324" s="865"/>
      <c r="D324" s="1507" t="s">
        <v>1934</v>
      </c>
      <c r="E324" s="1504"/>
      <c r="F324" s="1504"/>
      <c r="G324" s="1504"/>
      <c r="H324" s="1504"/>
      <c r="I324" s="1504"/>
      <c r="J324" s="1504"/>
      <c r="K324" s="1504"/>
      <c r="L324" s="1504"/>
    </row>
    <row r="325" spans="3:12" x14ac:dyDescent="0.3">
      <c r="C325" s="1510"/>
      <c r="D325" s="1510"/>
      <c r="E325" s="1510"/>
      <c r="F325" s="1510"/>
      <c r="G325" s="1510"/>
      <c r="H325" s="1510"/>
      <c r="I325" s="1510"/>
      <c r="J325" s="1510"/>
      <c r="K325" s="1510"/>
      <c r="L325" s="1510"/>
    </row>
    <row r="326" spans="3:12" x14ac:dyDescent="0.3">
      <c r="C326" s="1507" t="s">
        <v>870</v>
      </c>
      <c r="D326" s="1504"/>
      <c r="E326" s="1504"/>
      <c r="F326" s="1504"/>
      <c r="G326" s="1504"/>
      <c r="H326" s="1504"/>
      <c r="I326" s="1504"/>
      <c r="J326" s="1504"/>
      <c r="K326" s="1504"/>
      <c r="L326" s="1504"/>
    </row>
    <row r="327" spans="3:12" ht="13.5" customHeight="1" x14ac:dyDescent="0.3">
      <c r="C327" s="865"/>
      <c r="D327" s="1507" t="s">
        <v>1251</v>
      </c>
      <c r="E327" s="1504"/>
      <c r="F327" s="1504"/>
      <c r="G327" s="1504"/>
      <c r="H327" s="1504"/>
      <c r="I327" s="1504"/>
      <c r="J327" s="1504"/>
      <c r="K327" s="1504"/>
      <c r="L327" s="1504"/>
    </row>
    <row r="328" spans="3:12" x14ac:dyDescent="0.3">
      <c r="C328" s="1510"/>
      <c r="D328" s="1510"/>
      <c r="E328" s="1510"/>
      <c r="F328" s="1510"/>
      <c r="G328" s="1510"/>
      <c r="H328" s="1510"/>
      <c r="I328" s="1510"/>
      <c r="J328" s="1510"/>
      <c r="K328" s="1510"/>
      <c r="L328" s="1510"/>
    </row>
    <row r="329" spans="3:12" ht="26.25" customHeight="1" x14ac:dyDescent="0.3">
      <c r="C329" s="1512" t="s">
        <v>2174</v>
      </c>
      <c r="D329" s="1512"/>
      <c r="E329" s="1512"/>
      <c r="F329" s="1512"/>
      <c r="G329" s="1512"/>
      <c r="H329" s="1512"/>
      <c r="I329" s="1512"/>
      <c r="J329" s="1512"/>
      <c r="K329" s="1512"/>
      <c r="L329" s="1512"/>
    </row>
    <row r="330" spans="3:12" x14ac:dyDescent="0.3">
      <c r="C330" s="768"/>
      <c r="D330" s="768"/>
      <c r="E330" s="768"/>
      <c r="F330" s="768"/>
      <c r="G330" s="768"/>
      <c r="H330" s="768"/>
      <c r="I330" s="768"/>
      <c r="J330" s="768"/>
      <c r="K330" s="768"/>
      <c r="L330" s="768"/>
    </row>
    <row r="331" spans="3:12" x14ac:dyDescent="0.3">
      <c r="C331" s="768"/>
      <c r="D331" s="768"/>
      <c r="E331" s="768"/>
      <c r="F331" s="768"/>
      <c r="G331" s="768"/>
      <c r="H331" s="768"/>
      <c r="I331" s="768"/>
      <c r="J331" s="768"/>
      <c r="K331" s="768"/>
      <c r="L331" s="768"/>
    </row>
    <row r="332" spans="3:12" x14ac:dyDescent="0.3">
      <c r="C332" s="1512"/>
      <c r="D332" s="1512"/>
      <c r="E332" s="1512"/>
      <c r="F332" s="1512"/>
      <c r="G332" s="1512"/>
      <c r="H332" s="1512"/>
      <c r="I332" s="1512"/>
      <c r="J332" s="1512"/>
      <c r="K332" s="1512"/>
      <c r="L332" s="1512"/>
    </row>
    <row r="333" spans="3:12" ht="12.75" customHeight="1" x14ac:dyDescent="0.3">
      <c r="C333" s="1543" t="s">
        <v>922</v>
      </c>
      <c r="D333" s="1543"/>
      <c r="E333" s="1543"/>
      <c r="F333" s="1543"/>
      <c r="G333" s="1543"/>
      <c r="H333" s="1543"/>
      <c r="I333" s="1543"/>
      <c r="J333" s="1543"/>
      <c r="K333" s="1543"/>
      <c r="L333" s="1543"/>
    </row>
    <row r="334" spans="3:12" x14ac:dyDescent="0.3">
      <c r="C334" s="1501"/>
      <c r="D334" s="1501"/>
      <c r="E334" s="1501"/>
      <c r="F334" s="1501"/>
      <c r="G334" s="1501"/>
      <c r="H334" s="1501"/>
      <c r="I334" s="1501"/>
      <c r="J334" s="1501"/>
      <c r="K334" s="1501"/>
      <c r="L334" s="1501"/>
    </row>
    <row r="335" spans="3:12" ht="12.75" customHeight="1" x14ac:dyDescent="0.3">
      <c r="C335" s="1642" t="s">
        <v>3155</v>
      </c>
      <c r="D335" s="1642"/>
      <c r="E335" s="1642"/>
      <c r="F335" s="1642"/>
      <c r="G335" s="1642"/>
      <c r="H335" s="1642"/>
      <c r="I335" s="1642"/>
      <c r="J335" s="1642"/>
      <c r="K335" s="1642"/>
      <c r="L335" s="1642"/>
    </row>
    <row r="336" spans="3:12" x14ac:dyDescent="0.3">
      <c r="C336" s="1512"/>
      <c r="D336" s="1512"/>
      <c r="E336" s="1512"/>
      <c r="F336" s="1512"/>
      <c r="G336" s="1512"/>
      <c r="H336" s="1512"/>
      <c r="I336" s="1512"/>
      <c r="J336" s="1512"/>
      <c r="K336" s="1512"/>
      <c r="L336" s="1512"/>
    </row>
    <row r="337" spans="3:12" ht="12.75" customHeight="1" x14ac:dyDescent="0.3">
      <c r="C337" s="1507" t="s">
        <v>1203</v>
      </c>
      <c r="D337" s="1507"/>
      <c r="E337" s="1507"/>
      <c r="F337" s="1507"/>
      <c r="G337" s="1507"/>
      <c r="H337" s="1507"/>
      <c r="I337" s="1507"/>
      <c r="J337" s="1507"/>
      <c r="K337" s="1507"/>
      <c r="L337" s="1507"/>
    </row>
    <row r="338" spans="3:12" x14ac:dyDescent="0.3">
      <c r="C338" s="1512"/>
      <c r="D338" s="1512"/>
      <c r="E338" s="1512"/>
      <c r="F338" s="1512"/>
      <c r="G338" s="1512"/>
      <c r="H338" s="1512"/>
      <c r="I338" s="1512"/>
      <c r="J338" s="1512"/>
      <c r="K338" s="1512"/>
      <c r="L338" s="1512"/>
    </row>
    <row r="339" spans="3:12" ht="36.75" customHeight="1" x14ac:dyDescent="0.3">
      <c r="C339" s="1506" t="s">
        <v>1940</v>
      </c>
      <c r="D339" s="1506"/>
      <c r="E339" s="1506"/>
      <c r="F339" s="1506"/>
      <c r="G339" s="1506"/>
      <c r="H339" s="1506"/>
      <c r="I339" s="1506"/>
      <c r="J339" s="1506"/>
      <c r="K339" s="1506"/>
      <c r="L339" s="1506"/>
    </row>
    <row r="340" spans="3:12" x14ac:dyDescent="0.3">
      <c r="C340" s="1506"/>
      <c r="D340" s="1506"/>
      <c r="E340" s="1506"/>
      <c r="F340" s="1506"/>
      <c r="G340" s="1506"/>
      <c r="H340" s="1506"/>
      <c r="I340" s="1506"/>
      <c r="J340" s="1506"/>
      <c r="K340" s="1506"/>
      <c r="L340" s="1506"/>
    </row>
    <row r="341" spans="3:12" ht="12.75" customHeight="1" x14ac:dyDescent="0.3">
      <c r="C341" s="1507" t="s">
        <v>1204</v>
      </c>
      <c r="D341" s="1507"/>
      <c r="E341" s="1507"/>
      <c r="F341" s="1507"/>
      <c r="G341" s="1507"/>
      <c r="H341" s="1507"/>
      <c r="I341" s="1507"/>
      <c r="J341" s="1507"/>
      <c r="K341" s="1507"/>
      <c r="L341" s="1507"/>
    </row>
    <row r="342" spans="3:12" ht="12.75" customHeight="1" x14ac:dyDescent="0.3">
      <c r="C342" s="1506"/>
      <c r="D342" s="1506"/>
      <c r="E342" s="1506"/>
      <c r="F342" s="1506"/>
      <c r="G342" s="1506"/>
      <c r="H342" s="1506"/>
      <c r="I342" s="1506"/>
      <c r="J342" s="1506"/>
      <c r="K342" s="1506"/>
      <c r="L342" s="1506"/>
    </row>
    <row r="343" spans="3:12" ht="12.75" customHeight="1" x14ac:dyDescent="0.3">
      <c r="C343" s="1507" t="s">
        <v>1205</v>
      </c>
      <c r="D343" s="1507"/>
      <c r="E343" s="1507"/>
      <c r="F343" s="1507"/>
      <c r="G343" s="1507"/>
      <c r="H343" s="1507"/>
      <c r="I343" s="1507"/>
      <c r="J343" s="1507"/>
      <c r="K343" s="1507"/>
      <c r="L343" s="1507"/>
    </row>
    <row r="344" spans="3:12" ht="12.75" customHeight="1" x14ac:dyDescent="0.3">
      <c r="C344" s="1506"/>
      <c r="D344" s="1506"/>
      <c r="E344" s="1506"/>
      <c r="F344" s="1506"/>
      <c r="G344" s="1506"/>
      <c r="H344" s="1506"/>
      <c r="I344" s="1506"/>
      <c r="J344" s="1506"/>
      <c r="K344" s="1506"/>
      <c r="L344" s="1506"/>
    </row>
    <row r="345" spans="3:12" ht="50.25" customHeight="1" x14ac:dyDescent="0.3">
      <c r="C345" s="1506" t="s">
        <v>1206</v>
      </c>
      <c r="D345" s="1506"/>
      <c r="E345" s="1506"/>
      <c r="F345" s="1506"/>
      <c r="G345" s="1506"/>
      <c r="H345" s="1506"/>
      <c r="I345" s="1506"/>
      <c r="J345" s="1506"/>
      <c r="K345" s="1506"/>
      <c r="L345" s="1506"/>
    </row>
    <row r="346" spans="3:12" ht="12.75" customHeight="1" x14ac:dyDescent="0.3">
      <c r="C346" s="1506"/>
      <c r="D346" s="1506"/>
      <c r="E346" s="1506"/>
      <c r="F346" s="1506"/>
      <c r="G346" s="1506"/>
      <c r="H346" s="1506"/>
      <c r="I346" s="1506"/>
      <c r="J346" s="1506"/>
      <c r="K346" s="1506"/>
      <c r="L346" s="1506"/>
    </row>
    <row r="347" spans="3:12" ht="47.25" customHeight="1" x14ac:dyDescent="0.3">
      <c r="C347" s="1524" t="s">
        <v>3156</v>
      </c>
      <c r="D347" s="1524"/>
      <c r="E347" s="1524"/>
      <c r="F347" s="1524"/>
      <c r="G347" s="1524"/>
      <c r="H347" s="1524"/>
      <c r="I347" s="1524"/>
      <c r="J347" s="1524"/>
      <c r="K347" s="1524"/>
      <c r="L347" s="1524"/>
    </row>
    <row r="348" spans="3:12" ht="12.75" customHeight="1" x14ac:dyDescent="0.3">
      <c r="C348" s="1506"/>
      <c r="D348" s="1506"/>
      <c r="E348" s="1506"/>
      <c r="F348" s="1506"/>
      <c r="G348" s="1506"/>
      <c r="H348" s="1506"/>
      <c r="I348" s="1506"/>
      <c r="J348" s="1506"/>
      <c r="K348" s="1506"/>
      <c r="L348" s="1506"/>
    </row>
    <row r="349" spans="3:12" ht="30" customHeight="1" x14ac:dyDescent="0.3">
      <c r="C349" s="1506" t="s">
        <v>3157</v>
      </c>
      <c r="D349" s="1506"/>
      <c r="E349" s="1506"/>
      <c r="F349" s="1506"/>
      <c r="G349" s="1506"/>
      <c r="H349" s="1506"/>
      <c r="I349" s="1506"/>
      <c r="J349" s="1506"/>
      <c r="K349" s="1506"/>
      <c r="L349" s="1506"/>
    </row>
    <row r="350" spans="3:12" ht="12.75" customHeight="1" x14ac:dyDescent="0.3">
      <c r="C350" s="1506"/>
      <c r="D350" s="1506"/>
      <c r="E350" s="1506"/>
      <c r="F350" s="1506"/>
      <c r="G350" s="1506"/>
      <c r="H350" s="1506"/>
      <c r="I350" s="1506"/>
      <c r="J350" s="1506"/>
      <c r="K350" s="1506"/>
      <c r="L350" s="1506"/>
    </row>
    <row r="351" spans="3:12" ht="12.75" customHeight="1" x14ac:dyDescent="0.3">
      <c r="C351" s="1543" t="s">
        <v>1207</v>
      </c>
      <c r="D351" s="1543"/>
      <c r="E351" s="1543"/>
      <c r="F351" s="1543"/>
      <c r="G351" s="1543"/>
      <c r="H351" s="1543"/>
      <c r="I351" s="1543"/>
      <c r="J351" s="1543"/>
      <c r="K351" s="1543"/>
      <c r="L351" s="1543"/>
    </row>
    <row r="352" spans="3:12" ht="12.75" customHeight="1" x14ac:dyDescent="0.3">
      <c r="C352" s="1506"/>
      <c r="D352" s="1506"/>
      <c r="E352" s="1506"/>
      <c r="F352" s="1506"/>
      <c r="G352" s="1506"/>
      <c r="H352" s="1506"/>
      <c r="I352" s="1506"/>
      <c r="J352" s="1506"/>
      <c r="K352" s="1506"/>
      <c r="L352" s="1506"/>
    </row>
    <row r="353" spans="3:12" ht="44.25" customHeight="1" x14ac:dyDescent="0.3">
      <c r="C353" s="1506" t="s">
        <v>1208</v>
      </c>
      <c r="D353" s="1506"/>
      <c r="E353" s="1506"/>
      <c r="F353" s="1506"/>
      <c r="G353" s="1506"/>
      <c r="H353" s="1506"/>
      <c r="I353" s="1506"/>
      <c r="J353" s="1506"/>
      <c r="K353" s="1506"/>
      <c r="L353" s="1506"/>
    </row>
    <row r="354" spans="3:12" x14ac:dyDescent="0.3">
      <c r="C354" s="1506"/>
      <c r="D354" s="1506"/>
      <c r="E354" s="1506"/>
      <c r="F354" s="1506"/>
      <c r="G354" s="1506"/>
      <c r="H354" s="1506"/>
      <c r="I354" s="1506"/>
      <c r="J354" s="1506"/>
      <c r="K354" s="1506"/>
      <c r="L354" s="1506"/>
    </row>
    <row r="355" spans="3:12" ht="41.1" customHeight="1" x14ac:dyDescent="0.3">
      <c r="C355" s="1506" t="s">
        <v>2893</v>
      </c>
      <c r="D355" s="1506"/>
      <c r="E355" s="1506"/>
      <c r="F355" s="1506"/>
      <c r="G355" s="1506"/>
      <c r="H355" s="1506"/>
      <c r="I355" s="1506"/>
      <c r="J355" s="1506"/>
      <c r="K355" s="1506"/>
      <c r="L355" s="1506"/>
    </row>
    <row r="356" spans="3:12" x14ac:dyDescent="0.3">
      <c r="C356" s="1506"/>
      <c r="D356" s="1506"/>
      <c r="E356" s="1506"/>
      <c r="F356" s="1506"/>
      <c r="G356" s="1506"/>
      <c r="H356" s="1506"/>
      <c r="I356" s="1506"/>
      <c r="J356" s="1506"/>
      <c r="K356" s="1506"/>
      <c r="L356" s="1506"/>
    </row>
    <row r="357" spans="3:12" ht="21" customHeight="1" x14ac:dyDescent="0.3">
      <c r="C357" s="1506" t="s">
        <v>1209</v>
      </c>
      <c r="D357" s="1506"/>
      <c r="E357" s="1506"/>
      <c r="F357" s="1506"/>
      <c r="G357" s="1506"/>
      <c r="H357" s="1506"/>
      <c r="I357" s="1506"/>
      <c r="J357" s="1506"/>
      <c r="K357" s="1506"/>
      <c r="L357" s="1506"/>
    </row>
    <row r="358" spans="3:12" x14ac:dyDescent="0.3">
      <c r="C358" s="1506"/>
      <c r="D358" s="1506"/>
      <c r="E358" s="1506"/>
      <c r="F358" s="1506"/>
      <c r="G358" s="1506"/>
      <c r="H358" s="1506"/>
      <c r="I358" s="1506"/>
      <c r="J358" s="1506"/>
      <c r="K358" s="1506"/>
      <c r="L358" s="1506"/>
    </row>
    <row r="359" spans="3:12" ht="12.75" customHeight="1" x14ac:dyDescent="0.3">
      <c r="C359" s="1507" t="s">
        <v>1210</v>
      </c>
      <c r="D359" s="1507"/>
      <c r="E359" s="1507"/>
      <c r="F359" s="1507"/>
      <c r="G359" s="1507"/>
      <c r="H359" s="1507"/>
      <c r="I359" s="1507"/>
      <c r="J359" s="1507"/>
      <c r="K359" s="1507"/>
      <c r="L359" s="1507"/>
    </row>
    <row r="360" spans="3:12" x14ac:dyDescent="0.3">
      <c r="C360" s="1506"/>
      <c r="D360" s="1506"/>
      <c r="E360" s="1506"/>
      <c r="F360" s="1506"/>
      <c r="G360" s="1506"/>
      <c r="H360" s="1506"/>
      <c r="I360" s="1506"/>
      <c r="J360" s="1506"/>
      <c r="K360" s="1506"/>
      <c r="L360" s="1506"/>
    </row>
    <row r="361" spans="3:12" ht="34.5" customHeight="1" x14ac:dyDescent="0.3">
      <c r="C361" s="1506" t="s">
        <v>1822</v>
      </c>
      <c r="D361" s="1506"/>
      <c r="E361" s="1506"/>
      <c r="F361" s="1506"/>
      <c r="G361" s="1506"/>
      <c r="H361" s="1506"/>
      <c r="I361" s="1506"/>
      <c r="J361" s="1506"/>
      <c r="K361" s="1506"/>
      <c r="L361" s="1506"/>
    </row>
    <row r="362" spans="3:12" x14ac:dyDescent="0.3">
      <c r="C362" s="1506"/>
      <c r="D362" s="1506"/>
      <c r="E362" s="1506"/>
      <c r="F362" s="1506"/>
      <c r="G362" s="1506"/>
      <c r="H362" s="1506"/>
      <c r="I362" s="1506"/>
      <c r="J362" s="1506"/>
      <c r="K362" s="1506"/>
      <c r="L362" s="1506"/>
    </row>
    <row r="363" spans="3:12" ht="12.75" customHeight="1" x14ac:dyDescent="0.3">
      <c r="C363" s="1507" t="s">
        <v>1825</v>
      </c>
      <c r="D363" s="1507"/>
      <c r="E363" s="1507"/>
      <c r="F363" s="1507"/>
      <c r="G363" s="1507"/>
      <c r="H363" s="1507"/>
      <c r="I363" s="1507"/>
      <c r="J363" s="1507"/>
      <c r="K363" s="1507"/>
      <c r="L363" s="1507"/>
    </row>
    <row r="364" spans="3:12" ht="14.4" thickBot="1" x14ac:dyDescent="0.35">
      <c r="C364" s="1575"/>
      <c r="D364" s="1575"/>
      <c r="E364" s="1575"/>
      <c r="F364" s="1575"/>
      <c r="G364" s="1575"/>
      <c r="H364" s="1575"/>
      <c r="I364" s="1575"/>
      <c r="J364" s="1575"/>
      <c r="K364" s="1575"/>
      <c r="L364" s="1575"/>
    </row>
    <row r="365" spans="3:12" ht="12.75" customHeight="1" x14ac:dyDescent="0.3">
      <c r="C365" s="1651" t="s">
        <v>1211</v>
      </c>
      <c r="D365" s="1652"/>
      <c r="E365" s="1645" t="s">
        <v>3054</v>
      </c>
      <c r="F365" s="1646"/>
      <c r="G365" s="1646"/>
      <c r="H365" s="1647"/>
      <c r="I365" s="1645" t="s">
        <v>3021</v>
      </c>
      <c r="J365" s="1646"/>
      <c r="K365" s="1646"/>
      <c r="L365" s="1648"/>
    </row>
    <row r="366" spans="3:12" ht="54" customHeight="1" thickBot="1" x14ac:dyDescent="0.35">
      <c r="C366" s="1653"/>
      <c r="D366" s="1654"/>
      <c r="E366" s="1528" t="s">
        <v>1212</v>
      </c>
      <c r="F366" s="1529"/>
      <c r="G366" s="1528" t="s">
        <v>1823</v>
      </c>
      <c r="H366" s="1529"/>
      <c r="I366" s="1528" t="s">
        <v>1212</v>
      </c>
      <c r="J366" s="1529"/>
      <c r="K366" s="1528" t="s">
        <v>1823</v>
      </c>
      <c r="L366" s="1660"/>
    </row>
    <row r="367" spans="3:12" ht="22.95" customHeight="1" x14ac:dyDescent="0.3">
      <c r="C367" s="1585" t="s">
        <v>1213</v>
      </c>
      <c r="D367" s="1655"/>
      <c r="E367" s="1530">
        <v>0</v>
      </c>
      <c r="F367" s="1531"/>
      <c r="G367" s="1530">
        <v>0</v>
      </c>
      <c r="H367" s="1531"/>
      <c r="I367" s="1666">
        <v>0</v>
      </c>
      <c r="J367" s="1531"/>
      <c r="K367" s="1661">
        <v>0</v>
      </c>
      <c r="L367" s="1662"/>
    </row>
    <row r="368" spans="3:12" ht="42.6" customHeight="1" x14ac:dyDescent="0.3">
      <c r="C368" s="1656" t="s">
        <v>1214</v>
      </c>
      <c r="D368" s="1657"/>
      <c r="E368" s="1649">
        <v>0</v>
      </c>
      <c r="F368" s="1650"/>
      <c r="G368" s="1643">
        <v>0</v>
      </c>
      <c r="H368" s="1644"/>
      <c r="I368" s="1665">
        <v>0</v>
      </c>
      <c r="J368" s="1650"/>
      <c r="K368" s="1663">
        <v>0</v>
      </c>
      <c r="L368" s="1664"/>
    </row>
    <row r="369" spans="3:12" ht="33" customHeight="1" x14ac:dyDescent="0.3">
      <c r="C369" s="1656" t="s">
        <v>1215</v>
      </c>
      <c r="D369" s="1657"/>
      <c r="E369" s="1649">
        <v>0</v>
      </c>
      <c r="F369" s="1650"/>
      <c r="G369" s="1643">
        <v>0</v>
      </c>
      <c r="H369" s="1644"/>
      <c r="I369" s="1665">
        <v>0</v>
      </c>
      <c r="J369" s="1650"/>
      <c r="K369" s="1663">
        <v>0</v>
      </c>
      <c r="L369" s="1664"/>
    </row>
    <row r="370" spans="3:12" ht="41.7" customHeight="1" x14ac:dyDescent="0.3">
      <c r="C370" s="1656" t="s">
        <v>1216</v>
      </c>
      <c r="D370" s="1657"/>
      <c r="E370" s="1649">
        <v>0</v>
      </c>
      <c r="F370" s="1650"/>
      <c r="G370" s="1643">
        <v>0</v>
      </c>
      <c r="H370" s="1644"/>
      <c r="I370" s="1665">
        <v>0</v>
      </c>
      <c r="J370" s="1650"/>
      <c r="K370" s="1663">
        <v>0</v>
      </c>
      <c r="L370" s="1664"/>
    </row>
    <row r="371" spans="3:12" ht="13.5" customHeight="1" x14ac:dyDescent="0.3">
      <c r="C371" s="1656" t="s">
        <v>1217</v>
      </c>
      <c r="D371" s="1657"/>
      <c r="E371" s="1649">
        <v>0</v>
      </c>
      <c r="F371" s="1650"/>
      <c r="G371" s="1643">
        <v>0</v>
      </c>
      <c r="H371" s="1644"/>
      <c r="I371" s="1665">
        <v>0</v>
      </c>
      <c r="J371" s="1650"/>
      <c r="K371" s="1663">
        <v>0</v>
      </c>
      <c r="L371" s="1664"/>
    </row>
    <row r="372" spans="3:12" ht="46.2" customHeight="1" x14ac:dyDescent="0.3">
      <c r="C372" s="1658" t="s">
        <v>1824</v>
      </c>
      <c r="D372" s="1659"/>
      <c r="E372" s="1669">
        <v>0</v>
      </c>
      <c r="F372" s="1688"/>
      <c r="G372" s="1643">
        <v>0</v>
      </c>
      <c r="H372" s="1644"/>
      <c r="I372" s="1665">
        <v>0</v>
      </c>
      <c r="J372" s="1688"/>
      <c r="K372" s="1669">
        <v>0</v>
      </c>
      <c r="L372" s="1670"/>
    </row>
    <row r="373" spans="3:12" ht="16.5" customHeight="1" x14ac:dyDescent="0.3">
      <c r="C373" s="1658" t="s">
        <v>1218</v>
      </c>
      <c r="D373" s="1659"/>
      <c r="E373" s="1669">
        <v>0</v>
      </c>
      <c r="F373" s="1688"/>
      <c r="G373" s="1643">
        <v>0</v>
      </c>
      <c r="H373" s="1644"/>
      <c r="I373" s="1665">
        <v>0</v>
      </c>
      <c r="J373" s="1688"/>
      <c r="K373" s="1669">
        <v>0</v>
      </c>
      <c r="L373" s="1670"/>
    </row>
    <row r="374" spans="3:12" ht="57.75" customHeight="1" x14ac:dyDescent="0.3">
      <c r="C374" s="1658" t="s">
        <v>2991</v>
      </c>
      <c r="D374" s="1659"/>
      <c r="E374" s="1669">
        <v>0</v>
      </c>
      <c r="F374" s="1688"/>
      <c r="G374" s="1643">
        <v>0</v>
      </c>
      <c r="H374" s="1644"/>
      <c r="I374" s="1665">
        <v>0</v>
      </c>
      <c r="J374" s="1688"/>
      <c r="K374" s="1669">
        <v>0</v>
      </c>
      <c r="L374" s="1670"/>
    </row>
    <row r="375" spans="3:12" ht="36.450000000000003" customHeight="1" x14ac:dyDescent="0.3">
      <c r="C375" s="1658" t="s">
        <v>1219</v>
      </c>
      <c r="D375" s="1659"/>
      <c r="E375" s="1669">
        <v>0</v>
      </c>
      <c r="F375" s="1688"/>
      <c r="G375" s="1643">
        <v>0</v>
      </c>
      <c r="H375" s="1644"/>
      <c r="I375" s="1665">
        <v>0</v>
      </c>
      <c r="J375" s="1688"/>
      <c r="K375" s="1669">
        <v>0</v>
      </c>
      <c r="L375" s="1670"/>
    </row>
    <row r="376" spans="3:12" ht="14.4" thickBot="1" x14ac:dyDescent="0.35">
      <c r="C376" s="1686" t="s">
        <v>1220</v>
      </c>
      <c r="D376" s="1687"/>
      <c r="E376" s="1689">
        <f>SUM(E367:F375)</f>
        <v>0</v>
      </c>
      <c r="F376" s="1527"/>
      <c r="G376" s="1671">
        <v>0</v>
      </c>
      <c r="H376" s="1672"/>
      <c r="I376" s="1526">
        <f>SUM(I367:J375)</f>
        <v>0</v>
      </c>
      <c r="J376" s="1527"/>
      <c r="K376" s="1667"/>
      <c r="L376" s="1668"/>
    </row>
    <row r="377" spans="3:12" x14ac:dyDescent="0.3">
      <c r="C377" s="1637"/>
      <c r="D377" s="1637"/>
      <c r="E377" s="1637"/>
      <c r="F377" s="1637"/>
      <c r="G377" s="1637"/>
      <c r="H377" s="1637"/>
      <c r="I377" s="1637"/>
      <c r="J377" s="1637"/>
      <c r="K377" s="1637"/>
      <c r="L377" s="1637"/>
    </row>
    <row r="378" spans="3:12" ht="34.5" customHeight="1" x14ac:dyDescent="0.3">
      <c r="C378" s="1506" t="s">
        <v>3158</v>
      </c>
      <c r="D378" s="1506"/>
      <c r="E378" s="1506"/>
      <c r="F378" s="1506"/>
      <c r="G378" s="1506"/>
      <c r="H378" s="1506"/>
      <c r="I378" s="1506"/>
      <c r="J378" s="1506"/>
      <c r="K378" s="1506"/>
      <c r="L378" s="1506"/>
    </row>
    <row r="379" spans="3:12" x14ac:dyDescent="0.3">
      <c r="C379" s="1506"/>
      <c r="D379" s="1506"/>
      <c r="E379" s="1506"/>
      <c r="F379" s="1506"/>
      <c r="G379" s="1506"/>
      <c r="H379" s="1506"/>
      <c r="I379" s="1506"/>
      <c r="J379" s="1506"/>
      <c r="K379" s="1506"/>
      <c r="L379" s="1506"/>
    </row>
    <row r="380" spans="3:12" ht="12.75" customHeight="1" x14ac:dyDescent="0.3">
      <c r="C380" s="1507" t="s">
        <v>1221</v>
      </c>
      <c r="D380" s="1507"/>
      <c r="E380" s="1507"/>
      <c r="F380" s="1507"/>
      <c r="G380" s="1507"/>
      <c r="H380" s="1507"/>
      <c r="I380" s="1507"/>
      <c r="J380" s="1507"/>
      <c r="K380" s="1507"/>
      <c r="L380" s="1507"/>
    </row>
    <row r="381" spans="3:12" x14ac:dyDescent="0.3">
      <c r="C381" s="1506"/>
      <c r="D381" s="1506"/>
      <c r="E381" s="1506"/>
      <c r="F381" s="1506"/>
      <c r="G381" s="1506"/>
      <c r="H381" s="1506"/>
      <c r="I381" s="1506"/>
      <c r="J381" s="1506"/>
      <c r="K381" s="1506"/>
      <c r="L381" s="1506"/>
    </row>
    <row r="382" spans="3:12" ht="35.25" customHeight="1" x14ac:dyDescent="0.3">
      <c r="C382" s="1506" t="s">
        <v>2175</v>
      </c>
      <c r="D382" s="1506"/>
      <c r="E382" s="1506"/>
      <c r="F382" s="1506"/>
      <c r="G382" s="1506"/>
      <c r="H382" s="1506"/>
      <c r="I382" s="1506"/>
      <c r="J382" s="1506"/>
      <c r="K382" s="1506"/>
      <c r="L382" s="1506"/>
    </row>
    <row r="383" spans="3:12" ht="13.5" customHeight="1" thickBot="1" x14ac:dyDescent="0.35">
      <c r="C383" s="1673" t="s">
        <v>2809</v>
      </c>
      <c r="D383" s="1673"/>
      <c r="E383" s="1673"/>
      <c r="F383" s="1673"/>
      <c r="G383" s="1673"/>
      <c r="H383" s="1673"/>
      <c r="I383" s="1673"/>
      <c r="J383" s="1673"/>
      <c r="K383" s="1673"/>
      <c r="L383" s="1673"/>
    </row>
    <row r="384" spans="3:12" x14ac:dyDescent="0.3">
      <c r="C384" s="1651" t="s">
        <v>1222</v>
      </c>
      <c r="D384" s="1681"/>
      <c r="E384" s="1678" t="s">
        <v>3054</v>
      </c>
      <c r="F384" s="1646"/>
      <c r="G384" s="1646"/>
      <c r="H384" s="1648"/>
      <c r="I384" s="1678" t="s">
        <v>3021</v>
      </c>
      <c r="J384" s="1646"/>
      <c r="K384" s="1646"/>
      <c r="L384" s="1648"/>
    </row>
    <row r="385" spans="3:12" x14ac:dyDescent="0.3">
      <c r="C385" s="1682"/>
      <c r="D385" s="1683"/>
      <c r="E385" s="1679" t="s">
        <v>1935</v>
      </c>
      <c r="F385" s="1674" t="s">
        <v>1924</v>
      </c>
      <c r="G385" s="1674" t="s">
        <v>1936</v>
      </c>
      <c r="H385" s="1676" t="s">
        <v>1925</v>
      </c>
      <c r="I385" s="1679" t="s">
        <v>1935</v>
      </c>
      <c r="J385" s="1674" t="s">
        <v>1924</v>
      </c>
      <c r="K385" s="1674" t="s">
        <v>1937</v>
      </c>
      <c r="L385" s="1676" t="s">
        <v>1925</v>
      </c>
    </row>
    <row r="386" spans="3:12" ht="92.25" customHeight="1" thickBot="1" x14ac:dyDescent="0.35">
      <c r="C386" s="1684"/>
      <c r="D386" s="1685"/>
      <c r="E386" s="1680"/>
      <c r="F386" s="1675"/>
      <c r="G386" s="1675"/>
      <c r="H386" s="1677"/>
      <c r="I386" s="1680"/>
      <c r="J386" s="1675"/>
      <c r="K386" s="1675"/>
      <c r="L386" s="1677"/>
    </row>
    <row r="387" spans="3:12" x14ac:dyDescent="0.3">
      <c r="C387" s="1585" t="s">
        <v>2243</v>
      </c>
      <c r="D387" s="1586"/>
      <c r="E387" s="697">
        <v>0</v>
      </c>
      <c r="F387" s="698">
        <v>0</v>
      </c>
      <c r="G387" s="698">
        <v>0</v>
      </c>
      <c r="H387" s="699">
        <f>SUM(E387:G387)</f>
        <v>0</v>
      </c>
      <c r="I387" s="697">
        <v>0</v>
      </c>
      <c r="J387" s="698">
        <v>0</v>
      </c>
      <c r="K387" s="698">
        <v>0</v>
      </c>
      <c r="L387" s="699">
        <f>SUM(I387:K387)</f>
        <v>0</v>
      </c>
    </row>
    <row r="388" spans="3:12" x14ac:dyDescent="0.3">
      <c r="C388" s="1598" t="s">
        <v>2244</v>
      </c>
      <c r="D388" s="1599"/>
      <c r="E388" s="700">
        <v>0</v>
      </c>
      <c r="F388" s="698">
        <v>0</v>
      </c>
      <c r="G388" s="698">
        <v>0</v>
      </c>
      <c r="H388" s="699">
        <f t="shared" ref="H388:H393" si="1">SUM(E388:G388)</f>
        <v>0</v>
      </c>
      <c r="I388" s="700">
        <v>0</v>
      </c>
      <c r="J388" s="698">
        <v>0</v>
      </c>
      <c r="K388" s="698">
        <v>0</v>
      </c>
      <c r="L388" s="699">
        <f t="shared" ref="L388:L393" si="2">SUM(I388:K388)</f>
        <v>0</v>
      </c>
    </row>
    <row r="389" spans="3:12" x14ac:dyDescent="0.3">
      <c r="C389" s="1598" t="s">
        <v>2245</v>
      </c>
      <c r="D389" s="1599"/>
      <c r="E389" s="700">
        <v>0</v>
      </c>
      <c r="F389" s="698">
        <v>0</v>
      </c>
      <c r="G389" s="698">
        <v>0</v>
      </c>
      <c r="H389" s="699">
        <f t="shared" si="1"/>
        <v>0</v>
      </c>
      <c r="I389" s="700">
        <v>0</v>
      </c>
      <c r="J389" s="698">
        <v>0</v>
      </c>
      <c r="K389" s="698">
        <v>0</v>
      </c>
      <c r="L389" s="699">
        <f t="shared" si="2"/>
        <v>0</v>
      </c>
    </row>
    <row r="390" spans="3:12" x14ac:dyDescent="0.3">
      <c r="C390" s="1598" t="s">
        <v>2246</v>
      </c>
      <c r="D390" s="1599"/>
      <c r="E390" s="700">
        <v>0</v>
      </c>
      <c r="F390" s="698">
        <v>0</v>
      </c>
      <c r="G390" s="698">
        <v>0</v>
      </c>
      <c r="H390" s="699">
        <f t="shared" si="1"/>
        <v>0</v>
      </c>
      <c r="I390" s="700">
        <v>0</v>
      </c>
      <c r="J390" s="698">
        <v>0</v>
      </c>
      <c r="K390" s="698">
        <v>0</v>
      </c>
      <c r="L390" s="699">
        <f t="shared" si="2"/>
        <v>0</v>
      </c>
    </row>
    <row r="391" spans="3:12" x14ac:dyDescent="0.3">
      <c r="C391" s="1598" t="s">
        <v>2247</v>
      </c>
      <c r="D391" s="1599"/>
      <c r="E391" s="700">
        <v>0</v>
      </c>
      <c r="F391" s="698">
        <v>0</v>
      </c>
      <c r="G391" s="698">
        <v>0</v>
      </c>
      <c r="H391" s="699">
        <f t="shared" si="1"/>
        <v>0</v>
      </c>
      <c r="I391" s="700">
        <v>0</v>
      </c>
      <c r="J391" s="698">
        <v>0</v>
      </c>
      <c r="K391" s="698">
        <v>0</v>
      </c>
      <c r="L391" s="699">
        <f t="shared" si="2"/>
        <v>0</v>
      </c>
    </row>
    <row r="392" spans="3:12" x14ac:dyDescent="0.3">
      <c r="C392" s="1598" t="s">
        <v>2248</v>
      </c>
      <c r="D392" s="1599"/>
      <c r="E392" s="700">
        <v>0</v>
      </c>
      <c r="F392" s="698">
        <v>0</v>
      </c>
      <c r="G392" s="698">
        <v>0</v>
      </c>
      <c r="H392" s="699">
        <f t="shared" si="1"/>
        <v>0</v>
      </c>
      <c r="I392" s="700">
        <v>0</v>
      </c>
      <c r="J392" s="698">
        <v>0</v>
      </c>
      <c r="K392" s="698">
        <v>0</v>
      </c>
      <c r="L392" s="699">
        <f t="shared" si="2"/>
        <v>0</v>
      </c>
    </row>
    <row r="393" spans="3:12" ht="14.4" thickBot="1" x14ac:dyDescent="0.35">
      <c r="C393" s="1598" t="s">
        <v>2249</v>
      </c>
      <c r="D393" s="1599"/>
      <c r="E393" s="700">
        <v>0</v>
      </c>
      <c r="F393" s="698">
        <v>0</v>
      </c>
      <c r="G393" s="698">
        <v>0</v>
      </c>
      <c r="H393" s="699">
        <f t="shared" si="1"/>
        <v>0</v>
      </c>
      <c r="I393" s="700">
        <v>0</v>
      </c>
      <c r="J393" s="698">
        <v>0</v>
      </c>
      <c r="K393" s="698">
        <v>0</v>
      </c>
      <c r="L393" s="699">
        <f t="shared" si="2"/>
        <v>0</v>
      </c>
    </row>
    <row r="394" spans="3:12" x14ac:dyDescent="0.3">
      <c r="C394" s="1637"/>
      <c r="D394" s="1637"/>
      <c r="E394" s="1637"/>
      <c r="F394" s="1637"/>
      <c r="G394" s="1637"/>
      <c r="H394" s="1637"/>
      <c r="I394" s="1637"/>
      <c r="J394" s="1637"/>
      <c r="K394" s="1637"/>
      <c r="L394" s="1637"/>
    </row>
    <row r="395" spans="3:12" ht="31.5" customHeight="1" x14ac:dyDescent="0.3">
      <c r="C395" s="1506" t="s">
        <v>2894</v>
      </c>
      <c r="D395" s="1506"/>
      <c r="E395" s="1506"/>
      <c r="F395" s="1506"/>
      <c r="G395" s="1506"/>
      <c r="H395" s="1506"/>
      <c r="I395" s="1506"/>
      <c r="J395" s="1506"/>
      <c r="K395" s="1506"/>
      <c r="L395" s="1506"/>
    </row>
    <row r="396" spans="3:12" x14ac:dyDescent="0.3">
      <c r="C396" s="1506"/>
      <c r="D396" s="1506"/>
      <c r="E396" s="1506"/>
      <c r="F396" s="1506"/>
      <c r="G396" s="1506"/>
      <c r="H396" s="1506"/>
      <c r="I396" s="1506"/>
      <c r="J396" s="1506"/>
      <c r="K396" s="1506"/>
      <c r="L396" s="1506"/>
    </row>
    <row r="397" spans="3:12" ht="37.5" customHeight="1" x14ac:dyDescent="0.3">
      <c r="C397" s="1506" t="s">
        <v>3159</v>
      </c>
      <c r="D397" s="1506"/>
      <c r="E397" s="1506"/>
      <c r="F397" s="1506"/>
      <c r="G397" s="1506"/>
      <c r="H397" s="1506"/>
      <c r="I397" s="1506"/>
      <c r="J397" s="1506"/>
      <c r="K397" s="1506"/>
      <c r="L397" s="1506"/>
    </row>
    <row r="398" spans="3:12" x14ac:dyDescent="0.3">
      <c r="C398" s="1506"/>
      <c r="D398" s="1506"/>
      <c r="E398" s="1506"/>
      <c r="F398" s="1506"/>
      <c r="G398" s="1506"/>
      <c r="H398" s="1506"/>
      <c r="I398" s="1506"/>
      <c r="J398" s="1506"/>
      <c r="K398" s="1506"/>
      <c r="L398" s="1506"/>
    </row>
    <row r="399" spans="3:12" ht="35.25" customHeight="1" x14ac:dyDescent="0.3">
      <c r="C399" s="1507" t="s">
        <v>1826</v>
      </c>
      <c r="D399" s="1507"/>
      <c r="E399" s="1507"/>
      <c r="F399" s="1507"/>
      <c r="G399" s="1507"/>
      <c r="H399" s="1507"/>
      <c r="I399" s="1507"/>
      <c r="J399" s="1507"/>
      <c r="K399" s="1507"/>
      <c r="L399" s="1507"/>
    </row>
    <row r="400" spans="3:12" ht="14.4" thickBot="1" x14ac:dyDescent="0.35">
      <c r="C400" s="1575"/>
      <c r="D400" s="1575"/>
      <c r="E400" s="1575"/>
      <c r="F400" s="1575"/>
      <c r="G400" s="1575"/>
      <c r="H400" s="1575"/>
      <c r="I400" s="1575"/>
      <c r="J400" s="1575"/>
      <c r="K400" s="1575"/>
      <c r="L400" s="1575"/>
    </row>
    <row r="401" spans="3:12" ht="14.4" thickBot="1" x14ac:dyDescent="0.35">
      <c r="C401" s="1583"/>
      <c r="D401" s="1584"/>
      <c r="E401" s="1584"/>
      <c r="F401" s="1584"/>
      <c r="G401" s="1521" t="s">
        <v>3054</v>
      </c>
      <c r="H401" s="1522"/>
      <c r="I401" s="1523"/>
      <c r="J401" s="1521" t="s">
        <v>3021</v>
      </c>
      <c r="K401" s="1522"/>
      <c r="L401" s="1523"/>
    </row>
    <row r="402" spans="3:12" ht="41.55" customHeight="1" x14ac:dyDescent="0.3">
      <c r="C402" s="1585" t="s">
        <v>2992</v>
      </c>
      <c r="D402" s="1586"/>
      <c r="E402" s="1586"/>
      <c r="F402" s="1586"/>
      <c r="G402" s="1567">
        <v>0</v>
      </c>
      <c r="H402" s="1564"/>
      <c r="I402" s="1565"/>
      <c r="J402" s="1563">
        <v>0</v>
      </c>
      <c r="K402" s="1564"/>
      <c r="L402" s="1565"/>
    </row>
    <row r="403" spans="3:12" x14ac:dyDescent="0.3">
      <c r="C403" s="1598" t="s">
        <v>1223</v>
      </c>
      <c r="D403" s="1599"/>
      <c r="E403" s="1599"/>
      <c r="F403" s="1599"/>
      <c r="G403" s="1515">
        <v>0</v>
      </c>
      <c r="H403" s="1516"/>
      <c r="I403" s="1517"/>
      <c r="J403" s="1566">
        <v>0</v>
      </c>
      <c r="K403" s="1516"/>
      <c r="L403" s="1517"/>
    </row>
    <row r="404" spans="3:12" ht="14.4" thickBot="1" x14ac:dyDescent="0.35">
      <c r="C404" s="1600" t="s">
        <v>1224</v>
      </c>
      <c r="D404" s="1601"/>
      <c r="E404" s="1601"/>
      <c r="F404" s="1601"/>
      <c r="G404" s="1518">
        <v>0</v>
      </c>
      <c r="H404" s="1519"/>
      <c r="I404" s="1520"/>
      <c r="J404" s="1519">
        <v>0</v>
      </c>
      <c r="K404" s="1519"/>
      <c r="L404" s="1520"/>
    </row>
    <row r="405" spans="3:12" x14ac:dyDescent="0.3">
      <c r="C405" s="1637"/>
      <c r="D405" s="1637"/>
      <c r="E405" s="1637"/>
      <c r="F405" s="1637"/>
      <c r="G405" s="1637"/>
      <c r="H405" s="1637"/>
      <c r="I405" s="1637"/>
      <c r="J405" s="1637"/>
      <c r="K405" s="1637"/>
      <c r="L405" s="1637"/>
    </row>
    <row r="406" spans="3:12" ht="29.1" customHeight="1" x14ac:dyDescent="0.3">
      <c r="C406" s="1506" t="s">
        <v>3160</v>
      </c>
      <c r="D406" s="1506"/>
      <c r="E406" s="1506"/>
      <c r="F406" s="1506"/>
      <c r="G406" s="1506"/>
      <c r="H406" s="1506"/>
      <c r="I406" s="1506"/>
      <c r="J406" s="1506"/>
      <c r="K406" s="1506"/>
      <c r="L406" s="1506"/>
    </row>
    <row r="407" spans="3:12" x14ac:dyDescent="0.3">
      <c r="C407" s="1506"/>
      <c r="D407" s="1506"/>
      <c r="E407" s="1506"/>
      <c r="F407" s="1506"/>
      <c r="G407" s="1506"/>
      <c r="H407" s="1506"/>
      <c r="I407" s="1506"/>
      <c r="J407" s="1506"/>
      <c r="K407" s="1506"/>
      <c r="L407" s="1506"/>
    </row>
    <row r="408" spans="3:12" x14ac:dyDescent="0.3">
      <c r="C408" s="1506" t="s">
        <v>1225</v>
      </c>
      <c r="D408" s="1506"/>
      <c r="E408" s="1506"/>
      <c r="F408" s="1506"/>
      <c r="G408" s="1506"/>
      <c r="H408" s="1506"/>
      <c r="I408" s="1506"/>
      <c r="J408" s="1506"/>
      <c r="K408" s="1506"/>
      <c r="L408" s="1506"/>
    </row>
    <row r="409" spans="3:12" x14ac:dyDescent="0.3">
      <c r="C409" s="1506"/>
      <c r="D409" s="1506"/>
      <c r="E409" s="1506"/>
      <c r="F409" s="1506"/>
      <c r="G409" s="1506"/>
      <c r="H409" s="1506"/>
      <c r="I409" s="1506"/>
      <c r="J409" s="1506"/>
      <c r="K409" s="1506"/>
      <c r="L409" s="1506"/>
    </row>
    <row r="410" spans="3:12" ht="34.5" customHeight="1" x14ac:dyDescent="0.3">
      <c r="C410" s="1506" t="s">
        <v>1941</v>
      </c>
      <c r="D410" s="1506"/>
      <c r="E410" s="1506"/>
      <c r="F410" s="1506"/>
      <c r="G410" s="1506"/>
      <c r="H410" s="1506"/>
      <c r="I410" s="1506"/>
      <c r="J410" s="1506"/>
      <c r="K410" s="1506"/>
      <c r="L410" s="1506"/>
    </row>
    <row r="411" spans="3:12" x14ac:dyDescent="0.3">
      <c r="C411" s="1506"/>
      <c r="D411" s="1506"/>
      <c r="E411" s="1506"/>
      <c r="F411" s="1506"/>
      <c r="G411" s="1506"/>
      <c r="H411" s="1506"/>
      <c r="I411" s="1506"/>
      <c r="J411" s="1506"/>
      <c r="K411" s="1506"/>
      <c r="L411" s="1506"/>
    </row>
    <row r="412" spans="3:12" ht="61.5" customHeight="1" x14ac:dyDescent="0.3">
      <c r="C412" s="1506" t="s">
        <v>3161</v>
      </c>
      <c r="D412" s="1506"/>
      <c r="E412" s="1506"/>
      <c r="F412" s="1506"/>
      <c r="G412" s="1506"/>
      <c r="H412" s="1506"/>
      <c r="I412" s="1506"/>
      <c r="J412" s="1506"/>
      <c r="K412" s="1506"/>
      <c r="L412" s="1506"/>
    </row>
    <row r="413" spans="3:12" x14ac:dyDescent="0.3">
      <c r="C413" s="1506"/>
      <c r="D413" s="1506"/>
      <c r="E413" s="1506"/>
      <c r="F413" s="1506"/>
      <c r="G413" s="1506"/>
      <c r="H413" s="1506"/>
      <c r="I413" s="1506"/>
      <c r="J413" s="1506"/>
      <c r="K413" s="1506"/>
      <c r="L413" s="1506"/>
    </row>
    <row r="414" spans="3:12" ht="42" customHeight="1" x14ac:dyDescent="0.3">
      <c r="C414" s="1506" t="s">
        <v>1827</v>
      </c>
      <c r="D414" s="1506"/>
      <c r="E414" s="1506"/>
      <c r="F414" s="1506"/>
      <c r="G414" s="1506"/>
      <c r="H414" s="1506"/>
      <c r="I414" s="1506"/>
      <c r="J414" s="1506"/>
      <c r="K414" s="1506"/>
      <c r="L414" s="1506"/>
    </row>
    <row r="415" spans="3:12" x14ac:dyDescent="0.3">
      <c r="C415" s="1506"/>
      <c r="D415" s="1506"/>
      <c r="E415" s="1506"/>
      <c r="F415" s="1506"/>
      <c r="G415" s="1506"/>
      <c r="H415" s="1506"/>
      <c r="I415" s="1506"/>
      <c r="J415" s="1506"/>
      <c r="K415" s="1506"/>
      <c r="L415" s="1506"/>
    </row>
    <row r="416" spans="3:12" ht="44.25" customHeight="1" x14ac:dyDescent="0.3">
      <c r="C416" s="1506" t="s">
        <v>2176</v>
      </c>
      <c r="D416" s="1506"/>
      <c r="E416" s="1506"/>
      <c r="F416" s="1506"/>
      <c r="G416" s="1506"/>
      <c r="H416" s="1506"/>
      <c r="I416" s="1506"/>
      <c r="J416" s="1506"/>
      <c r="K416" s="1506"/>
      <c r="L416" s="1506"/>
    </row>
    <row r="417" spans="3:12" x14ac:dyDescent="0.3">
      <c r="C417" s="1506"/>
      <c r="D417" s="1506"/>
      <c r="E417" s="1506"/>
      <c r="F417" s="1506"/>
      <c r="G417" s="1506"/>
      <c r="H417" s="1506"/>
      <c r="I417" s="1506"/>
      <c r="J417" s="1506"/>
      <c r="K417" s="1506"/>
      <c r="L417" s="1506"/>
    </row>
    <row r="418" spans="3:12" x14ac:dyDescent="0.3">
      <c r="C418" s="1507" t="s">
        <v>3162</v>
      </c>
      <c r="D418" s="1507"/>
      <c r="E418" s="1507"/>
      <c r="F418" s="1507"/>
      <c r="G418" s="1507"/>
      <c r="H418" s="1507"/>
      <c r="I418" s="1507"/>
      <c r="J418" s="1507"/>
      <c r="K418" s="1507"/>
      <c r="L418" s="1507"/>
    </row>
    <row r="419" spans="3:12" ht="14.4" thickBot="1" x14ac:dyDescent="0.35">
      <c r="C419" s="1575"/>
      <c r="D419" s="1575"/>
      <c r="E419" s="1575"/>
      <c r="F419" s="1575"/>
      <c r="G419" s="1575"/>
      <c r="H419" s="1575"/>
      <c r="I419" s="1575"/>
      <c r="J419" s="1575"/>
      <c r="K419" s="1575"/>
      <c r="L419" s="1575"/>
    </row>
    <row r="420" spans="3:12" ht="14.4" thickBot="1" x14ac:dyDescent="0.35">
      <c r="C420" s="1554" t="s">
        <v>1226</v>
      </c>
      <c r="D420" s="1555"/>
      <c r="E420" s="1548" t="s">
        <v>3054</v>
      </c>
      <c r="F420" s="1549"/>
      <c r="G420" s="1549"/>
      <c r="H420" s="1550"/>
      <c r="I420" s="1551" t="s">
        <v>3021</v>
      </c>
      <c r="J420" s="1552"/>
      <c r="K420" s="1552"/>
      <c r="L420" s="1553"/>
    </row>
    <row r="421" spans="3:12" x14ac:dyDescent="0.3">
      <c r="C421" s="1556"/>
      <c r="D421" s="1557"/>
      <c r="E421" s="1560" t="s">
        <v>1227</v>
      </c>
      <c r="F421" s="1589" t="s">
        <v>1228</v>
      </c>
      <c r="G421" s="1589" t="s">
        <v>1229</v>
      </c>
      <c r="H421" s="1592" t="s">
        <v>1230</v>
      </c>
      <c r="I421" s="1560" t="s">
        <v>1227</v>
      </c>
      <c r="J421" s="1589" t="s">
        <v>1228</v>
      </c>
      <c r="K421" s="1595" t="s">
        <v>1229</v>
      </c>
      <c r="L421" s="1592" t="s">
        <v>1230</v>
      </c>
    </row>
    <row r="422" spans="3:12" x14ac:dyDescent="0.3">
      <c r="C422" s="1556"/>
      <c r="D422" s="1557"/>
      <c r="E422" s="1561"/>
      <c r="F422" s="1590"/>
      <c r="G422" s="1590"/>
      <c r="H422" s="1593"/>
      <c r="I422" s="1561"/>
      <c r="J422" s="1590"/>
      <c r="K422" s="1596"/>
      <c r="L422" s="1593"/>
    </row>
    <row r="423" spans="3:12" ht="56.25" customHeight="1" thickBot="1" x14ac:dyDescent="0.35">
      <c r="C423" s="1558"/>
      <c r="D423" s="1559"/>
      <c r="E423" s="1562"/>
      <c r="F423" s="1591"/>
      <c r="G423" s="1591"/>
      <c r="H423" s="1594"/>
      <c r="I423" s="1562"/>
      <c r="J423" s="1591"/>
      <c r="K423" s="1597"/>
      <c r="L423" s="1594"/>
    </row>
    <row r="424" spans="3:12" x14ac:dyDescent="0.3">
      <c r="C424" s="1587" t="s">
        <v>1231</v>
      </c>
      <c r="D424" s="1588"/>
      <c r="E424" s="703">
        <v>0</v>
      </c>
      <c r="F424" s="704">
        <v>0</v>
      </c>
      <c r="G424" s="704">
        <v>0</v>
      </c>
      <c r="H424" s="705">
        <v>0</v>
      </c>
      <c r="I424" s="703">
        <v>0</v>
      </c>
      <c r="J424" s="704">
        <v>0</v>
      </c>
      <c r="K424" s="704">
        <v>0</v>
      </c>
      <c r="L424" s="705">
        <v>0</v>
      </c>
    </row>
    <row r="425" spans="3:12" x14ac:dyDescent="0.3">
      <c r="C425" s="1568" t="s">
        <v>1232</v>
      </c>
      <c r="D425" s="1569"/>
      <c r="E425" s="703">
        <v>0</v>
      </c>
      <c r="F425" s="704">
        <v>0</v>
      </c>
      <c r="G425" s="704">
        <f>SUM(E425:F425)</f>
        <v>0</v>
      </c>
      <c r="H425" s="706">
        <v>0</v>
      </c>
      <c r="I425" s="703">
        <v>0</v>
      </c>
      <c r="J425" s="704">
        <v>0</v>
      </c>
      <c r="K425" s="704">
        <v>0</v>
      </c>
      <c r="L425" s="704">
        <v>0</v>
      </c>
    </row>
    <row r="426" spans="3:12" x14ac:dyDescent="0.3">
      <c r="C426" s="1568" t="s">
        <v>1233</v>
      </c>
      <c r="D426" s="1569"/>
      <c r="E426" s="703">
        <v>0</v>
      </c>
      <c r="F426" s="704">
        <v>0</v>
      </c>
      <c r="G426" s="704">
        <f>SUM(E426:F426)</f>
        <v>0</v>
      </c>
      <c r="H426" s="706">
        <v>0</v>
      </c>
      <c r="I426" s="703">
        <v>0</v>
      </c>
      <c r="J426" s="704">
        <v>0</v>
      </c>
      <c r="K426" s="704">
        <v>0</v>
      </c>
      <c r="L426" s="704">
        <v>0</v>
      </c>
    </row>
    <row r="427" spans="3:12" x14ac:dyDescent="0.3">
      <c r="C427" s="1568" t="s">
        <v>1234</v>
      </c>
      <c r="D427" s="1569"/>
      <c r="E427" s="703">
        <v>0</v>
      </c>
      <c r="F427" s="704">
        <v>0</v>
      </c>
      <c r="G427" s="704">
        <v>0</v>
      </c>
      <c r="H427" s="706">
        <v>0</v>
      </c>
      <c r="I427" s="703">
        <v>0</v>
      </c>
      <c r="J427" s="704">
        <v>0</v>
      </c>
      <c r="K427" s="704">
        <v>0</v>
      </c>
      <c r="L427" s="704">
        <v>0</v>
      </c>
    </row>
    <row r="428" spans="3:12" x14ac:dyDescent="0.3">
      <c r="C428" s="1568" t="s">
        <v>1235</v>
      </c>
      <c r="D428" s="1569"/>
      <c r="E428" s="703">
        <v>0</v>
      </c>
      <c r="F428" s="704">
        <v>0</v>
      </c>
      <c r="G428" s="704">
        <f>SUM(E428:F428)</f>
        <v>0</v>
      </c>
      <c r="H428" s="706">
        <v>0</v>
      </c>
      <c r="I428" s="703">
        <v>0</v>
      </c>
      <c r="J428" s="704">
        <v>0</v>
      </c>
      <c r="K428" s="704">
        <v>0</v>
      </c>
      <c r="L428" s="704">
        <v>0</v>
      </c>
    </row>
    <row r="429" spans="3:12" x14ac:dyDescent="0.3">
      <c r="C429" s="1568" t="s">
        <v>1236</v>
      </c>
      <c r="D429" s="1569"/>
      <c r="E429" s="703">
        <v>0</v>
      </c>
      <c r="F429" s="704">
        <v>0</v>
      </c>
      <c r="G429" s="704">
        <f>SUM(E429:F429)</f>
        <v>0</v>
      </c>
      <c r="H429" s="706">
        <v>0</v>
      </c>
      <c r="I429" s="703">
        <v>0</v>
      </c>
      <c r="J429" s="704">
        <v>0</v>
      </c>
      <c r="K429" s="704">
        <v>0</v>
      </c>
      <c r="L429" s="704">
        <v>0</v>
      </c>
    </row>
    <row r="430" spans="3:12" ht="14.4" thickBot="1" x14ac:dyDescent="0.35">
      <c r="C430" s="1570" t="s">
        <v>1237</v>
      </c>
      <c r="D430" s="1571"/>
      <c r="E430" s="703">
        <v>0</v>
      </c>
      <c r="F430" s="704">
        <v>0</v>
      </c>
      <c r="G430" s="704">
        <v>0</v>
      </c>
      <c r="H430" s="707">
        <v>0</v>
      </c>
      <c r="I430" s="703">
        <v>0</v>
      </c>
      <c r="J430" s="704">
        <v>0</v>
      </c>
      <c r="K430" s="704">
        <v>0</v>
      </c>
      <c r="L430" s="704">
        <v>0</v>
      </c>
    </row>
    <row r="431" spans="3:12" ht="14.4" thickBot="1" x14ac:dyDescent="0.35">
      <c r="C431" s="1572" t="s">
        <v>74</v>
      </c>
      <c r="D431" s="1573"/>
      <c r="E431" s="708">
        <f t="shared" ref="E431:L431" si="3">SUM(E424:E430)</f>
        <v>0</v>
      </c>
      <c r="F431" s="709">
        <f t="shared" si="3"/>
        <v>0</v>
      </c>
      <c r="G431" s="709">
        <f t="shared" si="3"/>
        <v>0</v>
      </c>
      <c r="H431" s="710">
        <f t="shared" si="3"/>
        <v>0</v>
      </c>
      <c r="I431" s="708">
        <f t="shared" si="3"/>
        <v>0</v>
      </c>
      <c r="J431" s="709">
        <f t="shared" si="3"/>
        <v>0</v>
      </c>
      <c r="K431" s="709">
        <f t="shared" si="3"/>
        <v>0</v>
      </c>
      <c r="L431" s="710">
        <f t="shared" si="3"/>
        <v>0</v>
      </c>
    </row>
    <row r="432" spans="3:12" x14ac:dyDescent="0.3">
      <c r="C432" s="1574"/>
      <c r="D432" s="1574"/>
      <c r="E432" s="1574"/>
      <c r="F432" s="1574"/>
      <c r="G432" s="1574"/>
      <c r="H432" s="1574"/>
      <c r="I432" s="1574"/>
      <c r="J432" s="1574"/>
      <c r="K432" s="1574"/>
      <c r="L432" s="1574"/>
    </row>
    <row r="433" spans="3:12" ht="31.05" customHeight="1" x14ac:dyDescent="0.3">
      <c r="C433" s="1506" t="s">
        <v>2810</v>
      </c>
      <c r="D433" s="1506"/>
      <c r="E433" s="1506"/>
      <c r="F433" s="1506"/>
      <c r="G433" s="1506"/>
      <c r="H433" s="1506"/>
      <c r="I433" s="1506"/>
      <c r="J433" s="1506"/>
      <c r="K433" s="1506"/>
      <c r="L433" s="1506"/>
    </row>
    <row r="434" spans="3:12" x14ac:dyDescent="0.3">
      <c r="C434" s="643"/>
      <c r="D434" s="643"/>
      <c r="E434" s="643"/>
      <c r="F434" s="643"/>
      <c r="G434" s="643"/>
      <c r="H434" s="643"/>
      <c r="I434" s="643"/>
      <c r="J434" s="643"/>
      <c r="K434" s="643"/>
      <c r="L434" s="643"/>
    </row>
    <row r="435" spans="3:12" x14ac:dyDescent="0.3">
      <c r="C435" s="1507" t="s">
        <v>1238</v>
      </c>
      <c r="D435" s="1507"/>
      <c r="E435" s="1507"/>
      <c r="F435" s="1507"/>
      <c r="G435" s="1507"/>
      <c r="H435" s="1507"/>
      <c r="I435" s="1507"/>
      <c r="J435" s="1507"/>
      <c r="K435" s="1507"/>
      <c r="L435" s="1507"/>
    </row>
    <row r="436" spans="3:12" x14ac:dyDescent="0.3">
      <c r="C436" s="1506"/>
      <c r="D436" s="1506"/>
      <c r="E436" s="1506"/>
      <c r="F436" s="1506"/>
      <c r="G436" s="1506"/>
      <c r="H436" s="1506"/>
      <c r="I436" s="1506"/>
      <c r="J436" s="1506"/>
      <c r="K436" s="1506"/>
      <c r="L436" s="1506"/>
    </row>
    <row r="437" spans="3:12" ht="40.049999999999997" customHeight="1" x14ac:dyDescent="0.3">
      <c r="C437" s="1506" t="s">
        <v>1239</v>
      </c>
      <c r="D437" s="1506"/>
      <c r="E437" s="1506"/>
      <c r="F437" s="1506"/>
      <c r="G437" s="1506"/>
      <c r="H437" s="1506"/>
      <c r="I437" s="1506"/>
      <c r="J437" s="1506"/>
      <c r="K437" s="1506"/>
      <c r="L437" s="1506"/>
    </row>
    <row r="438" spans="3:12" x14ac:dyDescent="0.3">
      <c r="C438" s="1506"/>
      <c r="D438" s="1506"/>
      <c r="E438" s="1506"/>
      <c r="F438" s="1506"/>
      <c r="G438" s="1506"/>
      <c r="H438" s="1506"/>
      <c r="I438" s="1506"/>
      <c r="J438" s="1506"/>
      <c r="K438" s="1506"/>
      <c r="L438" s="1506"/>
    </row>
    <row r="439" spans="3:12" ht="94.05" customHeight="1" x14ac:dyDescent="0.3">
      <c r="C439" s="1506" t="s">
        <v>1240</v>
      </c>
      <c r="D439" s="1506"/>
      <c r="E439" s="1506"/>
      <c r="F439" s="1506"/>
      <c r="G439" s="1506"/>
      <c r="H439" s="1582"/>
      <c r="I439" s="1582"/>
      <c r="J439" s="1582"/>
      <c r="K439" s="1582"/>
      <c r="L439" s="1506"/>
    </row>
    <row r="440" spans="3:12" x14ac:dyDescent="0.3">
      <c r="C440" s="1506"/>
      <c r="D440" s="1506"/>
      <c r="E440" s="1506"/>
      <c r="F440" s="1506"/>
      <c r="G440" s="1506"/>
      <c r="H440" s="1582"/>
      <c r="I440" s="1582"/>
      <c r="J440" s="1582"/>
      <c r="K440" s="1582"/>
      <c r="L440" s="1506"/>
    </row>
    <row r="441" spans="3:12" ht="43.05" customHeight="1" x14ac:dyDescent="0.3">
      <c r="C441" s="1506" t="s">
        <v>1241</v>
      </c>
      <c r="D441" s="1506"/>
      <c r="E441" s="1506"/>
      <c r="F441" s="1506"/>
      <c r="G441" s="1506"/>
      <c r="H441" s="1582"/>
      <c r="I441" s="1582"/>
      <c r="J441" s="1582"/>
      <c r="K441" s="1582"/>
      <c r="L441" s="1506"/>
    </row>
    <row r="442" spans="3:12" x14ac:dyDescent="0.3">
      <c r="C442" s="1506"/>
      <c r="D442" s="1506"/>
      <c r="E442" s="1506"/>
      <c r="F442" s="1506"/>
      <c r="G442" s="1506"/>
      <c r="H442" s="1582"/>
      <c r="I442" s="1582"/>
      <c r="J442" s="1582"/>
      <c r="K442" s="1582"/>
      <c r="L442" s="1506"/>
    </row>
    <row r="443" spans="3:12" ht="67.5" customHeight="1" x14ac:dyDescent="0.3">
      <c r="C443" s="1506" t="s">
        <v>1685</v>
      </c>
      <c r="D443" s="1506"/>
      <c r="E443" s="1506"/>
      <c r="F443" s="1506"/>
      <c r="G443" s="1506"/>
      <c r="H443" s="1582"/>
      <c r="I443" s="1582"/>
      <c r="J443" s="1582"/>
      <c r="K443" s="1582"/>
      <c r="L443" s="1506"/>
    </row>
    <row r="444" spans="3:12" x14ac:dyDescent="0.3">
      <c r="C444" s="1506"/>
      <c r="D444" s="1506"/>
      <c r="E444" s="1506"/>
      <c r="F444" s="1506"/>
      <c r="G444" s="1506"/>
      <c r="H444" s="1506"/>
      <c r="I444" s="1506"/>
      <c r="J444" s="1506"/>
      <c r="K444" s="1506"/>
      <c r="L444" s="1506"/>
    </row>
    <row r="445" spans="3:12" ht="45" customHeight="1" x14ac:dyDescent="0.3">
      <c r="C445" s="1506" t="s">
        <v>3188</v>
      </c>
      <c r="D445" s="1506"/>
      <c r="E445" s="1506"/>
      <c r="F445" s="1506"/>
      <c r="G445" s="1506"/>
      <c r="H445" s="1506"/>
      <c r="I445" s="1506"/>
      <c r="J445" s="1506"/>
      <c r="K445" s="1506"/>
      <c r="L445" s="1506"/>
    </row>
    <row r="446" spans="3:12" x14ac:dyDescent="0.3">
      <c r="C446" s="1506"/>
      <c r="D446" s="1506"/>
      <c r="E446" s="1506"/>
      <c r="F446" s="1506"/>
      <c r="G446" s="1506"/>
      <c r="H446" s="1506"/>
      <c r="I446" s="1506"/>
      <c r="J446" s="1506"/>
      <c r="K446" s="1506"/>
      <c r="L446" s="1506"/>
    </row>
    <row r="447" spans="3:12" x14ac:dyDescent="0.3">
      <c r="C447" s="1507" t="s">
        <v>1242</v>
      </c>
      <c r="D447" s="1507"/>
      <c r="E447" s="1507"/>
      <c r="F447" s="1507"/>
      <c r="G447" s="1507"/>
      <c r="H447" s="1507"/>
      <c r="I447" s="1507"/>
      <c r="J447" s="1507"/>
      <c r="K447" s="1507"/>
      <c r="L447" s="1507"/>
    </row>
    <row r="448" spans="3:12" ht="14.4" thickBot="1" x14ac:dyDescent="0.35">
      <c r="C448" s="1575"/>
      <c r="D448" s="1575"/>
      <c r="E448" s="1575"/>
      <c r="F448" s="1575"/>
      <c r="G448" s="1575"/>
      <c r="H448" s="1575"/>
      <c r="I448" s="1575"/>
      <c r="J448" s="1575"/>
      <c r="K448" s="1575"/>
      <c r="L448" s="1575"/>
    </row>
    <row r="449" spans="3:12" x14ac:dyDescent="0.3">
      <c r="C449" s="1608" t="s">
        <v>1243</v>
      </c>
      <c r="D449" s="1609"/>
      <c r="E449" s="1609"/>
      <c r="F449" s="1609" t="s">
        <v>445</v>
      </c>
      <c r="G449" s="1609"/>
      <c r="H449" s="1612"/>
      <c r="I449" s="1612" t="s">
        <v>1244</v>
      </c>
      <c r="J449" s="1612"/>
      <c r="K449" s="1612"/>
      <c r="L449" s="1614"/>
    </row>
    <row r="450" spans="3:12" ht="14.4" thickBot="1" x14ac:dyDescent="0.35">
      <c r="C450" s="1610"/>
      <c r="D450" s="1611"/>
      <c r="E450" s="1611"/>
      <c r="F450" s="1611"/>
      <c r="G450" s="1611"/>
      <c r="H450" s="1613"/>
      <c r="I450" s="1613"/>
      <c r="J450" s="1613"/>
      <c r="K450" s="1613"/>
      <c r="L450" s="1615"/>
    </row>
    <row r="451" spans="3:12" x14ac:dyDescent="0.3">
      <c r="C451" s="1616">
        <v>1</v>
      </c>
      <c r="D451" s="1580"/>
      <c r="E451" s="1580"/>
      <c r="F451" s="1580" t="s">
        <v>3165</v>
      </c>
      <c r="G451" s="1580"/>
      <c r="H451" s="1581"/>
      <c r="I451" s="1576">
        <v>5.5E-2</v>
      </c>
      <c r="J451" s="1576"/>
      <c r="K451" s="1576"/>
      <c r="L451" s="1577"/>
    </row>
    <row r="452" spans="3:12" x14ac:dyDescent="0.3">
      <c r="C452" s="1617">
        <v>2</v>
      </c>
      <c r="D452" s="1578"/>
      <c r="E452" s="1578"/>
      <c r="F452" s="1578" t="s">
        <v>3166</v>
      </c>
      <c r="G452" s="1578"/>
      <c r="H452" s="1579"/>
      <c r="I452" s="1604">
        <v>5.8000000000000003E-2</v>
      </c>
      <c r="J452" s="1604"/>
      <c r="K452" s="1604"/>
      <c r="L452" s="1605"/>
    </row>
    <row r="453" spans="3:12" x14ac:dyDescent="0.3">
      <c r="C453" s="1617">
        <v>3</v>
      </c>
      <c r="D453" s="1578"/>
      <c r="E453" s="1578"/>
      <c r="F453" s="1578" t="s">
        <v>3167</v>
      </c>
      <c r="G453" s="1578"/>
      <c r="H453" s="1579"/>
      <c r="I453" s="1604">
        <v>6.5000000000000002E-2</v>
      </c>
      <c r="J453" s="1604"/>
      <c r="K453" s="1604"/>
      <c r="L453" s="1605"/>
    </row>
    <row r="454" spans="3:12" x14ac:dyDescent="0.3">
      <c r="C454" s="1617">
        <v>4</v>
      </c>
      <c r="D454" s="1578"/>
      <c r="E454" s="1578"/>
      <c r="F454" s="1578" t="s">
        <v>3168</v>
      </c>
      <c r="G454" s="1578"/>
      <c r="H454" s="1579"/>
      <c r="I454" s="1604">
        <v>6.8000000000000005E-2</v>
      </c>
      <c r="J454" s="1604"/>
      <c r="K454" s="1604"/>
      <c r="L454" s="1605"/>
    </row>
    <row r="455" spans="3:12" x14ac:dyDescent="0.3">
      <c r="C455" s="1617">
        <v>5</v>
      </c>
      <c r="D455" s="1578"/>
      <c r="E455" s="1578"/>
      <c r="F455" s="1578" t="s">
        <v>3169</v>
      </c>
      <c r="G455" s="1578"/>
      <c r="H455" s="1579"/>
      <c r="I455" s="1604">
        <v>8.5000000000000006E-2</v>
      </c>
      <c r="J455" s="1604"/>
      <c r="K455" s="1604"/>
      <c r="L455" s="1605"/>
    </row>
    <row r="456" spans="3:12" ht="14.4" thickBot="1" x14ac:dyDescent="0.35">
      <c r="C456" s="1618">
        <v>6</v>
      </c>
      <c r="D456" s="1602"/>
      <c r="E456" s="1602"/>
      <c r="F456" s="1602" t="s">
        <v>3170</v>
      </c>
      <c r="G456" s="1602"/>
      <c r="H456" s="1603"/>
      <c r="I456" s="1606">
        <v>0.105</v>
      </c>
      <c r="J456" s="1606"/>
      <c r="K456" s="1606"/>
      <c r="L456" s="1607"/>
    </row>
    <row r="457" spans="3:12" x14ac:dyDescent="0.3">
      <c r="C457" s="1637"/>
      <c r="D457" s="1637"/>
      <c r="E457" s="1637"/>
      <c r="F457" s="1637"/>
      <c r="G457" s="1637"/>
      <c r="H457" s="1640"/>
      <c r="I457" s="1640"/>
      <c r="J457" s="1640"/>
      <c r="K457" s="1640"/>
      <c r="L457" s="1637"/>
    </row>
    <row r="458" spans="3:12" ht="57" customHeight="1" x14ac:dyDescent="0.3">
      <c r="C458" s="1506" t="s">
        <v>2868</v>
      </c>
      <c r="D458" s="1506"/>
      <c r="E458" s="1506"/>
      <c r="F458" s="1506"/>
      <c r="G458" s="1506"/>
      <c r="H458" s="1582"/>
      <c r="I458" s="1582"/>
      <c r="J458" s="1582"/>
      <c r="K458" s="1582"/>
      <c r="L458" s="1506"/>
    </row>
    <row r="459" spans="3:12" x14ac:dyDescent="0.3">
      <c r="C459" s="1506"/>
      <c r="D459" s="1506"/>
      <c r="E459" s="1506"/>
      <c r="F459" s="1506"/>
      <c r="G459" s="1506"/>
      <c r="H459" s="1582"/>
      <c r="I459" s="1582"/>
      <c r="J459" s="1582"/>
      <c r="K459" s="1582"/>
      <c r="L459" s="1506"/>
    </row>
    <row r="460" spans="3:12" x14ac:dyDescent="0.3">
      <c r="C460" s="1507" t="s">
        <v>1245</v>
      </c>
      <c r="D460" s="1506"/>
      <c r="E460" s="1506"/>
      <c r="F460" s="1506"/>
      <c r="G460" s="1506"/>
      <c r="H460" s="1582"/>
      <c r="I460" s="1582"/>
      <c r="J460" s="1582"/>
      <c r="K460" s="1582"/>
      <c r="L460" s="1506"/>
    </row>
    <row r="461" spans="3:12" ht="14.4" thickBot="1" x14ac:dyDescent="0.35">
      <c r="C461" s="1575"/>
      <c r="D461" s="1575"/>
      <c r="E461" s="1575"/>
      <c r="F461" s="1575"/>
      <c r="G461" s="1575"/>
      <c r="H461" s="1575"/>
      <c r="I461" s="1575"/>
      <c r="J461" s="1575"/>
      <c r="K461" s="1575"/>
      <c r="L461" s="1575"/>
    </row>
    <row r="462" spans="3:12" x14ac:dyDescent="0.3">
      <c r="C462" s="1608" t="s">
        <v>1246</v>
      </c>
      <c r="D462" s="1609"/>
      <c r="E462" s="1609"/>
      <c r="F462" s="1609"/>
      <c r="G462" s="1609"/>
      <c r="H462" s="1612" t="s">
        <v>1247</v>
      </c>
      <c r="I462" s="1612"/>
      <c r="J462" s="1612"/>
      <c r="K462" s="1612"/>
      <c r="L462" s="1614"/>
    </row>
    <row r="463" spans="3:12" ht="14.4" thickBot="1" x14ac:dyDescent="0.35">
      <c r="C463" s="1610"/>
      <c r="D463" s="1611"/>
      <c r="E463" s="1611"/>
      <c r="F463" s="1611"/>
      <c r="G463" s="1611"/>
      <c r="H463" s="1611"/>
      <c r="I463" s="1611"/>
      <c r="J463" s="1611"/>
      <c r="K463" s="1611"/>
      <c r="L463" s="1615"/>
    </row>
    <row r="464" spans="3:12" x14ac:dyDescent="0.3">
      <c r="C464" s="1616" t="s">
        <v>2855</v>
      </c>
      <c r="D464" s="1580"/>
      <c r="E464" s="1580"/>
      <c r="F464" s="1580"/>
      <c r="G464" s="1580"/>
      <c r="H464" s="1619">
        <v>0.19</v>
      </c>
      <c r="I464" s="1619"/>
      <c r="J464" s="1619"/>
      <c r="K464" s="1619"/>
      <c r="L464" s="1620"/>
    </row>
    <row r="465" spans="3:12" x14ac:dyDescent="0.3">
      <c r="C465" s="1617" t="s">
        <v>2869</v>
      </c>
      <c r="D465" s="1578"/>
      <c r="E465" s="1578"/>
      <c r="F465" s="1578"/>
      <c r="G465" s="1578"/>
      <c r="H465" s="1621">
        <v>0.19</v>
      </c>
      <c r="I465" s="1621"/>
      <c r="J465" s="1621"/>
      <c r="K465" s="1621"/>
      <c r="L465" s="1622"/>
    </row>
    <row r="466" spans="3:12" ht="14.4" thickBot="1" x14ac:dyDescent="0.35">
      <c r="C466" s="1618" t="s">
        <v>2870</v>
      </c>
      <c r="D466" s="1602"/>
      <c r="E466" s="1602"/>
      <c r="F466" s="1602"/>
      <c r="G466" s="1602"/>
      <c r="H466" s="1623">
        <v>0.19</v>
      </c>
      <c r="I466" s="1623"/>
      <c r="J466" s="1623"/>
      <c r="K466" s="1623"/>
      <c r="L466" s="1624"/>
    </row>
    <row r="467" spans="3:12" x14ac:dyDescent="0.3">
      <c r="C467" s="1637"/>
      <c r="D467" s="1637"/>
      <c r="E467" s="1637"/>
      <c r="F467" s="1637"/>
      <c r="G467" s="1637"/>
      <c r="H467" s="1637"/>
      <c r="I467" s="1637"/>
      <c r="J467" s="1637"/>
      <c r="K467" s="1637"/>
      <c r="L467" s="1637"/>
    </row>
    <row r="468" spans="3:12" ht="42.6" customHeight="1" x14ac:dyDescent="0.3">
      <c r="C468" s="1506" t="s">
        <v>1248</v>
      </c>
      <c r="D468" s="1506"/>
      <c r="E468" s="1506"/>
      <c r="F468" s="1506"/>
      <c r="G468" s="1506"/>
      <c r="H468" s="1506"/>
      <c r="I468" s="1506"/>
      <c r="J468" s="1506"/>
      <c r="K468" s="1506"/>
      <c r="L468" s="1506"/>
    </row>
    <row r="469" spans="3:12" x14ac:dyDescent="0.3">
      <c r="C469" s="1506"/>
      <c r="D469" s="1506"/>
      <c r="E469" s="1506"/>
      <c r="F469" s="1506"/>
      <c r="G469" s="1506"/>
      <c r="H469" s="1506"/>
      <c r="I469" s="1506"/>
      <c r="J469" s="1506"/>
      <c r="K469" s="1506"/>
      <c r="L469" s="1506"/>
    </row>
    <row r="470" spans="3:12" ht="27" customHeight="1" x14ac:dyDescent="0.3">
      <c r="C470" s="1506" t="s">
        <v>3163</v>
      </c>
      <c r="D470" s="1506"/>
      <c r="E470" s="1506"/>
      <c r="F470" s="1506"/>
      <c r="G470" s="1506"/>
      <c r="H470" s="1506"/>
      <c r="I470" s="1506"/>
      <c r="J470" s="1506"/>
      <c r="K470" s="1506"/>
      <c r="L470" s="1506"/>
    </row>
    <row r="471" spans="3:12" x14ac:dyDescent="0.3">
      <c r="C471" s="1506"/>
      <c r="D471" s="1506"/>
      <c r="E471" s="1506"/>
      <c r="F471" s="1506"/>
      <c r="G471" s="1506"/>
      <c r="H471" s="1506"/>
      <c r="I471" s="1506"/>
      <c r="J471" s="1506"/>
      <c r="K471" s="1506"/>
      <c r="L471" s="1506"/>
    </row>
    <row r="472" spans="3:12" ht="17.100000000000001" customHeight="1" x14ac:dyDescent="0.3">
      <c r="C472" s="1506" t="s">
        <v>1249</v>
      </c>
      <c r="D472" s="1506"/>
      <c r="E472" s="1506"/>
      <c r="F472" s="1506"/>
      <c r="G472" s="1506"/>
      <c r="H472" s="1506"/>
      <c r="I472" s="1506"/>
      <c r="J472" s="1506"/>
      <c r="K472" s="1506"/>
      <c r="L472" s="1506"/>
    </row>
    <row r="473" spans="3:12" x14ac:dyDescent="0.3">
      <c r="C473" s="1506"/>
      <c r="D473" s="1506"/>
      <c r="E473" s="1506"/>
      <c r="F473" s="1506"/>
      <c r="G473" s="1506"/>
      <c r="H473" s="1506"/>
      <c r="I473" s="1506"/>
      <c r="J473" s="1506"/>
      <c r="K473" s="1506"/>
      <c r="L473" s="1506"/>
    </row>
    <row r="474" spans="3:12" x14ac:dyDescent="0.3">
      <c r="C474" s="1507" t="s">
        <v>3164</v>
      </c>
      <c r="D474" s="1507"/>
      <c r="E474" s="1507"/>
      <c r="F474" s="1507"/>
      <c r="G474" s="1507"/>
      <c r="H474" s="1507"/>
      <c r="I474" s="1507"/>
      <c r="J474" s="1507"/>
      <c r="K474" s="1507"/>
      <c r="L474" s="1507"/>
    </row>
    <row r="475" spans="3:12" ht="14.4" thickBot="1" x14ac:dyDescent="0.35">
      <c r="C475" s="1575"/>
      <c r="D475" s="1575"/>
      <c r="E475" s="1575"/>
      <c r="F475" s="1575"/>
      <c r="G475" s="1575"/>
      <c r="H475" s="1575"/>
      <c r="I475" s="1575"/>
      <c r="J475" s="1575"/>
      <c r="K475" s="1575"/>
      <c r="L475" s="1575"/>
    </row>
    <row r="476" spans="3:12" x14ac:dyDescent="0.3">
      <c r="C476" s="1608" t="s">
        <v>1222</v>
      </c>
      <c r="D476" s="1609"/>
      <c r="E476" s="1609" t="s">
        <v>3186</v>
      </c>
      <c r="F476" s="1609"/>
      <c r="G476" s="1609" t="s">
        <v>1250</v>
      </c>
      <c r="H476" s="1609"/>
      <c r="I476" s="1609" t="s">
        <v>3187</v>
      </c>
      <c r="J476" s="1609" t="s">
        <v>3039</v>
      </c>
      <c r="K476" s="1609" t="s">
        <v>1926</v>
      </c>
      <c r="L476" s="1614"/>
    </row>
    <row r="477" spans="3:12" x14ac:dyDescent="0.3">
      <c r="C477" s="1630"/>
      <c r="D477" s="1631"/>
      <c r="E477" s="1631"/>
      <c r="F477" s="1631"/>
      <c r="G477" s="1631"/>
      <c r="H477" s="1631"/>
      <c r="I477" s="1631"/>
      <c r="J477" s="1631"/>
      <c r="K477" s="1631"/>
      <c r="L477" s="1632"/>
    </row>
    <row r="478" spans="3:12" ht="28.5" customHeight="1" thickBot="1" x14ac:dyDescent="0.35">
      <c r="C478" s="1610"/>
      <c r="D478" s="1611"/>
      <c r="E478" s="1611"/>
      <c r="F478" s="1611"/>
      <c r="G478" s="1611"/>
      <c r="H478" s="1611"/>
      <c r="I478" s="1611"/>
      <c r="J478" s="1611"/>
      <c r="K478" s="1611"/>
      <c r="L478" s="1615"/>
    </row>
    <row r="479" spans="3:12" x14ac:dyDescent="0.3">
      <c r="C479" s="1626" t="str">
        <f t="shared" ref="C479:C485" si="4">C387</f>
        <v>Officer 1</v>
      </c>
      <c r="D479" s="1627"/>
      <c r="E479" s="1634">
        <v>0</v>
      </c>
      <c r="F479" s="1634"/>
      <c r="G479" s="1634">
        <v>0</v>
      </c>
      <c r="H479" s="1634"/>
      <c r="I479" s="858">
        <v>0</v>
      </c>
      <c r="J479" s="858">
        <v>0</v>
      </c>
      <c r="K479" s="1634">
        <v>0</v>
      </c>
      <c r="L479" s="1635"/>
    </row>
    <row r="480" spans="3:12" x14ac:dyDescent="0.3">
      <c r="C480" s="1628" t="str">
        <f t="shared" si="4"/>
        <v>Officer 2</v>
      </c>
      <c r="D480" s="1629"/>
      <c r="E480" s="1625">
        <v>0</v>
      </c>
      <c r="F480" s="1625"/>
      <c r="G480" s="1625">
        <v>0</v>
      </c>
      <c r="H480" s="1625"/>
      <c r="I480" s="859">
        <v>0</v>
      </c>
      <c r="J480" s="859">
        <v>0</v>
      </c>
      <c r="K480" s="1625">
        <v>0</v>
      </c>
      <c r="L480" s="1636"/>
    </row>
    <row r="481" spans="3:12" x14ac:dyDescent="0.3">
      <c r="C481" s="1628" t="str">
        <f t="shared" si="4"/>
        <v>Officer 3</v>
      </c>
      <c r="D481" s="1629"/>
      <c r="E481" s="1625">
        <v>0</v>
      </c>
      <c r="F481" s="1625"/>
      <c r="G481" s="1625">
        <v>0</v>
      </c>
      <c r="H481" s="1625"/>
      <c r="I481" s="859">
        <v>0</v>
      </c>
      <c r="J481" s="859">
        <v>0</v>
      </c>
      <c r="K481" s="1625">
        <v>0</v>
      </c>
      <c r="L481" s="1636"/>
    </row>
    <row r="482" spans="3:12" x14ac:dyDescent="0.3">
      <c r="C482" s="1628" t="str">
        <f t="shared" si="4"/>
        <v>Officer 4</v>
      </c>
      <c r="D482" s="1629"/>
      <c r="E482" s="1625">
        <v>0</v>
      </c>
      <c r="F482" s="1625"/>
      <c r="G482" s="1625">
        <v>0</v>
      </c>
      <c r="H482" s="1625"/>
      <c r="I482" s="859">
        <v>0</v>
      </c>
      <c r="J482" s="859">
        <v>0</v>
      </c>
      <c r="K482" s="1625">
        <v>0</v>
      </c>
      <c r="L482" s="1636"/>
    </row>
    <row r="483" spans="3:12" x14ac:dyDescent="0.3">
      <c r="C483" s="1628" t="str">
        <f t="shared" si="4"/>
        <v>Officer 5</v>
      </c>
      <c r="D483" s="1629"/>
      <c r="E483" s="1625">
        <v>0</v>
      </c>
      <c r="F483" s="1625"/>
      <c r="G483" s="1625">
        <v>0</v>
      </c>
      <c r="H483" s="1625"/>
      <c r="I483" s="859">
        <v>0</v>
      </c>
      <c r="J483" s="859">
        <v>0</v>
      </c>
      <c r="K483" s="1625">
        <v>0</v>
      </c>
      <c r="L483" s="1636"/>
    </row>
    <row r="484" spans="3:12" x14ac:dyDescent="0.3">
      <c r="C484" s="1628" t="str">
        <f t="shared" si="4"/>
        <v>Officer 6</v>
      </c>
      <c r="D484" s="1629"/>
      <c r="E484" s="1625">
        <v>0</v>
      </c>
      <c r="F484" s="1625"/>
      <c r="G484" s="1625">
        <v>0</v>
      </c>
      <c r="H484" s="1625"/>
      <c r="I484" s="859">
        <v>0</v>
      </c>
      <c r="J484" s="859">
        <v>0</v>
      </c>
      <c r="K484" s="1625">
        <v>0</v>
      </c>
      <c r="L484" s="1636"/>
    </row>
    <row r="485" spans="3:12" ht="14.4" thickBot="1" x14ac:dyDescent="0.35">
      <c r="C485" s="1628" t="str">
        <f t="shared" si="4"/>
        <v>Officer 7</v>
      </c>
      <c r="D485" s="1629"/>
      <c r="E485" s="1625">
        <v>0</v>
      </c>
      <c r="F485" s="1625"/>
      <c r="G485" s="1625">
        <v>0</v>
      </c>
      <c r="H485" s="1625"/>
      <c r="I485" s="859">
        <v>0</v>
      </c>
      <c r="J485" s="859">
        <v>0</v>
      </c>
      <c r="K485" s="1625">
        <v>0</v>
      </c>
      <c r="L485" s="1636"/>
    </row>
    <row r="486" spans="3:12" x14ac:dyDescent="0.3">
      <c r="C486" s="1637"/>
      <c r="D486" s="1637"/>
      <c r="E486" s="1637"/>
      <c r="F486" s="1637"/>
      <c r="G486" s="1637"/>
      <c r="H486" s="1637"/>
      <c r="I486" s="1637"/>
      <c r="J486" s="1637"/>
      <c r="K486" s="1637"/>
      <c r="L486" s="1637"/>
    </row>
    <row r="487" spans="3:12" x14ac:dyDescent="0.3">
      <c r="C487" s="1506"/>
      <c r="D487" s="1506"/>
      <c r="E487" s="1506"/>
      <c r="F487" s="1506"/>
      <c r="G487" s="1506"/>
      <c r="H487" s="1506"/>
      <c r="I487" s="1506"/>
      <c r="J487" s="1506"/>
      <c r="K487" s="1506"/>
      <c r="L487" s="1506"/>
    </row>
    <row r="488" spans="3:12" ht="134.55000000000001" customHeight="1" x14ac:dyDescent="0.3">
      <c r="C488" s="1506" t="s">
        <v>1720</v>
      </c>
      <c r="D488" s="1506"/>
      <c r="E488" s="1506"/>
      <c r="F488" s="1506"/>
      <c r="G488" s="1506"/>
      <c r="H488" s="1506"/>
      <c r="I488" s="1506"/>
      <c r="J488" s="1506"/>
      <c r="K488" s="1506"/>
      <c r="L488" s="1506"/>
    </row>
    <row r="489" spans="3:12" x14ac:dyDescent="0.3">
      <c r="C489" s="1506"/>
      <c r="D489" s="1506"/>
      <c r="E489" s="1506"/>
      <c r="F489" s="1506"/>
      <c r="G489" s="1506"/>
      <c r="H489" s="1506"/>
      <c r="I489" s="1506"/>
      <c r="J489" s="1506"/>
      <c r="K489" s="1506"/>
      <c r="L489" s="1506"/>
    </row>
    <row r="490" spans="3:12" ht="66.75" customHeight="1" x14ac:dyDescent="0.3">
      <c r="C490" s="1506" t="s">
        <v>1721</v>
      </c>
      <c r="D490" s="1506"/>
      <c r="E490" s="1506"/>
      <c r="F490" s="1506"/>
      <c r="G490" s="1506"/>
      <c r="H490" s="1506"/>
      <c r="I490" s="1506"/>
      <c r="J490" s="1506"/>
      <c r="K490" s="1506"/>
      <c r="L490" s="1506"/>
    </row>
    <row r="491" spans="3:12" x14ac:dyDescent="0.3">
      <c r="C491" s="1506"/>
      <c r="D491" s="1506"/>
      <c r="E491" s="1506"/>
      <c r="F491" s="1506"/>
      <c r="G491" s="1506"/>
      <c r="H491" s="1506"/>
      <c r="I491" s="1506"/>
      <c r="J491" s="1506"/>
      <c r="K491" s="1506"/>
      <c r="L491" s="1506"/>
    </row>
    <row r="492" spans="3:12" x14ac:dyDescent="0.3">
      <c r="C492" s="1506"/>
      <c r="D492" s="1506"/>
      <c r="E492" s="1506"/>
      <c r="F492" s="1506"/>
      <c r="G492" s="1506"/>
      <c r="H492" s="1506"/>
      <c r="I492" s="1506"/>
      <c r="J492" s="1506"/>
      <c r="K492" s="1506"/>
      <c r="L492" s="1506"/>
    </row>
    <row r="493" spans="3:12" x14ac:dyDescent="0.3">
      <c r="C493" s="1507" t="s">
        <v>1251</v>
      </c>
      <c r="D493" s="1507"/>
      <c r="E493" s="1507"/>
      <c r="F493" s="1507"/>
      <c r="G493" s="1507"/>
      <c r="H493" s="1507"/>
      <c r="I493" s="1507"/>
      <c r="J493" s="1507"/>
      <c r="K493" s="1507"/>
      <c r="L493" s="1507"/>
    </row>
    <row r="494" spans="3:12" x14ac:dyDescent="0.3">
      <c r="C494" s="1638" t="s">
        <v>3171</v>
      </c>
      <c r="D494" s="1507"/>
      <c r="E494" s="1507"/>
      <c r="F494" s="1507"/>
      <c r="G494" s="1507"/>
      <c r="H494" s="1507"/>
      <c r="I494" s="1507"/>
      <c r="J494" s="1507"/>
      <c r="K494" s="1507"/>
      <c r="L494" s="1507"/>
    </row>
    <row r="495" spans="3:12" x14ac:dyDescent="0.3">
      <c r="C495" s="768"/>
      <c r="D495" s="768"/>
      <c r="E495" s="768"/>
      <c r="F495" s="768"/>
      <c r="G495" s="768"/>
      <c r="H495" s="768"/>
      <c r="I495" s="768"/>
      <c r="J495" s="768"/>
      <c r="K495" s="768"/>
      <c r="L495" s="768"/>
    </row>
    <row r="496" spans="3:12" x14ac:dyDescent="0.3">
      <c r="C496" s="1506"/>
      <c r="D496" s="1506"/>
      <c r="E496" s="1506"/>
      <c r="F496" s="1506"/>
      <c r="G496" s="1506"/>
      <c r="H496" s="1506"/>
      <c r="I496" s="1506"/>
      <c r="J496" s="1506"/>
      <c r="K496" s="1506"/>
      <c r="L496" s="1506"/>
    </row>
    <row r="497" spans="3:12" ht="13.5" customHeight="1" x14ac:dyDescent="0.3">
      <c r="C497" s="1507" t="s">
        <v>932</v>
      </c>
      <c r="D497" s="1507"/>
      <c r="E497" s="1507"/>
      <c r="F497" s="1507"/>
      <c r="G497" s="1507"/>
      <c r="H497" s="1507"/>
      <c r="I497" s="1507"/>
      <c r="J497" s="1507"/>
      <c r="K497" s="1507"/>
      <c r="L497" s="1507"/>
    </row>
    <row r="498" spans="3:12" x14ac:dyDescent="0.3">
      <c r="C498" s="1506"/>
      <c r="D498" s="1506"/>
      <c r="E498" s="1506"/>
      <c r="F498" s="1506"/>
      <c r="G498" s="1506"/>
      <c r="H498" s="1506"/>
      <c r="I498" s="1506"/>
      <c r="J498" s="1506"/>
      <c r="K498" s="1506"/>
      <c r="L498" s="1506"/>
    </row>
    <row r="499" spans="3:12" x14ac:dyDescent="0.3">
      <c r="C499" s="1506"/>
      <c r="D499" s="1506"/>
      <c r="E499" s="1506"/>
      <c r="F499" s="1506"/>
      <c r="G499" s="1506"/>
      <c r="H499" s="1506"/>
      <c r="I499" s="1506"/>
      <c r="J499" s="1506"/>
      <c r="K499" s="1506"/>
      <c r="L499" s="1506"/>
    </row>
    <row r="500" spans="3:12" x14ac:dyDescent="0.3">
      <c r="C500" s="1506" t="s">
        <v>933</v>
      </c>
      <c r="D500" s="1506"/>
      <c r="E500" s="1506"/>
      <c r="F500" s="1506"/>
      <c r="G500" s="1506"/>
      <c r="H500" s="1506"/>
      <c r="I500" s="1506"/>
      <c r="J500" s="1506"/>
      <c r="K500" s="1506"/>
      <c r="L500" s="1506"/>
    </row>
    <row r="501" spans="3:12" x14ac:dyDescent="0.3">
      <c r="C501" s="1506"/>
      <c r="D501" s="1506"/>
      <c r="E501" s="1506"/>
      <c r="F501" s="1506"/>
      <c r="G501" s="1506"/>
      <c r="H501" s="1506"/>
      <c r="I501" s="1506"/>
      <c r="J501" s="1506"/>
      <c r="K501" s="1506"/>
      <c r="L501" s="1506"/>
    </row>
    <row r="502" spans="3:12" ht="48.75" customHeight="1" x14ac:dyDescent="0.3">
      <c r="C502" s="643" t="s">
        <v>908</v>
      </c>
      <c r="D502" s="1512" t="str">
        <f>CONCATENATE("the Statement of Accounts for the year ended ",('Standing Data'!D40)," on pages 25 to 28 has been prepared in the form directed by the Department for Communities and under the accounting policies set out on pages 29 to 59.")</f>
        <v>the Statement of Accounts for the year ended 31st March 2026 on pages 25 to 28 has been prepared in the form directed by the Department for Communities and under the accounting policies set out on pages 29 to 59.</v>
      </c>
      <c r="E502" s="1512"/>
      <c r="F502" s="1512"/>
      <c r="G502" s="1512"/>
      <c r="H502" s="1512"/>
      <c r="I502" s="1512"/>
      <c r="J502" s="1512"/>
      <c r="K502" s="1512"/>
      <c r="L502" s="1512"/>
    </row>
    <row r="503" spans="3:12" x14ac:dyDescent="0.3">
      <c r="C503" s="1574"/>
      <c r="D503" s="1574"/>
      <c r="E503" s="1574"/>
      <c r="F503" s="1574"/>
      <c r="G503" s="1574"/>
      <c r="H503" s="1574"/>
      <c r="I503" s="1574"/>
      <c r="J503" s="1574"/>
      <c r="K503" s="1574"/>
      <c r="L503" s="1574"/>
    </row>
    <row r="504" spans="3:12" ht="29.1" customHeight="1" x14ac:dyDescent="0.3">
      <c r="C504" s="643" t="s">
        <v>909</v>
      </c>
      <c r="D504" s="1512" t="str">
        <f>CONCATENATE("in my opinion the Statement of Accounts gives a true and fair view of the income and expenditure and cash flows for the financial year and the financial position as at the end of the financial year ending ",('Standing Data'!D40),".")</f>
        <v>in my opinion the Statement of Accounts gives a true and fair view of the income and expenditure and cash flows for the financial year and the financial position as at the end of the financial year ending 31st March 2026.</v>
      </c>
      <c r="E504" s="1512"/>
      <c r="F504" s="1512"/>
      <c r="G504" s="1512"/>
      <c r="H504" s="1512"/>
      <c r="I504" s="1512"/>
      <c r="J504" s="1512"/>
      <c r="K504" s="1512"/>
      <c r="L504" s="1512"/>
    </row>
    <row r="505" spans="3:12" x14ac:dyDescent="0.3">
      <c r="C505" s="1506"/>
      <c r="D505" s="1506"/>
      <c r="E505" s="1506"/>
      <c r="F505" s="1506"/>
      <c r="G505" s="1506"/>
      <c r="H505" s="1506"/>
      <c r="I505" s="1506"/>
      <c r="J505" s="1506"/>
      <c r="K505" s="1506"/>
      <c r="L505" s="1506"/>
    </row>
    <row r="506" spans="3:12" x14ac:dyDescent="0.3">
      <c r="C506" s="1506"/>
      <c r="D506" s="1506"/>
      <c r="E506" s="1506"/>
      <c r="F506" s="1506"/>
      <c r="G506" s="1506"/>
      <c r="H506" s="1506"/>
      <c r="I506" s="1506"/>
      <c r="J506" s="1506"/>
      <c r="K506" s="1506"/>
      <c r="L506" s="1506"/>
    </row>
    <row r="507" spans="3:12" x14ac:dyDescent="0.3">
      <c r="C507" s="1506"/>
      <c r="D507" s="1506"/>
      <c r="E507" s="1506"/>
      <c r="F507" s="1506"/>
      <c r="G507" s="1582"/>
      <c r="H507" s="1582"/>
      <c r="I507" s="1582"/>
      <c r="J507" s="1582"/>
      <c r="K507" s="1582"/>
      <c r="L507" s="1506"/>
    </row>
    <row r="508" spans="3:12" x14ac:dyDescent="0.3">
      <c r="C508" s="1506"/>
      <c r="D508" s="1506"/>
      <c r="E508" s="1506"/>
      <c r="F508" s="1506"/>
      <c r="G508" s="1582"/>
      <c r="H508" s="1582"/>
      <c r="I508" s="1582"/>
      <c r="J508" s="1582"/>
      <c r="K508" s="1582"/>
      <c r="L508" s="1506"/>
    </row>
    <row r="509" spans="3:12" x14ac:dyDescent="0.3">
      <c r="C509" s="1507"/>
      <c r="D509" s="1507"/>
      <c r="E509" s="1507"/>
      <c r="F509" s="1507"/>
      <c r="G509" s="1633"/>
      <c r="H509" s="1633"/>
      <c r="I509" s="1633"/>
      <c r="J509" s="1633"/>
      <c r="K509" s="1633"/>
      <c r="L509" s="1507"/>
    </row>
    <row r="510" spans="3:12" ht="14.25" customHeight="1" x14ac:dyDescent="0.3">
      <c r="D510" s="1507" t="s">
        <v>449</v>
      </c>
      <c r="E510" s="1507"/>
      <c r="F510" s="1507"/>
      <c r="G510" s="1507"/>
      <c r="H510" s="1507"/>
      <c r="I510" s="1507"/>
      <c r="J510" s="1507"/>
      <c r="K510" s="1507"/>
      <c r="L510" s="1507"/>
    </row>
    <row r="511" spans="3:12" x14ac:dyDescent="0.3">
      <c r="C511" s="1506"/>
      <c r="D511" s="1506"/>
      <c r="E511" s="1506"/>
      <c r="F511" s="1506"/>
      <c r="G511" s="1506"/>
      <c r="H511" s="1506"/>
      <c r="I511" s="1506"/>
      <c r="J511" s="1506"/>
      <c r="K511" s="1506"/>
      <c r="L511" s="1506"/>
    </row>
    <row r="512" spans="3:12" x14ac:dyDescent="0.3">
      <c r="C512" s="1506"/>
      <c r="D512" s="1506"/>
      <c r="E512" s="1506"/>
      <c r="F512" s="1506"/>
      <c r="G512" s="1506"/>
      <c r="H512" s="1506"/>
      <c r="I512" s="1506"/>
      <c r="J512" s="1506"/>
      <c r="K512" s="1506"/>
      <c r="L512" s="1506"/>
    </row>
    <row r="513" spans="3:12" x14ac:dyDescent="0.3">
      <c r="C513" s="1507"/>
      <c r="D513" s="1507"/>
      <c r="E513" s="1507"/>
      <c r="F513" s="768"/>
      <c r="G513" s="768"/>
      <c r="H513" s="768"/>
      <c r="I513" s="768"/>
      <c r="J513" s="768"/>
      <c r="K513" s="768"/>
      <c r="L513" s="768"/>
    </row>
    <row r="514" spans="3:12" x14ac:dyDescent="0.3">
      <c r="D514" s="767" t="s">
        <v>931</v>
      </c>
      <c r="E514" s="1639"/>
      <c r="F514" s="1639"/>
      <c r="G514" s="768"/>
      <c r="H514" s="768"/>
      <c r="I514" s="768"/>
      <c r="J514" s="768"/>
      <c r="K514" s="768"/>
      <c r="L514" s="768"/>
    </row>
    <row r="515" spans="3:12" x14ac:dyDescent="0.3">
      <c r="C515" s="1506"/>
      <c r="D515" s="1506"/>
      <c r="E515" s="1506"/>
      <c r="F515" s="1506"/>
      <c r="G515" s="1506"/>
      <c r="H515" s="1506"/>
      <c r="I515" s="1506"/>
      <c r="J515" s="1506"/>
      <c r="K515" s="1506"/>
      <c r="L515" s="1506"/>
    </row>
    <row r="516" spans="3:12" x14ac:dyDescent="0.3">
      <c r="C516" s="1506"/>
      <c r="D516" s="1506"/>
      <c r="E516" s="1506"/>
      <c r="F516" s="1506"/>
      <c r="G516" s="1506"/>
      <c r="H516" s="1506"/>
      <c r="I516" s="1506"/>
      <c r="J516" s="1506"/>
      <c r="K516" s="1506"/>
      <c r="L516" s="1506"/>
    </row>
    <row r="517" spans="3:12" x14ac:dyDescent="0.3">
      <c r="C517" s="1506"/>
      <c r="D517" s="1506"/>
      <c r="E517" s="1506"/>
      <c r="F517" s="1506"/>
      <c r="G517" s="1506"/>
      <c r="H517" s="1506"/>
      <c r="I517" s="1506"/>
      <c r="J517" s="1506"/>
      <c r="K517" s="1506"/>
      <c r="L517" s="1506"/>
    </row>
    <row r="518" spans="3:12" x14ac:dyDescent="0.3">
      <c r="C518" s="1506"/>
      <c r="D518" s="1506"/>
      <c r="E518" s="1506"/>
      <c r="F518" s="1506"/>
      <c r="G518" s="1506"/>
      <c r="H518" s="1506"/>
      <c r="I518" s="1506"/>
      <c r="J518" s="1506"/>
      <c r="K518" s="1506"/>
      <c r="L518" s="1506"/>
    </row>
    <row r="519" spans="3:12" x14ac:dyDescent="0.3">
      <c r="C519" s="1506"/>
      <c r="D519" s="1506"/>
      <c r="E519" s="1506"/>
      <c r="F519" s="1506"/>
      <c r="G519" s="1506"/>
      <c r="H519" s="1506"/>
      <c r="I519" s="1506"/>
      <c r="J519" s="1506"/>
      <c r="K519" s="1506"/>
      <c r="L519" s="1506"/>
    </row>
    <row r="520" spans="3:12" ht="15" customHeight="1" x14ac:dyDescent="0.3">
      <c r="C520" s="1507" t="s">
        <v>934</v>
      </c>
      <c r="D520" s="1507"/>
      <c r="E520" s="1507"/>
      <c r="F520" s="1507"/>
      <c r="G520" s="1507"/>
      <c r="H520" s="1507"/>
      <c r="I520" s="1507"/>
      <c r="J520" s="1507"/>
      <c r="K520" s="1507"/>
      <c r="L520" s="1507"/>
    </row>
    <row r="521" spans="3:12" x14ac:dyDescent="0.3">
      <c r="C521" s="1506"/>
      <c r="D521" s="1506"/>
      <c r="E521" s="1506"/>
      <c r="F521" s="1506"/>
      <c r="G521" s="1506"/>
      <c r="H521" s="1506"/>
      <c r="I521" s="1506"/>
      <c r="J521" s="1506"/>
      <c r="K521" s="1506"/>
      <c r="L521" s="1506"/>
    </row>
    <row r="522" spans="3:12" x14ac:dyDescent="0.3">
      <c r="C522" s="1506"/>
      <c r="D522" s="1506"/>
      <c r="E522" s="1506"/>
      <c r="F522" s="1506"/>
      <c r="G522" s="1506"/>
      <c r="H522" s="1506"/>
      <c r="I522" s="1506"/>
      <c r="J522" s="1506"/>
      <c r="K522" s="1506"/>
      <c r="L522" s="1506"/>
    </row>
    <row r="523" spans="3:12" x14ac:dyDescent="0.3">
      <c r="C523" s="1506" t="str">
        <f>CONCATENATE("These accounts will be approved by resolution of the Council/Committee on ","xx September 2026.")</f>
        <v>These accounts will be approved by resolution of the Council/Committee on xx September 2026.</v>
      </c>
      <c r="D523" s="1506"/>
      <c r="E523" s="1506"/>
      <c r="F523" s="1506"/>
      <c r="G523" s="1506"/>
      <c r="H523" s="1506"/>
      <c r="I523" s="1506"/>
      <c r="J523" s="1506"/>
      <c r="K523" s="1506"/>
      <c r="L523" s="1506"/>
    </row>
    <row r="524" spans="3:12" x14ac:dyDescent="0.3">
      <c r="C524" s="1506"/>
      <c r="D524" s="1506"/>
      <c r="E524" s="1506"/>
      <c r="F524" s="1506"/>
      <c r="G524" s="1506"/>
      <c r="H524" s="1506"/>
      <c r="I524" s="1506"/>
      <c r="J524" s="1506"/>
      <c r="K524" s="1506"/>
      <c r="L524" s="1506"/>
    </row>
    <row r="525" spans="3:12" x14ac:dyDescent="0.3">
      <c r="C525" s="1506"/>
      <c r="D525" s="1506"/>
      <c r="E525" s="1506"/>
      <c r="F525" s="1506"/>
      <c r="G525" s="1506"/>
      <c r="H525" s="1506"/>
      <c r="I525" s="1506"/>
      <c r="J525" s="1506"/>
      <c r="K525" s="1506"/>
      <c r="L525" s="1506"/>
    </row>
    <row r="526" spans="3:12" x14ac:dyDescent="0.3">
      <c r="C526" s="1506"/>
      <c r="D526" s="1506"/>
      <c r="E526" s="1506"/>
      <c r="F526" s="1506"/>
      <c r="G526" s="1506"/>
      <c r="H526" s="1506"/>
      <c r="I526" s="1506"/>
      <c r="J526" s="1506"/>
      <c r="K526" s="1506"/>
      <c r="L526" s="1506"/>
    </row>
    <row r="527" spans="3:12" x14ac:dyDescent="0.3">
      <c r="C527" s="1506"/>
      <c r="D527" s="1506"/>
      <c r="E527" s="1506"/>
      <c r="F527" s="1506"/>
      <c r="G527" s="1506"/>
      <c r="H527" s="1506"/>
      <c r="I527" s="1506"/>
      <c r="J527" s="1506"/>
      <c r="K527" s="1506"/>
      <c r="L527" s="1506"/>
    </row>
    <row r="528" spans="3:12" x14ac:dyDescent="0.3">
      <c r="C528" s="1507"/>
      <c r="D528" s="1507"/>
      <c r="E528" s="1507"/>
      <c r="F528" s="1507"/>
      <c r="G528" s="1507"/>
      <c r="H528" s="1507"/>
      <c r="I528" s="1507"/>
      <c r="J528" s="1507"/>
      <c r="K528" s="1507"/>
      <c r="L528" s="1507"/>
    </row>
    <row r="529" spans="3:12" x14ac:dyDescent="0.3">
      <c r="D529" s="767" t="s">
        <v>935</v>
      </c>
      <c r="E529" s="768"/>
      <c r="F529" s="768"/>
      <c r="G529" s="768"/>
      <c r="H529" s="768"/>
      <c r="I529" s="768"/>
      <c r="J529" s="768"/>
      <c r="K529" s="768"/>
      <c r="L529" s="768"/>
    </row>
    <row r="530" spans="3:12" x14ac:dyDescent="0.3">
      <c r="C530" s="1506"/>
      <c r="D530" s="1506"/>
      <c r="E530" s="1506"/>
      <c r="F530" s="1506"/>
      <c r="G530" s="1506"/>
      <c r="H530" s="1506"/>
      <c r="I530" s="1506"/>
      <c r="J530" s="1506"/>
      <c r="K530" s="1506"/>
      <c r="L530" s="1506"/>
    </row>
    <row r="531" spans="3:12" x14ac:dyDescent="0.3">
      <c r="C531" s="1506"/>
      <c r="D531" s="1506"/>
      <c r="E531" s="1506"/>
      <c r="F531" s="1506"/>
      <c r="G531" s="1506"/>
      <c r="H531" s="1506"/>
      <c r="I531" s="1506"/>
      <c r="J531" s="1506"/>
      <c r="K531" s="1506"/>
      <c r="L531" s="1506"/>
    </row>
    <row r="532" spans="3:12" x14ac:dyDescent="0.3">
      <c r="C532" s="1507"/>
      <c r="D532" s="1507"/>
      <c r="E532" s="1507"/>
      <c r="F532" s="1507"/>
      <c r="G532" s="1507"/>
      <c r="H532" s="1507"/>
      <c r="I532" s="1507"/>
      <c r="J532" s="1507"/>
      <c r="K532" s="1507"/>
      <c r="L532" s="1507"/>
    </row>
    <row r="533" spans="3:12" x14ac:dyDescent="0.3">
      <c r="D533" s="767" t="s">
        <v>931</v>
      </c>
      <c r="E533" s="1639"/>
      <c r="F533" s="1639"/>
      <c r="G533" s="768"/>
      <c r="H533" s="768"/>
      <c r="I533" s="768"/>
      <c r="J533" s="768"/>
      <c r="K533" s="768"/>
      <c r="L533" s="768"/>
    </row>
    <row r="534" spans="3:12" x14ac:dyDescent="0.3">
      <c r="C534" s="1507"/>
      <c r="D534" s="1507"/>
      <c r="E534" s="1507"/>
      <c r="F534" s="1507"/>
      <c r="G534" s="1507"/>
      <c r="H534" s="1507"/>
      <c r="I534" s="1507"/>
      <c r="J534" s="1507"/>
      <c r="K534" s="1507"/>
      <c r="L534" s="1507"/>
    </row>
    <row r="535" spans="3:12" x14ac:dyDescent="0.3">
      <c r="C535" s="1507"/>
      <c r="D535" s="1507"/>
      <c r="E535" s="1507"/>
      <c r="F535" s="1507"/>
      <c r="G535" s="1507"/>
      <c r="H535" s="1507"/>
      <c r="I535" s="1507"/>
      <c r="J535" s="1507"/>
      <c r="K535" s="1507"/>
      <c r="L535" s="1507"/>
    </row>
    <row r="536" spans="3:12" ht="14.4" x14ac:dyDescent="0.3">
      <c r="C536" s="1514" t="str">
        <f>CONCATENATE("Independent Auditor’s Report to the Members of the ",('Standing Data'!D4),"")</f>
        <v>Independent Auditor’s Report to the Members of the NAME OF COUNCIL</v>
      </c>
      <c r="D536" s="1514"/>
      <c r="E536" s="1514"/>
      <c r="F536" s="1514"/>
      <c r="G536" s="1514"/>
      <c r="H536" s="1514"/>
      <c r="I536" s="1514"/>
      <c r="J536" s="1514"/>
      <c r="K536" s="1514"/>
      <c r="L536" s="1514"/>
    </row>
    <row r="537" spans="3:12" ht="56.55" customHeight="1" x14ac:dyDescent="0.3">
      <c r="C537" s="1512" t="str">
        <f>CONCATENATE("I have audited the statement of accounts of the"," ",'Standing Data'!D4," ","for the year ended"," ",('Standing Data'!D40)," ","under the Local Government (Northern Ireland) Order 2005."," ","The financial statements comprise the Movement in Reserves Statement, Comprehensive Income and Expenditure Statement, Balance Sheet, Cash Flow Statement, and related notes."," ","The financial statements have been prepared under the accounting policies set out within them.")</f>
        <v>I have audited the statement of accounts of the NAME OF COUNCIL for the year ended 31st March 2026 under the Local Government (Northern Ireland) Order 2005. The financial statements comprise the Movement in Reserves Statement, Comprehensive Income and Expenditure Statement, Balance Sheet, Cash Flow Statement, and related notes. The financial statements have been prepared under the accounting policies set out within them.</v>
      </c>
      <c r="D537" s="1512"/>
      <c r="E537" s="1512"/>
      <c r="F537" s="1512"/>
      <c r="G537" s="1512"/>
      <c r="H537" s="1512"/>
      <c r="I537" s="1512"/>
      <c r="J537" s="1512"/>
      <c r="K537" s="1512"/>
      <c r="L537" s="1512"/>
    </row>
    <row r="538" spans="3:12" x14ac:dyDescent="0.3">
      <c r="C538" s="1501"/>
      <c r="D538" s="1501"/>
      <c r="E538" s="1501"/>
      <c r="F538" s="1501"/>
      <c r="G538" s="1501"/>
      <c r="H538" s="1501"/>
      <c r="I538" s="1501"/>
      <c r="J538" s="1501"/>
      <c r="K538" s="1501"/>
      <c r="L538" s="1501"/>
    </row>
    <row r="539" spans="3:12" ht="40.5" customHeight="1" x14ac:dyDescent="0.3">
      <c r="C539" s="1512" t="str">
        <f>CONCATENATE("This report is made solely to the Members of the"," ",'Standing Data'!B71," ","in accordance with the Local Government (Northern Ireland) Order 2005 and for no other purpose, as specified in the Statement of Responsibilities issued by the Chief Local Government Auditor.")</f>
        <v>This report is made solely to the Members of the  in accordance with the Local Government (Northern Ireland) Order 2005 and for no other purpose, as specified in the Statement of Responsibilities issued by the Chief Local Government Auditor.</v>
      </c>
      <c r="D539" s="1512"/>
      <c r="E539" s="1512"/>
      <c r="F539" s="1512"/>
      <c r="G539" s="1512"/>
      <c r="H539" s="1512"/>
      <c r="I539" s="1512"/>
      <c r="J539" s="1512"/>
      <c r="K539" s="1512"/>
      <c r="L539" s="1512"/>
    </row>
    <row r="540" spans="3:12" x14ac:dyDescent="0.3">
      <c r="C540" s="1501"/>
      <c r="D540" s="1501"/>
      <c r="E540" s="1501"/>
      <c r="F540" s="1501"/>
      <c r="G540" s="1501"/>
      <c r="H540" s="1501"/>
      <c r="I540" s="1501"/>
      <c r="J540" s="1501"/>
      <c r="K540" s="1501"/>
      <c r="L540" s="1501"/>
    </row>
    <row r="541" spans="3:12" x14ac:dyDescent="0.3">
      <c r="C541" s="1536" t="s">
        <v>527</v>
      </c>
      <c r="D541" s="1536"/>
      <c r="E541" s="1536"/>
      <c r="F541" s="1536"/>
      <c r="G541" s="1536"/>
      <c r="H541" s="1536"/>
      <c r="I541" s="1536"/>
      <c r="J541" s="1536"/>
      <c r="K541" s="1536"/>
      <c r="L541" s="1536"/>
    </row>
    <row r="542" spans="3:12" ht="97.5" customHeight="1" x14ac:dyDescent="0.3">
      <c r="C542" s="1512" t="s">
        <v>834</v>
      </c>
      <c r="D542" s="1512"/>
      <c r="E542" s="1512"/>
      <c r="F542" s="1512"/>
      <c r="G542" s="1512"/>
      <c r="H542" s="1512"/>
      <c r="I542" s="1512"/>
      <c r="J542" s="1512"/>
      <c r="K542" s="1512"/>
      <c r="L542" s="1512"/>
    </row>
    <row r="543" spans="3:12" x14ac:dyDescent="0.3">
      <c r="C543" s="1501"/>
      <c r="D543" s="1501"/>
      <c r="E543" s="1501"/>
      <c r="F543" s="1501"/>
      <c r="G543" s="1501"/>
      <c r="H543" s="1501"/>
      <c r="I543" s="1501"/>
      <c r="J543" s="1501"/>
      <c r="K543" s="1501"/>
      <c r="L543" s="1501"/>
    </row>
    <row r="544" spans="3:12" x14ac:dyDescent="0.3">
      <c r="C544" s="1536" t="s">
        <v>835</v>
      </c>
      <c r="D544" s="1536"/>
      <c r="E544" s="1536"/>
      <c r="F544" s="1536"/>
      <c r="G544" s="1536"/>
      <c r="H544" s="1536"/>
      <c r="I544" s="1536"/>
      <c r="J544" s="1536"/>
      <c r="K544" s="1536"/>
      <c r="L544" s="1536"/>
    </row>
    <row r="545" spans="3:12" s="772" customFormat="1" ht="101.55" customHeight="1" x14ac:dyDescent="0.3">
      <c r="C545" s="1512" t="str">
        <f>CONCATENATE("An audit involves obtaining evidence about the amounts and disclosures in the financial statements sufficient to give reasonable assurance that the financial statements are free from material misstatement, whether caused by fraud or error."," ","This includes an assessment of: whether the accounting policies are appropriate to the ",'Standing Data'!B4,"'s"," circumstances and have been consistently applied and adequately disclosed; the reasonableness of significant accounting estimates made by ",'Standing Data'!B4,"; and the overall presentation of the financial statements."," ","In addition I read all the financial and non-financial information in the Statement of Accounts to identify material inconsistencies with the audited financial statements."," ","If I become aware of any apparent material misstatements or inconsistencies I consider the implications for my report.")</f>
        <v>An audit involves obtaining evidence about the amounts and disclosures in the financial statements sufficient to give reasonable assurance that the financial statements are free from material misstatement, whether caused by fraud or error. This includes an assessment of: whether the accounting policies are appropriate to the NAME OF COUNCIL's circumstances and have been consistently applied and adequately disclosed; the reasonableness of significant accounting estimates made by NAME OF COUNCIL; and the overall presentation of the financial statements. In addition I read all the financial and non-financial information in the Statement of Accounts to identify material inconsistencies with the audited financial statements. If I become aware of any apparent material misstatements or inconsistencies I consider the implications for my report.</v>
      </c>
      <c r="D545" s="1512"/>
      <c r="E545" s="1512"/>
      <c r="F545" s="1512"/>
      <c r="G545" s="1512"/>
      <c r="H545" s="1512"/>
      <c r="I545" s="1512"/>
      <c r="J545" s="1512"/>
      <c r="K545" s="1512"/>
      <c r="L545" s="1512"/>
    </row>
    <row r="546" spans="3:12" x14ac:dyDescent="0.3">
      <c r="C546" s="1501"/>
      <c r="D546" s="1501"/>
      <c r="E546" s="1501"/>
      <c r="F546" s="1501"/>
      <c r="G546" s="1501"/>
      <c r="H546" s="1501"/>
      <c r="I546" s="1501"/>
      <c r="J546" s="1501"/>
      <c r="K546" s="1501"/>
      <c r="L546" s="1501"/>
    </row>
    <row r="547" spans="3:12" x14ac:dyDescent="0.3">
      <c r="C547" s="1535" t="s">
        <v>836</v>
      </c>
      <c r="D547" s="1535"/>
      <c r="E547" s="1535"/>
      <c r="F547" s="1535"/>
      <c r="G547" s="1535"/>
      <c r="H547" s="1535"/>
      <c r="I547" s="1535"/>
      <c r="J547" s="1535"/>
      <c r="K547" s="1535"/>
      <c r="L547" s="1535"/>
    </row>
    <row r="548" spans="3:12" x14ac:dyDescent="0.3">
      <c r="C548" s="1513" t="s">
        <v>837</v>
      </c>
      <c r="D548" s="1513"/>
      <c r="E548" s="1513"/>
      <c r="F548" s="1513"/>
    </row>
    <row r="549" spans="3:12" ht="54" customHeight="1" x14ac:dyDescent="0.3">
      <c r="C549" s="771" t="s">
        <v>838</v>
      </c>
      <c r="D549" s="1512" t="str">
        <f>CONCATENATE("the financial statements gives a true and fair view."," ","In accordance with relevant legal and statutory requirements and the Code of Practice on Local Authority Accounting in the United Kingdom","  ","of the financial position of the"," ",('Standing Data'!D4)," ","as at"," ",('Standing Data'!D40)," ","and its income and expenditure for the year then ended; and")</f>
        <v>the financial statements gives a true and fair view. In accordance with relevant legal and statutory requirements and the Code of Practice on Local Authority Accounting in the United Kingdom  of the financial position of the NAME OF COUNCIL as at 31st March 2026 and its income and expenditure for the year then ended; and</v>
      </c>
      <c r="E549" s="1512"/>
      <c r="F549" s="1512"/>
      <c r="G549" s="1512"/>
      <c r="H549" s="1512"/>
      <c r="I549" s="1512"/>
      <c r="J549" s="1512"/>
      <c r="K549" s="1512"/>
      <c r="L549" s="1512"/>
    </row>
    <row r="550" spans="3:12" x14ac:dyDescent="0.3">
      <c r="C550" s="1501"/>
      <c r="D550" s="1501"/>
      <c r="E550" s="1501"/>
      <c r="F550" s="1501"/>
      <c r="G550" s="1501"/>
      <c r="H550" s="1501"/>
      <c r="I550" s="1501"/>
      <c r="J550" s="1501"/>
      <c r="K550" s="1501"/>
      <c r="L550" s="1501"/>
    </row>
    <row r="551" spans="3:12" ht="37.5" customHeight="1" x14ac:dyDescent="0.3">
      <c r="C551" s="771" t="s">
        <v>838</v>
      </c>
      <c r="D551" s="1512" t="s">
        <v>1724</v>
      </c>
      <c r="E551" s="1512"/>
      <c r="F551" s="1512"/>
      <c r="G551" s="1512"/>
      <c r="H551" s="1512"/>
      <c r="I551" s="1512"/>
      <c r="J551" s="1512"/>
      <c r="K551" s="1512"/>
      <c r="L551" s="1512"/>
    </row>
    <row r="552" spans="3:12" x14ac:dyDescent="0.3">
      <c r="C552" s="1501"/>
      <c r="D552" s="1501"/>
      <c r="E552" s="1501"/>
      <c r="F552" s="1501"/>
      <c r="G552" s="1501"/>
      <c r="H552" s="1501"/>
      <c r="I552" s="1501"/>
      <c r="J552" s="1501"/>
      <c r="K552" s="1501"/>
      <c r="L552" s="1501"/>
    </row>
    <row r="553" spans="3:12" x14ac:dyDescent="0.3">
      <c r="C553" s="1536" t="s">
        <v>839</v>
      </c>
      <c r="D553" s="1536"/>
      <c r="E553" s="1536"/>
      <c r="F553" s="1536"/>
    </row>
    <row r="554" spans="3:12" ht="27.6" customHeight="1" x14ac:dyDescent="0.3">
      <c r="C554" s="1512" t="str">
        <f>CONCATENATE("In my opinion the information given in the Narrative Report for the financial year ended"," ",'Standing Data'!D40," ","is consistent with the financial statements.")</f>
        <v>In my opinion the information given in the Narrative Report for the financial year ended 31st March 2026 is consistent with the financial statements.</v>
      </c>
      <c r="D554" s="1512"/>
      <c r="E554" s="1512"/>
      <c r="F554" s="1512"/>
      <c r="G554" s="1512"/>
      <c r="H554" s="1512"/>
      <c r="I554" s="1512"/>
      <c r="J554" s="1512"/>
      <c r="K554" s="1512"/>
      <c r="L554" s="1512"/>
    </row>
    <row r="555" spans="3:12" x14ac:dyDescent="0.3">
      <c r="C555" s="1501"/>
      <c r="D555" s="1501"/>
      <c r="E555" s="1501"/>
      <c r="F555" s="1501"/>
      <c r="G555" s="1501"/>
      <c r="H555" s="1501"/>
      <c r="I555" s="1501"/>
      <c r="J555" s="1501"/>
      <c r="K555" s="1501"/>
      <c r="L555" s="1501"/>
    </row>
    <row r="556" spans="3:12" ht="16.5" customHeight="1" x14ac:dyDescent="0.3">
      <c r="C556" s="1535" t="s">
        <v>840</v>
      </c>
      <c r="D556" s="1535"/>
      <c r="E556" s="1535"/>
      <c r="F556" s="1535"/>
      <c r="G556" s="1535"/>
      <c r="H556" s="1535"/>
      <c r="I556" s="1535"/>
      <c r="J556" s="1535"/>
      <c r="K556" s="1535"/>
      <c r="L556" s="1535"/>
    </row>
    <row r="557" spans="3:12" x14ac:dyDescent="0.3">
      <c r="C557" s="1501" t="s">
        <v>841</v>
      </c>
      <c r="D557" s="1501"/>
      <c r="E557" s="1501"/>
      <c r="F557" s="1501"/>
      <c r="G557" s="1501"/>
      <c r="H557" s="1501"/>
      <c r="I557" s="1501"/>
      <c r="J557" s="1501"/>
      <c r="K557" s="1501"/>
      <c r="L557" s="1501"/>
    </row>
    <row r="558" spans="3:12" ht="15.75" customHeight="1" x14ac:dyDescent="0.3">
      <c r="C558" s="771" t="s">
        <v>838</v>
      </c>
      <c r="D558" s="1504" t="s">
        <v>842</v>
      </c>
      <c r="E558" s="1504"/>
      <c r="F558" s="1504"/>
      <c r="G558" s="1504"/>
      <c r="H558" s="1504"/>
      <c r="I558" s="1504"/>
      <c r="J558" s="1504"/>
      <c r="K558" s="1504"/>
      <c r="L558" s="1504"/>
    </row>
    <row r="559" spans="3:12" ht="29.55" customHeight="1" x14ac:dyDescent="0.3">
      <c r="D559" s="782" t="s">
        <v>843</v>
      </c>
      <c r="E559" s="1512" t="str">
        <f>CONCATENATE("does not reflect compliance with the Code of Practice on Local Authority Accounting in the United Kingdom ",('Standing Data'!D34),",")</f>
        <v>does not reflect compliance with the Code of Practice on Local Authority Accounting in the United Kingdom 2025/26,</v>
      </c>
      <c r="F559" s="1512"/>
      <c r="G559" s="1512"/>
      <c r="H559" s="1512"/>
      <c r="I559" s="1512"/>
      <c r="J559" s="1512"/>
      <c r="K559" s="1512"/>
      <c r="L559" s="1512"/>
    </row>
    <row r="560" spans="3:12" ht="16.5" customHeight="1" x14ac:dyDescent="0.3">
      <c r="D560" s="782" t="s">
        <v>843</v>
      </c>
      <c r="E560" s="1512" t="s">
        <v>1725</v>
      </c>
      <c r="F560" s="1512"/>
      <c r="G560" s="1512"/>
      <c r="H560" s="1512"/>
      <c r="I560" s="1512"/>
      <c r="J560" s="1512"/>
      <c r="K560" s="1512"/>
      <c r="L560" s="1512"/>
    </row>
    <row r="561" spans="3:12" ht="19.05" customHeight="1" x14ac:dyDescent="0.3">
      <c r="D561" s="782" t="s">
        <v>843</v>
      </c>
      <c r="E561" s="1512" t="s">
        <v>844</v>
      </c>
      <c r="F561" s="1512"/>
      <c r="G561" s="1512"/>
      <c r="H561" s="1512"/>
      <c r="I561" s="1512"/>
      <c r="J561" s="1512"/>
      <c r="K561" s="1512"/>
      <c r="L561" s="1512"/>
    </row>
    <row r="562" spans="3:12" x14ac:dyDescent="0.3">
      <c r="C562" s="1501"/>
      <c r="D562" s="1501"/>
      <c r="E562" s="1501"/>
      <c r="F562" s="1501"/>
      <c r="G562" s="1501"/>
      <c r="H562" s="1501"/>
      <c r="I562" s="1501"/>
      <c r="J562" s="1501"/>
      <c r="K562" s="1501"/>
      <c r="L562" s="1501"/>
    </row>
    <row r="563" spans="3:12" x14ac:dyDescent="0.3">
      <c r="C563" s="771" t="s">
        <v>838</v>
      </c>
      <c r="D563" s="1513" t="s">
        <v>845</v>
      </c>
      <c r="E563" s="1513"/>
      <c r="F563" s="1513"/>
      <c r="G563" s="1513"/>
      <c r="H563" s="1513"/>
      <c r="I563" s="1513"/>
      <c r="J563" s="1513"/>
      <c r="K563" s="1513"/>
      <c r="L563" s="1513"/>
    </row>
    <row r="564" spans="3:12" x14ac:dyDescent="0.3">
      <c r="C564" s="771" t="s">
        <v>838</v>
      </c>
      <c r="D564" s="1513" t="s">
        <v>846</v>
      </c>
      <c r="E564" s="1513"/>
      <c r="F564" s="1513"/>
      <c r="G564" s="1513"/>
      <c r="H564" s="1513"/>
      <c r="I564" s="1513"/>
      <c r="J564" s="1513"/>
      <c r="K564" s="1513"/>
      <c r="L564" s="1513"/>
    </row>
    <row r="565" spans="3:12" x14ac:dyDescent="0.3">
      <c r="C565" s="771" t="s">
        <v>838</v>
      </c>
      <c r="D565" s="1501" t="s">
        <v>847</v>
      </c>
      <c r="E565" s="1501"/>
      <c r="F565" s="1501"/>
      <c r="G565" s="1501"/>
      <c r="H565" s="1501"/>
      <c r="I565" s="1501"/>
      <c r="J565" s="1501"/>
      <c r="K565" s="1501"/>
      <c r="L565" s="1501"/>
    </row>
    <row r="566" spans="3:12" x14ac:dyDescent="0.3">
      <c r="C566" s="1501"/>
      <c r="D566" s="1501"/>
      <c r="E566" s="1501"/>
      <c r="F566" s="1501"/>
      <c r="G566" s="1501"/>
      <c r="H566" s="1501"/>
      <c r="I566" s="1501"/>
      <c r="J566" s="1501"/>
      <c r="K566" s="1501"/>
      <c r="L566" s="1501"/>
    </row>
    <row r="567" spans="3:12" x14ac:dyDescent="0.3">
      <c r="C567" s="1501"/>
      <c r="D567" s="1501"/>
      <c r="E567" s="1501"/>
      <c r="F567" s="1501"/>
      <c r="G567" s="1501"/>
      <c r="H567" s="1501"/>
      <c r="I567" s="1501"/>
      <c r="J567" s="1501"/>
      <c r="K567" s="1501"/>
      <c r="L567" s="1501"/>
    </row>
    <row r="568" spans="3:12" x14ac:dyDescent="0.3">
      <c r="C568" s="1501"/>
      <c r="D568" s="1501"/>
      <c r="E568" s="1501"/>
      <c r="F568" s="1501"/>
      <c r="G568" s="1501"/>
      <c r="H568" s="1501"/>
      <c r="I568" s="1501"/>
      <c r="J568" s="1501"/>
      <c r="K568" s="1501"/>
      <c r="L568" s="1501"/>
    </row>
    <row r="569" spans="3:12" x14ac:dyDescent="0.3">
      <c r="C569" s="1501"/>
      <c r="D569" s="1501"/>
      <c r="E569" s="1501"/>
      <c r="F569" s="1501"/>
      <c r="G569" s="1501"/>
      <c r="H569" s="1501"/>
      <c r="I569" s="1501"/>
      <c r="J569" s="1501"/>
      <c r="K569" s="1501"/>
      <c r="L569" s="1501"/>
    </row>
    <row r="570" spans="3:12" x14ac:dyDescent="0.3">
      <c r="C570" s="1536" t="s">
        <v>848</v>
      </c>
      <c r="D570" s="1536"/>
      <c r="E570" s="1536"/>
      <c r="F570" s="1536"/>
      <c r="G570" s="1536"/>
      <c r="H570" s="1536"/>
    </row>
    <row r="571" spans="3:12" ht="45.6" customHeight="1" x14ac:dyDescent="0.3">
      <c r="C571" s="1512" t="str">
        <f>CONCATENATE("I certify that I have completed the audit of the accounts of the ",'Standing Data'!B71,",in accordance with the requirements of the Local Government (Northern Ireland) Order 2005 and the Local Government Code of Audit Practice issued by the Chief Local Government Auditor.")</f>
        <v>I certify that I have completed the audit of the accounts of the ,in accordance with the requirements of the Local Government (Northern Ireland) Order 2005 and the Local Government Code of Audit Practice issued by the Chief Local Government Auditor.</v>
      </c>
      <c r="D571" s="1512"/>
      <c r="E571" s="1512"/>
      <c r="F571" s="1512"/>
      <c r="G571" s="1512"/>
      <c r="H571" s="1512"/>
      <c r="I571" s="1512"/>
      <c r="J571" s="1512"/>
      <c r="K571" s="1512"/>
      <c r="L571" s="1512"/>
    </row>
    <row r="572" spans="3:12" x14ac:dyDescent="0.3">
      <c r="C572" s="1501"/>
      <c r="D572" s="1501"/>
      <c r="E572" s="1501"/>
      <c r="F572" s="1501"/>
      <c r="G572" s="1501"/>
      <c r="H572" s="1501"/>
      <c r="I572" s="1501"/>
      <c r="J572" s="1501"/>
      <c r="K572" s="1501"/>
      <c r="L572" s="1501"/>
    </row>
    <row r="573" spans="3:12" x14ac:dyDescent="0.3">
      <c r="C573" s="1501"/>
      <c r="D573" s="1501"/>
      <c r="E573" s="1501"/>
      <c r="F573" s="1501"/>
      <c r="G573" s="1501"/>
      <c r="H573" s="1501"/>
      <c r="I573" s="1501"/>
      <c r="J573" s="1501"/>
      <c r="K573" s="1501"/>
      <c r="L573" s="1501"/>
    </row>
    <row r="574" spans="3:12" x14ac:dyDescent="0.3">
      <c r="C574" s="1501"/>
      <c r="D574" s="1501"/>
      <c r="E574" s="1501"/>
      <c r="F574" s="1501"/>
      <c r="G574" s="1501"/>
      <c r="H574" s="1501"/>
      <c r="I574" s="1501"/>
      <c r="J574" s="1501"/>
      <c r="K574" s="1501"/>
      <c r="L574" s="1501"/>
    </row>
    <row r="575" spans="3:12" x14ac:dyDescent="0.3">
      <c r="C575" s="1501"/>
      <c r="D575" s="1501"/>
      <c r="E575" s="1501"/>
      <c r="F575" s="1501"/>
      <c r="G575" s="1501"/>
      <c r="H575" s="1501"/>
      <c r="I575" s="1501"/>
      <c r="J575" s="1501"/>
      <c r="K575" s="1501"/>
      <c r="L575" s="1501"/>
    </row>
    <row r="576" spans="3:12" ht="27" customHeight="1" x14ac:dyDescent="0.3">
      <c r="C576" s="1501"/>
      <c r="D576" s="1501"/>
      <c r="E576" s="1501"/>
      <c r="F576" s="1501"/>
      <c r="G576" s="1501"/>
      <c r="H576" s="1501"/>
      <c r="I576" s="1501"/>
      <c r="J576" s="1501"/>
      <c r="K576" s="1501"/>
      <c r="L576" s="1501"/>
    </row>
    <row r="577" spans="3:12" x14ac:dyDescent="0.3">
      <c r="C577" s="1501" t="s">
        <v>849</v>
      </c>
      <c r="D577" s="1501"/>
      <c r="E577" s="1501"/>
      <c r="F577" s="1501"/>
      <c r="G577" s="1501"/>
      <c r="H577" s="1501"/>
      <c r="I577" s="1501"/>
      <c r="J577" s="1501"/>
      <c r="K577" s="1501"/>
      <c r="L577" s="1501"/>
    </row>
    <row r="578" spans="3:12" x14ac:dyDescent="0.3">
      <c r="C578" s="1501" t="s">
        <v>850</v>
      </c>
      <c r="D578" s="1501"/>
      <c r="E578" s="1501"/>
      <c r="F578" s="1501"/>
      <c r="G578" s="1501"/>
      <c r="H578" s="1501"/>
      <c r="I578" s="1501"/>
      <c r="J578" s="1501"/>
      <c r="K578" s="1501"/>
      <c r="L578" s="1501"/>
    </row>
    <row r="579" spans="3:12" x14ac:dyDescent="0.3">
      <c r="C579" s="1501" t="s">
        <v>851</v>
      </c>
      <c r="D579" s="1501"/>
      <c r="E579" s="1501"/>
      <c r="F579" s="1501"/>
      <c r="G579" s="1501"/>
      <c r="H579" s="1501"/>
      <c r="I579" s="1501"/>
      <c r="J579" s="1501"/>
      <c r="K579" s="1501"/>
      <c r="L579" s="1501"/>
    </row>
    <row r="580" spans="3:12" x14ac:dyDescent="0.3">
      <c r="C580" s="1501" t="s">
        <v>852</v>
      </c>
      <c r="D580" s="1501"/>
      <c r="E580" s="1501"/>
      <c r="F580" s="1501"/>
      <c r="G580" s="1501"/>
      <c r="H580" s="1501"/>
      <c r="I580" s="1501"/>
      <c r="J580" s="1501"/>
      <c r="K580" s="1501"/>
      <c r="L580" s="1501"/>
    </row>
    <row r="581" spans="3:12" x14ac:dyDescent="0.3">
      <c r="C581" s="1501" t="s">
        <v>853</v>
      </c>
      <c r="D581" s="1501"/>
      <c r="E581" s="1501"/>
      <c r="F581" s="1501"/>
      <c r="G581" s="1501"/>
      <c r="H581" s="1501"/>
      <c r="I581" s="1501"/>
      <c r="J581" s="1501"/>
      <c r="K581" s="1501"/>
      <c r="L581" s="1501"/>
    </row>
    <row r="582" spans="3:12" x14ac:dyDescent="0.3">
      <c r="C582" s="1501"/>
      <c r="D582" s="1501"/>
      <c r="E582" s="1501"/>
      <c r="F582" s="1501"/>
      <c r="G582" s="1501"/>
      <c r="H582" s="1501"/>
      <c r="I582" s="1501"/>
      <c r="J582" s="1501"/>
      <c r="K582" s="1501"/>
      <c r="L582" s="1501"/>
    </row>
    <row r="583" spans="3:12" x14ac:dyDescent="0.3">
      <c r="C583" s="1534" t="s">
        <v>518</v>
      </c>
      <c r="D583" s="1534"/>
      <c r="E583" s="1534"/>
      <c r="F583" s="1534"/>
      <c r="G583" s="1534"/>
      <c r="H583" s="1534"/>
      <c r="I583" s="1534"/>
      <c r="J583" s="1534"/>
      <c r="K583" s="1534"/>
      <c r="L583" s="1534"/>
    </row>
    <row r="675" spans="4:11" x14ac:dyDescent="0.3">
      <c r="D675" s="533"/>
    </row>
    <row r="676" spans="4:11" x14ac:dyDescent="0.3">
      <c r="D676" s="533"/>
    </row>
    <row r="677" spans="4:11" x14ac:dyDescent="0.3">
      <c r="D677" s="533"/>
    </row>
    <row r="678" spans="4:11" x14ac:dyDescent="0.3">
      <c r="D678" s="533"/>
    </row>
    <row r="679" spans="4:11" x14ac:dyDescent="0.3">
      <c r="D679" s="1501"/>
      <c r="E679" s="1501"/>
      <c r="F679" s="1501"/>
      <c r="G679" s="1501"/>
      <c r="H679" s="1501"/>
      <c r="I679" s="1501"/>
      <c r="J679" s="1501"/>
      <c r="K679" s="1501"/>
    </row>
    <row r="929" spans="11:11" x14ac:dyDescent="0.3">
      <c r="K929" s="478">
        <f>J909</f>
        <v>0</v>
      </c>
    </row>
    <row r="1024" spans="9:11" x14ac:dyDescent="0.3">
      <c r="I1024" s="901">
        <v>42825</v>
      </c>
      <c r="J1024" s="901">
        <v>42460</v>
      </c>
      <c r="K1024" s="901"/>
    </row>
  </sheetData>
  <mergeCells count="745">
    <mergeCell ref="P9:U9"/>
    <mergeCell ref="P11:U11"/>
    <mergeCell ref="P13:U13"/>
    <mergeCell ref="P15:U15"/>
    <mergeCell ref="P19:U19"/>
    <mergeCell ref="C39:L39"/>
    <mergeCell ref="C40:L40"/>
    <mergeCell ref="C41:L41"/>
    <mergeCell ref="C325:D325"/>
    <mergeCell ref="E325:F325"/>
    <mergeCell ref="G325:H325"/>
    <mergeCell ref="I325:J325"/>
    <mergeCell ref="D210:L210"/>
    <mergeCell ref="C275:L275"/>
    <mergeCell ref="D284:L284"/>
    <mergeCell ref="D286:L286"/>
    <mergeCell ref="D288:L288"/>
    <mergeCell ref="D290:L290"/>
    <mergeCell ref="D292:L292"/>
    <mergeCell ref="D294:L294"/>
    <mergeCell ref="C319:L319"/>
    <mergeCell ref="C321:L321"/>
    <mergeCell ref="C279:L279"/>
    <mergeCell ref="C207:D207"/>
    <mergeCell ref="D679:K679"/>
    <mergeCell ref="D324:L324"/>
    <mergeCell ref="C326:L326"/>
    <mergeCell ref="D327:L327"/>
    <mergeCell ref="C329:L329"/>
    <mergeCell ref="C328:D328"/>
    <mergeCell ref="E328:F328"/>
    <mergeCell ref="G328:H328"/>
    <mergeCell ref="I328:J328"/>
    <mergeCell ref="K328:L328"/>
    <mergeCell ref="C391:D391"/>
    <mergeCell ref="C392:D392"/>
    <mergeCell ref="C393:D393"/>
    <mergeCell ref="E376:F376"/>
    <mergeCell ref="I366:J366"/>
    <mergeCell ref="C394:L394"/>
    <mergeCell ref="K375:L375"/>
    <mergeCell ref="G373:H373"/>
    <mergeCell ref="G374:H374"/>
    <mergeCell ref="G375:H375"/>
    <mergeCell ref="E375:F375"/>
    <mergeCell ref="K325:L325"/>
    <mergeCell ref="K372:L372"/>
    <mergeCell ref="C433:L433"/>
    <mergeCell ref="I375:J375"/>
    <mergeCell ref="I373:J373"/>
    <mergeCell ref="I374:J374"/>
    <mergeCell ref="E374:F374"/>
    <mergeCell ref="I372:J372"/>
    <mergeCell ref="C373:D373"/>
    <mergeCell ref="C374:D374"/>
    <mergeCell ref="C375:D375"/>
    <mergeCell ref="E372:F372"/>
    <mergeCell ref="E373:F373"/>
    <mergeCell ref="D204:L204"/>
    <mergeCell ref="C313:D313"/>
    <mergeCell ref="E313:F313"/>
    <mergeCell ref="D298:L298"/>
    <mergeCell ref="K207:L207"/>
    <mergeCell ref="C274:D274"/>
    <mergeCell ref="E274:F274"/>
    <mergeCell ref="G274:H274"/>
    <mergeCell ref="I274:J274"/>
    <mergeCell ref="K274:L274"/>
    <mergeCell ref="C211:D211"/>
    <mergeCell ref="E211:F211"/>
    <mergeCell ref="G211:H211"/>
    <mergeCell ref="I211:J211"/>
    <mergeCell ref="E207:F207"/>
    <mergeCell ref="G207:H207"/>
    <mergeCell ref="I207:J207"/>
    <mergeCell ref="D262:L262"/>
    <mergeCell ref="D260:L260"/>
    <mergeCell ref="D208:L208"/>
    <mergeCell ref="D296:L296"/>
    <mergeCell ref="G278:H278"/>
    <mergeCell ref="D256:L256"/>
    <mergeCell ref="D254:L254"/>
    <mergeCell ref="K181:L181"/>
    <mergeCell ref="D200:L200"/>
    <mergeCell ref="D202:L202"/>
    <mergeCell ref="C181:D181"/>
    <mergeCell ref="E181:F181"/>
    <mergeCell ref="G181:H181"/>
    <mergeCell ref="I181:J181"/>
    <mergeCell ref="D182:L182"/>
    <mergeCell ref="C191:D191"/>
    <mergeCell ref="E191:F191"/>
    <mergeCell ref="G191:H191"/>
    <mergeCell ref="D190:L190"/>
    <mergeCell ref="D192:L192"/>
    <mergeCell ref="C199:D199"/>
    <mergeCell ref="D194:L194"/>
    <mergeCell ref="D196:L196"/>
    <mergeCell ref="D198:L198"/>
    <mergeCell ref="D186:L186"/>
    <mergeCell ref="D188:L188"/>
    <mergeCell ref="D152:L152"/>
    <mergeCell ref="D156:L156"/>
    <mergeCell ref="D158:L158"/>
    <mergeCell ref="K147:L147"/>
    <mergeCell ref="C147:D147"/>
    <mergeCell ref="D180:L180"/>
    <mergeCell ref="D170:L170"/>
    <mergeCell ref="D172:L172"/>
    <mergeCell ref="D174:L174"/>
    <mergeCell ref="G167:H167"/>
    <mergeCell ref="D160:L160"/>
    <mergeCell ref="C167:D167"/>
    <mergeCell ref="I167:J167"/>
    <mergeCell ref="G385:G386"/>
    <mergeCell ref="H385:H386"/>
    <mergeCell ref="I385:I386"/>
    <mergeCell ref="C384:D386"/>
    <mergeCell ref="C387:D387"/>
    <mergeCell ref="C388:D388"/>
    <mergeCell ref="C389:D389"/>
    <mergeCell ref="C376:D376"/>
    <mergeCell ref="C133:L133"/>
    <mergeCell ref="D139:L139"/>
    <mergeCell ref="D141:L141"/>
    <mergeCell ref="D143:L143"/>
    <mergeCell ref="D144:L144"/>
    <mergeCell ref="D146:L146"/>
    <mergeCell ref="D150:L150"/>
    <mergeCell ref="E136:F136"/>
    <mergeCell ref="G136:H136"/>
    <mergeCell ref="I136:J136"/>
    <mergeCell ref="K136:L136"/>
    <mergeCell ref="C134:D134"/>
    <mergeCell ref="E134:F134"/>
    <mergeCell ref="G134:H134"/>
    <mergeCell ref="I134:J134"/>
    <mergeCell ref="K134:L134"/>
    <mergeCell ref="C361:L361"/>
    <mergeCell ref="C363:L363"/>
    <mergeCell ref="G368:H368"/>
    <mergeCell ref="G369:H369"/>
    <mergeCell ref="G370:H370"/>
    <mergeCell ref="K376:L376"/>
    <mergeCell ref="K373:L373"/>
    <mergeCell ref="K374:L374"/>
    <mergeCell ref="C390:D390"/>
    <mergeCell ref="G376:H376"/>
    <mergeCell ref="C377:L377"/>
    <mergeCell ref="C379:L379"/>
    <mergeCell ref="C380:L380"/>
    <mergeCell ref="C381:L381"/>
    <mergeCell ref="C383:L383"/>
    <mergeCell ref="J385:J386"/>
    <mergeCell ref="K385:K386"/>
    <mergeCell ref="L385:L386"/>
    <mergeCell ref="C382:L382"/>
    <mergeCell ref="C378:L378"/>
    <mergeCell ref="E384:H384"/>
    <mergeCell ref="I384:L384"/>
    <mergeCell ref="E385:E386"/>
    <mergeCell ref="F385:F386"/>
    <mergeCell ref="K366:L366"/>
    <mergeCell ref="K367:L367"/>
    <mergeCell ref="K368:L368"/>
    <mergeCell ref="K369:L369"/>
    <mergeCell ref="I371:J371"/>
    <mergeCell ref="E371:F371"/>
    <mergeCell ref="K370:L370"/>
    <mergeCell ref="K371:L371"/>
    <mergeCell ref="I368:J368"/>
    <mergeCell ref="I369:J369"/>
    <mergeCell ref="I370:J370"/>
    <mergeCell ref="I367:J367"/>
    <mergeCell ref="C362:L362"/>
    <mergeCell ref="G372:H372"/>
    <mergeCell ref="C346:L346"/>
    <mergeCell ref="C348:L348"/>
    <mergeCell ref="C350:L350"/>
    <mergeCell ref="E365:H365"/>
    <mergeCell ref="I365:L365"/>
    <mergeCell ref="E366:F366"/>
    <mergeCell ref="E367:F367"/>
    <mergeCell ref="E368:F368"/>
    <mergeCell ref="E369:F369"/>
    <mergeCell ref="C365:D366"/>
    <mergeCell ref="C367:D367"/>
    <mergeCell ref="C368:D368"/>
    <mergeCell ref="C369:D369"/>
    <mergeCell ref="C370:D370"/>
    <mergeCell ref="C371:D371"/>
    <mergeCell ref="C372:D372"/>
    <mergeCell ref="E370:F370"/>
    <mergeCell ref="C352:L352"/>
    <mergeCell ref="G371:H371"/>
    <mergeCell ref="C364:L364"/>
    <mergeCell ref="C354:L354"/>
    <mergeCell ref="C356:L356"/>
    <mergeCell ref="C360:L360"/>
    <mergeCell ref="C344:L344"/>
    <mergeCell ref="C332:L332"/>
    <mergeCell ref="C333:L333"/>
    <mergeCell ref="C334:L334"/>
    <mergeCell ref="C335:L335"/>
    <mergeCell ref="C336:L336"/>
    <mergeCell ref="C337:L337"/>
    <mergeCell ref="C338:L338"/>
    <mergeCell ref="C340:L340"/>
    <mergeCell ref="C341:L341"/>
    <mergeCell ref="C342:L342"/>
    <mergeCell ref="C343:L343"/>
    <mergeCell ref="C355:L355"/>
    <mergeCell ref="C357:L357"/>
    <mergeCell ref="D272:L272"/>
    <mergeCell ref="D270:L270"/>
    <mergeCell ref="D268:L268"/>
    <mergeCell ref="D266:L266"/>
    <mergeCell ref="C351:L351"/>
    <mergeCell ref="C358:L358"/>
    <mergeCell ref="C359:L359"/>
    <mergeCell ref="I278:J278"/>
    <mergeCell ref="K278:L278"/>
    <mergeCell ref="C277:L277"/>
    <mergeCell ref="G313:H313"/>
    <mergeCell ref="I313:J313"/>
    <mergeCell ref="K313:L313"/>
    <mergeCell ref="D282:L282"/>
    <mergeCell ref="D281:L281"/>
    <mergeCell ref="I322:J322"/>
    <mergeCell ref="C323:K323"/>
    <mergeCell ref="C314:L314"/>
    <mergeCell ref="E318:F318"/>
    <mergeCell ref="G318:H318"/>
    <mergeCell ref="I318:J318"/>
    <mergeCell ref="D206:L206"/>
    <mergeCell ref="K322:L322"/>
    <mergeCell ref="C318:D318"/>
    <mergeCell ref="D300:L300"/>
    <mergeCell ref="D310:L310"/>
    <mergeCell ref="D312:L312"/>
    <mergeCell ref="C315:D315"/>
    <mergeCell ref="D302:L302"/>
    <mergeCell ref="C316:L316"/>
    <mergeCell ref="C317:L317"/>
    <mergeCell ref="D304:L304"/>
    <mergeCell ref="D308:L308"/>
    <mergeCell ref="D306:L306"/>
    <mergeCell ref="C322:D322"/>
    <mergeCell ref="E322:F322"/>
    <mergeCell ref="G322:H322"/>
    <mergeCell ref="E315:F315"/>
    <mergeCell ref="G315:H315"/>
    <mergeCell ref="I315:J315"/>
    <mergeCell ref="K315:L315"/>
    <mergeCell ref="K318:L318"/>
    <mergeCell ref="K211:L211"/>
    <mergeCell ref="D264:L264"/>
    <mergeCell ref="D258:L258"/>
    <mergeCell ref="M65:V65"/>
    <mergeCell ref="M67:V67"/>
    <mergeCell ref="M69:V69"/>
    <mergeCell ref="C71:L71"/>
    <mergeCell ref="C72:L72"/>
    <mergeCell ref="C73:L73"/>
    <mergeCell ref="C74:L74"/>
    <mergeCell ref="C75:L75"/>
    <mergeCell ref="C76:L76"/>
    <mergeCell ref="M72:V72"/>
    <mergeCell ref="M74:V74"/>
    <mergeCell ref="M76:V76"/>
    <mergeCell ref="C68:L68"/>
    <mergeCell ref="C69:L69"/>
    <mergeCell ref="C70:L70"/>
    <mergeCell ref="C67:L67"/>
    <mergeCell ref="M55:V55"/>
    <mergeCell ref="C57:L57"/>
    <mergeCell ref="C58:L58"/>
    <mergeCell ref="C59:L59"/>
    <mergeCell ref="C60:L60"/>
    <mergeCell ref="C61:L61"/>
    <mergeCell ref="C62:L62"/>
    <mergeCell ref="M58:V58"/>
    <mergeCell ref="M60:V60"/>
    <mergeCell ref="M62:V62"/>
    <mergeCell ref="M21:Q21"/>
    <mergeCell ref="C20:L20"/>
    <mergeCell ref="C8:L8"/>
    <mergeCell ref="C5:L5"/>
    <mergeCell ref="C6:L6"/>
    <mergeCell ref="C7:L7"/>
    <mergeCell ref="C48:L48"/>
    <mergeCell ref="C49:L49"/>
    <mergeCell ref="C38:L38"/>
    <mergeCell ref="C32:L32"/>
    <mergeCell ref="C34:L34"/>
    <mergeCell ref="C24:L24"/>
    <mergeCell ref="C30:L30"/>
    <mergeCell ref="C22:L22"/>
    <mergeCell ref="C26:L26"/>
    <mergeCell ref="C35:L35"/>
    <mergeCell ref="C43:L43"/>
    <mergeCell ref="C19:L19"/>
    <mergeCell ref="C21:L21"/>
    <mergeCell ref="C23:L23"/>
    <mergeCell ref="C25:L25"/>
    <mergeCell ref="C27:L27"/>
    <mergeCell ref="C9:L9"/>
    <mergeCell ref="C11:L11"/>
    <mergeCell ref="C457:L457"/>
    <mergeCell ref="C459:L459"/>
    <mergeCell ref="C442:L442"/>
    <mergeCell ref="C440:L440"/>
    <mergeCell ref="C438:L438"/>
    <mergeCell ref="C436:L436"/>
    <mergeCell ref="C398:L398"/>
    <mergeCell ref="C400:L400"/>
    <mergeCell ref="C405:L405"/>
    <mergeCell ref="C407:L407"/>
    <mergeCell ref="C409:L409"/>
    <mergeCell ref="C411:L411"/>
    <mergeCell ref="C413:L413"/>
    <mergeCell ref="C415:L415"/>
    <mergeCell ref="C417:L417"/>
    <mergeCell ref="C419:L419"/>
    <mergeCell ref="C458:L458"/>
    <mergeCell ref="C451:E451"/>
    <mergeCell ref="C452:E452"/>
    <mergeCell ref="C453:E453"/>
    <mergeCell ref="C454:E454"/>
    <mergeCell ref="C455:E455"/>
    <mergeCell ref="C456:E456"/>
    <mergeCell ref="F453:H453"/>
    <mergeCell ref="C573:L573"/>
    <mergeCell ref="C574:L574"/>
    <mergeCell ref="C575:L575"/>
    <mergeCell ref="C566:L566"/>
    <mergeCell ref="C567:L567"/>
    <mergeCell ref="C568:L568"/>
    <mergeCell ref="C569:L569"/>
    <mergeCell ref="C562:L562"/>
    <mergeCell ref="C467:L467"/>
    <mergeCell ref="C469:L469"/>
    <mergeCell ref="C471:L471"/>
    <mergeCell ref="C473:L473"/>
    <mergeCell ref="C543:L543"/>
    <mergeCell ref="C540:L540"/>
    <mergeCell ref="C538:L538"/>
    <mergeCell ref="C555:L555"/>
    <mergeCell ref="C552:L552"/>
    <mergeCell ref="C550:L550"/>
    <mergeCell ref="C546:L546"/>
    <mergeCell ref="C547:L547"/>
    <mergeCell ref="C572:L572"/>
    <mergeCell ref="C505:L505"/>
    <mergeCell ref="C506:L506"/>
    <mergeCell ref="C521:L521"/>
    <mergeCell ref="C522:L522"/>
    <mergeCell ref="C515:L515"/>
    <mergeCell ref="C516:L516"/>
    <mergeCell ref="C517:L517"/>
    <mergeCell ref="C518:L518"/>
    <mergeCell ref="C519:L519"/>
    <mergeCell ref="C511:L511"/>
    <mergeCell ref="C512:L512"/>
    <mergeCell ref="C534:L534"/>
    <mergeCell ref="E514:F514"/>
    <mergeCell ref="C513:E513"/>
    <mergeCell ref="C523:L523"/>
    <mergeCell ref="C535:L535"/>
    <mergeCell ref="C530:L530"/>
    <mergeCell ref="C531:L531"/>
    <mergeCell ref="C532:L532"/>
    <mergeCell ref="C524:L524"/>
    <mergeCell ref="C525:L525"/>
    <mergeCell ref="C526:L526"/>
    <mergeCell ref="C527:L527"/>
    <mergeCell ref="C528:L528"/>
    <mergeCell ref="E533:F533"/>
    <mergeCell ref="C491:L491"/>
    <mergeCell ref="C489:L489"/>
    <mergeCell ref="C486:L486"/>
    <mergeCell ref="C487:L487"/>
    <mergeCell ref="C492:L492"/>
    <mergeCell ref="C498:L498"/>
    <mergeCell ref="C499:L499"/>
    <mergeCell ref="C500:L500"/>
    <mergeCell ref="C501:L501"/>
    <mergeCell ref="C497:L497"/>
    <mergeCell ref="C488:L488"/>
    <mergeCell ref="C490:L490"/>
    <mergeCell ref="C493:L493"/>
    <mergeCell ref="C494:L494"/>
    <mergeCell ref="C507:L507"/>
    <mergeCell ref="C508:L508"/>
    <mergeCell ref="C509:L509"/>
    <mergeCell ref="C503:L503"/>
    <mergeCell ref="K479:L479"/>
    <mergeCell ref="K480:L480"/>
    <mergeCell ref="K481:L481"/>
    <mergeCell ref="K482:L482"/>
    <mergeCell ref="K483:L483"/>
    <mergeCell ref="K484:L484"/>
    <mergeCell ref="K485:L485"/>
    <mergeCell ref="G479:H479"/>
    <mergeCell ref="G480:H480"/>
    <mergeCell ref="G481:H481"/>
    <mergeCell ref="G482:H482"/>
    <mergeCell ref="G483:H483"/>
    <mergeCell ref="G484:H484"/>
    <mergeCell ref="G485:H485"/>
    <mergeCell ref="E479:F479"/>
    <mergeCell ref="E480:F480"/>
    <mergeCell ref="E481:F481"/>
    <mergeCell ref="E482:F482"/>
    <mergeCell ref="E483:F483"/>
    <mergeCell ref="E484:F484"/>
    <mergeCell ref="E485:F485"/>
    <mergeCell ref="C479:D479"/>
    <mergeCell ref="C480:D480"/>
    <mergeCell ref="C481:D481"/>
    <mergeCell ref="C482:D482"/>
    <mergeCell ref="C483:D483"/>
    <mergeCell ref="C484:D484"/>
    <mergeCell ref="C485:D485"/>
    <mergeCell ref="C468:L468"/>
    <mergeCell ref="C470:L470"/>
    <mergeCell ref="C472:L472"/>
    <mergeCell ref="C474:L474"/>
    <mergeCell ref="C476:D478"/>
    <mergeCell ref="E476:F478"/>
    <mergeCell ref="G476:H478"/>
    <mergeCell ref="I476:I478"/>
    <mergeCell ref="J476:J478"/>
    <mergeCell ref="K476:L478"/>
    <mergeCell ref="C475:L475"/>
    <mergeCell ref="C460:L460"/>
    <mergeCell ref="C462:G463"/>
    <mergeCell ref="H462:L463"/>
    <mergeCell ref="C464:G464"/>
    <mergeCell ref="C465:G465"/>
    <mergeCell ref="C466:G466"/>
    <mergeCell ref="H464:L464"/>
    <mergeCell ref="H465:L465"/>
    <mergeCell ref="H466:L466"/>
    <mergeCell ref="C461:L461"/>
    <mergeCell ref="F454:H454"/>
    <mergeCell ref="F455:H455"/>
    <mergeCell ref="F456:H456"/>
    <mergeCell ref="I452:L452"/>
    <mergeCell ref="I453:L453"/>
    <mergeCell ref="I454:L454"/>
    <mergeCell ref="I455:L455"/>
    <mergeCell ref="I456:L456"/>
    <mergeCell ref="C447:L447"/>
    <mergeCell ref="C449:E450"/>
    <mergeCell ref="F449:H450"/>
    <mergeCell ref="I449:L450"/>
    <mergeCell ref="E559:L559"/>
    <mergeCell ref="E560:L560"/>
    <mergeCell ref="C570:H570"/>
    <mergeCell ref="C401:F401"/>
    <mergeCell ref="C402:F402"/>
    <mergeCell ref="C412:L412"/>
    <mergeCell ref="C414:L414"/>
    <mergeCell ref="C416:L416"/>
    <mergeCell ref="C418:L418"/>
    <mergeCell ref="C424:D424"/>
    <mergeCell ref="F421:F423"/>
    <mergeCell ref="G421:G423"/>
    <mergeCell ref="H421:H423"/>
    <mergeCell ref="I421:I423"/>
    <mergeCell ref="J421:J423"/>
    <mergeCell ref="K421:K423"/>
    <mergeCell ref="L421:L423"/>
    <mergeCell ref="C403:F403"/>
    <mergeCell ref="C404:F404"/>
    <mergeCell ref="C406:L406"/>
    <mergeCell ref="C408:L408"/>
    <mergeCell ref="C425:D425"/>
    <mergeCell ref="C426:D426"/>
    <mergeCell ref="C427:D427"/>
    <mergeCell ref="C553:F553"/>
    <mergeCell ref="C554:L554"/>
    <mergeCell ref="C557:L557"/>
    <mergeCell ref="C428:D428"/>
    <mergeCell ref="C429:D429"/>
    <mergeCell ref="C430:D430"/>
    <mergeCell ref="C431:D431"/>
    <mergeCell ref="C432:D432"/>
    <mergeCell ref="E432:F432"/>
    <mergeCell ref="C444:L444"/>
    <mergeCell ref="C446:L446"/>
    <mergeCell ref="C448:L448"/>
    <mergeCell ref="I451:L451"/>
    <mergeCell ref="F452:H452"/>
    <mergeCell ref="F451:H451"/>
    <mergeCell ref="G432:H432"/>
    <mergeCell ref="I432:J432"/>
    <mergeCell ref="K432:L432"/>
    <mergeCell ref="C435:L435"/>
    <mergeCell ref="C437:L437"/>
    <mergeCell ref="C439:L439"/>
    <mergeCell ref="C441:L441"/>
    <mergeCell ref="C443:L443"/>
    <mergeCell ref="C445:L445"/>
    <mergeCell ref="E420:H420"/>
    <mergeCell ref="I420:L420"/>
    <mergeCell ref="C420:D423"/>
    <mergeCell ref="C410:L410"/>
    <mergeCell ref="C395:L395"/>
    <mergeCell ref="C397:L397"/>
    <mergeCell ref="E421:E423"/>
    <mergeCell ref="C399:L399"/>
    <mergeCell ref="J402:L402"/>
    <mergeCell ref="J403:L403"/>
    <mergeCell ref="G401:I401"/>
    <mergeCell ref="G402:I402"/>
    <mergeCell ref="J404:L404"/>
    <mergeCell ref="C396:L396"/>
    <mergeCell ref="M152:S152"/>
    <mergeCell ref="M154:U154"/>
    <mergeCell ref="M155:S155"/>
    <mergeCell ref="M157:U157"/>
    <mergeCell ref="D154:L154"/>
    <mergeCell ref="D250:L250"/>
    <mergeCell ref="M191:V191"/>
    <mergeCell ref="D184:L184"/>
    <mergeCell ref="D176:L176"/>
    <mergeCell ref="I191:J191"/>
    <mergeCell ref="K191:L191"/>
    <mergeCell ref="M158:S158"/>
    <mergeCell ref="M166:U166"/>
    <mergeCell ref="M167:S167"/>
    <mergeCell ref="M160:U160"/>
    <mergeCell ref="M161:S161"/>
    <mergeCell ref="M163:U163"/>
    <mergeCell ref="M164:S164"/>
    <mergeCell ref="D162:L162"/>
    <mergeCell ref="D164:L164"/>
    <mergeCell ref="D168:L168"/>
    <mergeCell ref="D166:L166"/>
    <mergeCell ref="K167:L167"/>
    <mergeCell ref="E167:F167"/>
    <mergeCell ref="C132:D132"/>
    <mergeCell ref="E132:F132"/>
    <mergeCell ref="G132:H132"/>
    <mergeCell ref="I132:J132"/>
    <mergeCell ref="K132:L132"/>
    <mergeCell ref="M140:U140"/>
    <mergeCell ref="M142:U142"/>
    <mergeCell ref="M143:S143"/>
    <mergeCell ref="M151:U151"/>
    <mergeCell ref="C136:D136"/>
    <mergeCell ref="C135:L135"/>
    <mergeCell ref="D142:L142"/>
    <mergeCell ref="D145:L145"/>
    <mergeCell ref="E147:F147"/>
    <mergeCell ref="G147:H147"/>
    <mergeCell ref="I147:J147"/>
    <mergeCell ref="D148:L148"/>
    <mergeCell ref="M145:U145"/>
    <mergeCell ref="M137:U137"/>
    <mergeCell ref="M149:S149"/>
    <mergeCell ref="M138:S138"/>
    <mergeCell ref="M146:S146"/>
    <mergeCell ref="M148:U148"/>
    <mergeCell ref="C116:D116"/>
    <mergeCell ref="E116:F116"/>
    <mergeCell ref="G116:H116"/>
    <mergeCell ref="I116:J116"/>
    <mergeCell ref="K116:L116"/>
    <mergeCell ref="C119:L119"/>
    <mergeCell ref="D137:L137"/>
    <mergeCell ref="C128:D128"/>
    <mergeCell ref="E128:F128"/>
    <mergeCell ref="G128:H128"/>
    <mergeCell ref="I128:J128"/>
    <mergeCell ref="K128:L128"/>
    <mergeCell ref="C126:D126"/>
    <mergeCell ref="E126:F126"/>
    <mergeCell ref="G126:H126"/>
    <mergeCell ref="I126:J126"/>
    <mergeCell ref="K126:L126"/>
    <mergeCell ref="C127:L127"/>
    <mergeCell ref="C125:L125"/>
    <mergeCell ref="G130:H130"/>
    <mergeCell ref="C129:L129"/>
    <mergeCell ref="C117:L117"/>
    <mergeCell ref="C118:L118"/>
    <mergeCell ref="C120:L120"/>
    <mergeCell ref="C80:L80"/>
    <mergeCell ref="D106:J106"/>
    <mergeCell ref="C79:L79"/>
    <mergeCell ref="C114:D114"/>
    <mergeCell ref="E114:F114"/>
    <mergeCell ref="G114:H114"/>
    <mergeCell ref="I114:J114"/>
    <mergeCell ref="K114:L114"/>
    <mergeCell ref="C87:L87"/>
    <mergeCell ref="C104:J104"/>
    <mergeCell ref="C94:L94"/>
    <mergeCell ref="C91:L91"/>
    <mergeCell ref="D102:J102"/>
    <mergeCell ref="D108:L108"/>
    <mergeCell ref="C103:L103"/>
    <mergeCell ref="C109:L109"/>
    <mergeCell ref="C110:L110"/>
    <mergeCell ref="C96:L96"/>
    <mergeCell ref="D98:L98"/>
    <mergeCell ref="D100:L100"/>
    <mergeCell ref="C81:L81"/>
    <mergeCell ref="C115:L115"/>
    <mergeCell ref="C82:L82"/>
    <mergeCell ref="C83:L83"/>
    <mergeCell ref="C85:L85"/>
    <mergeCell ref="C112:D112"/>
    <mergeCell ref="E112:F112"/>
    <mergeCell ref="G112:H112"/>
    <mergeCell ref="I112:J112"/>
    <mergeCell ref="K112:L112"/>
    <mergeCell ref="C84:L84"/>
    <mergeCell ref="C86:L86"/>
    <mergeCell ref="C88:L88"/>
    <mergeCell ref="C92:L92"/>
    <mergeCell ref="C89:L89"/>
    <mergeCell ref="C90:L90"/>
    <mergeCell ref="C93:L93"/>
    <mergeCell ref="C95:L95"/>
    <mergeCell ref="C113:L113"/>
    <mergeCell ref="C111:L111"/>
    <mergeCell ref="C13:L13"/>
    <mergeCell ref="C15:L15"/>
    <mergeCell ref="C29:L29"/>
    <mergeCell ref="C31:L31"/>
    <mergeCell ref="C18:L18"/>
    <mergeCell ref="C10:L10"/>
    <mergeCell ref="C12:L12"/>
    <mergeCell ref="C14:L14"/>
    <mergeCell ref="C16:L16"/>
    <mergeCell ref="C17:L17"/>
    <mergeCell ref="C63:L63"/>
    <mergeCell ref="C64:L64"/>
    <mergeCell ref="C65:L65"/>
    <mergeCell ref="C66:L66"/>
    <mergeCell ref="C77:L77"/>
    <mergeCell ref="C78:L78"/>
    <mergeCell ref="C42:L42"/>
    <mergeCell ref="C51:L51"/>
    <mergeCell ref="C52:L52"/>
    <mergeCell ref="M51:V51"/>
    <mergeCell ref="M29:Q29"/>
    <mergeCell ref="C37:L37"/>
    <mergeCell ref="M33:Q33"/>
    <mergeCell ref="C33:L33"/>
    <mergeCell ref="M53:V53"/>
    <mergeCell ref="C53:L53"/>
    <mergeCell ref="C44:L44"/>
    <mergeCell ref="C583:L583"/>
    <mergeCell ref="D510:L510"/>
    <mergeCell ref="C520:L520"/>
    <mergeCell ref="C556:L556"/>
    <mergeCell ref="D558:L558"/>
    <mergeCell ref="C576:L576"/>
    <mergeCell ref="C577:L577"/>
    <mergeCell ref="C578:L578"/>
    <mergeCell ref="C579:L579"/>
    <mergeCell ref="C580:L580"/>
    <mergeCell ref="C541:L541"/>
    <mergeCell ref="C542:L542"/>
    <mergeCell ref="C544:L544"/>
    <mergeCell ref="C545:L545"/>
    <mergeCell ref="C548:F548"/>
    <mergeCell ref="D549:L549"/>
    <mergeCell ref="C121:L121"/>
    <mergeCell ref="C122:L122"/>
    <mergeCell ref="C123:L123"/>
    <mergeCell ref="C124:L124"/>
    <mergeCell ref="D230:L230"/>
    <mergeCell ref="D248:L248"/>
    <mergeCell ref="D246:L246"/>
    <mergeCell ref="D244:L244"/>
    <mergeCell ref="D242:L242"/>
    <mergeCell ref="D240:L240"/>
    <mergeCell ref="D238:L238"/>
    <mergeCell ref="D236:L236"/>
    <mergeCell ref="C130:D130"/>
    <mergeCell ref="E130:F130"/>
    <mergeCell ref="I130:J130"/>
    <mergeCell ref="K130:L130"/>
    <mergeCell ref="C131:L131"/>
    <mergeCell ref="E199:F199"/>
    <mergeCell ref="G199:H199"/>
    <mergeCell ref="I199:J199"/>
    <mergeCell ref="K199:L199"/>
    <mergeCell ref="D178:L178"/>
    <mergeCell ref="D234:L234"/>
    <mergeCell ref="D232:L232"/>
    <mergeCell ref="D563:L563"/>
    <mergeCell ref="D564:L564"/>
    <mergeCell ref="D565:L565"/>
    <mergeCell ref="D551:L551"/>
    <mergeCell ref="C536:L536"/>
    <mergeCell ref="C539:L539"/>
    <mergeCell ref="D252:L252"/>
    <mergeCell ref="G403:I403"/>
    <mergeCell ref="G404:I404"/>
    <mergeCell ref="J401:L401"/>
    <mergeCell ref="C537:L537"/>
    <mergeCell ref="C496:L496"/>
    <mergeCell ref="D502:L502"/>
    <mergeCell ref="D504:L504"/>
    <mergeCell ref="C339:L339"/>
    <mergeCell ref="C345:L345"/>
    <mergeCell ref="C347:L347"/>
    <mergeCell ref="C349:L349"/>
    <mergeCell ref="C353:L353"/>
    <mergeCell ref="C278:D278"/>
    <mergeCell ref="E278:F278"/>
    <mergeCell ref="I376:J376"/>
    <mergeCell ref="G366:H366"/>
    <mergeCell ref="G367:H367"/>
    <mergeCell ref="C581:L581"/>
    <mergeCell ref="C582:L582"/>
    <mergeCell ref="M25:Q25"/>
    <mergeCell ref="C47:L47"/>
    <mergeCell ref="C56:L56"/>
    <mergeCell ref="C54:L54"/>
    <mergeCell ref="C55:L55"/>
    <mergeCell ref="C28:L28"/>
    <mergeCell ref="C36:L36"/>
    <mergeCell ref="C45:L45"/>
    <mergeCell ref="C46:L46"/>
    <mergeCell ref="M45:V45"/>
    <mergeCell ref="C50:L50"/>
    <mergeCell ref="D212:L212"/>
    <mergeCell ref="D214:L214"/>
    <mergeCell ref="D216:L216"/>
    <mergeCell ref="D218:L218"/>
    <mergeCell ref="D220:L220"/>
    <mergeCell ref="D222:L222"/>
    <mergeCell ref="D228:L228"/>
    <mergeCell ref="D226:L226"/>
    <mergeCell ref="D224:L224"/>
    <mergeCell ref="C571:L571"/>
    <mergeCell ref="E561:L561"/>
  </mergeCells>
  <phoneticPr fontId="9" type="noConversion"/>
  <pageMargins left="0.70866141732283472" right="0.70866141732283472" top="0.74803149606299213" bottom="0.74803149606299213" header="0.31496062992125984" footer="0.31496062992125984"/>
  <pageSetup paperSize="9" scale="82" fitToHeight="0" orientation="portrait" r:id="rId1"/>
  <headerFooter>
    <oddFooter>&amp;R&amp;P</oddFooter>
  </headerFooter>
  <rowBreaks count="19" manualBreakCount="19">
    <brk id="28" min="2" max="11" man="1"/>
    <brk id="47" min="2" max="11" man="1"/>
    <brk id="77" min="2" max="11" man="1"/>
    <brk id="79" min="2" max="11" man="1"/>
    <brk id="110" min="2" max="11" man="1"/>
    <brk id="132" min="2" max="11" man="1"/>
    <brk id="156" min="2" max="11" man="1"/>
    <brk id="171" min="2" max="11" man="1"/>
    <brk id="191" min="2" max="11" man="1"/>
    <brk id="273" min="2" max="11" man="1"/>
    <brk id="296" min="2" max="11" man="1"/>
    <brk id="332" max="16383" man="1"/>
    <brk id="357" min="2" max="11" man="1"/>
    <brk id="394" max="16383" man="1"/>
    <brk id="434" min="2" max="11" man="1"/>
    <brk id="457" min="2" max="11" man="1"/>
    <brk id="495" max="16383" man="1"/>
    <brk id="534" min="2" max="11" man="1"/>
    <brk id="555" min="2"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N1045"/>
  <sheetViews>
    <sheetView view="pageBreakPreview" topLeftCell="A7" zoomScaleNormal="100" zoomScaleSheetLayoutView="100" workbookViewId="0">
      <selection activeCell="B217" sqref="B217"/>
    </sheetView>
  </sheetViews>
  <sheetFormatPr defaultColWidth="9.109375" defaultRowHeight="13.2" x14ac:dyDescent="0.25"/>
  <cols>
    <col min="1" max="1" width="14" style="401" customWidth="1"/>
    <col min="2" max="2" width="26.6640625" style="401" customWidth="1"/>
    <col min="3" max="3" width="5.6640625" style="669" customWidth="1"/>
    <col min="4" max="4" width="15.44140625" style="401" customWidth="1"/>
    <col min="5" max="5" width="15.6640625" style="401" customWidth="1"/>
    <col min="6" max="6" width="13.6640625" style="401" customWidth="1"/>
    <col min="7" max="7" width="18" style="401" customWidth="1"/>
    <col min="8" max="8" width="17.88671875" style="401" customWidth="1"/>
    <col min="9" max="9" width="18.5546875" style="401" bestFit="1" customWidth="1"/>
    <col min="10" max="10" width="1" style="401" customWidth="1"/>
    <col min="11" max="11" width="0" style="401" hidden="1" customWidth="1"/>
    <col min="12" max="12" width="11.5546875" style="401" customWidth="1"/>
    <col min="13" max="13" width="13.44140625" style="401" customWidth="1"/>
    <col min="14" max="14" width="35.44140625" style="401" customWidth="1"/>
    <col min="15" max="16384" width="9.109375" style="401"/>
  </cols>
  <sheetData>
    <row r="2" spans="1:11" x14ac:dyDescent="0.25">
      <c r="B2" s="401">
        <v>21.71</v>
      </c>
      <c r="C2" s="669">
        <v>4</v>
      </c>
      <c r="D2" s="401">
        <v>10.57</v>
      </c>
      <c r="E2" s="401">
        <v>10.57</v>
      </c>
      <c r="F2" s="401">
        <v>10.57</v>
      </c>
      <c r="G2" s="401">
        <v>10.57</v>
      </c>
      <c r="H2" s="401">
        <v>10.57</v>
      </c>
      <c r="I2" s="401">
        <v>10.57</v>
      </c>
      <c r="J2" s="401">
        <v>0.57999999999999996</v>
      </c>
      <c r="K2" s="401" t="s">
        <v>854</v>
      </c>
    </row>
    <row r="3" spans="1:11" x14ac:dyDescent="0.25">
      <c r="A3" s="401" t="s">
        <v>448</v>
      </c>
    </row>
    <row r="4" spans="1:11" ht="13.5" customHeight="1" x14ac:dyDescent="0.25">
      <c r="A4" s="401" t="s">
        <v>448</v>
      </c>
      <c r="B4" s="1698" t="str">
        <f>'Standing Data'!D4</f>
        <v>NAME OF COUNCIL</v>
      </c>
      <c r="C4" s="1698"/>
      <c r="D4" s="1698"/>
      <c r="E4" s="1698"/>
      <c r="F4" s="1698"/>
      <c r="G4" s="1698"/>
      <c r="H4" s="1698"/>
      <c r="I4" s="1698"/>
    </row>
    <row r="5" spans="1:11" x14ac:dyDescent="0.25">
      <c r="A5" s="401" t="s">
        <v>448</v>
      </c>
      <c r="B5" s="467" t="str">
        <f>'Standing Data'!D12</f>
        <v>Comprehensive Income and Expenditure Statement for the year ended 31 March 2026</v>
      </c>
      <c r="D5" s="789"/>
      <c r="E5" s="789"/>
      <c r="F5" s="789"/>
      <c r="G5" s="789"/>
      <c r="H5" s="789"/>
      <c r="I5" s="789"/>
    </row>
    <row r="6" spans="1:11" x14ac:dyDescent="0.25">
      <c r="A6" s="401" t="s">
        <v>448</v>
      </c>
      <c r="B6" s="1693"/>
      <c r="C6" s="1693"/>
      <c r="D6" s="1693"/>
      <c r="E6" s="1693"/>
      <c r="F6" s="1693"/>
      <c r="G6" s="1693"/>
      <c r="H6" s="1693"/>
      <c r="I6" s="1693"/>
    </row>
    <row r="7" spans="1:11" ht="55.5" customHeight="1" x14ac:dyDescent="0.25">
      <c r="A7" s="401" t="s">
        <v>448</v>
      </c>
      <c r="B7" s="1504" t="str">
        <f>IF('Non TB - Note 1'!F2=1,'Non TB - Note 1'!H2," ")</f>
        <v>The Comprehensive Income and Expenditure Statement shows the accounting cost in the year of providing services in accordance with generally accepted accounting practices, rather than the amount to be funded from taxation.  Councils raise taxation to cover expenditure in accordance with statutory requirements; this may be difference from the accounting cost. The taxation position is shown in both the Expenditure and Funding Analysis and the Movement in Reserves Statement.</v>
      </c>
      <c r="C7" s="1504"/>
      <c r="D7" s="1504"/>
      <c r="E7" s="1504"/>
      <c r="F7" s="1504"/>
      <c r="G7" s="1504"/>
      <c r="H7" s="1504"/>
      <c r="I7" s="1504"/>
    </row>
    <row r="8" spans="1:11" x14ac:dyDescent="0.25">
      <c r="A8" s="401" t="s">
        <v>448</v>
      </c>
      <c r="B8" s="1693"/>
      <c r="C8" s="1693"/>
      <c r="D8" s="1693"/>
      <c r="E8" s="1693"/>
      <c r="F8" s="1693"/>
      <c r="G8" s="1693"/>
      <c r="H8" s="1693"/>
      <c r="I8" s="1693"/>
    </row>
    <row r="9" spans="1:11" x14ac:dyDescent="0.25">
      <c r="A9" s="401" t="s">
        <v>448</v>
      </c>
      <c r="B9" s="800"/>
      <c r="C9" s="801"/>
      <c r="D9" s="1700" t="str">
        <f>'Standing Data'!D34</f>
        <v>2025/26</v>
      </c>
      <c r="E9" s="1700"/>
      <c r="F9" s="1700"/>
      <c r="G9" s="1700" t="str">
        <f>'Standing Data'!D52</f>
        <v>2024/25</v>
      </c>
      <c r="H9" s="1700"/>
      <c r="I9" s="1700"/>
    </row>
    <row r="10" spans="1:11" ht="22.8" x14ac:dyDescent="0.25">
      <c r="A10" s="401" t="s">
        <v>448</v>
      </c>
      <c r="B10" s="1174"/>
      <c r="C10" s="1175"/>
      <c r="D10" s="1176" t="s">
        <v>340</v>
      </c>
      <c r="E10" s="1176" t="s">
        <v>341</v>
      </c>
      <c r="F10" s="1176" t="s">
        <v>342</v>
      </c>
      <c r="G10" s="1176" t="s">
        <v>340</v>
      </c>
      <c r="H10" s="1176" t="s">
        <v>341</v>
      </c>
      <c r="I10" s="1176" t="s">
        <v>342</v>
      </c>
    </row>
    <row r="11" spans="1:11" x14ac:dyDescent="0.25">
      <c r="A11" s="401" t="s">
        <v>448</v>
      </c>
      <c r="B11" s="1177" t="s">
        <v>160</v>
      </c>
      <c r="C11" s="1175" t="s">
        <v>343</v>
      </c>
      <c r="D11" s="1178" t="s">
        <v>450</v>
      </c>
      <c r="E11" s="1178" t="s">
        <v>450</v>
      </c>
      <c r="F11" s="1178" t="s">
        <v>450</v>
      </c>
      <c r="G11" s="1178" t="s">
        <v>450</v>
      </c>
      <c r="H11" s="1178" t="s">
        <v>450</v>
      </c>
      <c r="I11" s="1178" t="s">
        <v>450</v>
      </c>
      <c r="J11" s="485"/>
      <c r="K11" s="485"/>
    </row>
    <row r="12" spans="1:11" ht="24" customHeight="1" x14ac:dyDescent="0.25">
      <c r="A12" s="401" t="str">
        <f t="shared" ref="A12:A46" si="0">IF(AND(F12=0,I12=0),"Do Not Print","Print")</f>
        <v>Do Not Print</v>
      </c>
      <c r="B12" s="1179" t="str">
        <f>'Input -CIES'!E7</f>
        <v>CIES Line 1</v>
      </c>
      <c r="C12" s="1180">
        <f>+Checklist!E50</f>
        <v>2</v>
      </c>
      <c r="D12" s="1181">
        <f>'Det CIES'!N7</f>
        <v>0</v>
      </c>
      <c r="E12" s="1181">
        <f>'Det CIES'!O7</f>
        <v>0</v>
      </c>
      <c r="F12" s="1181">
        <f>'Det CIES'!P7</f>
        <v>0</v>
      </c>
      <c r="G12" s="1181">
        <f>'Det CIES'!Q7</f>
        <v>0</v>
      </c>
      <c r="H12" s="1181">
        <f>'Det CIES'!R7</f>
        <v>0</v>
      </c>
      <c r="I12" s="1181">
        <f>'Det CIES'!S7</f>
        <v>0</v>
      </c>
    </row>
    <row r="13" spans="1:11" ht="33.75" customHeight="1" x14ac:dyDescent="0.25">
      <c r="A13" s="401" t="str">
        <f t="shared" si="0"/>
        <v>Do Not Print</v>
      </c>
      <c r="B13" s="1179" t="str">
        <f>'Input -CIES'!E8</f>
        <v>CIES Line 2</v>
      </c>
      <c r="C13" s="1180">
        <f>+Checklist!E50</f>
        <v>2</v>
      </c>
      <c r="D13" s="1181">
        <f>'Det CIES'!N8</f>
        <v>0</v>
      </c>
      <c r="E13" s="1181">
        <f>'Det CIES'!O8</f>
        <v>0</v>
      </c>
      <c r="F13" s="1181">
        <f>'Det CIES'!P8</f>
        <v>0</v>
      </c>
      <c r="G13" s="1181">
        <f>'Det CIES'!Q8</f>
        <v>0</v>
      </c>
      <c r="H13" s="1181">
        <f>'Det CIES'!R8</f>
        <v>0</v>
      </c>
      <c r="I13" s="1181">
        <f>'Det CIES'!S8</f>
        <v>0</v>
      </c>
    </row>
    <row r="14" spans="1:11" ht="41.25" customHeight="1" x14ac:dyDescent="0.25">
      <c r="A14" s="401" t="str">
        <f t="shared" si="0"/>
        <v>Do Not Print</v>
      </c>
      <c r="B14" s="1179" t="str">
        <f>'Input -CIES'!E9</f>
        <v>CIES Line 3</v>
      </c>
      <c r="C14" s="1180">
        <f>+Checklist!E50</f>
        <v>2</v>
      </c>
      <c r="D14" s="1181">
        <f>'Det CIES'!N9</f>
        <v>0</v>
      </c>
      <c r="E14" s="1181">
        <f>'Det CIES'!O9</f>
        <v>0</v>
      </c>
      <c r="F14" s="1181">
        <f>D14+E14</f>
        <v>0</v>
      </c>
      <c r="G14" s="1181">
        <f>'Det CIES'!Q9</f>
        <v>0</v>
      </c>
      <c r="H14" s="1181">
        <f>'Det CIES'!R9</f>
        <v>0</v>
      </c>
      <c r="I14" s="1181">
        <f>'Det CIES'!S9</f>
        <v>0</v>
      </c>
    </row>
    <row r="15" spans="1:11" ht="23.25" customHeight="1" x14ac:dyDescent="0.25">
      <c r="A15" s="401" t="str">
        <f t="shared" si="0"/>
        <v>Do Not Print</v>
      </c>
      <c r="B15" s="1179" t="str">
        <f>'Input -CIES'!E10</f>
        <v>CIES Line 4</v>
      </c>
      <c r="C15" s="1180">
        <f>+Checklist!E50</f>
        <v>2</v>
      </c>
      <c r="D15" s="1181">
        <f>'Det CIES'!N10</f>
        <v>0</v>
      </c>
      <c r="E15" s="1181">
        <f>'Det CIES'!O10</f>
        <v>0</v>
      </c>
      <c r="F15" s="1181">
        <f>'Det CIES'!P10</f>
        <v>0</v>
      </c>
      <c r="G15" s="1181">
        <f>'Det CIES'!Q10</f>
        <v>0</v>
      </c>
      <c r="H15" s="1181">
        <f>'Det CIES'!R10</f>
        <v>0</v>
      </c>
      <c r="I15" s="1181">
        <f>'Det CIES'!S10</f>
        <v>0</v>
      </c>
    </row>
    <row r="16" spans="1:11" ht="39" customHeight="1" x14ac:dyDescent="0.25">
      <c r="A16" s="401" t="str">
        <f t="shared" si="0"/>
        <v>Do Not Print</v>
      </c>
      <c r="B16" s="1179" t="str">
        <f>'Input -CIES'!E11</f>
        <v>CIES Line 5</v>
      </c>
      <c r="C16" s="1180">
        <f>+Checklist!E50</f>
        <v>2</v>
      </c>
      <c r="D16" s="1181">
        <f>'Det CIES'!N11</f>
        <v>0</v>
      </c>
      <c r="E16" s="1181">
        <f>'Det CIES'!O11</f>
        <v>0</v>
      </c>
      <c r="F16" s="1181">
        <f>'Det CIES'!P11</f>
        <v>0</v>
      </c>
      <c r="G16" s="1181">
        <f>'Det CIES'!Q11</f>
        <v>0</v>
      </c>
      <c r="H16" s="1181">
        <f>'Det CIES'!R11</f>
        <v>0</v>
      </c>
      <c r="I16" s="1181">
        <f>'Det CIES'!S11</f>
        <v>0</v>
      </c>
    </row>
    <row r="17" spans="1:9" ht="36" customHeight="1" x14ac:dyDescent="0.25">
      <c r="A17" s="401" t="str">
        <f t="shared" si="0"/>
        <v>Do Not Print</v>
      </c>
      <c r="B17" s="1179" t="str">
        <f>'Input -CIES'!E12</f>
        <v>CIES Line 6</v>
      </c>
      <c r="C17" s="1180">
        <f>+Checklist!E50</f>
        <v>2</v>
      </c>
      <c r="D17" s="1181">
        <f>'Det CIES'!N12</f>
        <v>0</v>
      </c>
      <c r="E17" s="1181">
        <f>'Det CIES'!O12</f>
        <v>0</v>
      </c>
      <c r="F17" s="1181">
        <f>'Det CIES'!P12</f>
        <v>0</v>
      </c>
      <c r="G17" s="1181">
        <f>'Det CIES'!Q12</f>
        <v>0</v>
      </c>
      <c r="H17" s="1181">
        <f>'Det CIES'!R12</f>
        <v>0</v>
      </c>
      <c r="I17" s="1181">
        <f>'Det CIES'!S12</f>
        <v>0</v>
      </c>
    </row>
    <row r="18" spans="1:9" ht="36.75" customHeight="1" x14ac:dyDescent="0.25">
      <c r="A18" s="401" t="str">
        <f t="shared" si="0"/>
        <v>Do Not Print</v>
      </c>
      <c r="B18" s="1179" t="str">
        <f>'Input -CIES'!E13</f>
        <v>CIES Line 7</v>
      </c>
      <c r="C18" s="1180">
        <f>+Checklist!E50</f>
        <v>2</v>
      </c>
      <c r="D18" s="1181">
        <f>'Det CIES'!N13</f>
        <v>0</v>
      </c>
      <c r="E18" s="1181">
        <f>'Det CIES'!O13</f>
        <v>0</v>
      </c>
      <c r="F18" s="1181">
        <f>D18+E18</f>
        <v>0</v>
      </c>
      <c r="G18" s="1181">
        <f>'Det CIES'!Q13</f>
        <v>0</v>
      </c>
      <c r="H18" s="1181">
        <f>'Det CIES'!R13</f>
        <v>0</v>
      </c>
      <c r="I18" s="1181">
        <f>'Det CIES'!S13</f>
        <v>0</v>
      </c>
    </row>
    <row r="19" spans="1:9" x14ac:dyDescent="0.25">
      <c r="A19" s="401" t="str">
        <f t="shared" si="0"/>
        <v>Do Not Print</v>
      </c>
      <c r="B19" s="1179" t="str">
        <f>'Input -CIES'!E14</f>
        <v>CIES Line 8</v>
      </c>
      <c r="C19" s="1180">
        <f>+Checklist!E50</f>
        <v>2</v>
      </c>
      <c r="D19" s="1181">
        <f>'Det CIES'!N14</f>
        <v>0</v>
      </c>
      <c r="E19" s="1181">
        <f>'Det CIES'!O14</f>
        <v>0</v>
      </c>
      <c r="F19" s="1181">
        <f>'Det CIES'!P14</f>
        <v>0</v>
      </c>
      <c r="G19" s="1181">
        <f>'Det CIES'!Q14</f>
        <v>0</v>
      </c>
      <c r="H19" s="1181">
        <f>'Det CIES'!R14</f>
        <v>0</v>
      </c>
      <c r="I19" s="1181">
        <f>'Det CIES'!S14</f>
        <v>0</v>
      </c>
    </row>
    <row r="20" spans="1:9" x14ac:dyDescent="0.25">
      <c r="A20" s="401" t="str">
        <f t="shared" si="0"/>
        <v>Do Not Print</v>
      </c>
      <c r="B20" s="1179" t="str">
        <f>'Input -CIES'!E15</f>
        <v>CIES Line 9</v>
      </c>
      <c r="C20" s="1180">
        <f>+Checklist!E50</f>
        <v>2</v>
      </c>
      <c r="D20" s="1181">
        <f>'Det CIES'!N15</f>
        <v>0</v>
      </c>
      <c r="E20" s="1181">
        <f>'Det CIES'!O15</f>
        <v>0</v>
      </c>
      <c r="F20" s="1181">
        <f>'Det CIES'!P15</f>
        <v>0</v>
      </c>
      <c r="G20" s="1181">
        <f>'Det CIES'!Q15</f>
        <v>0</v>
      </c>
      <c r="H20" s="1181">
        <f>'Det CIES'!R15</f>
        <v>0</v>
      </c>
      <c r="I20" s="1181">
        <f>'Det CIES'!S15</f>
        <v>0</v>
      </c>
    </row>
    <row r="21" spans="1:9" x14ac:dyDescent="0.25">
      <c r="A21" s="401" t="str">
        <f t="shared" si="0"/>
        <v>Do Not Print</v>
      </c>
      <c r="B21" s="1179" t="str">
        <f>'Input -CIES'!E16</f>
        <v>CIES Line 10</v>
      </c>
      <c r="C21" s="1180">
        <f>+Checklist!E50</f>
        <v>2</v>
      </c>
      <c r="D21" s="1181">
        <f>'Det CIES'!N16</f>
        <v>0</v>
      </c>
      <c r="E21" s="1181">
        <f>'Det CIES'!O16</f>
        <v>0</v>
      </c>
      <c r="F21" s="1181">
        <f>'Det CIES'!P16</f>
        <v>0</v>
      </c>
      <c r="G21" s="1181">
        <f>'Det CIES'!Q16</f>
        <v>0</v>
      </c>
      <c r="H21" s="1181">
        <f>'Det CIES'!R16</f>
        <v>0</v>
      </c>
      <c r="I21" s="1181">
        <f>'Det CIES'!S16</f>
        <v>0</v>
      </c>
    </row>
    <row r="22" spans="1:9" x14ac:dyDescent="0.25">
      <c r="A22" s="401" t="str">
        <f t="shared" si="0"/>
        <v>Do Not Print</v>
      </c>
      <c r="B22" s="1179" t="str">
        <f>'Input -CIES'!E17</f>
        <v>CIES Line 11</v>
      </c>
      <c r="C22" s="1180">
        <f>+Checklist!E50</f>
        <v>2</v>
      </c>
      <c r="D22" s="1181">
        <f>'Det CIES'!N17</f>
        <v>0</v>
      </c>
      <c r="E22" s="1181">
        <f>'Det CIES'!O17</f>
        <v>0</v>
      </c>
      <c r="F22" s="1181">
        <f>'Det CIES'!P17</f>
        <v>0</v>
      </c>
      <c r="G22" s="1181">
        <f>'Det CIES'!Q17</f>
        <v>0</v>
      </c>
      <c r="H22" s="1181">
        <f>'Det CIES'!R17</f>
        <v>0</v>
      </c>
      <c r="I22" s="1181">
        <f>'Det CIES'!S17</f>
        <v>0</v>
      </c>
    </row>
    <row r="23" spans="1:9" x14ac:dyDescent="0.25">
      <c r="A23" s="401" t="str">
        <f t="shared" si="0"/>
        <v>Do Not Print</v>
      </c>
      <c r="B23" s="1179" t="str">
        <f>'Input -CIES'!E18</f>
        <v>CIES Line 12</v>
      </c>
      <c r="C23" s="1180">
        <f>+Checklist!E50</f>
        <v>2</v>
      </c>
      <c r="D23" s="1181">
        <f>'Det CIES'!N18</f>
        <v>0</v>
      </c>
      <c r="E23" s="1181">
        <f>'Det CIES'!O18</f>
        <v>0</v>
      </c>
      <c r="F23" s="1181">
        <f>'Det CIES'!P18</f>
        <v>0</v>
      </c>
      <c r="G23" s="1181">
        <f>'Det CIES'!Q18</f>
        <v>0</v>
      </c>
      <c r="H23" s="1181">
        <f>'Det CIES'!R18</f>
        <v>0</v>
      </c>
      <c r="I23" s="1181">
        <f>'Det CIES'!S18</f>
        <v>0</v>
      </c>
    </row>
    <row r="24" spans="1:9" x14ac:dyDescent="0.25">
      <c r="A24" s="401" t="str">
        <f t="shared" si="0"/>
        <v>Do Not Print</v>
      </c>
      <c r="B24" s="1179" t="str">
        <f>'Input -CIES'!E19</f>
        <v>CIES Line 13</v>
      </c>
      <c r="C24" s="1180">
        <f>+Checklist!E50</f>
        <v>2</v>
      </c>
      <c r="D24" s="1181">
        <f>'Det CIES'!N19</f>
        <v>0</v>
      </c>
      <c r="E24" s="1181">
        <f>'Det CIES'!O19</f>
        <v>0</v>
      </c>
      <c r="F24" s="1181">
        <f>'Det CIES'!P19</f>
        <v>0</v>
      </c>
      <c r="G24" s="1181">
        <f>'Det CIES'!Q19</f>
        <v>0</v>
      </c>
      <c r="H24" s="1181">
        <f>'Det CIES'!R19</f>
        <v>0</v>
      </c>
      <c r="I24" s="1181">
        <f>'Det CIES'!S19</f>
        <v>0</v>
      </c>
    </row>
    <row r="25" spans="1:9" x14ac:dyDescent="0.25">
      <c r="A25" s="401" t="str">
        <f t="shared" si="0"/>
        <v>Do Not Print</v>
      </c>
      <c r="B25" s="1179" t="str">
        <f>'Input -CIES'!E20</f>
        <v>CIES Line 14</v>
      </c>
      <c r="C25" s="1180">
        <f>+Checklist!E50</f>
        <v>2</v>
      </c>
      <c r="D25" s="1181">
        <f>'Det CIES'!N20</f>
        <v>0</v>
      </c>
      <c r="E25" s="1181">
        <f>'Det CIES'!O20</f>
        <v>0</v>
      </c>
      <c r="F25" s="1181">
        <f>'Det CIES'!P20</f>
        <v>0</v>
      </c>
      <c r="G25" s="1181">
        <f>'Det CIES'!Q20</f>
        <v>0</v>
      </c>
      <c r="H25" s="1181">
        <f>'Det CIES'!R20</f>
        <v>0</v>
      </c>
      <c r="I25" s="1181">
        <f>'Det CIES'!S20</f>
        <v>0</v>
      </c>
    </row>
    <row r="26" spans="1:9" x14ac:dyDescent="0.25">
      <c r="A26" s="401" t="str">
        <f t="shared" si="0"/>
        <v>Do Not Print</v>
      </c>
      <c r="B26" s="1179" t="str">
        <f>'Input -CIES'!E21</f>
        <v>CIES Line 15</v>
      </c>
      <c r="C26" s="1180">
        <f>+Checklist!E50</f>
        <v>2</v>
      </c>
      <c r="D26" s="1181">
        <f>'Det CIES'!N21</f>
        <v>0</v>
      </c>
      <c r="E26" s="1181">
        <f>'Det CIES'!O21</f>
        <v>0</v>
      </c>
      <c r="F26" s="1181">
        <f>'Det CIES'!P21</f>
        <v>0</v>
      </c>
      <c r="G26" s="1181">
        <f>'Det CIES'!Q21</f>
        <v>0</v>
      </c>
      <c r="H26" s="1181">
        <f>'Det CIES'!R21</f>
        <v>0</v>
      </c>
      <c r="I26" s="1181">
        <f>'Det CIES'!S21</f>
        <v>0</v>
      </c>
    </row>
    <row r="27" spans="1:9" x14ac:dyDescent="0.25">
      <c r="A27" s="401" t="str">
        <f t="shared" si="0"/>
        <v>Do Not Print</v>
      </c>
      <c r="B27" s="1179" t="str">
        <f>'Input -CIES'!E22</f>
        <v>CIES Line 16</v>
      </c>
      <c r="C27" s="1180">
        <f>+Checklist!E50</f>
        <v>2</v>
      </c>
      <c r="D27" s="1181">
        <f>'Det CIES'!N22</f>
        <v>0</v>
      </c>
      <c r="E27" s="1181">
        <f>'Det CIES'!O22</f>
        <v>0</v>
      </c>
      <c r="F27" s="1181">
        <f>'Det CIES'!P22</f>
        <v>0</v>
      </c>
      <c r="G27" s="1181">
        <f>'Det CIES'!Q22</f>
        <v>0</v>
      </c>
      <c r="H27" s="1181">
        <f>'Det CIES'!R22</f>
        <v>0</v>
      </c>
      <c r="I27" s="1181">
        <f>'Det CIES'!S22</f>
        <v>0</v>
      </c>
    </row>
    <row r="28" spans="1:9" x14ac:dyDescent="0.25">
      <c r="A28" s="401" t="str">
        <f t="shared" si="0"/>
        <v>Do Not Print</v>
      </c>
      <c r="B28" s="1179" t="str">
        <f>'Input -CIES'!E23</f>
        <v>CIES Line 17</v>
      </c>
      <c r="C28" s="1180">
        <f>+Checklist!E50</f>
        <v>2</v>
      </c>
      <c r="D28" s="1181">
        <f>'Det CIES'!N23</f>
        <v>0</v>
      </c>
      <c r="E28" s="1181">
        <f>'Det CIES'!O23</f>
        <v>0</v>
      </c>
      <c r="F28" s="1181">
        <f>'Det CIES'!P23</f>
        <v>0</v>
      </c>
      <c r="G28" s="1181">
        <f>'Det CIES'!Q23</f>
        <v>0</v>
      </c>
      <c r="H28" s="1181">
        <f>'Det CIES'!R23</f>
        <v>0</v>
      </c>
      <c r="I28" s="1181">
        <f>'Det CIES'!S23</f>
        <v>0</v>
      </c>
    </row>
    <row r="29" spans="1:9" x14ac:dyDescent="0.25">
      <c r="A29" s="401" t="str">
        <f t="shared" si="0"/>
        <v>Do Not Print</v>
      </c>
      <c r="B29" s="1179" t="str">
        <f>'Input -CIES'!E24</f>
        <v>CIES Line 18</v>
      </c>
      <c r="C29" s="1180">
        <f>+Checklist!E50</f>
        <v>2</v>
      </c>
      <c r="D29" s="1181">
        <f>'Det CIES'!N24</f>
        <v>0</v>
      </c>
      <c r="E29" s="1181">
        <f>'Det CIES'!O24</f>
        <v>0</v>
      </c>
      <c r="F29" s="1181">
        <f>'Det CIES'!P24</f>
        <v>0</v>
      </c>
      <c r="G29" s="1181">
        <f>'Det CIES'!Q24</f>
        <v>0</v>
      </c>
      <c r="H29" s="1181">
        <f>'Det CIES'!R24</f>
        <v>0</v>
      </c>
      <c r="I29" s="1181">
        <f>'Det CIES'!S24</f>
        <v>0</v>
      </c>
    </row>
    <row r="30" spans="1:9" x14ac:dyDescent="0.25">
      <c r="A30" s="401" t="str">
        <f t="shared" si="0"/>
        <v>Do Not Print</v>
      </c>
      <c r="B30" s="1179" t="str">
        <f>'Input -CIES'!E25</f>
        <v>CIES Line 19</v>
      </c>
      <c r="C30" s="1180">
        <f>+Checklist!E50</f>
        <v>2</v>
      </c>
      <c r="D30" s="1181">
        <f>'Det CIES'!N25</f>
        <v>0</v>
      </c>
      <c r="E30" s="1181">
        <f>'Det CIES'!O25</f>
        <v>0</v>
      </c>
      <c r="F30" s="1181">
        <f>'Det CIES'!P25</f>
        <v>0</v>
      </c>
      <c r="G30" s="1181">
        <f>'Det CIES'!Q25</f>
        <v>0</v>
      </c>
      <c r="H30" s="1181">
        <f>'Det CIES'!R25</f>
        <v>0</v>
      </c>
      <c r="I30" s="1181">
        <f>'Det CIES'!S25</f>
        <v>0</v>
      </c>
    </row>
    <row r="31" spans="1:9" x14ac:dyDescent="0.25">
      <c r="A31" s="401" t="str">
        <f t="shared" si="0"/>
        <v>Do Not Print</v>
      </c>
      <c r="B31" s="1179" t="str">
        <f>'Input -CIES'!E26</f>
        <v>CIES Line 20</v>
      </c>
      <c r="C31" s="1180">
        <f>+Checklist!E50</f>
        <v>2</v>
      </c>
      <c r="D31" s="1181">
        <f>'Det CIES'!N26</f>
        <v>0</v>
      </c>
      <c r="E31" s="1181">
        <f>'Det CIES'!O26</f>
        <v>0</v>
      </c>
      <c r="F31" s="1181">
        <f>'Det CIES'!P26</f>
        <v>0</v>
      </c>
      <c r="G31" s="1181">
        <f>'Det CIES'!Q26</f>
        <v>0</v>
      </c>
      <c r="H31" s="1181">
        <f>'Det CIES'!R26</f>
        <v>0</v>
      </c>
      <c r="I31" s="1181">
        <f>'Det CIES'!S26</f>
        <v>0</v>
      </c>
    </row>
    <row r="32" spans="1:9" x14ac:dyDescent="0.25">
      <c r="A32" s="401" t="str">
        <f t="shared" si="0"/>
        <v>Do Not Print</v>
      </c>
      <c r="B32" s="1179" t="str">
        <f>'Input -CIES'!E27</f>
        <v>CIES Line 21</v>
      </c>
      <c r="C32" s="1180">
        <f>+Checklist!E50</f>
        <v>2</v>
      </c>
      <c r="D32" s="1181">
        <f>'Det CIES'!N27</f>
        <v>0</v>
      </c>
      <c r="E32" s="1181">
        <f>'Det CIES'!O27</f>
        <v>0</v>
      </c>
      <c r="F32" s="1181">
        <f>'Det CIES'!P27</f>
        <v>0</v>
      </c>
      <c r="G32" s="1181">
        <f>'Det CIES'!Q27</f>
        <v>0</v>
      </c>
      <c r="H32" s="1181">
        <f>'Det CIES'!R27</f>
        <v>0</v>
      </c>
      <c r="I32" s="1181">
        <f>'Det CIES'!S27</f>
        <v>0</v>
      </c>
    </row>
    <row r="33" spans="1:9" x14ac:dyDescent="0.25">
      <c r="A33" s="401" t="str">
        <f t="shared" si="0"/>
        <v>Do Not Print</v>
      </c>
      <c r="B33" s="1179" t="str">
        <f>'Input -CIES'!E28</f>
        <v>CIES Line 22</v>
      </c>
      <c r="C33" s="1180">
        <f>+Checklist!E50</f>
        <v>2</v>
      </c>
      <c r="D33" s="1181">
        <f>'Det CIES'!N28</f>
        <v>0</v>
      </c>
      <c r="E33" s="1181">
        <f>'Det CIES'!O28</f>
        <v>0</v>
      </c>
      <c r="F33" s="1181">
        <f>'Det CIES'!P28</f>
        <v>0</v>
      </c>
      <c r="G33" s="1181">
        <f>'Det CIES'!Q28</f>
        <v>0</v>
      </c>
      <c r="H33" s="1181">
        <f>'Det CIES'!R28</f>
        <v>0</v>
      </c>
      <c r="I33" s="1181">
        <f>'Det CIES'!S28</f>
        <v>0</v>
      </c>
    </row>
    <row r="34" spans="1:9" x14ac:dyDescent="0.25">
      <c r="A34" s="401" t="str">
        <f t="shared" si="0"/>
        <v>Do Not Print</v>
      </c>
      <c r="B34" s="1179" t="str">
        <f>'Input -CIES'!E29</f>
        <v>CIES Line 23</v>
      </c>
      <c r="C34" s="1180">
        <f>+Checklist!E50</f>
        <v>2</v>
      </c>
      <c r="D34" s="1181">
        <f>'Det CIES'!N29</f>
        <v>0</v>
      </c>
      <c r="E34" s="1181">
        <f>'Det CIES'!O29</f>
        <v>0</v>
      </c>
      <c r="F34" s="1181">
        <f>'Det CIES'!P29</f>
        <v>0</v>
      </c>
      <c r="G34" s="1181">
        <f>'Det CIES'!Q29</f>
        <v>0</v>
      </c>
      <c r="H34" s="1181">
        <f>'Det CIES'!R29</f>
        <v>0</v>
      </c>
      <c r="I34" s="1181">
        <f>'Det CIES'!S29</f>
        <v>0</v>
      </c>
    </row>
    <row r="35" spans="1:9" x14ac:dyDescent="0.25">
      <c r="A35" s="401" t="str">
        <f t="shared" si="0"/>
        <v>Do Not Print</v>
      </c>
      <c r="B35" s="1179" t="str">
        <f>'Input -CIES'!E30</f>
        <v>CIES Line 24</v>
      </c>
      <c r="C35" s="1180">
        <f>+Checklist!E50</f>
        <v>2</v>
      </c>
      <c r="D35" s="1181">
        <f>'Det CIES'!N30</f>
        <v>0</v>
      </c>
      <c r="E35" s="1181">
        <f>'Det CIES'!O30</f>
        <v>0</v>
      </c>
      <c r="F35" s="1181">
        <f>'Det CIES'!P30</f>
        <v>0</v>
      </c>
      <c r="G35" s="1181">
        <f>'Det CIES'!Q30</f>
        <v>0</v>
      </c>
      <c r="H35" s="1181">
        <f>'Det CIES'!R30</f>
        <v>0</v>
      </c>
      <c r="I35" s="1181">
        <f>'Det CIES'!S30</f>
        <v>0</v>
      </c>
    </row>
    <row r="36" spans="1:9" x14ac:dyDescent="0.25">
      <c r="A36" s="401" t="str">
        <f t="shared" si="0"/>
        <v>Do Not Print</v>
      </c>
      <c r="B36" s="1179" t="str">
        <f>'Input -CIES'!E31</f>
        <v>CIES Line 25</v>
      </c>
      <c r="C36" s="1180">
        <f>+Checklist!E50</f>
        <v>2</v>
      </c>
      <c r="D36" s="1181">
        <f>'Det CIES'!N31</f>
        <v>0</v>
      </c>
      <c r="E36" s="1181">
        <f>'Det CIES'!O31</f>
        <v>0</v>
      </c>
      <c r="F36" s="1181">
        <f>'Det CIES'!P31</f>
        <v>0</v>
      </c>
      <c r="G36" s="1181">
        <f>'Det CIES'!Q31</f>
        <v>0</v>
      </c>
      <c r="H36" s="1181">
        <f>'Det CIES'!R31</f>
        <v>0</v>
      </c>
      <c r="I36" s="1181">
        <f>'Det CIES'!S31</f>
        <v>0</v>
      </c>
    </row>
    <row r="37" spans="1:9" x14ac:dyDescent="0.25">
      <c r="A37" s="401" t="str">
        <f t="shared" si="0"/>
        <v>Do Not Print</v>
      </c>
      <c r="B37" s="1179" t="str">
        <f>'Input -CIES'!E32</f>
        <v>CIES Line 26</v>
      </c>
      <c r="C37" s="1180">
        <f>+Checklist!E50</f>
        <v>2</v>
      </c>
      <c r="D37" s="1181">
        <f>'Det CIES'!N32</f>
        <v>0</v>
      </c>
      <c r="E37" s="1181">
        <f>'Det CIES'!O32</f>
        <v>0</v>
      </c>
      <c r="F37" s="1181">
        <f>'Det CIES'!P32</f>
        <v>0</v>
      </c>
      <c r="G37" s="1181">
        <f>'Det CIES'!Q32</f>
        <v>0</v>
      </c>
      <c r="H37" s="1181">
        <f>'Det CIES'!R32</f>
        <v>0</v>
      </c>
      <c r="I37" s="1181">
        <f>'Det CIES'!S32</f>
        <v>0</v>
      </c>
    </row>
    <row r="38" spans="1:9" x14ac:dyDescent="0.25">
      <c r="A38" s="401" t="str">
        <f t="shared" si="0"/>
        <v>Do Not Print</v>
      </c>
      <c r="B38" s="1179" t="str">
        <f>'Input -CIES'!E33</f>
        <v>CIES Line 27</v>
      </c>
      <c r="C38" s="1180">
        <f>+Checklist!E50</f>
        <v>2</v>
      </c>
      <c r="D38" s="1181">
        <f>'Det CIES'!N33</f>
        <v>0</v>
      </c>
      <c r="E38" s="1181">
        <f>'Det CIES'!O33</f>
        <v>0</v>
      </c>
      <c r="F38" s="1181">
        <f>'Det CIES'!P33</f>
        <v>0</v>
      </c>
      <c r="G38" s="1181">
        <f>'Det CIES'!Q33</f>
        <v>0</v>
      </c>
      <c r="H38" s="1181">
        <f>'Det CIES'!R33</f>
        <v>0</v>
      </c>
      <c r="I38" s="1181">
        <f>'Det CIES'!S33</f>
        <v>0</v>
      </c>
    </row>
    <row r="39" spans="1:9" x14ac:dyDescent="0.25">
      <c r="A39" s="401" t="str">
        <f t="shared" si="0"/>
        <v>Do Not Print</v>
      </c>
      <c r="B39" s="1179" t="str">
        <f>'Input -CIES'!E34</f>
        <v>CIES Line 28</v>
      </c>
      <c r="C39" s="1180">
        <f>+Checklist!E50</f>
        <v>2</v>
      </c>
      <c r="D39" s="1181">
        <f>'Det CIES'!N34</f>
        <v>0</v>
      </c>
      <c r="E39" s="1181">
        <f>'Det CIES'!O34</f>
        <v>0</v>
      </c>
      <c r="F39" s="1181">
        <f>'Det CIES'!P34</f>
        <v>0</v>
      </c>
      <c r="G39" s="1181">
        <f>'Det CIES'!Q34</f>
        <v>0</v>
      </c>
      <c r="H39" s="1181">
        <f>'Det CIES'!R34</f>
        <v>0</v>
      </c>
      <c r="I39" s="1181">
        <f>'Det CIES'!S34</f>
        <v>0</v>
      </c>
    </row>
    <row r="40" spans="1:9" x14ac:dyDescent="0.25">
      <c r="A40" s="401" t="str">
        <f t="shared" si="0"/>
        <v>Do Not Print</v>
      </c>
      <c r="B40" s="1179" t="str">
        <f>'Input -CIES'!E35</f>
        <v>CIES Line 29</v>
      </c>
      <c r="C40" s="1180">
        <f>+Checklist!E50</f>
        <v>2</v>
      </c>
      <c r="D40" s="1181">
        <f>'Det CIES'!N35</f>
        <v>0</v>
      </c>
      <c r="E40" s="1181">
        <f>'Det CIES'!O35</f>
        <v>0</v>
      </c>
      <c r="F40" s="1181">
        <f>'Det CIES'!P35</f>
        <v>0</v>
      </c>
      <c r="G40" s="1181">
        <f>'Det CIES'!Q35</f>
        <v>0</v>
      </c>
      <c r="H40" s="1181">
        <f>'Det CIES'!R35</f>
        <v>0</v>
      </c>
      <c r="I40" s="1181">
        <f>'Det CIES'!S35</f>
        <v>0</v>
      </c>
    </row>
    <row r="41" spans="1:9" x14ac:dyDescent="0.25">
      <c r="A41" s="401" t="str">
        <f t="shared" si="0"/>
        <v>Do Not Print</v>
      </c>
      <c r="B41" s="1179" t="str">
        <f>'Input -CIES'!E36</f>
        <v>CIES Line 30</v>
      </c>
      <c r="C41" s="1180">
        <f>+Checklist!E50</f>
        <v>2</v>
      </c>
      <c r="D41" s="1181">
        <f>'Det CIES'!N36</f>
        <v>0</v>
      </c>
      <c r="E41" s="1181">
        <f>'Det CIES'!O36</f>
        <v>0</v>
      </c>
      <c r="F41" s="1181">
        <f>'Det CIES'!P36</f>
        <v>0</v>
      </c>
      <c r="G41" s="1181">
        <f>'Det CIES'!Q36</f>
        <v>0</v>
      </c>
      <c r="H41" s="1181">
        <f>'Det CIES'!R36</f>
        <v>0</v>
      </c>
      <c r="I41" s="1181">
        <f>'Det CIES'!S36</f>
        <v>0</v>
      </c>
    </row>
    <row r="42" spans="1:9" x14ac:dyDescent="0.25">
      <c r="A42" s="401" t="str">
        <f t="shared" si="0"/>
        <v>Do Not Print</v>
      </c>
      <c r="B42" s="1179" t="str">
        <f>'Input -CIES'!E37</f>
        <v>CIES Line 31</v>
      </c>
      <c r="C42" s="1180">
        <f>+Checklist!E50</f>
        <v>2</v>
      </c>
      <c r="D42" s="1181">
        <f>'Det CIES'!N37</f>
        <v>0</v>
      </c>
      <c r="E42" s="1181">
        <f>'Det CIES'!O37</f>
        <v>0</v>
      </c>
      <c r="F42" s="1181">
        <f>'Det CIES'!P37</f>
        <v>0</v>
      </c>
      <c r="G42" s="1181">
        <f>'Det CIES'!Q37</f>
        <v>0</v>
      </c>
      <c r="H42" s="1181">
        <f>'Det CIES'!R37</f>
        <v>0</v>
      </c>
      <c r="I42" s="1181">
        <f>'Det CIES'!S37</f>
        <v>0</v>
      </c>
    </row>
    <row r="43" spans="1:9" x14ac:dyDescent="0.25">
      <c r="A43" s="401" t="str">
        <f t="shared" si="0"/>
        <v>Do Not Print</v>
      </c>
      <c r="B43" s="1179" t="str">
        <f>'Input -CIES'!E38</f>
        <v>CIES Line 32</v>
      </c>
      <c r="C43" s="1180">
        <f>+Checklist!E50</f>
        <v>2</v>
      </c>
      <c r="D43" s="1181">
        <f>'Det CIES'!N38</f>
        <v>0</v>
      </c>
      <c r="E43" s="1181">
        <f>'Det CIES'!O38</f>
        <v>0</v>
      </c>
      <c r="F43" s="1181">
        <f>'Det CIES'!P38</f>
        <v>0</v>
      </c>
      <c r="G43" s="1181">
        <f>'Det CIES'!Q38</f>
        <v>0</v>
      </c>
      <c r="H43" s="1181">
        <f>'Det CIES'!R38</f>
        <v>0</v>
      </c>
      <c r="I43" s="1181">
        <f>'Det CIES'!S38</f>
        <v>0</v>
      </c>
    </row>
    <row r="44" spans="1:9" x14ac:dyDescent="0.25">
      <c r="A44" s="401" t="str">
        <f t="shared" si="0"/>
        <v>Do Not Print</v>
      </c>
      <c r="B44" s="1179" t="str">
        <f>'Input -CIES'!E39</f>
        <v>CIES Line 33</v>
      </c>
      <c r="C44" s="1180">
        <f>+Checklist!E50</f>
        <v>2</v>
      </c>
      <c r="D44" s="1181">
        <f>'Det CIES'!N39</f>
        <v>0</v>
      </c>
      <c r="E44" s="1181">
        <f>'Det CIES'!O39</f>
        <v>0</v>
      </c>
      <c r="F44" s="1181">
        <f>'Det CIES'!P39</f>
        <v>0</v>
      </c>
      <c r="G44" s="1181">
        <f>'Det CIES'!Q39</f>
        <v>0</v>
      </c>
      <c r="H44" s="1181">
        <f>'Det CIES'!R39</f>
        <v>0</v>
      </c>
      <c r="I44" s="1181">
        <f>'Det CIES'!S39</f>
        <v>0</v>
      </c>
    </row>
    <row r="45" spans="1:9" x14ac:dyDescent="0.25">
      <c r="A45" s="401" t="str">
        <f t="shared" si="0"/>
        <v>Do Not Print</v>
      </c>
      <c r="B45" s="1179" t="str">
        <f>'Input -CIES'!E40</f>
        <v>CIES Line 34</v>
      </c>
      <c r="C45" s="1180">
        <f>+Checklist!E50</f>
        <v>2</v>
      </c>
      <c r="D45" s="1181">
        <f>'Det CIES'!N40</f>
        <v>0</v>
      </c>
      <c r="E45" s="1181">
        <f>'Det CIES'!O40</f>
        <v>0</v>
      </c>
      <c r="F45" s="1181">
        <f>'Det CIES'!P40</f>
        <v>0</v>
      </c>
      <c r="G45" s="1181">
        <f>'Det CIES'!Q40</f>
        <v>0</v>
      </c>
      <c r="H45" s="1181">
        <f>'Det CIES'!R40</f>
        <v>0</v>
      </c>
      <c r="I45" s="1181">
        <f>'Det CIES'!S40</f>
        <v>0</v>
      </c>
    </row>
    <row r="46" spans="1:9" x14ac:dyDescent="0.25">
      <c r="A46" s="401" t="str">
        <f t="shared" si="0"/>
        <v>Do Not Print</v>
      </c>
      <c r="B46" s="1179" t="str">
        <f>'Input -CIES'!E41</f>
        <v>CIES Line 35</v>
      </c>
      <c r="C46" s="1180">
        <f>+Checklist!E50</f>
        <v>2</v>
      </c>
      <c r="D46" s="1181">
        <f>'Det CIES'!N41</f>
        <v>0</v>
      </c>
      <c r="E46" s="1181">
        <f>'Det CIES'!O41</f>
        <v>0</v>
      </c>
      <c r="F46" s="1181">
        <f>'Det CIES'!P41</f>
        <v>0</v>
      </c>
      <c r="G46" s="1181">
        <f>'Det CIES'!Q41</f>
        <v>0</v>
      </c>
      <c r="H46" s="1181">
        <f>'Det CIES'!R41</f>
        <v>0</v>
      </c>
      <c r="I46" s="1181">
        <f>'Det CIES'!S41</f>
        <v>0</v>
      </c>
    </row>
    <row r="47" spans="1:9" x14ac:dyDescent="0.25">
      <c r="A47" s="401" t="s">
        <v>448</v>
      </c>
      <c r="B47" s="1182"/>
      <c r="C47" s="1180"/>
      <c r="D47" s="1181"/>
      <c r="E47" s="1181"/>
      <c r="F47" s="1181"/>
      <c r="G47" s="1181"/>
      <c r="H47" s="1181"/>
      <c r="I47" s="1181"/>
    </row>
    <row r="48" spans="1:9" ht="22.8" x14ac:dyDescent="0.25">
      <c r="A48" s="401" t="s">
        <v>448</v>
      </c>
      <c r="B48" s="1183" t="s">
        <v>344</v>
      </c>
      <c r="C48" s="1184"/>
      <c r="D48" s="1185">
        <f t="shared" ref="D48:I48" si="1">SUM(D12:D46)</f>
        <v>0</v>
      </c>
      <c r="E48" s="1185">
        <f t="shared" si="1"/>
        <v>0</v>
      </c>
      <c r="F48" s="1185">
        <f t="shared" si="1"/>
        <v>0</v>
      </c>
      <c r="G48" s="1185">
        <f t="shared" si="1"/>
        <v>0</v>
      </c>
      <c r="H48" s="1185">
        <f t="shared" si="1"/>
        <v>0</v>
      </c>
      <c r="I48" s="1185">
        <f t="shared" si="1"/>
        <v>0</v>
      </c>
    </row>
    <row r="49" spans="1:12" x14ac:dyDescent="0.25">
      <c r="A49" s="401" t="s">
        <v>448</v>
      </c>
      <c r="B49" s="1182"/>
      <c r="C49" s="1180"/>
      <c r="D49" s="1181"/>
      <c r="E49" s="1181"/>
      <c r="F49" s="1181"/>
      <c r="G49" s="1181"/>
      <c r="H49" s="1181"/>
      <c r="I49" s="1181"/>
    </row>
    <row r="50" spans="1:12" s="478" customFormat="1" ht="27.6" customHeight="1" x14ac:dyDescent="0.25">
      <c r="A50" s="401" t="str">
        <f>IF(AND(F50=0,I50=0),"Do Not Print","Print")</f>
        <v>Do Not Print</v>
      </c>
      <c r="B50" s="1179" t="s">
        <v>2993</v>
      </c>
      <c r="C50" s="1186">
        <f>Checklist!E74</f>
        <v>8</v>
      </c>
      <c r="D50" s="1187">
        <f>'Det CIES'!N51</f>
        <v>0</v>
      </c>
      <c r="E50" s="1187">
        <f>'Det CIES'!O51</f>
        <v>0</v>
      </c>
      <c r="F50" s="1187">
        <f>'Det CIES'!P51</f>
        <v>0</v>
      </c>
      <c r="G50" s="1187">
        <f>'Det CIES'!Q51</f>
        <v>0</v>
      </c>
      <c r="H50" s="1187">
        <f>'Det CIES'!R51</f>
        <v>0</v>
      </c>
      <c r="I50" s="1187">
        <f>'Det CIES'!S51</f>
        <v>0</v>
      </c>
      <c r="L50" s="401"/>
    </row>
    <row r="51" spans="1:12" x14ac:dyDescent="0.25">
      <c r="A51" s="401" t="s">
        <v>448</v>
      </c>
      <c r="B51" s="1182"/>
      <c r="C51" s="1180"/>
      <c r="D51" s="1181"/>
      <c r="E51" s="1181"/>
      <c r="F51" s="1181"/>
      <c r="G51" s="1181"/>
      <c r="H51" s="1181"/>
      <c r="I51" s="1181"/>
    </row>
    <row r="52" spans="1:12" ht="32.1" customHeight="1" x14ac:dyDescent="0.25">
      <c r="A52" s="401" t="str">
        <f>IF(AND(F52=0,I52=0),"Do Not Print","Print")</f>
        <v>Do Not Print</v>
      </c>
      <c r="B52" s="1179" t="s">
        <v>164</v>
      </c>
      <c r="C52" s="1180">
        <f>Checklist!E77</f>
        <v>9</v>
      </c>
      <c r="D52" s="1181">
        <f>'Det CIES'!N95</f>
        <v>0</v>
      </c>
      <c r="E52" s="1181">
        <f>'Det CIES'!O95</f>
        <v>0</v>
      </c>
      <c r="F52" s="1181">
        <f>'Det CIES'!P95</f>
        <v>0</v>
      </c>
      <c r="G52" s="1181">
        <f>'Det CIES'!Q95</f>
        <v>0</v>
      </c>
      <c r="H52" s="1181">
        <f>'Det CIES'!R95</f>
        <v>0</v>
      </c>
      <c r="I52" s="1181">
        <f>'Det CIES'!S95</f>
        <v>0</v>
      </c>
    </row>
    <row r="53" spans="1:12" x14ac:dyDescent="0.25">
      <c r="A53" s="401" t="s">
        <v>593</v>
      </c>
      <c r="B53" s="1182"/>
      <c r="C53" s="1180"/>
      <c r="D53" s="1181"/>
      <c r="E53" s="1181"/>
      <c r="F53" s="1181"/>
      <c r="G53" s="1181"/>
      <c r="H53" s="1181"/>
      <c r="I53" s="1181"/>
    </row>
    <row r="54" spans="1:12" ht="25.5" customHeight="1" x14ac:dyDescent="0.25">
      <c r="A54" s="401" t="str">
        <f>IF(AND(F54=0,I54=0),"Do Not Print","Print")</f>
        <v>Do Not Print</v>
      </c>
      <c r="B54" s="1179" t="s">
        <v>1678</v>
      </c>
      <c r="C54" s="1180"/>
      <c r="D54" s="1181"/>
      <c r="E54" s="1181"/>
      <c r="F54" s="1181">
        <f>'Det CIES'!P97</f>
        <v>0</v>
      </c>
      <c r="G54" s="1181"/>
      <c r="H54" s="1181"/>
      <c r="I54" s="1181">
        <f>'Det CIES'!S97</f>
        <v>0</v>
      </c>
      <c r="K54" s="401" t="s">
        <v>968</v>
      </c>
    </row>
    <row r="55" spans="1:12" x14ac:dyDescent="0.25">
      <c r="A55" s="401" t="s">
        <v>448</v>
      </c>
      <c r="B55" s="1182" t="s">
        <v>345</v>
      </c>
      <c r="C55" s="1180"/>
      <c r="D55" s="1181"/>
      <c r="E55" s="1181"/>
      <c r="F55" s="1181"/>
      <c r="G55" s="1181"/>
      <c r="H55" s="1181"/>
      <c r="I55" s="1181"/>
    </row>
    <row r="56" spans="1:12" ht="26.4" x14ac:dyDescent="0.25">
      <c r="A56" s="401" t="str">
        <f>IF(AND(F56=0,I56=0),"Do Not Print","Print")</f>
        <v>Do Not Print</v>
      </c>
      <c r="B56" s="1179" t="s">
        <v>1649</v>
      </c>
      <c r="C56" s="1180">
        <f>Checklist!E155</f>
        <v>31</v>
      </c>
      <c r="D56" s="1181">
        <f>'Det CIES'!P107</f>
        <v>0</v>
      </c>
      <c r="E56" s="1181">
        <f>-'Det CIES'!P103</f>
        <v>0</v>
      </c>
      <c r="F56" s="1181">
        <f>'Det CIES'!P108</f>
        <v>0</v>
      </c>
      <c r="G56" s="1181">
        <f>'Det CIES'!S107</f>
        <v>0</v>
      </c>
      <c r="H56" s="1181">
        <f>-'Det CIES'!S103</f>
        <v>0</v>
      </c>
      <c r="I56" s="1181">
        <f>'Det CIES'!S108</f>
        <v>0</v>
      </c>
    </row>
    <row r="57" spans="1:12" x14ac:dyDescent="0.25">
      <c r="A57" s="401" t="s">
        <v>448</v>
      </c>
      <c r="B57" s="1182"/>
      <c r="C57" s="1180"/>
      <c r="D57" s="1181"/>
      <c r="E57" s="1181"/>
      <c r="F57" s="1181"/>
      <c r="G57" s="1181"/>
      <c r="H57" s="1181"/>
      <c r="I57" s="1181"/>
    </row>
    <row r="58" spans="1:12" ht="17.25" customHeight="1" x14ac:dyDescent="0.25">
      <c r="A58" s="401" t="s">
        <v>448</v>
      </c>
      <c r="B58" s="1188" t="s">
        <v>346</v>
      </c>
      <c r="C58" s="1189"/>
      <c r="D58" s="1185">
        <f>D48+D50+D52+D54+D56</f>
        <v>0</v>
      </c>
      <c r="E58" s="1185">
        <f>E48+E50+E52+E54+E56</f>
        <v>0</v>
      </c>
      <c r="F58" s="1185">
        <f t="shared" ref="F58" si="2">F48+F50+F52+F54+F56</f>
        <v>0</v>
      </c>
      <c r="G58" s="1185">
        <f>G48+G50+G52+G54+G56</f>
        <v>0</v>
      </c>
      <c r="H58" s="1185">
        <f>H48+H50+H52+H54+H56</f>
        <v>0</v>
      </c>
      <c r="I58" s="1185">
        <f>I48+I50+I52+I54+I56</f>
        <v>0</v>
      </c>
    </row>
    <row r="59" spans="1:12" x14ac:dyDescent="0.25">
      <c r="A59" s="401" t="s">
        <v>448</v>
      </c>
      <c r="B59" s="1182"/>
      <c r="C59" s="1180"/>
      <c r="D59" s="1181"/>
      <c r="E59" s="1181"/>
      <c r="F59" s="1181"/>
      <c r="G59" s="1181"/>
      <c r="H59" s="1181"/>
      <c r="I59" s="1181"/>
    </row>
    <row r="60" spans="1:12" ht="28.05" customHeight="1" x14ac:dyDescent="0.25">
      <c r="A60" s="401" t="str">
        <f>IF(AND(F60=0,I60=0),"Do Not Print","Print")</f>
        <v>Do Not Print</v>
      </c>
      <c r="B60" s="1179" t="s">
        <v>664</v>
      </c>
      <c r="C60" s="1180">
        <f>Checklist!E83</f>
        <v>10</v>
      </c>
      <c r="D60" s="1181">
        <f>'Det CIES'!N134</f>
        <v>0</v>
      </c>
      <c r="E60" s="1181">
        <f>-'Det CIES'!O134</f>
        <v>0</v>
      </c>
      <c r="F60" s="1181">
        <f>'Det CIES'!P134</f>
        <v>0</v>
      </c>
      <c r="G60" s="1181">
        <f>'Det CIES'!Q134</f>
        <v>0</v>
      </c>
      <c r="H60" s="1181">
        <f>-'Det CIES'!R134</f>
        <v>0</v>
      </c>
      <c r="I60" s="1181">
        <f>'Det CIES'!S134</f>
        <v>0</v>
      </c>
    </row>
    <row r="61" spans="1:12" ht="12" customHeight="1" x14ac:dyDescent="0.25">
      <c r="A61" s="401" t="s">
        <v>448</v>
      </c>
      <c r="B61" s="1182"/>
      <c r="C61" s="1180"/>
      <c r="D61" s="1181"/>
      <c r="E61" s="1181"/>
      <c r="F61" s="1181"/>
      <c r="G61" s="1181"/>
      <c r="H61" s="1181"/>
      <c r="I61" s="1181"/>
    </row>
    <row r="62" spans="1:12" ht="22.8" x14ac:dyDescent="0.25">
      <c r="A62" s="401" t="s">
        <v>448</v>
      </c>
      <c r="B62" s="1183" t="s">
        <v>1927</v>
      </c>
      <c r="C62" s="1184"/>
      <c r="D62" s="1185">
        <f t="shared" ref="D62:I62" si="3">D58+D60</f>
        <v>0</v>
      </c>
      <c r="E62" s="1185">
        <f>E58+E60</f>
        <v>0</v>
      </c>
      <c r="F62" s="1185">
        <f t="shared" si="3"/>
        <v>0</v>
      </c>
      <c r="G62" s="1185">
        <f t="shared" si="3"/>
        <v>0</v>
      </c>
      <c r="H62" s="1185">
        <f t="shared" si="3"/>
        <v>0</v>
      </c>
      <c r="I62" s="1185">
        <f t="shared" si="3"/>
        <v>0</v>
      </c>
    </row>
    <row r="63" spans="1:12" x14ac:dyDescent="0.25">
      <c r="A63" s="401" t="s">
        <v>448</v>
      </c>
      <c r="B63" s="1182"/>
      <c r="C63" s="1180"/>
      <c r="D63" s="1190"/>
      <c r="E63" s="1190"/>
      <c r="F63" s="1190"/>
      <c r="G63" s="1190"/>
      <c r="H63" s="1190"/>
      <c r="I63" s="1190"/>
    </row>
    <row r="64" spans="1:12" ht="39.6" customHeight="1" x14ac:dyDescent="0.25">
      <c r="A64" s="401" t="str">
        <f>IF(AND(F64=0,I64=0),"Do Not Print","Print")</f>
        <v>Do Not Print</v>
      </c>
      <c r="B64" s="1179" t="s">
        <v>1679</v>
      </c>
      <c r="C64" s="1180">
        <f>Checklist!E89</f>
        <v>11</v>
      </c>
      <c r="D64" s="1190"/>
      <c r="E64" s="1190"/>
      <c r="F64" s="1181">
        <f>-'Det CIES'!P138</f>
        <v>0</v>
      </c>
      <c r="G64" s="1181"/>
      <c r="H64" s="1181"/>
      <c r="I64" s="1181">
        <f>-'Det CIES'!S138</f>
        <v>0</v>
      </c>
    </row>
    <row r="65" spans="1:9" ht="12.75" customHeight="1" x14ac:dyDescent="0.25">
      <c r="A65" s="401" t="str">
        <f>IF(A64="Do Not Print","Do Not Print","Print")</f>
        <v>Do Not Print</v>
      </c>
      <c r="B65" s="1182"/>
      <c r="C65" s="1180"/>
      <c r="D65" s="1190"/>
      <c r="E65" s="1190"/>
      <c r="F65" s="1181"/>
      <c r="G65" s="1181"/>
      <c r="H65" s="1181"/>
      <c r="I65" s="1181"/>
    </row>
    <row r="66" spans="1:9" ht="39.6" customHeight="1" x14ac:dyDescent="0.25">
      <c r="A66" s="401" t="str">
        <f>IF(AND(F66=0,I66=0),"Do Not Print","Print")</f>
        <v>Do Not Print</v>
      </c>
      <c r="B66" s="1179" t="s">
        <v>959</v>
      </c>
      <c r="C66" s="1180">
        <f>Checklist!E89</f>
        <v>11</v>
      </c>
      <c r="D66" s="1190"/>
      <c r="E66" s="1190"/>
      <c r="F66" s="1181">
        <f>-'Det CIES'!P140</f>
        <v>0</v>
      </c>
      <c r="G66" s="1181"/>
      <c r="H66" s="1181"/>
      <c r="I66" s="1181">
        <f>-'Det CIES'!S140</f>
        <v>0</v>
      </c>
    </row>
    <row r="67" spans="1:9" ht="12.75" customHeight="1" x14ac:dyDescent="0.25">
      <c r="A67" s="401" t="str">
        <f>IF(AND(F66=0,I66=0),"Do Not Print","Print")</f>
        <v>Do Not Print</v>
      </c>
      <c r="B67" s="1179"/>
      <c r="C67" s="1180"/>
      <c r="D67" s="1190"/>
      <c r="E67" s="1190"/>
      <c r="F67" s="1181"/>
      <c r="G67" s="1181"/>
      <c r="H67" s="1181"/>
      <c r="I67" s="1181"/>
    </row>
    <row r="68" spans="1:9" ht="39.6" x14ac:dyDescent="0.25">
      <c r="A68" s="401" t="str">
        <f>IF(AND(F68=0,I68=0),"Do Not Print","Print")</f>
        <v>Do Not Print</v>
      </c>
      <c r="B68" s="1179" t="s">
        <v>205</v>
      </c>
      <c r="C68" s="1180">
        <f>Checklist!E142</f>
        <v>27</v>
      </c>
      <c r="D68" s="1190"/>
      <c r="E68" s="1190"/>
      <c r="F68" s="1181">
        <f>'Det CIES'!P142</f>
        <v>0</v>
      </c>
      <c r="G68" s="1181"/>
      <c r="H68" s="1181"/>
      <c r="I68" s="1181">
        <f>'Det CIES'!S142</f>
        <v>0</v>
      </c>
    </row>
    <row r="69" spans="1:9" x14ac:dyDescent="0.25">
      <c r="A69" s="401" t="str">
        <f>IF(A68="Do Not Print","Do Not Print","Print")</f>
        <v>Do Not Print</v>
      </c>
      <c r="B69" s="1182"/>
      <c r="C69" s="1180"/>
      <c r="D69" s="1190"/>
      <c r="E69" s="1190"/>
      <c r="F69" s="1181"/>
      <c r="G69" s="1181"/>
      <c r="H69" s="1181"/>
      <c r="I69" s="1181"/>
    </row>
    <row r="70" spans="1:9" ht="38.549999999999997" customHeight="1" x14ac:dyDescent="0.25">
      <c r="A70" s="401" t="str">
        <f>IF(AND(F70=0,I70=0),"Do Not Print","Print")</f>
        <v>Do Not Print</v>
      </c>
      <c r="B70" s="1179" t="s">
        <v>348</v>
      </c>
      <c r="C70" s="1180">
        <f>Checklist!E117</f>
        <v>21</v>
      </c>
      <c r="D70" s="1190"/>
      <c r="E70" s="1190"/>
      <c r="F70" s="1181">
        <f>'Notes 11c to 24'!I1138</f>
        <v>0</v>
      </c>
      <c r="G70" s="1181"/>
      <c r="H70" s="1181"/>
      <c r="I70" s="1181">
        <f>'Notes 11c to 24'!J1138</f>
        <v>0</v>
      </c>
    </row>
    <row r="71" spans="1:9" ht="10.5" customHeight="1" x14ac:dyDescent="0.25">
      <c r="A71" s="401" t="str">
        <f>IF(A70="Do Not Print","Do Not Print","Print")</f>
        <v>Do Not Print</v>
      </c>
      <c r="B71" s="1182"/>
      <c r="C71" s="1180"/>
      <c r="D71" s="1190"/>
      <c r="E71" s="1190"/>
      <c r="F71" s="1181"/>
      <c r="G71" s="1181"/>
      <c r="H71" s="1181"/>
      <c r="I71" s="1181"/>
    </row>
    <row r="72" spans="1:9" ht="50.55" customHeight="1" x14ac:dyDescent="0.25">
      <c r="A72" s="401" t="str">
        <f>IF(AND(F72=0,I72=0),"Do Not Print","Print")</f>
        <v>Do Not Print</v>
      </c>
      <c r="B72" s="1179" t="s">
        <v>1650</v>
      </c>
      <c r="C72" s="1180">
        <f>Checklist!E155</f>
        <v>31</v>
      </c>
      <c r="D72" s="1190"/>
      <c r="E72" s="1191">
        <f>'Det CIES'!G148</f>
        <v>0</v>
      </c>
      <c r="F72" s="1181">
        <f>'Det CIES'!P149</f>
        <v>0</v>
      </c>
      <c r="G72" s="1181"/>
      <c r="H72" s="1181"/>
      <c r="I72" s="1181">
        <f>-'Det CIES'!S149</f>
        <v>0</v>
      </c>
    </row>
    <row r="73" spans="1:9" x14ac:dyDescent="0.25">
      <c r="A73" s="401" t="str">
        <f>IF(A72="Do Not Print","Do Not Print","Print")</f>
        <v>Do Not Print</v>
      </c>
      <c r="B73" s="1182"/>
      <c r="C73" s="1180"/>
      <c r="D73" s="1190"/>
      <c r="E73" s="1190"/>
      <c r="F73" s="1181"/>
      <c r="G73" s="1181"/>
      <c r="H73" s="1181"/>
      <c r="I73" s="1181"/>
    </row>
    <row r="74" spans="1:9" ht="20.25" customHeight="1" x14ac:dyDescent="0.25">
      <c r="A74" s="401" t="s">
        <v>448</v>
      </c>
      <c r="B74" s="1188" t="s">
        <v>559</v>
      </c>
      <c r="C74" s="1184"/>
      <c r="D74" s="1192"/>
      <c r="E74" s="1192"/>
      <c r="F74" s="1185">
        <f>SUM(F64:F72)</f>
        <v>0</v>
      </c>
      <c r="G74" s="1193"/>
      <c r="H74" s="1193"/>
      <c r="I74" s="1185">
        <f>SUM(I64:I72)</f>
        <v>0</v>
      </c>
    </row>
    <row r="75" spans="1:9" ht="17.25" customHeight="1" x14ac:dyDescent="0.25">
      <c r="A75" s="401" t="str">
        <f>IF(A74="Do Not Print","Do Not Print","Print")</f>
        <v>Print</v>
      </c>
      <c r="B75" s="1182"/>
      <c r="C75" s="1180"/>
      <c r="D75" s="1190"/>
      <c r="E75" s="1190"/>
      <c r="F75" s="1181"/>
      <c r="G75" s="1181"/>
      <c r="H75" s="1181"/>
      <c r="I75" s="1181"/>
    </row>
    <row r="76" spans="1:9" ht="20.25" customHeight="1" x14ac:dyDescent="0.25">
      <c r="A76" s="401" t="s">
        <v>448</v>
      </c>
      <c r="B76" s="1188" t="s">
        <v>560</v>
      </c>
      <c r="C76" s="1184"/>
      <c r="D76" s="1192"/>
      <c r="E76" s="1192"/>
      <c r="F76" s="1185">
        <f>F62+F74</f>
        <v>0</v>
      </c>
      <c r="G76" s="1193"/>
      <c r="H76" s="1193"/>
      <c r="I76" s="1185">
        <f>I62+I74</f>
        <v>0</v>
      </c>
    </row>
    <row r="77" spans="1:9" x14ac:dyDescent="0.25">
      <c r="A77" s="401" t="str">
        <f>IF(A76="Do Not Print","Do Not Print","Print")</f>
        <v>Print</v>
      </c>
      <c r="B77" s="799"/>
      <c r="D77" s="789"/>
      <c r="E77" s="789"/>
      <c r="F77" s="789"/>
      <c r="G77" s="789"/>
      <c r="H77" s="789"/>
      <c r="I77" s="789"/>
    </row>
    <row r="78" spans="1:9" x14ac:dyDescent="0.25">
      <c r="A78" s="401" t="s">
        <v>448</v>
      </c>
      <c r="B78" s="799"/>
      <c r="D78" s="789"/>
      <c r="E78" s="789"/>
      <c r="F78" s="789"/>
      <c r="G78" s="789"/>
      <c r="H78" s="789"/>
      <c r="I78" s="789"/>
    </row>
    <row r="79" spans="1:9" x14ac:dyDescent="0.25">
      <c r="A79" s="401" t="s">
        <v>448</v>
      </c>
      <c r="B79" s="522" t="str">
        <f>'Standing Data'!D4</f>
        <v>NAME OF COUNCIL</v>
      </c>
      <c r="D79" s="789"/>
      <c r="E79" s="789"/>
      <c r="F79" s="789"/>
      <c r="G79" s="789"/>
      <c r="H79" s="789"/>
      <c r="I79" s="789"/>
    </row>
    <row r="80" spans="1:9" x14ac:dyDescent="0.25">
      <c r="A80" s="401" t="s">
        <v>448</v>
      </c>
      <c r="B80" s="585" t="str">
        <f>'Standing Data'!D16</f>
        <v>Movement in Reserves Statement for the year ended 31 March 2026</v>
      </c>
    </row>
    <row r="81" spans="1:12" x14ac:dyDescent="0.25">
      <c r="A81" s="401" t="s">
        <v>448</v>
      </c>
      <c r="B81" s="1500"/>
      <c r="C81" s="1500"/>
      <c r="D81" s="1500"/>
      <c r="E81" s="1500"/>
      <c r="F81" s="1500"/>
      <c r="G81" s="1500"/>
      <c r="H81" s="1500"/>
      <c r="I81" s="1500"/>
    </row>
    <row r="82" spans="1:12" ht="76.5" customHeight="1" x14ac:dyDescent="0.25">
      <c r="A82" s="401" t="s">
        <v>448</v>
      </c>
      <c r="B82" s="1506" t="str">
        <f>IF('Non TB - Note 1'!F3=1,'Non TB - Note 1'!H3," ")</f>
        <v>The Movement in Reserves Statement shows the movement from the start of the year to the end on the different reserves heldby the authority, analysed into 'usable reserves' (i.e. those that can be applied to fund expenditure or reduce local taxation) and other 'unusable reserves'. The Statement shows how the movements in year of the Council's reserves are broken down between gains and losses incurred in accordance with generally accepted accounting practices and the statutory adjustment required to return to the amounts chargeable to council tax for the year.  The Net Increase/Decrease line shows the statutory General Fund Balance movements in the year following those adjustments.</v>
      </c>
      <c r="C82" s="1506"/>
      <c r="D82" s="1506"/>
      <c r="E82" s="1506"/>
      <c r="F82" s="1506"/>
      <c r="G82" s="1506"/>
      <c r="H82" s="1506"/>
      <c r="I82" s="1506"/>
    </row>
    <row r="83" spans="1:12" x14ac:dyDescent="0.25">
      <c r="A83" s="401" t="s">
        <v>448</v>
      </c>
      <c r="B83" s="1500"/>
      <c r="C83" s="1500"/>
      <c r="D83" s="1500"/>
      <c r="E83" s="1500"/>
      <c r="F83" s="1500"/>
      <c r="G83" s="1500"/>
      <c r="H83" s="1500"/>
      <c r="I83" s="1500"/>
    </row>
    <row r="84" spans="1:12" ht="39.6" x14ac:dyDescent="0.25">
      <c r="A84" s="867" t="s">
        <v>448</v>
      </c>
      <c r="B84" s="1194"/>
      <c r="C84" s="1194"/>
      <c r="D84" s="1195" t="s">
        <v>335</v>
      </c>
      <c r="E84" s="1195" t="s">
        <v>336</v>
      </c>
      <c r="F84" s="1195" t="s">
        <v>421</v>
      </c>
      <c r="G84" s="1195" t="s">
        <v>337</v>
      </c>
      <c r="H84" s="1195" t="s">
        <v>338</v>
      </c>
      <c r="I84" s="1195" t="s">
        <v>339</v>
      </c>
    </row>
    <row r="85" spans="1:12" ht="13.8" x14ac:dyDescent="0.3">
      <c r="A85" s="401" t="s">
        <v>448</v>
      </c>
      <c r="B85" s="1196"/>
      <c r="C85" s="1175"/>
      <c r="D85" s="1197"/>
      <c r="E85" s="1197" t="s">
        <v>450</v>
      </c>
      <c r="F85" s="1197" t="s">
        <v>450</v>
      </c>
      <c r="G85" s="1197" t="s">
        <v>450</v>
      </c>
      <c r="H85" s="1197" t="s">
        <v>450</v>
      </c>
      <c r="I85" s="1197" t="s">
        <v>450</v>
      </c>
    </row>
    <row r="86" spans="1:12" x14ac:dyDescent="0.25">
      <c r="A86" s="401" t="str">
        <f>IF(AND(G86=0,H86=0),"Do Not Print","Print")</f>
        <v>Do Not Print</v>
      </c>
      <c r="B86" s="568" t="str">
        <f>'Standing Data'!D86</f>
        <v>Balance as at 1 April 2024</v>
      </c>
      <c r="C86" s="1189"/>
      <c r="D86" s="1185">
        <f>'Note 25 to end'!K184</f>
        <v>0</v>
      </c>
      <c r="E86" s="1185">
        <f>'Det BS '!K535+'Det BS '!K536+'Det BS '!K537+'Det BS '!K538</f>
        <v>0</v>
      </c>
      <c r="F86" s="1185">
        <f>'Det BS '!K534</f>
        <v>0</v>
      </c>
      <c r="G86" s="1185">
        <f>SUM(D86:F86)</f>
        <v>0</v>
      </c>
      <c r="H86" s="1185">
        <f>SUM('Det BS '!K545:K554)</f>
        <v>0</v>
      </c>
      <c r="I86" s="1185">
        <f>G86+H86</f>
        <v>0</v>
      </c>
    </row>
    <row r="87" spans="1:12" ht="34.5" customHeight="1" x14ac:dyDescent="0.25">
      <c r="A87" s="401" t="s">
        <v>448</v>
      </c>
      <c r="B87" s="1198" t="s">
        <v>195</v>
      </c>
      <c r="C87" s="1180"/>
      <c r="D87" s="1190"/>
      <c r="E87" s="1190"/>
      <c r="F87" s="1190"/>
      <c r="G87" s="1190"/>
      <c r="H87" s="1190"/>
      <c r="I87" s="1190"/>
    </row>
    <row r="88" spans="1:12" ht="37.5" customHeight="1" x14ac:dyDescent="0.25">
      <c r="A88" s="401" t="str">
        <f t="shared" ref="A88:A92" si="4">IF(AND(G88=0,H88=0),"Do Not Print","Print")</f>
        <v>Do Not Print</v>
      </c>
      <c r="B88" s="1179" t="s">
        <v>2957</v>
      </c>
      <c r="C88" s="1180"/>
      <c r="D88" s="1181">
        <f>-I62</f>
        <v>0</v>
      </c>
      <c r="E88" s="1181">
        <v>0</v>
      </c>
      <c r="F88" s="1181">
        <v>0</v>
      </c>
      <c r="G88" s="1181">
        <f>SUM(D88:F88)</f>
        <v>0</v>
      </c>
      <c r="H88" s="1181">
        <v>0</v>
      </c>
      <c r="I88" s="1181">
        <f>G88+H88</f>
        <v>0</v>
      </c>
    </row>
    <row r="89" spans="1:12" ht="39" customHeight="1" x14ac:dyDescent="0.25">
      <c r="A89" s="401" t="str">
        <f t="shared" si="4"/>
        <v>Do Not Print</v>
      </c>
      <c r="B89" s="1179" t="s">
        <v>559</v>
      </c>
      <c r="C89" s="1180"/>
      <c r="D89" s="1181">
        <v>0</v>
      </c>
      <c r="E89" s="1181">
        <v>0</v>
      </c>
      <c r="F89" s="1181">
        <v>0</v>
      </c>
      <c r="G89" s="1181">
        <f>SUM(D89:F89)</f>
        <v>0</v>
      </c>
      <c r="H89" s="1181">
        <f>-(I74-E89)</f>
        <v>0</v>
      </c>
      <c r="I89" s="1181">
        <f>G89+H89</f>
        <v>0</v>
      </c>
    </row>
    <row r="90" spans="1:12" ht="36.75" customHeight="1" x14ac:dyDescent="0.25">
      <c r="A90" s="401" t="str">
        <f t="shared" si="4"/>
        <v>Do Not Print</v>
      </c>
      <c r="B90" s="1198" t="s">
        <v>560</v>
      </c>
      <c r="C90" s="1199"/>
      <c r="D90" s="1200">
        <f>SUM(D88:D89)</f>
        <v>0</v>
      </c>
      <c r="E90" s="1200">
        <f>SUM(E88:E89)</f>
        <v>0</v>
      </c>
      <c r="F90" s="1200">
        <f>SUM(F88:F89)</f>
        <v>0</v>
      </c>
      <c r="G90" s="1200">
        <f>SUM(G88:G89)</f>
        <v>0</v>
      </c>
      <c r="H90" s="1200">
        <f>SUM(H88:H89)</f>
        <v>0</v>
      </c>
      <c r="I90" s="1200">
        <f t="shared" ref="I90:I94" si="5">G90+H90</f>
        <v>0</v>
      </c>
    </row>
    <row r="91" spans="1:12" ht="50.25" customHeight="1" x14ac:dyDescent="0.25">
      <c r="A91" s="401" t="str">
        <f t="shared" si="4"/>
        <v>Do Not Print</v>
      </c>
      <c r="B91" s="1179" t="s">
        <v>197</v>
      </c>
      <c r="C91" s="1180"/>
      <c r="D91" s="1181">
        <f>'Notes 3 to 10'!J114</f>
        <v>0</v>
      </c>
      <c r="E91" s="1181">
        <f>'Note 25 to end'!K135+'Note 25 to end'!K154+'Note 25 to end'!K122+'Note 25 to end'!K171</f>
        <v>0</v>
      </c>
      <c r="F91" s="1181">
        <f>'Note 25 to end'!K106+'Note 25 to end'!K107+'Note 25 to end'!K108</f>
        <v>0</v>
      </c>
      <c r="G91" s="1181">
        <f>SUM(D91:F91)</f>
        <v>0</v>
      </c>
      <c r="H91" s="1181">
        <f>'Note 25 to end'!K245+'Note 25 to end'!K246+'Note 25 to end'!K247+'Note 25 to end'!K248+'Note 25 to end'!K249+'Note 25 to end'!K250+'Note 25 to end'!K251+'Note 25 to end'!K252+'Note 25 to end'!K253+'Note 25 to end'!K254+'Note 25 to end'!K285+'Note 25 to end'!K264+'Note 25 to end'!K314+'Note 25 to end'!K341+'Note 25 to end'!K355</f>
        <v>0</v>
      </c>
      <c r="I91" s="1181">
        <f>G91+H91</f>
        <v>0</v>
      </c>
      <c r="L91" s="794" t="s">
        <v>1607</v>
      </c>
    </row>
    <row r="92" spans="1:12" ht="43.5" customHeight="1" x14ac:dyDescent="0.25">
      <c r="A92" s="401" t="str">
        <f t="shared" si="4"/>
        <v>Do Not Print</v>
      </c>
      <c r="B92" s="1198" t="s">
        <v>193</v>
      </c>
      <c r="C92" s="1199"/>
      <c r="D92" s="1201">
        <f>SUM(D90:D91)</f>
        <v>0</v>
      </c>
      <c r="E92" s="1201">
        <f>SUM(E90:E91)</f>
        <v>0</v>
      </c>
      <c r="F92" s="1201">
        <f>SUM(F90:F91)</f>
        <v>0</v>
      </c>
      <c r="G92" s="1201">
        <f>SUM(D92:F92)</f>
        <v>0</v>
      </c>
      <c r="H92" s="1201">
        <f>SUM(H90:H91)</f>
        <v>0</v>
      </c>
      <c r="I92" s="1201">
        <f t="shared" si="5"/>
        <v>0</v>
      </c>
    </row>
    <row r="93" spans="1:12" ht="43.5" customHeight="1" x14ac:dyDescent="0.25">
      <c r="A93" s="401" t="s">
        <v>448</v>
      </c>
      <c r="B93" s="1179" t="s">
        <v>2956</v>
      </c>
      <c r="C93" s="1180"/>
      <c r="D93" s="1181">
        <f>'Notes 3 to 10'!J135</f>
        <v>0</v>
      </c>
      <c r="E93" s="1181">
        <f>-'Notes 3 to 10'!J121-'Notes 3 to 10'!J124-'Notes 3 to 10'!J131</f>
        <v>0</v>
      </c>
      <c r="F93" s="1181">
        <f>'Note 25 to end'!K109+'Note 25 to end'!K105</f>
        <v>0</v>
      </c>
      <c r="G93" s="1181">
        <f>SUM(D93:F93)</f>
        <v>0</v>
      </c>
      <c r="H93" s="1181">
        <f>'Note 25 to end'!K330</f>
        <v>0</v>
      </c>
      <c r="I93" s="1181">
        <f t="shared" si="5"/>
        <v>0</v>
      </c>
      <c r="L93" s="794" t="s">
        <v>1607</v>
      </c>
    </row>
    <row r="94" spans="1:12" x14ac:dyDescent="0.25">
      <c r="A94" s="401" t="str">
        <f t="shared" ref="A94" si="6">IF(AND(G94=0,H94=0),"Do Not Print","Print")</f>
        <v>Do Not Print</v>
      </c>
      <c r="B94" s="1198" t="s">
        <v>2955</v>
      </c>
      <c r="C94" s="1199"/>
      <c r="D94" s="1201">
        <f>SUM(D92:D93)</f>
        <v>0</v>
      </c>
      <c r="E94" s="1201">
        <f>SUM(E92:E93)</f>
        <v>0</v>
      </c>
      <c r="F94" s="1201">
        <f>SUM(F92:F93)</f>
        <v>0</v>
      </c>
      <c r="G94" s="1201">
        <f>SUM(D94:F94)</f>
        <v>0</v>
      </c>
      <c r="H94" s="1201">
        <f>SUM(H92:H93)</f>
        <v>0</v>
      </c>
      <c r="I94" s="1201">
        <f t="shared" si="5"/>
        <v>0</v>
      </c>
    </row>
    <row r="95" spans="1:12" x14ac:dyDescent="0.25">
      <c r="A95" s="401" t="s">
        <v>448</v>
      </c>
      <c r="B95" s="1179"/>
      <c r="C95" s="1180"/>
      <c r="D95" s="1181"/>
      <c r="E95" s="1181"/>
      <c r="F95" s="1181"/>
      <c r="G95" s="1181"/>
      <c r="H95" s="1181"/>
      <c r="I95" s="1181"/>
    </row>
    <row r="96" spans="1:12" x14ac:dyDescent="0.25">
      <c r="A96" s="401" t="str">
        <f>IF(AND(G96=0,H96=0),"Do Not Print","Print")</f>
        <v>Do Not Print</v>
      </c>
      <c r="B96" s="1188" t="str">
        <f>'Standing Data'!D82</f>
        <v>Balance as at 31 March 2025</v>
      </c>
      <c r="C96" s="1189"/>
      <c r="D96" s="1185">
        <f>D86+D94</f>
        <v>0</v>
      </c>
      <c r="E96" s="1185">
        <f>E86+E94</f>
        <v>0</v>
      </c>
      <c r="F96" s="1185">
        <f>F86+F94</f>
        <v>0</v>
      </c>
      <c r="G96" s="1185">
        <f>SUM(D96:F96)</f>
        <v>0</v>
      </c>
      <c r="H96" s="1185">
        <f>H86+H94</f>
        <v>0</v>
      </c>
      <c r="I96" s="1185">
        <f t="shared" ref="I96" si="7">G96+H96</f>
        <v>0</v>
      </c>
    </row>
    <row r="97" spans="1:14" ht="22.8" x14ac:dyDescent="0.25">
      <c r="A97" s="401" t="s">
        <v>448</v>
      </c>
      <c r="B97" s="1198" t="s">
        <v>195</v>
      </c>
      <c r="C97" s="1180"/>
      <c r="D97" s="1190"/>
      <c r="E97" s="1190"/>
      <c r="F97" s="1190"/>
      <c r="G97" s="1190"/>
      <c r="H97" s="1190"/>
      <c r="I97" s="1190"/>
    </row>
    <row r="98" spans="1:14" ht="37.5" customHeight="1" x14ac:dyDescent="0.25">
      <c r="A98" s="401" t="str">
        <f>IF(AND(G98=0,H98=0),"Do Not Print","Print")</f>
        <v>Do Not Print</v>
      </c>
      <c r="B98" s="1179" t="s">
        <v>2957</v>
      </c>
      <c r="C98" s="1180"/>
      <c r="D98" s="1181">
        <f>-F62</f>
        <v>0</v>
      </c>
      <c r="E98" s="1181">
        <v>0</v>
      </c>
      <c r="F98" s="1181">
        <v>0</v>
      </c>
      <c r="G98" s="1181">
        <f>SUM(D98:F98)</f>
        <v>0</v>
      </c>
      <c r="H98" s="1181">
        <v>0</v>
      </c>
      <c r="I98" s="1181">
        <f t="shared" ref="I98:I104" si="8">G98+H98</f>
        <v>0</v>
      </c>
    </row>
    <row r="99" spans="1:14" ht="40.5" customHeight="1" x14ac:dyDescent="0.25">
      <c r="A99" s="401" t="str">
        <f t="shared" ref="A99:A102" si="9">IF(AND(G99=0,H99=0),"Do Not Print","Print")</f>
        <v>Do Not Print</v>
      </c>
      <c r="B99" s="1179" t="s">
        <v>559</v>
      </c>
      <c r="C99" s="1180"/>
      <c r="D99" s="1181">
        <v>0</v>
      </c>
      <c r="E99" s="1181">
        <v>0</v>
      </c>
      <c r="F99" s="1181">
        <v>0</v>
      </c>
      <c r="G99" s="1181">
        <f>SUM(D99:F99)</f>
        <v>0</v>
      </c>
      <c r="H99" s="1181">
        <f>-(F74-E99)</f>
        <v>0</v>
      </c>
      <c r="I99" s="1181">
        <f t="shared" si="8"/>
        <v>0</v>
      </c>
    </row>
    <row r="100" spans="1:14" ht="32.25" customHeight="1" x14ac:dyDescent="0.25">
      <c r="A100" s="401" t="str">
        <f t="shared" si="9"/>
        <v>Do Not Print</v>
      </c>
      <c r="B100" s="1198" t="s">
        <v>560</v>
      </c>
      <c r="C100" s="1180"/>
      <c r="D100" s="1200">
        <f>SUM(D98:D99)</f>
        <v>0</v>
      </c>
      <c r="E100" s="1200">
        <f>SUM(E98:E99)</f>
        <v>0</v>
      </c>
      <c r="F100" s="1200">
        <f>SUM(F98:F99)</f>
        <v>0</v>
      </c>
      <c r="G100" s="1200">
        <f>SUM(G98:G99)</f>
        <v>0</v>
      </c>
      <c r="H100" s="1200">
        <f>SUM(H98:H99)</f>
        <v>0</v>
      </c>
      <c r="I100" s="1200">
        <f t="shared" si="8"/>
        <v>0</v>
      </c>
    </row>
    <row r="101" spans="1:14" ht="48" customHeight="1" x14ac:dyDescent="0.25">
      <c r="A101" s="401" t="str">
        <f t="shared" si="9"/>
        <v>Do Not Print</v>
      </c>
      <c r="B101" s="1179" t="s">
        <v>197</v>
      </c>
      <c r="C101" s="1180"/>
      <c r="D101" s="1181">
        <f>'Notes 3 to 10'!H114</f>
        <v>0</v>
      </c>
      <c r="E101" s="1181">
        <f>'Note 25 to end'!J135+'Note 25 to end'!J154+'Note 25 to end'!J171+'Note 25 to end'!J122</f>
        <v>0</v>
      </c>
      <c r="F101" s="1181">
        <f>'Note 25 to end'!J106+'Note 25 to end'!J107+'Note 25 to end'!J108</f>
        <v>0</v>
      </c>
      <c r="G101" s="1181">
        <f>SUM(D101:F101)</f>
        <v>0</v>
      </c>
      <c r="H101" s="1181">
        <f>'Note 25 to end'!J245+'Note 25 to end'!J246+'Note 25 to end'!J247+'Note 25 to end'!J248+'Note 25 to end'!J249+'Note 25 to end'!J250+'Note 25 to end'!J251+'Note 25 to end'!J252+'Note 25 to end'!J253+'Note 25 to end'!J254+'Note 25 to end'!J285+'Note 25 to end'!J264+'Note 25 to end'!J314+'Note 25 to end'!J341+'Note 25 to end'!J355+'Note 25 to end'!J354</f>
        <v>0</v>
      </c>
      <c r="I101" s="1181">
        <f>G101+H101</f>
        <v>0</v>
      </c>
      <c r="L101" s="794" t="s">
        <v>1607</v>
      </c>
      <c r="M101" s="525"/>
      <c r="N101" s="525"/>
    </row>
    <row r="102" spans="1:14" ht="22.8" x14ac:dyDescent="0.25">
      <c r="A102" s="401" t="str">
        <f t="shared" si="9"/>
        <v>Do Not Print</v>
      </c>
      <c r="B102" s="1198" t="s">
        <v>193</v>
      </c>
      <c r="C102" s="1199"/>
      <c r="D102" s="1201">
        <f>SUM(D100:D101)</f>
        <v>0</v>
      </c>
      <c r="E102" s="1201">
        <f>SUM(E100:E101)</f>
        <v>0</v>
      </c>
      <c r="F102" s="1201">
        <f>SUM(F100:F101)</f>
        <v>0</v>
      </c>
      <c r="G102" s="1201">
        <f>SUM(G100:G101)</f>
        <v>0</v>
      </c>
      <c r="H102" s="1201">
        <f>SUM(H100:H101)</f>
        <v>0</v>
      </c>
      <c r="I102" s="1201">
        <f>G102+H102</f>
        <v>0</v>
      </c>
    </row>
    <row r="103" spans="1:14" ht="40.5" customHeight="1" x14ac:dyDescent="0.25">
      <c r="A103" s="401" t="s">
        <v>448</v>
      </c>
      <c r="B103" s="1179" t="s">
        <v>2956</v>
      </c>
      <c r="C103" s="1180"/>
      <c r="D103" s="1181">
        <f>'Notes 3 to 10'!H135</f>
        <v>0</v>
      </c>
      <c r="E103" s="1181">
        <f>-'Notes 3 to 10'!H121-'Notes 3 to 10'!H124-'Notes 3 to 10'!H131</f>
        <v>0</v>
      </c>
      <c r="F103" s="1181">
        <f>'Note 25 to end'!J109+'Note 25 to end'!J105</f>
        <v>0</v>
      </c>
      <c r="G103" s="1181">
        <f>SUM(D103:F103)</f>
        <v>0</v>
      </c>
      <c r="H103" s="1181">
        <f>'Note 25 to end'!J330</f>
        <v>0</v>
      </c>
      <c r="I103" s="1181">
        <f t="shared" si="8"/>
        <v>0</v>
      </c>
      <c r="L103" s="794" t="s">
        <v>1607</v>
      </c>
    </row>
    <row r="104" spans="1:14" ht="22.5" customHeight="1" x14ac:dyDescent="0.25">
      <c r="A104" s="401" t="str">
        <f t="shared" ref="A104" si="10">IF(AND(G104=0,H104=0),"Do Not Print","Print")</f>
        <v>Do Not Print</v>
      </c>
      <c r="B104" s="1198" t="s">
        <v>194</v>
      </c>
      <c r="C104" s="1199"/>
      <c r="D104" s="1201">
        <f>SUM(D102:D103)</f>
        <v>0</v>
      </c>
      <c r="E104" s="1201">
        <f>SUM(E102:E103)</f>
        <v>0</v>
      </c>
      <c r="F104" s="1201">
        <f>SUM(F102:F103)</f>
        <v>0</v>
      </c>
      <c r="G104" s="1201">
        <f>SUM(G102:G103)</f>
        <v>0</v>
      </c>
      <c r="H104" s="1201">
        <f>SUM(H102:H103)</f>
        <v>0</v>
      </c>
      <c r="I104" s="1201">
        <f t="shared" si="8"/>
        <v>0</v>
      </c>
    </row>
    <row r="105" spans="1:14" ht="15.75" customHeight="1" x14ac:dyDescent="0.25">
      <c r="A105" s="401" t="s">
        <v>448</v>
      </c>
      <c r="B105" s="1179"/>
      <c r="C105" s="1180"/>
      <c r="D105" s="1181"/>
      <c r="E105" s="1181"/>
      <c r="F105" s="1181"/>
      <c r="G105" s="1181"/>
      <c r="H105" s="1181"/>
      <c r="I105" s="1181"/>
    </row>
    <row r="106" spans="1:14" x14ac:dyDescent="0.25">
      <c r="A106" s="401" t="str">
        <f>IF(AND(G106=0,H106=0),"Do Not Print","Print")</f>
        <v>Do Not Print</v>
      </c>
      <c r="B106" s="1188" t="str">
        <f>'Standing Data'!D46</f>
        <v>Balance as at 31 March 2026</v>
      </c>
      <c r="C106" s="1189"/>
      <c r="D106" s="1185">
        <f>D96+D104</f>
        <v>0</v>
      </c>
      <c r="E106" s="1185">
        <f>E96+E104</f>
        <v>0</v>
      </c>
      <c r="F106" s="1185">
        <f>F96+F104</f>
        <v>0</v>
      </c>
      <c r="G106" s="1185">
        <f>SUM(D106:F106)</f>
        <v>0</v>
      </c>
      <c r="H106" s="1185">
        <f>H96+H104</f>
        <v>0</v>
      </c>
      <c r="I106" s="1185">
        <f>G106+H106</f>
        <v>0</v>
      </c>
    </row>
    <row r="107" spans="1:14" x14ac:dyDescent="0.25">
      <c r="A107" s="401" t="s">
        <v>448</v>
      </c>
      <c r="B107" s="790"/>
      <c r="D107" s="789"/>
      <c r="E107" s="789"/>
      <c r="F107" s="789"/>
      <c r="G107" s="789"/>
      <c r="H107" s="789"/>
      <c r="I107" s="789"/>
    </row>
    <row r="108" spans="1:14" x14ac:dyDescent="0.25">
      <c r="A108" s="401" t="s">
        <v>448</v>
      </c>
      <c r="B108" s="799"/>
      <c r="D108" s="789"/>
      <c r="E108" s="789"/>
      <c r="F108" s="789"/>
      <c r="G108" s="789"/>
      <c r="H108" s="789"/>
      <c r="I108" s="789"/>
    </row>
    <row r="109" spans="1:14" x14ac:dyDescent="0.25">
      <c r="A109" s="401" t="s">
        <v>448</v>
      </c>
      <c r="B109" s="522" t="str">
        <f>'Standing Data'!D4</f>
        <v>NAME OF COUNCIL</v>
      </c>
      <c r="D109" s="789"/>
      <c r="E109" s="789"/>
      <c r="F109" s="789"/>
      <c r="G109" s="789"/>
      <c r="H109" s="789"/>
      <c r="I109" s="789"/>
    </row>
    <row r="110" spans="1:14" x14ac:dyDescent="0.25">
      <c r="A110" s="401" t="s">
        <v>448</v>
      </c>
      <c r="B110" s="467" t="str">
        <f>'Standing Data'!D20</f>
        <v>Balance Sheet as at 31 March 2026</v>
      </c>
      <c r="D110" s="789"/>
      <c r="E110" s="789"/>
      <c r="F110" s="789"/>
      <c r="G110" s="789"/>
      <c r="H110" s="789"/>
      <c r="I110" s="789"/>
    </row>
    <row r="111" spans="1:14" x14ac:dyDescent="0.25">
      <c r="A111" s="401" t="s">
        <v>448</v>
      </c>
      <c r="B111" s="1693"/>
      <c r="C111" s="1693"/>
      <c r="D111" s="1693"/>
      <c r="E111" s="1693"/>
      <c r="F111" s="1693"/>
      <c r="G111" s="1693"/>
      <c r="H111" s="1693"/>
      <c r="I111" s="1693"/>
    </row>
    <row r="112" spans="1:14" ht="102" customHeight="1" x14ac:dyDescent="0.25">
      <c r="A112" s="401" t="s">
        <v>448</v>
      </c>
      <c r="B112" s="1506" t="str">
        <f>IF('Non TB - Note 1'!F4=1,'Non TB - Note 1'!H4," ")</f>
        <v>The Balance Sheet shows the value as at the Balance Sheet date of the assets and liabilities recognised by the Council.  The net assets of the Council (assets less liabilities) are matched by the reserves held by the Council. Reserves are reported in two categories.  The first category of reserves are usable reserves, i.e. those reserves that the Council may use to provide services, subject to the need to maintain a prudent level of reserves and any statutory limitations on their use.  The second category of reserves is those that the Council is not able to use to provide services.  This category of reserves includes reserves that hold unrealised gains and losses (for example the Revaluation Reserve), where amounts would only become available to provide services if the assets are sold; and reserves that hold timing differences shown in the Movement in Reserves Statement line ' Adjustments between accounting basis and funding basis under regulations'.</v>
      </c>
      <c r="C112" s="1506"/>
      <c r="D112" s="1506"/>
      <c r="E112" s="1506"/>
      <c r="F112" s="1506"/>
      <c r="G112" s="1506"/>
      <c r="H112" s="1506"/>
      <c r="I112" s="1506"/>
    </row>
    <row r="113" spans="1:12" x14ac:dyDescent="0.25">
      <c r="A113" s="401" t="s">
        <v>448</v>
      </c>
      <c r="B113" s="1693"/>
      <c r="C113" s="1693"/>
      <c r="D113" s="1693"/>
      <c r="E113" s="1693"/>
      <c r="F113" s="1693"/>
      <c r="G113" s="1693"/>
      <c r="H113" s="1693"/>
      <c r="I113" s="1693"/>
    </row>
    <row r="114" spans="1:12" x14ac:dyDescent="0.25">
      <c r="A114" s="401" t="s">
        <v>448</v>
      </c>
      <c r="B114" s="1188"/>
      <c r="C114" s="1189"/>
      <c r="D114" s="1188"/>
      <c r="E114" s="1701" t="s">
        <v>474</v>
      </c>
      <c r="F114" s="1701"/>
      <c r="G114" s="1202" t="str">
        <f>'Standing Data'!D40</f>
        <v>31st March 2026</v>
      </c>
      <c r="H114" s="1203" t="str">
        <f>'Standing Data'!D66</f>
        <v>31st March 2025</v>
      </c>
      <c r="I114" s="789"/>
      <c r="K114" s="640"/>
    </row>
    <row r="115" spans="1:12" x14ac:dyDescent="0.25">
      <c r="A115" s="401" t="s">
        <v>448</v>
      </c>
      <c r="B115" s="1174"/>
      <c r="C115" s="1175"/>
      <c r="D115" s="1174"/>
      <c r="E115" s="1702"/>
      <c r="F115" s="1702"/>
      <c r="G115" s="1175" t="s">
        <v>450</v>
      </c>
      <c r="H115" s="1175" t="s">
        <v>450</v>
      </c>
      <c r="I115" s="789"/>
      <c r="K115" s="815"/>
    </row>
    <row r="116" spans="1:12" x14ac:dyDescent="0.25">
      <c r="A116" s="401" t="str">
        <f>IF(AND(G116=0,H116=0,I116=0),"Do Not Print","Print")</f>
        <v>Do Not Print</v>
      </c>
      <c r="B116" s="1694" t="s">
        <v>672</v>
      </c>
      <c r="C116" s="1694"/>
      <c r="D116" s="1694"/>
      <c r="E116" s="1697">
        <f>Checklist!E89</f>
        <v>11</v>
      </c>
      <c r="F116" s="1697"/>
      <c r="G116" s="1181">
        <f>'Det BS '!J281</f>
        <v>0</v>
      </c>
      <c r="H116" s="1181">
        <f>'Det BS '!K281</f>
        <v>0</v>
      </c>
      <c r="I116" s="789"/>
      <c r="K116" s="640"/>
    </row>
    <row r="117" spans="1:12" x14ac:dyDescent="0.25">
      <c r="A117" s="401" t="str">
        <f t="shared" ref="A117:A121" si="11">IF(AND(G117=0,H117=0,I117=0),"Do Not Print","Print")</f>
        <v>Do Not Print</v>
      </c>
      <c r="B117" s="1694" t="s">
        <v>705</v>
      </c>
      <c r="C117" s="1694"/>
      <c r="D117" s="1694"/>
      <c r="E117" s="1697">
        <f>Checklist!E105</f>
        <v>16</v>
      </c>
      <c r="F117" s="1697"/>
      <c r="G117" s="1181">
        <f>'Det BS '!$J$288</f>
        <v>0</v>
      </c>
      <c r="H117" s="1181">
        <f>'Det BS '!$K$288</f>
        <v>0</v>
      </c>
      <c r="I117" s="789"/>
    </row>
    <row r="118" spans="1:12" ht="28.5" customHeight="1" x14ac:dyDescent="0.25">
      <c r="A118" s="401" t="str">
        <f t="shared" si="11"/>
        <v>Do Not Print</v>
      </c>
      <c r="B118" s="1695" t="s">
        <v>452</v>
      </c>
      <c r="C118" s="1695"/>
      <c r="D118" s="1695"/>
      <c r="E118" s="1697">
        <f>Checklist!E155</f>
        <v>31</v>
      </c>
      <c r="F118" s="1697"/>
      <c r="G118" s="1181">
        <f>'Det BS '!J295</f>
        <v>0</v>
      </c>
      <c r="H118" s="1181">
        <f>'Det BS '!K295</f>
        <v>0</v>
      </c>
      <c r="I118" s="791"/>
    </row>
    <row r="119" spans="1:12" x14ac:dyDescent="0.25">
      <c r="A119" s="401" t="str">
        <f t="shared" si="11"/>
        <v>Do Not Print</v>
      </c>
      <c r="B119" s="1694" t="s">
        <v>364</v>
      </c>
      <c r="C119" s="1694"/>
      <c r="D119" s="1694"/>
      <c r="E119" s="1697">
        <f>Checklist!E102</f>
        <v>15</v>
      </c>
      <c r="F119" s="1697"/>
      <c r="G119" s="1181">
        <f>'Det BS '!J314</f>
        <v>0</v>
      </c>
      <c r="H119" s="1181">
        <f>'Det BS '!K314</f>
        <v>0</v>
      </c>
      <c r="I119" s="791"/>
      <c r="K119" s="640"/>
      <c r="L119" s="525"/>
    </row>
    <row r="120" spans="1:12" x14ac:dyDescent="0.25">
      <c r="A120" s="401" t="str">
        <f t="shared" si="11"/>
        <v>Do Not Print</v>
      </c>
      <c r="B120" s="1694" t="s">
        <v>2363</v>
      </c>
      <c r="C120" s="1694"/>
      <c r="D120" s="1694"/>
      <c r="E120" s="1697"/>
      <c r="F120" s="1697"/>
      <c r="G120" s="1181">
        <f>'Det BS '!J316</f>
        <v>0</v>
      </c>
      <c r="H120" s="1181">
        <f>'Det BS '!K316</f>
        <v>0</v>
      </c>
      <c r="I120" s="791"/>
      <c r="K120" s="640"/>
      <c r="L120" s="525"/>
    </row>
    <row r="121" spans="1:12" x14ac:dyDescent="0.25">
      <c r="A121" s="401" t="str">
        <f t="shared" si="11"/>
        <v>Do Not Print</v>
      </c>
      <c r="B121" s="1694" t="s">
        <v>2692</v>
      </c>
      <c r="C121" s="1694"/>
      <c r="D121" s="1694"/>
      <c r="E121" s="1697"/>
      <c r="F121" s="1697"/>
      <c r="G121" s="1181">
        <f>'Det BS '!J319</f>
        <v>0</v>
      </c>
      <c r="H121" s="1181">
        <f>'Det BS '!K319</f>
        <v>0</v>
      </c>
      <c r="I121" s="791"/>
      <c r="K121" s="640"/>
      <c r="L121" s="525"/>
    </row>
    <row r="122" spans="1:12" x14ac:dyDescent="0.25">
      <c r="A122" s="401" t="s">
        <v>448</v>
      </c>
      <c r="B122" s="1694"/>
      <c r="C122" s="1694"/>
      <c r="D122" s="1694"/>
      <c r="E122" s="1694"/>
      <c r="F122" s="1694"/>
      <c r="G122" s="1181"/>
      <c r="H122" s="1181"/>
      <c r="I122" s="799"/>
      <c r="K122" s="640"/>
    </row>
    <row r="123" spans="1:12" x14ac:dyDescent="0.25">
      <c r="A123" s="401" t="str">
        <f>IF(AND(G123=0,H123=0),"Do Not Print","Print")</f>
        <v>Do Not Print</v>
      </c>
      <c r="B123" s="1696" t="s">
        <v>453</v>
      </c>
      <c r="C123" s="1696"/>
      <c r="D123" s="1696"/>
      <c r="E123" s="1696"/>
      <c r="F123" s="1696"/>
      <c r="G123" s="1185">
        <f>SUM(G116:G122)</f>
        <v>0</v>
      </c>
      <c r="H123" s="1185">
        <f>SUM(H116:H122)</f>
        <v>0</v>
      </c>
      <c r="I123" s="789"/>
    </row>
    <row r="124" spans="1:12" x14ac:dyDescent="0.25">
      <c r="A124" s="401" t="s">
        <v>448</v>
      </c>
      <c r="B124" s="1694"/>
      <c r="C124" s="1694"/>
      <c r="D124" s="1694"/>
      <c r="E124" s="1694"/>
      <c r="F124" s="1694"/>
      <c r="G124" s="1181"/>
      <c r="H124" s="1181"/>
      <c r="I124" s="789"/>
    </row>
    <row r="125" spans="1:12" x14ac:dyDescent="0.25">
      <c r="A125" s="401" t="str">
        <f>IF(AND(G125=0,H125=0,I125=0),"Do Not Print","Print")</f>
        <v>Do Not Print</v>
      </c>
      <c r="B125" s="1694" t="s">
        <v>454</v>
      </c>
      <c r="C125" s="1694"/>
      <c r="D125" s="1694"/>
      <c r="E125" s="1697">
        <f>Checklist!E105</f>
        <v>16</v>
      </c>
      <c r="F125" s="1697"/>
      <c r="G125" s="1181">
        <f>'Det BS '!J329</f>
        <v>0</v>
      </c>
      <c r="H125" s="1181">
        <f>'Det BS '!K329</f>
        <v>0</v>
      </c>
      <c r="I125" s="789"/>
    </row>
    <row r="126" spans="1:12" x14ac:dyDescent="0.25">
      <c r="A126" s="401" t="str">
        <f t="shared" ref="A126:A131" si="12">IF(AND(G126=0,H126=0,I126=0),"Do Not Print","Print")</f>
        <v>Do Not Print</v>
      </c>
      <c r="B126" s="1694" t="s">
        <v>296</v>
      </c>
      <c r="C126" s="1694"/>
      <c r="D126" s="1694"/>
      <c r="E126" s="1697">
        <f>Checklist!E101</f>
        <v>14</v>
      </c>
      <c r="F126" s="1697"/>
      <c r="G126" s="1181">
        <f>'Det BS '!J339</f>
        <v>0</v>
      </c>
      <c r="H126" s="1181">
        <f>'Det BS '!K339</f>
        <v>0</v>
      </c>
      <c r="I126" s="789"/>
      <c r="L126" s="525"/>
    </row>
    <row r="127" spans="1:12" x14ac:dyDescent="0.25">
      <c r="A127" s="401" t="str">
        <f t="shared" si="12"/>
        <v>Do Not Print</v>
      </c>
      <c r="B127" s="1694" t="s">
        <v>376</v>
      </c>
      <c r="C127" s="1694"/>
      <c r="D127" s="1694"/>
      <c r="E127" s="1697">
        <f>Checklist!E102</f>
        <v>15</v>
      </c>
      <c r="F127" s="1697"/>
      <c r="G127" s="1181">
        <f>'Det BS '!J359</f>
        <v>0</v>
      </c>
      <c r="H127" s="1181">
        <f>'Det BS '!K359</f>
        <v>0</v>
      </c>
      <c r="I127" s="789"/>
      <c r="L127" s="525"/>
    </row>
    <row r="128" spans="1:12" x14ac:dyDescent="0.25">
      <c r="A128" s="401" t="str">
        <f t="shared" si="12"/>
        <v>Do Not Print</v>
      </c>
      <c r="B128" s="1694" t="s">
        <v>382</v>
      </c>
      <c r="C128" s="1694"/>
      <c r="D128" s="1694"/>
      <c r="E128" s="1697">
        <v>22</v>
      </c>
      <c r="F128" s="1697"/>
      <c r="G128" s="1181">
        <f>'Note 25 to end'!I53+'Note 25 to end'!I54+'Note 25 to end'!I55</f>
        <v>0</v>
      </c>
      <c r="H128" s="1181">
        <f>'Note 25 to end'!J53+'Note 25 to end'!J54+'Note 25 to end'!J55</f>
        <v>0</v>
      </c>
      <c r="I128" s="789"/>
      <c r="K128" s="640"/>
    </row>
    <row r="129" spans="1:11" x14ac:dyDescent="0.25">
      <c r="A129" s="401" t="str">
        <f t="shared" si="12"/>
        <v>Do Not Print</v>
      </c>
      <c r="B129" s="1694" t="s">
        <v>293</v>
      </c>
      <c r="C129" s="1694"/>
      <c r="D129" s="1694"/>
      <c r="E129" s="1697">
        <f>Checklist!E89</f>
        <v>11</v>
      </c>
      <c r="F129" s="1697"/>
      <c r="G129" s="1181">
        <f>'Det BS '!J378</f>
        <v>0</v>
      </c>
      <c r="H129" s="1181">
        <f>'Det BS '!K378</f>
        <v>0</v>
      </c>
      <c r="I129" s="789"/>
      <c r="K129" s="640"/>
    </row>
    <row r="130" spans="1:11" x14ac:dyDescent="0.25">
      <c r="A130" s="401" t="str">
        <f t="shared" si="12"/>
        <v>Do Not Print</v>
      </c>
      <c r="B130" s="1694" t="s">
        <v>2363</v>
      </c>
      <c r="C130" s="1694"/>
      <c r="D130" s="1694"/>
      <c r="E130" s="1697"/>
      <c r="F130" s="1697"/>
      <c r="G130" s="1181">
        <f>'Det BS '!J380</f>
        <v>0</v>
      </c>
      <c r="H130" s="1181">
        <f>'Det BS '!K380</f>
        <v>0</v>
      </c>
      <c r="I130" s="789"/>
      <c r="K130" s="640"/>
    </row>
    <row r="131" spans="1:11" x14ac:dyDescent="0.25">
      <c r="A131" s="401" t="str">
        <f t="shared" si="12"/>
        <v>Do Not Print</v>
      </c>
      <c r="B131" s="1694" t="s">
        <v>2692</v>
      </c>
      <c r="C131" s="1694"/>
      <c r="D131" s="1694"/>
      <c r="E131" s="1697"/>
      <c r="F131" s="1697"/>
      <c r="G131" s="1181">
        <f>'Det BS '!J383</f>
        <v>0</v>
      </c>
      <c r="H131" s="1181">
        <f>'Det BS '!K383</f>
        <v>0</v>
      </c>
      <c r="I131" s="789"/>
      <c r="K131" s="640"/>
    </row>
    <row r="132" spans="1:11" x14ac:dyDescent="0.25">
      <c r="A132" s="401" t="s">
        <v>448</v>
      </c>
      <c r="B132" s="1694"/>
      <c r="C132" s="1694"/>
      <c r="D132" s="1694"/>
      <c r="E132" s="1694"/>
      <c r="F132" s="1694"/>
      <c r="G132" s="1181"/>
      <c r="H132" s="1181"/>
      <c r="I132" s="799"/>
    </row>
    <row r="133" spans="1:11" x14ac:dyDescent="0.25">
      <c r="A133" s="401" t="str">
        <f>IF(AND(G133=0,H133=0),"Do Not Print","Print")</f>
        <v>Do Not Print</v>
      </c>
      <c r="B133" s="1696" t="s">
        <v>455</v>
      </c>
      <c r="C133" s="1696"/>
      <c r="D133" s="1696"/>
      <c r="E133" s="1696"/>
      <c r="F133" s="1696"/>
      <c r="G133" s="1185">
        <f>SUM(G125:G132)</f>
        <v>0</v>
      </c>
      <c r="H133" s="1185">
        <f>SUM(H125:H132)</f>
        <v>0</v>
      </c>
      <c r="I133" s="789"/>
    </row>
    <row r="134" spans="1:11" x14ac:dyDescent="0.25">
      <c r="A134" s="401" t="s">
        <v>448</v>
      </c>
      <c r="B134" s="1694"/>
      <c r="C134" s="1694"/>
      <c r="D134" s="1694"/>
      <c r="E134" s="1694"/>
      <c r="F134" s="1694"/>
      <c r="G134" s="1181"/>
      <c r="H134" s="1181"/>
      <c r="I134" s="789"/>
    </row>
    <row r="135" spans="1:11" x14ac:dyDescent="0.25">
      <c r="A135" s="401" t="str">
        <f>IF(AND(G135=0,H135=0),"Do Not Print","Print")</f>
        <v>Do Not Print</v>
      </c>
      <c r="B135" s="1694" t="s">
        <v>456</v>
      </c>
      <c r="C135" s="1694"/>
      <c r="D135" s="1694"/>
      <c r="E135" s="1697">
        <f>Checklist!E128</f>
        <v>25</v>
      </c>
      <c r="F135" s="1697"/>
      <c r="G135" s="1181">
        <f>'Det BS '!J389</f>
        <v>0</v>
      </c>
      <c r="H135" s="1181">
        <f>'Det BS '!K389</f>
        <v>0</v>
      </c>
      <c r="I135" s="789"/>
    </row>
    <row r="136" spans="1:11" x14ac:dyDescent="0.25">
      <c r="A136" s="401" t="str">
        <f>IF(AND(G136=0,H136=0),"Do Not Print","Print")</f>
        <v>Do Not Print</v>
      </c>
      <c r="B136" s="1694" t="s">
        <v>457</v>
      </c>
      <c r="C136" s="1694"/>
      <c r="D136" s="1694"/>
      <c r="E136" s="1697">
        <f>Checklist!E108</f>
        <v>17</v>
      </c>
      <c r="F136" s="1697"/>
      <c r="G136" s="1181">
        <f>'Notes 11c to 24'!I537</f>
        <v>0</v>
      </c>
      <c r="H136" s="1181">
        <f>'Notes 11c to 24'!J537</f>
        <v>0</v>
      </c>
      <c r="I136" s="789"/>
    </row>
    <row r="137" spans="1:11" x14ac:dyDescent="0.25">
      <c r="A137" s="401" t="str">
        <f>IF(AND(G137=0,H137=0),"Do Not Print","Print")</f>
        <v>Do Not Print</v>
      </c>
      <c r="B137" s="1694" t="s">
        <v>395</v>
      </c>
      <c r="C137" s="1694"/>
      <c r="D137" s="1694"/>
      <c r="E137" s="1697">
        <f>Checklist!E111</f>
        <v>18</v>
      </c>
      <c r="F137" s="1697"/>
      <c r="G137" s="1181">
        <f>'Det BS '!J408</f>
        <v>0</v>
      </c>
      <c r="H137" s="1181">
        <f>'Det BS '!K408</f>
        <v>0</v>
      </c>
      <c r="I137" s="789"/>
      <c r="K137" s="640"/>
    </row>
    <row r="138" spans="1:11" x14ac:dyDescent="0.25">
      <c r="A138" s="401" t="str">
        <f>IF(AND(G138=0,H138=0),"Do Not Print","Print")</f>
        <v>Do Not Print</v>
      </c>
      <c r="B138" s="1694" t="s">
        <v>308</v>
      </c>
      <c r="C138" s="1694"/>
      <c r="D138" s="1694"/>
      <c r="E138" s="1697">
        <f>Checklist!E115</f>
        <v>19</v>
      </c>
      <c r="F138" s="1697"/>
      <c r="G138" s="1181">
        <f>'Det BS '!J431</f>
        <v>0</v>
      </c>
      <c r="H138" s="1181">
        <f>'Det BS '!K431</f>
        <v>0</v>
      </c>
      <c r="I138" s="789"/>
    </row>
    <row r="139" spans="1:11" x14ac:dyDescent="0.25">
      <c r="A139" s="401" t="str">
        <f>IF(AND(G139=0,H139=0),"Do Not Print","Print")</f>
        <v>Do Not Print</v>
      </c>
      <c r="B139" s="1694" t="s">
        <v>2364</v>
      </c>
      <c r="C139" s="1694"/>
      <c r="D139" s="1694"/>
      <c r="E139" s="1697"/>
      <c r="F139" s="1697"/>
      <c r="G139" s="1181">
        <f>'Det BS '!J433</f>
        <v>0</v>
      </c>
      <c r="H139" s="1181">
        <f>'Det BS '!K433</f>
        <v>0</v>
      </c>
      <c r="I139" s="789"/>
    </row>
    <row r="140" spans="1:11" x14ac:dyDescent="0.25">
      <c r="A140" s="401" t="s">
        <v>448</v>
      </c>
      <c r="B140" s="1694"/>
      <c r="C140" s="1694"/>
      <c r="D140" s="1694"/>
      <c r="E140" s="1694"/>
      <c r="F140" s="1694"/>
      <c r="G140" s="1181"/>
      <c r="H140" s="1181"/>
      <c r="I140" s="789"/>
      <c r="K140" s="640"/>
    </row>
    <row r="141" spans="1:11" x14ac:dyDescent="0.25">
      <c r="A141" s="401" t="str">
        <f>IF(AND(G141=0,H141=0),"Do Not Print","Print")</f>
        <v>Do Not Print</v>
      </c>
      <c r="B141" s="1696" t="s">
        <v>458</v>
      </c>
      <c r="C141" s="1696"/>
      <c r="D141" s="1696"/>
      <c r="E141" s="1696"/>
      <c r="F141" s="1696"/>
      <c r="G141" s="1185">
        <f>SUM(G135:G140)</f>
        <v>0</v>
      </c>
      <c r="H141" s="1185">
        <f>SUM(H135:H140)</f>
        <v>0</v>
      </c>
      <c r="I141" s="789"/>
    </row>
    <row r="142" spans="1:11" x14ac:dyDescent="0.25">
      <c r="A142" s="401" t="s">
        <v>448</v>
      </c>
      <c r="B142" s="1694"/>
      <c r="C142" s="1694"/>
      <c r="D142" s="1694"/>
      <c r="E142" s="1694"/>
      <c r="F142" s="1694"/>
      <c r="G142" s="1181"/>
      <c r="H142" s="1181"/>
      <c r="I142" s="789"/>
    </row>
    <row r="143" spans="1:11" x14ac:dyDescent="0.25">
      <c r="A143" s="401" t="str">
        <f t="shared" ref="A143:A149" si="13">IF(AND(G143=0,H143=0),"Do Not Print","Print")</f>
        <v>Do Not Print</v>
      </c>
      <c r="B143" s="1694" t="s">
        <v>403</v>
      </c>
      <c r="C143" s="1694"/>
      <c r="D143" s="1694"/>
      <c r="E143" s="1697">
        <f>Checklist!E111</f>
        <v>18</v>
      </c>
      <c r="F143" s="1697"/>
      <c r="G143" s="1181">
        <f>'Det BS '!J458</f>
        <v>0</v>
      </c>
      <c r="H143" s="1181">
        <f>'Det BS '!K458</f>
        <v>0</v>
      </c>
      <c r="I143" s="789"/>
    </row>
    <row r="144" spans="1:11" x14ac:dyDescent="0.25">
      <c r="A144" s="401" t="str">
        <f t="shared" si="13"/>
        <v>Do Not Print</v>
      </c>
      <c r="B144" s="1694" t="s">
        <v>308</v>
      </c>
      <c r="C144" s="1694"/>
      <c r="D144" s="1694"/>
      <c r="E144" s="1697">
        <f>Checklist!E115</f>
        <v>19</v>
      </c>
      <c r="F144" s="1697"/>
      <c r="G144" s="1181">
        <f>'Det BS '!J481</f>
        <v>0</v>
      </c>
      <c r="H144" s="1181">
        <f>'Det BS '!K481</f>
        <v>0</v>
      </c>
      <c r="I144" s="789"/>
      <c r="K144" s="640"/>
    </row>
    <row r="145" spans="1:11" x14ac:dyDescent="0.25">
      <c r="A145" s="401" t="str">
        <f t="shared" si="13"/>
        <v>Do Not Print</v>
      </c>
      <c r="B145" s="1694" t="s">
        <v>639</v>
      </c>
      <c r="C145" s="1694"/>
      <c r="D145" s="1694"/>
      <c r="E145" s="1697">
        <f>Checklist!E108</f>
        <v>17</v>
      </c>
      <c r="F145" s="1697"/>
      <c r="G145" s="1181">
        <f>'Det BS '!J444</f>
        <v>0</v>
      </c>
      <c r="H145" s="1181">
        <f>'Det BS '!K444</f>
        <v>0</v>
      </c>
      <c r="I145" s="789"/>
    </row>
    <row r="146" spans="1:11" x14ac:dyDescent="0.25">
      <c r="A146" s="401" t="str">
        <f t="shared" si="13"/>
        <v>Do Not Print</v>
      </c>
      <c r="B146" s="1694" t="s">
        <v>459</v>
      </c>
      <c r="C146" s="1694"/>
      <c r="D146" s="1694"/>
      <c r="E146" s="1697">
        <f>Checklist!E117</f>
        <v>21</v>
      </c>
      <c r="F146" s="1697"/>
      <c r="G146" s="1181">
        <f>-('Notes 3 to 10'!G238+'Notes 11c to 24'!I1123)</f>
        <v>0</v>
      </c>
      <c r="H146" s="1181">
        <f>-('Notes 3 to 10'!I238+'Notes 11c to 24'!J1123)</f>
        <v>0</v>
      </c>
      <c r="I146" s="789"/>
    </row>
    <row r="147" spans="1:11" x14ac:dyDescent="0.25">
      <c r="A147" s="401" t="str">
        <f t="shared" si="13"/>
        <v>Do Not Print</v>
      </c>
      <c r="B147" s="1694" t="s">
        <v>2364</v>
      </c>
      <c r="C147" s="1694"/>
      <c r="D147" s="1694"/>
      <c r="E147" s="1697"/>
      <c r="F147" s="1697"/>
      <c r="G147" s="1181">
        <f>'Det BS '!J514</f>
        <v>0</v>
      </c>
      <c r="H147" s="1181">
        <f>'Det BS '!K514</f>
        <v>0</v>
      </c>
      <c r="I147" s="789"/>
    </row>
    <row r="148" spans="1:11" x14ac:dyDescent="0.25">
      <c r="A148" s="401" t="str">
        <f t="shared" si="13"/>
        <v>Do Not Print</v>
      </c>
      <c r="B148" s="1694" t="s">
        <v>788</v>
      </c>
      <c r="C148" s="1694"/>
      <c r="D148" s="1694"/>
      <c r="E148" s="1697">
        <f>Checklist!E125</f>
        <v>22</v>
      </c>
      <c r="F148" s="1697"/>
      <c r="G148" s="1181">
        <f>'Det BS '!J521</f>
        <v>0</v>
      </c>
      <c r="H148" s="1181">
        <f>'Det BS '!K521</f>
        <v>0</v>
      </c>
      <c r="I148" s="789"/>
    </row>
    <row r="149" spans="1:11" x14ac:dyDescent="0.25">
      <c r="A149" s="401" t="str">
        <f t="shared" si="13"/>
        <v>Do Not Print</v>
      </c>
      <c r="B149" s="1694" t="s">
        <v>799</v>
      </c>
      <c r="C149" s="1694"/>
      <c r="D149" s="1694"/>
      <c r="E149" s="1697">
        <f>Checklist!E126</f>
        <v>23</v>
      </c>
      <c r="F149" s="1697"/>
      <c r="G149" s="1181">
        <f>'Det BS '!J527</f>
        <v>0</v>
      </c>
      <c r="H149" s="1181">
        <f>'Det BS '!K527</f>
        <v>0</v>
      </c>
      <c r="I149" s="791"/>
    </row>
    <row r="150" spans="1:11" x14ac:dyDescent="0.25">
      <c r="A150" s="401" t="s">
        <v>448</v>
      </c>
      <c r="B150" s="1694"/>
      <c r="C150" s="1694"/>
      <c r="D150" s="1694"/>
      <c r="E150" s="1694"/>
      <c r="F150" s="1694"/>
      <c r="G150" s="1181"/>
      <c r="H150" s="1181"/>
      <c r="I150" s="799"/>
    </row>
    <row r="151" spans="1:11" x14ac:dyDescent="0.25">
      <c r="A151" s="401" t="str">
        <f>IF(AND(G151=0,H151=0),"Do Not Print","Print")</f>
        <v>Do Not Print</v>
      </c>
      <c r="B151" s="1696" t="s">
        <v>460</v>
      </c>
      <c r="C151" s="1696"/>
      <c r="D151" s="1696"/>
      <c r="E151" s="1696"/>
      <c r="F151" s="1696"/>
      <c r="G151" s="1185">
        <f>SUM(G143:G150)</f>
        <v>0</v>
      </c>
      <c r="H151" s="1185">
        <f>SUM(H143:H150)</f>
        <v>0</v>
      </c>
      <c r="I151" s="789"/>
    </row>
    <row r="152" spans="1:11" x14ac:dyDescent="0.25">
      <c r="A152" s="401" t="s">
        <v>448</v>
      </c>
      <c r="B152" s="1694"/>
      <c r="C152" s="1694"/>
      <c r="D152" s="1694"/>
      <c r="E152" s="1694"/>
      <c r="F152" s="1694"/>
      <c r="G152" s="1181"/>
      <c r="H152" s="1181"/>
      <c r="I152" s="789"/>
    </row>
    <row r="153" spans="1:11" x14ac:dyDescent="0.25">
      <c r="A153" s="401" t="str">
        <f>IF(AND(G153=0,H153=0),"Do Not Print","Print")</f>
        <v>Do Not Print</v>
      </c>
      <c r="B153" s="1696" t="s">
        <v>461</v>
      </c>
      <c r="C153" s="1696"/>
      <c r="D153" s="1696"/>
      <c r="E153" s="1696"/>
      <c r="F153" s="1696"/>
      <c r="G153" s="1185">
        <f>G123+G133-G141-G151</f>
        <v>0</v>
      </c>
      <c r="H153" s="1185">
        <f>H123+H133-H141-H151</f>
        <v>0</v>
      </c>
      <c r="I153" s="789"/>
    </row>
    <row r="154" spans="1:11" x14ac:dyDescent="0.25">
      <c r="A154" s="401" t="s">
        <v>448</v>
      </c>
      <c r="B154" s="1694"/>
      <c r="C154" s="1694"/>
      <c r="D154" s="1694"/>
      <c r="E154" s="1694"/>
      <c r="F154" s="1694"/>
      <c r="G154" s="1181"/>
      <c r="H154" s="1181"/>
      <c r="I154" s="799"/>
    </row>
    <row r="155" spans="1:11" x14ac:dyDescent="0.25">
      <c r="A155" s="401" t="str">
        <f>IF(AND(G163=0,H163=0),"Do Not Print","Print")</f>
        <v>Do Not Print</v>
      </c>
      <c r="B155" s="1694" t="s">
        <v>462</v>
      </c>
      <c r="C155" s="1694"/>
      <c r="D155" s="1694"/>
      <c r="E155" s="1694"/>
      <c r="F155" s="1694"/>
      <c r="G155" s="1181"/>
      <c r="H155" s="1181"/>
      <c r="I155" s="789"/>
      <c r="J155" s="798"/>
    </row>
    <row r="156" spans="1:11" x14ac:dyDescent="0.25">
      <c r="A156" s="401" t="str">
        <f t="shared" ref="A156:A161" si="14">IF(AND(G156=0,H156=0),"Do Not Print","Print")</f>
        <v>Do Not Print</v>
      </c>
      <c r="B156" s="1694" t="s">
        <v>421</v>
      </c>
      <c r="C156" s="1694"/>
      <c r="D156" s="1694"/>
      <c r="E156" s="1697">
        <f>Checklist!E134</f>
        <v>26</v>
      </c>
      <c r="F156" s="1697"/>
      <c r="G156" s="1181">
        <f>'Note 25 to end'!J111</f>
        <v>0</v>
      </c>
      <c r="H156" s="1181">
        <f>'Note 25 to end'!K111</f>
        <v>0</v>
      </c>
      <c r="I156" s="789"/>
    </row>
    <row r="157" spans="1:11" x14ac:dyDescent="0.25">
      <c r="A157" s="401" t="str">
        <f t="shared" si="14"/>
        <v>Do Not Print</v>
      </c>
      <c r="B157" s="1694" t="s">
        <v>422</v>
      </c>
      <c r="C157" s="1694"/>
      <c r="D157" s="1694"/>
      <c r="E157" s="1697">
        <f>Checklist!E134</f>
        <v>26</v>
      </c>
      <c r="F157" s="1697"/>
      <c r="G157" s="1181">
        <f>'Note 25 to end'!J125</f>
        <v>0</v>
      </c>
      <c r="H157" s="1181">
        <f>'Note 25 to end'!K125</f>
        <v>0</v>
      </c>
      <c r="I157" s="789"/>
    </row>
    <row r="158" spans="1:11" x14ac:dyDescent="0.25">
      <c r="A158" s="401" t="str">
        <f t="shared" si="14"/>
        <v>Do Not Print</v>
      </c>
      <c r="B158" s="1694" t="s">
        <v>423</v>
      </c>
      <c r="C158" s="1694"/>
      <c r="D158" s="1694"/>
      <c r="E158" s="1697">
        <f>Checklist!E134</f>
        <v>26</v>
      </c>
      <c r="F158" s="1697"/>
      <c r="G158" s="1181">
        <f>'Note 25 to end'!J137</f>
        <v>0</v>
      </c>
      <c r="H158" s="1181">
        <f>'Note 25 to end'!K137</f>
        <v>0</v>
      </c>
      <c r="I158" s="789"/>
    </row>
    <row r="159" spans="1:11" x14ac:dyDescent="0.25">
      <c r="A159" s="401" t="str">
        <f t="shared" si="14"/>
        <v>Do Not Print</v>
      </c>
      <c r="B159" s="1694" t="s">
        <v>321</v>
      </c>
      <c r="C159" s="1694"/>
      <c r="D159" s="1694"/>
      <c r="E159" s="1697">
        <f>Checklist!E134</f>
        <v>26</v>
      </c>
      <c r="F159" s="1697"/>
      <c r="G159" s="1181">
        <f>'Note 25 to end'!J156</f>
        <v>0</v>
      </c>
      <c r="H159" s="1181">
        <f>'Note 25 to end'!K156</f>
        <v>0</v>
      </c>
      <c r="I159" s="789"/>
    </row>
    <row r="160" spans="1:11" x14ac:dyDescent="0.25">
      <c r="A160" s="401" t="str">
        <f t="shared" si="14"/>
        <v>Do Not Print</v>
      </c>
      <c r="B160" s="1694" t="s">
        <v>463</v>
      </c>
      <c r="C160" s="1694"/>
      <c r="D160" s="1694"/>
      <c r="E160" s="1697">
        <f>Checklist!E134</f>
        <v>26</v>
      </c>
      <c r="F160" s="1697"/>
      <c r="G160" s="1181">
        <f>'Note 25 to end'!J173</f>
        <v>0</v>
      </c>
      <c r="H160" s="1181">
        <f>'Note 25 to end'!K173</f>
        <v>0</v>
      </c>
      <c r="I160" s="789"/>
      <c r="K160" s="640"/>
    </row>
    <row r="161" spans="1:12" x14ac:dyDescent="0.25">
      <c r="A161" s="401" t="str">
        <f t="shared" si="14"/>
        <v>Do Not Print</v>
      </c>
      <c r="B161" s="1694" t="s">
        <v>426</v>
      </c>
      <c r="C161" s="1694"/>
      <c r="D161" s="1694"/>
      <c r="E161" s="1697">
        <f>Checklist!E134</f>
        <v>26</v>
      </c>
      <c r="F161" s="1697"/>
      <c r="G161" s="1181">
        <f>'Note 25 to end'!J198</f>
        <v>0</v>
      </c>
      <c r="H161" s="1181">
        <f>'Note 25 to end'!K198</f>
        <v>0</v>
      </c>
      <c r="I161" s="789"/>
    </row>
    <row r="162" spans="1:12" x14ac:dyDescent="0.25">
      <c r="A162" s="401" t="s">
        <v>448</v>
      </c>
      <c r="B162" s="1694"/>
      <c r="C162" s="1694"/>
      <c r="D162" s="1694"/>
      <c r="E162" s="1694"/>
      <c r="F162" s="1694"/>
      <c r="G162" s="1181"/>
      <c r="H162" s="1181"/>
      <c r="I162" s="789"/>
    </row>
    <row r="163" spans="1:12" x14ac:dyDescent="0.25">
      <c r="A163" s="401" t="str">
        <f>IF(AND(G163=0,H163=0),"Do Not Print","Print")</f>
        <v>Do Not Print</v>
      </c>
      <c r="B163" s="1696"/>
      <c r="C163" s="1696"/>
      <c r="D163" s="1696"/>
      <c r="E163" s="1696"/>
      <c r="F163" s="1696"/>
      <c r="G163" s="1185">
        <f>SUM(G156:G162)</f>
        <v>0</v>
      </c>
      <c r="H163" s="1185">
        <f>SUM(H156:H162)</f>
        <v>0</v>
      </c>
      <c r="I163" s="789"/>
    </row>
    <row r="164" spans="1:12" x14ac:dyDescent="0.25">
      <c r="A164" s="401" t="s">
        <v>448</v>
      </c>
      <c r="B164" s="1703"/>
      <c r="C164" s="1703"/>
      <c r="D164" s="1703"/>
      <c r="E164" s="1703"/>
      <c r="F164" s="1703"/>
      <c r="G164" s="1204"/>
      <c r="H164" s="1204"/>
      <c r="I164" s="930"/>
    </row>
    <row r="165" spans="1:12" x14ac:dyDescent="0.25">
      <c r="A165" s="401" t="str">
        <f>IF(AND(G178=0,H178=0),"Do Not Print","Print")</f>
        <v>Do Not Print</v>
      </c>
      <c r="B165" s="1694" t="s">
        <v>464</v>
      </c>
      <c r="C165" s="1694"/>
      <c r="D165" s="1694"/>
      <c r="E165" s="1694"/>
      <c r="F165" s="1694"/>
      <c r="G165" s="1181"/>
      <c r="H165" s="1181"/>
      <c r="I165" s="789"/>
    </row>
    <row r="166" spans="1:12" x14ac:dyDescent="0.25">
      <c r="A166" s="401" t="str">
        <f t="shared" ref="A166:A175" si="15">IF(AND(G166=0,H166=0),"Do Not Print","Print")</f>
        <v>Do Not Print</v>
      </c>
      <c r="B166" s="1694" t="s">
        <v>428</v>
      </c>
      <c r="C166" s="1694"/>
      <c r="D166" s="1694"/>
      <c r="E166" s="1697">
        <f>Checklist!E142</f>
        <v>27</v>
      </c>
      <c r="F166" s="1697"/>
      <c r="G166" s="1181">
        <f>'Note 25 to end'!J256</f>
        <v>0</v>
      </c>
      <c r="H166" s="1181">
        <f>'Note 25 to end'!K256</f>
        <v>0</v>
      </c>
      <c r="I166" s="789"/>
      <c r="L166" s="817"/>
    </row>
    <row r="167" spans="1:12" x14ac:dyDescent="0.25">
      <c r="A167" s="401" t="str">
        <f t="shared" si="15"/>
        <v>Do Not Print</v>
      </c>
      <c r="B167" s="1694" t="s">
        <v>429</v>
      </c>
      <c r="C167" s="1694"/>
      <c r="D167" s="1694"/>
      <c r="E167" s="1697">
        <f>Checklist!E142</f>
        <v>27</v>
      </c>
      <c r="F167" s="1697"/>
      <c r="G167" s="1181">
        <f>'Note 25 to end'!J266</f>
        <v>0</v>
      </c>
      <c r="H167" s="1181">
        <f>'Note 25 to end'!K266</f>
        <v>0</v>
      </c>
      <c r="I167" s="789"/>
    </row>
    <row r="168" spans="1:12" x14ac:dyDescent="0.25">
      <c r="A168" s="401" t="str">
        <f t="shared" si="15"/>
        <v>Do Not Print</v>
      </c>
      <c r="B168" s="1694" t="s">
        <v>210</v>
      </c>
      <c r="C168" s="1694"/>
      <c r="D168" s="1694"/>
      <c r="E168" s="1697">
        <f>Checklist!E142</f>
        <v>27</v>
      </c>
      <c r="F168" s="1697"/>
      <c r="G168" s="1181">
        <f>'Note 25 to end'!J287</f>
        <v>0</v>
      </c>
      <c r="H168" s="1181">
        <f>'Note 25 to end'!K287</f>
        <v>0</v>
      </c>
      <c r="I168" s="789"/>
    </row>
    <row r="169" spans="1:12" x14ac:dyDescent="0.25">
      <c r="A169" s="401" t="str">
        <f t="shared" si="15"/>
        <v>Do Not Print</v>
      </c>
      <c r="B169" s="1694" t="s">
        <v>431</v>
      </c>
      <c r="C169" s="1694"/>
      <c r="D169" s="1694"/>
      <c r="E169" s="1697">
        <f>Checklist!E142</f>
        <v>27</v>
      </c>
      <c r="F169" s="1697"/>
      <c r="G169" s="1181">
        <f>'Note 25 to end'!J299</f>
        <v>0</v>
      </c>
      <c r="H169" s="1181">
        <f>'Note 25 to end'!K299</f>
        <v>0</v>
      </c>
      <c r="I169" s="789"/>
    </row>
    <row r="170" spans="1:12" x14ac:dyDescent="0.25">
      <c r="A170" s="401" t="str">
        <f t="shared" si="15"/>
        <v>Do Not Print</v>
      </c>
      <c r="B170" s="1694" t="s">
        <v>2769</v>
      </c>
      <c r="C170" s="1694"/>
      <c r="D170" s="1694"/>
      <c r="E170" s="1697">
        <f>Checklist!E142</f>
        <v>27</v>
      </c>
      <c r="F170" s="1697"/>
      <c r="G170" s="1181">
        <f>'Note 25 to end'!J307</f>
        <v>0</v>
      </c>
      <c r="H170" s="1181">
        <f>'Note 25 to end'!K307</f>
        <v>0</v>
      </c>
      <c r="I170" s="789"/>
    </row>
    <row r="171" spans="1:12" x14ac:dyDescent="0.25">
      <c r="A171" s="401" t="str">
        <f t="shared" si="15"/>
        <v>Do Not Print</v>
      </c>
      <c r="B171" s="1694" t="s">
        <v>465</v>
      </c>
      <c r="C171" s="1694"/>
      <c r="D171" s="1694"/>
      <c r="E171" s="1697">
        <f>Checklist!E142</f>
        <v>27</v>
      </c>
      <c r="F171" s="1697"/>
      <c r="G171" s="1181">
        <f>'Note 25 to end'!J317</f>
        <v>0</v>
      </c>
      <c r="H171" s="1181">
        <f>'Note 25 to end'!K317</f>
        <v>0</v>
      </c>
      <c r="I171" s="789"/>
    </row>
    <row r="172" spans="1:12" x14ac:dyDescent="0.25">
      <c r="A172" s="401" t="str">
        <f t="shared" si="15"/>
        <v>Do Not Print</v>
      </c>
      <c r="B172" s="1694" t="s">
        <v>433</v>
      </c>
      <c r="C172" s="1694"/>
      <c r="D172" s="1694"/>
      <c r="E172" s="1697">
        <f>Checklist!E142</f>
        <v>27</v>
      </c>
      <c r="F172" s="1697"/>
      <c r="G172" s="1181">
        <f>'Note 25 to end'!J332</f>
        <v>0</v>
      </c>
      <c r="H172" s="1181">
        <f>'Note 25 to end'!K332</f>
        <v>0</v>
      </c>
      <c r="I172" s="789"/>
    </row>
    <row r="173" spans="1:12" x14ac:dyDescent="0.25">
      <c r="A173" s="401" t="str">
        <f t="shared" si="15"/>
        <v>Do Not Print</v>
      </c>
      <c r="B173" s="1694" t="s">
        <v>434</v>
      </c>
      <c r="C173" s="1694"/>
      <c r="D173" s="1694"/>
      <c r="E173" s="1697">
        <f>Checklist!E142</f>
        <v>27</v>
      </c>
      <c r="F173" s="1697"/>
      <c r="G173" s="1181">
        <f>'Note 25 to end'!J343</f>
        <v>0</v>
      </c>
      <c r="H173" s="1181">
        <f>'Note 25 to end'!K343</f>
        <v>0</v>
      </c>
      <c r="I173" s="789"/>
    </row>
    <row r="174" spans="1:12" x14ac:dyDescent="0.25">
      <c r="A174" s="401" t="str">
        <f t="shared" si="15"/>
        <v>Do Not Print</v>
      </c>
      <c r="B174" s="1694" t="s">
        <v>328</v>
      </c>
      <c r="C174" s="1694"/>
      <c r="D174" s="1694"/>
      <c r="E174" s="1697">
        <f>Checklist!E142</f>
        <v>27</v>
      </c>
      <c r="F174" s="1697"/>
      <c r="G174" s="1181">
        <f>'Note 25 to end'!J372</f>
        <v>0</v>
      </c>
      <c r="H174" s="1181">
        <f>'Note 25 to end'!K372</f>
        <v>0</v>
      </c>
      <c r="I174" s="789"/>
    </row>
    <row r="175" spans="1:12" x14ac:dyDescent="0.25">
      <c r="A175" s="401" t="str">
        <f t="shared" si="15"/>
        <v>Do Not Print</v>
      </c>
      <c r="B175" s="1694" t="s">
        <v>327</v>
      </c>
      <c r="C175" s="1694"/>
      <c r="D175" s="1694"/>
      <c r="E175" s="1697">
        <f>Checklist!E142</f>
        <v>27</v>
      </c>
      <c r="F175" s="1697"/>
      <c r="G175" s="1181">
        <f>'Note 25 to end'!J357</f>
        <v>0</v>
      </c>
      <c r="H175" s="1181">
        <f>'Note 25 to end'!K357</f>
        <v>0</v>
      </c>
      <c r="I175" s="789"/>
    </row>
    <row r="176" spans="1:12" x14ac:dyDescent="0.25">
      <c r="A176" s="401" t="s">
        <v>448</v>
      </c>
      <c r="B176" s="1694"/>
      <c r="C176" s="1694"/>
      <c r="D176" s="1694"/>
      <c r="E176" s="1694"/>
      <c r="F176" s="1694"/>
      <c r="G176" s="1181"/>
      <c r="H176" s="1181"/>
      <c r="I176" s="789"/>
    </row>
    <row r="177" spans="1:14" x14ac:dyDescent="0.25">
      <c r="A177" s="401" t="s">
        <v>448</v>
      </c>
      <c r="B177" s="1694"/>
      <c r="C177" s="1694"/>
      <c r="D177" s="1694"/>
      <c r="E177" s="1694"/>
      <c r="F177" s="1694"/>
      <c r="G177" s="1181"/>
      <c r="H177" s="1181"/>
      <c r="I177" s="789"/>
    </row>
    <row r="178" spans="1:14" x14ac:dyDescent="0.25">
      <c r="A178" s="401" t="str">
        <f>IF(AND(G178=0,H178=0),"Do Not Print","Print")</f>
        <v>Do Not Print</v>
      </c>
      <c r="B178" s="1696"/>
      <c r="C178" s="1696"/>
      <c r="D178" s="1696"/>
      <c r="E178" s="1696"/>
      <c r="F178" s="1696"/>
      <c r="G178" s="1185">
        <f>SUM(G166:G177)</f>
        <v>0</v>
      </c>
      <c r="H178" s="1185">
        <f>SUM(H166:H177)</f>
        <v>0</v>
      </c>
      <c r="I178" s="789"/>
      <c r="M178" s="525"/>
    </row>
    <row r="179" spans="1:14" x14ac:dyDescent="0.25">
      <c r="A179" s="401" t="s">
        <v>448</v>
      </c>
      <c r="B179" s="1694"/>
      <c r="C179" s="1694"/>
      <c r="D179" s="1694"/>
      <c r="E179" s="1694"/>
      <c r="F179" s="1694"/>
      <c r="G179" s="1181"/>
      <c r="H179" s="1181"/>
      <c r="I179" s="789"/>
      <c r="L179" s="818" t="s">
        <v>1102</v>
      </c>
      <c r="M179" s="525"/>
    </row>
    <row r="180" spans="1:14" x14ac:dyDescent="0.25">
      <c r="A180" s="401" t="str">
        <f>IF(AND(G180=0,H180=0),"Do Not Print","Print")</f>
        <v>Do Not Print</v>
      </c>
      <c r="B180" s="1696" t="s">
        <v>466</v>
      </c>
      <c r="C180" s="1696"/>
      <c r="D180" s="1696"/>
      <c r="E180" s="1696"/>
      <c r="F180" s="1696"/>
      <c r="G180" s="1185">
        <f>G163+G178</f>
        <v>0</v>
      </c>
      <c r="H180" s="1185">
        <f>H163+H178</f>
        <v>0</v>
      </c>
      <c r="I180" s="789"/>
      <c r="L180" s="401" t="s">
        <v>1608</v>
      </c>
      <c r="M180" s="525">
        <f>+G153-G180</f>
        <v>0</v>
      </c>
      <c r="N180" s="525">
        <f>+H153-H180</f>
        <v>0</v>
      </c>
    </row>
    <row r="181" spans="1:14" x14ac:dyDescent="0.25">
      <c r="A181" s="401" t="s">
        <v>448</v>
      </c>
      <c r="B181" s="799"/>
      <c r="D181" s="799"/>
      <c r="E181" s="799"/>
      <c r="F181" s="799"/>
      <c r="G181" s="789"/>
      <c r="H181" s="789"/>
      <c r="I181" s="789"/>
    </row>
    <row r="182" spans="1:14" x14ac:dyDescent="0.25">
      <c r="A182" s="401" t="s">
        <v>448</v>
      </c>
      <c r="B182" s="799"/>
      <c r="D182" s="799"/>
      <c r="E182" s="799"/>
      <c r="F182" s="799"/>
      <c r="G182" s="789"/>
      <c r="H182" s="789"/>
      <c r="I182" s="789"/>
    </row>
    <row r="183" spans="1:14" x14ac:dyDescent="0.25">
      <c r="A183" s="401" t="s">
        <v>448</v>
      </c>
      <c r="B183" s="522" t="str">
        <f>'Standing Data'!D4</f>
        <v>NAME OF COUNCIL</v>
      </c>
      <c r="D183" s="799"/>
      <c r="E183" s="799"/>
      <c r="F183" s="799"/>
      <c r="G183" s="789"/>
      <c r="H183" s="789"/>
      <c r="I183" s="789"/>
    </row>
    <row r="184" spans="1:14" ht="18.75" customHeight="1" x14ac:dyDescent="0.25">
      <c r="A184" s="401" t="s">
        <v>448</v>
      </c>
      <c r="B184" s="467" t="str">
        <f>'Standing Data'!D24</f>
        <v>Cash Flow Statement at 31 March 2026</v>
      </c>
      <c r="D184" s="799"/>
      <c r="E184" s="799"/>
      <c r="F184" s="799"/>
      <c r="G184" s="799"/>
      <c r="H184" s="799"/>
      <c r="I184" s="799"/>
    </row>
    <row r="185" spans="1:14" x14ac:dyDescent="0.25">
      <c r="A185" s="401" t="s">
        <v>448</v>
      </c>
      <c r="B185" s="1693"/>
      <c r="C185" s="1693"/>
      <c r="D185" s="1693"/>
      <c r="E185" s="1693"/>
      <c r="F185" s="1693"/>
      <c r="G185" s="1693"/>
      <c r="H185" s="1693"/>
      <c r="I185" s="1693"/>
    </row>
    <row r="186" spans="1:14" ht="92.25" customHeight="1" x14ac:dyDescent="0.25">
      <c r="A186" s="401" t="s">
        <v>448</v>
      </c>
      <c r="B186" s="1506" t="str">
        <f>IF('Non TB - Note 1'!F5=1,'Non TB - Note 1'!H5," ")</f>
        <v>The Cash Flow Statement shows the changes in cash and cash equivalents of the Council during the reporting period.  The statement shows how the Council generates and uses cash and cash equivalents by classifying cash flows as operating, investing and financing activities.  The amount of net cash flows arising from operating activities is a key indicator of the extent to which the operations of the Council are funded by way of taxation and grant income or from the recipients of services provided by the Council.  Investing activities represent the extent to which cash outflows have been made for resources which are intended to contribute to the Council's future service delivery.  Cash flows arising from financing activities are useful in predicting claims on future cash flows by providers of capital (i.e. borrowing) to the Council.</v>
      </c>
      <c r="C186" s="1506"/>
      <c r="D186" s="1506"/>
      <c r="E186" s="1506"/>
      <c r="F186" s="1506"/>
      <c r="G186" s="1506"/>
      <c r="H186" s="1506"/>
      <c r="I186" s="1506"/>
    </row>
    <row r="187" spans="1:14" x14ac:dyDescent="0.25">
      <c r="A187" s="401" t="s">
        <v>448</v>
      </c>
      <c r="B187" s="1693"/>
      <c r="C187" s="1693"/>
      <c r="D187" s="1693"/>
      <c r="E187" s="1693"/>
      <c r="F187" s="1693"/>
      <c r="G187" s="1693"/>
      <c r="H187" s="1693"/>
      <c r="I187" s="1693"/>
    </row>
    <row r="188" spans="1:14" x14ac:dyDescent="0.25">
      <c r="A188" s="401" t="s">
        <v>448</v>
      </c>
      <c r="B188" s="1205"/>
      <c r="C188" s="1206"/>
      <c r="D188" s="1205"/>
      <c r="E188" s="1205"/>
      <c r="F188" s="1189" t="s">
        <v>474</v>
      </c>
      <c r="G188" s="1202" t="str">
        <f>'Standing Data'!D34</f>
        <v>2025/26</v>
      </c>
      <c r="H188" s="1202" t="str">
        <f>'Standing Data'!D52</f>
        <v>2024/25</v>
      </c>
      <c r="I188" s="812"/>
    </row>
    <row r="189" spans="1:14" x14ac:dyDescent="0.25">
      <c r="A189" s="401" t="s">
        <v>448</v>
      </c>
      <c r="B189" s="1174"/>
      <c r="C189" s="1175"/>
      <c r="D189" s="1174"/>
      <c r="E189" s="1174"/>
      <c r="F189" s="1174"/>
      <c r="G189" s="1175" t="s">
        <v>450</v>
      </c>
      <c r="H189" s="1175" t="s">
        <v>450</v>
      </c>
      <c r="I189" s="814"/>
    </row>
    <row r="190" spans="1:14" ht="18.75" customHeight="1" x14ac:dyDescent="0.25">
      <c r="A190" s="401" t="s">
        <v>448</v>
      </c>
      <c r="B190" s="1694" t="s">
        <v>198</v>
      </c>
      <c r="C190" s="1694"/>
      <c r="D190" s="1694"/>
      <c r="E190" s="1694"/>
      <c r="F190" s="1182"/>
      <c r="G190" s="1181">
        <f>F62</f>
        <v>0</v>
      </c>
      <c r="H190" s="1181">
        <f>I62</f>
        <v>0</v>
      </c>
      <c r="I190" s="789"/>
    </row>
    <row r="191" spans="1:14" ht="13.5" customHeight="1" x14ac:dyDescent="0.25">
      <c r="A191" s="401" t="s">
        <v>448</v>
      </c>
      <c r="B191" s="1694"/>
      <c r="C191" s="1694"/>
      <c r="D191" s="1694"/>
      <c r="E191" s="1694"/>
      <c r="F191" s="1182"/>
      <c r="G191" s="1181"/>
      <c r="H191" s="1181"/>
      <c r="I191" s="789"/>
    </row>
    <row r="192" spans="1:14" ht="25.5" customHeight="1" x14ac:dyDescent="0.25">
      <c r="A192" s="401" t="s">
        <v>448</v>
      </c>
      <c r="B192" s="1694" t="s">
        <v>199</v>
      </c>
      <c r="C192" s="1694"/>
      <c r="D192" s="1694"/>
      <c r="E192" s="1694"/>
      <c r="F192" s="1182">
        <v>22</v>
      </c>
      <c r="G192" s="1181">
        <f>'Note 25 to end'!J33</f>
        <v>0</v>
      </c>
      <c r="H192" s="1181">
        <f>'Note 25 to end'!K33</f>
        <v>0</v>
      </c>
      <c r="I192" s="789"/>
      <c r="M192" s="525"/>
    </row>
    <row r="193" spans="1:9" x14ac:dyDescent="0.25">
      <c r="A193" s="401" t="s">
        <v>448</v>
      </c>
      <c r="B193" s="1694"/>
      <c r="C193" s="1694"/>
      <c r="D193" s="1694"/>
      <c r="E193" s="1694"/>
      <c r="F193" s="1182"/>
      <c r="G193" s="1181"/>
      <c r="H193" s="1181"/>
      <c r="I193" s="789"/>
    </row>
    <row r="194" spans="1:9" ht="37.5" customHeight="1" x14ac:dyDescent="0.25">
      <c r="A194" s="401" t="s">
        <v>448</v>
      </c>
      <c r="B194" s="1695" t="s">
        <v>816</v>
      </c>
      <c r="C194" s="1695"/>
      <c r="D194" s="1695"/>
      <c r="E194" s="1695"/>
      <c r="F194" s="1179">
        <v>22</v>
      </c>
      <c r="G194" s="1181">
        <f>'Note 25 to end'!J43</f>
        <v>0</v>
      </c>
      <c r="H194" s="1181">
        <f>'Note 25 to end'!K43</f>
        <v>0</v>
      </c>
      <c r="I194" s="789"/>
    </row>
    <row r="195" spans="1:9" x14ac:dyDescent="0.25">
      <c r="A195" s="401" t="s">
        <v>448</v>
      </c>
      <c r="B195" s="1694"/>
      <c r="C195" s="1694"/>
      <c r="D195" s="1694"/>
      <c r="E195" s="1694"/>
      <c r="F195" s="1182"/>
      <c r="G195" s="1181"/>
      <c r="H195" s="1181"/>
      <c r="I195" s="789"/>
    </row>
    <row r="196" spans="1:9" ht="17.25" customHeight="1" x14ac:dyDescent="0.25">
      <c r="A196" s="401" t="s">
        <v>448</v>
      </c>
      <c r="B196" s="1188" t="s">
        <v>46</v>
      </c>
      <c r="C196" s="1189"/>
      <c r="D196" s="1188"/>
      <c r="E196" s="1188"/>
      <c r="F196" s="1188">
        <f>Checklist!E128</f>
        <v>25</v>
      </c>
      <c r="G196" s="1185">
        <f>-G190+G192+G194</f>
        <v>0</v>
      </c>
      <c r="H196" s="1185">
        <f>-H190+H192+H194</f>
        <v>0</v>
      </c>
      <c r="I196" s="821"/>
    </row>
    <row r="197" spans="1:9" x14ac:dyDescent="0.25">
      <c r="A197" s="401" t="s">
        <v>448</v>
      </c>
      <c r="B197" s="1694"/>
      <c r="C197" s="1694"/>
      <c r="D197" s="1694"/>
      <c r="E197" s="1694"/>
      <c r="F197" s="1182"/>
      <c r="G197" s="1181"/>
      <c r="H197" s="1181"/>
      <c r="I197" s="789"/>
    </row>
    <row r="198" spans="1:9" ht="21" customHeight="1" x14ac:dyDescent="0.25">
      <c r="A198" s="401" t="s">
        <v>448</v>
      </c>
      <c r="B198" s="1694" t="s">
        <v>540</v>
      </c>
      <c r="C198" s="1694"/>
      <c r="D198" s="1694"/>
      <c r="E198" s="1694"/>
      <c r="F198" s="1182">
        <f>Checklist!E128</f>
        <v>25</v>
      </c>
      <c r="G198" s="1181">
        <f>'Note 25 to end'!J80</f>
        <v>0</v>
      </c>
      <c r="H198" s="1181">
        <f>'Note 25 to end'!K80</f>
        <v>0</v>
      </c>
      <c r="I198" s="789"/>
    </row>
    <row r="199" spans="1:9" x14ac:dyDescent="0.25">
      <c r="A199" s="401" t="s">
        <v>448</v>
      </c>
      <c r="B199" s="1694"/>
      <c r="C199" s="1694"/>
      <c r="D199" s="1694"/>
      <c r="E199" s="1694"/>
      <c r="F199" s="1182"/>
      <c r="G199" s="1181"/>
      <c r="H199" s="1181"/>
      <c r="I199" s="789"/>
    </row>
    <row r="200" spans="1:9" ht="18.75" customHeight="1" x14ac:dyDescent="0.25">
      <c r="A200" s="401" t="s">
        <v>448</v>
      </c>
      <c r="B200" s="1694" t="s">
        <v>555</v>
      </c>
      <c r="C200" s="1694"/>
      <c r="D200" s="1694"/>
      <c r="E200" s="1694"/>
      <c r="F200" s="1182">
        <f>Checklist!E128</f>
        <v>25</v>
      </c>
      <c r="G200" s="1181">
        <f>'Note 25 to end'!J91</f>
        <v>0</v>
      </c>
      <c r="H200" s="1181">
        <f>'Note 25 to end'!K91</f>
        <v>0</v>
      </c>
      <c r="I200" s="789"/>
    </row>
    <row r="201" spans="1:9" x14ac:dyDescent="0.25">
      <c r="A201" s="401" t="s">
        <v>448</v>
      </c>
      <c r="B201" s="1694"/>
      <c r="C201" s="1694"/>
      <c r="D201" s="1694"/>
      <c r="E201" s="1694"/>
      <c r="F201" s="1182"/>
      <c r="G201" s="1181"/>
      <c r="H201" s="1181"/>
      <c r="I201" s="789"/>
    </row>
    <row r="202" spans="1:9" ht="18" customHeight="1" x14ac:dyDescent="0.25">
      <c r="A202" s="401" t="s">
        <v>448</v>
      </c>
      <c r="B202" s="1188" t="s">
        <v>47</v>
      </c>
      <c r="C202" s="1189"/>
      <c r="D202" s="1188"/>
      <c r="E202" s="1188"/>
      <c r="F202" s="1188"/>
      <c r="G202" s="1185">
        <f>SUM(G196:G201)</f>
        <v>0</v>
      </c>
      <c r="H202" s="1185">
        <f>SUM(H196:H201)</f>
        <v>0</v>
      </c>
      <c r="I202" s="821"/>
    </row>
    <row r="203" spans="1:9" x14ac:dyDescent="0.25">
      <c r="A203" s="401" t="s">
        <v>448</v>
      </c>
      <c r="B203" s="1182"/>
      <c r="C203" s="1180"/>
      <c r="D203" s="1182"/>
      <c r="E203" s="1182"/>
      <c r="F203" s="1182"/>
      <c r="G203" s="1181"/>
      <c r="H203" s="1181"/>
      <c r="I203" s="789"/>
    </row>
    <row r="204" spans="1:9" ht="18.75" customHeight="1" x14ac:dyDescent="0.25">
      <c r="A204" s="401" t="s">
        <v>448</v>
      </c>
      <c r="B204" s="1182" t="s">
        <v>48</v>
      </c>
      <c r="C204" s="1180"/>
      <c r="D204" s="1182"/>
      <c r="E204" s="1182"/>
      <c r="F204" s="1182"/>
      <c r="G204" s="1181">
        <f>'Note 25 to end'!J58</f>
        <v>0</v>
      </c>
      <c r="H204" s="1181">
        <f>'Note 25 to end'!K58</f>
        <v>0</v>
      </c>
      <c r="I204" s="789"/>
    </row>
    <row r="205" spans="1:9" x14ac:dyDescent="0.25">
      <c r="A205" s="401" t="s">
        <v>448</v>
      </c>
      <c r="B205" s="1182"/>
      <c r="C205" s="1180"/>
      <c r="D205" s="1182"/>
      <c r="E205" s="1182"/>
      <c r="F205" s="1182"/>
      <c r="G205" s="1181"/>
      <c r="H205" s="1181"/>
      <c r="I205" s="789"/>
    </row>
    <row r="206" spans="1:9" ht="20.25" customHeight="1" x14ac:dyDescent="0.25">
      <c r="A206" s="401" t="s">
        <v>448</v>
      </c>
      <c r="B206" s="1188" t="s">
        <v>49</v>
      </c>
      <c r="C206" s="1189"/>
      <c r="D206" s="1188"/>
      <c r="E206" s="1188"/>
      <c r="F206" s="1188"/>
      <c r="G206" s="1207">
        <f>SUM(G202:G204)</f>
        <v>0</v>
      </c>
      <c r="H206" s="1207">
        <f>SUM(H202:H204)</f>
        <v>0</v>
      </c>
      <c r="I206" s="789"/>
    </row>
    <row r="207" spans="1:9" x14ac:dyDescent="0.25">
      <c r="A207" s="401" t="s">
        <v>448</v>
      </c>
      <c r="B207" s="799"/>
      <c r="D207" s="799"/>
      <c r="E207" s="799"/>
      <c r="F207" s="799"/>
      <c r="G207" s="791"/>
      <c r="H207" s="791"/>
      <c r="I207" s="789"/>
    </row>
    <row r="208" spans="1:9" x14ac:dyDescent="0.25">
      <c r="B208" s="799"/>
      <c r="D208" s="799"/>
      <c r="E208" s="799"/>
      <c r="F208" s="799"/>
      <c r="G208" s="799"/>
      <c r="H208" s="789"/>
      <c r="I208" s="789"/>
    </row>
    <row r="209" spans="2:9" ht="24.75" customHeight="1" x14ac:dyDescent="0.25">
      <c r="B209" s="1699" t="s">
        <v>1609</v>
      </c>
      <c r="C209" s="1699"/>
      <c r="D209" s="1699"/>
      <c r="E209" s="1699"/>
      <c r="F209" s="1699"/>
      <c r="G209" s="791">
        <f>G128-G135</f>
        <v>0</v>
      </c>
      <c r="H209" s="791">
        <f>H128-H135</f>
        <v>0</v>
      </c>
      <c r="I209" s="789">
        <f>G209-H209</f>
        <v>0</v>
      </c>
    </row>
    <row r="210" spans="2:9" x14ac:dyDescent="0.25">
      <c r="B210" s="822"/>
      <c r="H210" s="544"/>
      <c r="I210" s="544"/>
    </row>
    <row r="211" spans="2:9" x14ac:dyDescent="0.25">
      <c r="B211" s="794" t="s">
        <v>1608</v>
      </c>
      <c r="G211" s="525">
        <f>G206-G209</f>
        <v>0</v>
      </c>
      <c r="H211" s="525">
        <f>H206-H209</f>
        <v>0</v>
      </c>
      <c r="I211" s="544"/>
    </row>
    <row r="212" spans="2:9" x14ac:dyDescent="0.25">
      <c r="H212" s="544"/>
      <c r="I212" s="544"/>
    </row>
    <row r="213" spans="2:9" x14ac:dyDescent="0.25">
      <c r="H213" s="544"/>
      <c r="I213" s="544"/>
    </row>
    <row r="214" spans="2:9" x14ac:dyDescent="0.25">
      <c r="H214" s="544"/>
      <c r="I214" s="544"/>
    </row>
    <row r="462" spans="8:11" x14ac:dyDescent="0.25">
      <c r="H462" s="525"/>
      <c r="I462" s="525"/>
      <c r="J462" s="525"/>
      <c r="K462" s="525"/>
    </row>
    <row r="463" spans="8:11" x14ac:dyDescent="0.25">
      <c r="H463" s="525"/>
      <c r="I463" s="525"/>
      <c r="J463" s="525"/>
      <c r="K463" s="525"/>
    </row>
    <row r="464" spans="8:11" x14ac:dyDescent="0.25">
      <c r="H464" s="525"/>
      <c r="I464" s="525"/>
      <c r="J464" s="525"/>
      <c r="K464" s="525"/>
    </row>
    <row r="465" spans="8:11" x14ac:dyDescent="0.25">
      <c r="H465" s="525"/>
      <c r="I465" s="525"/>
      <c r="J465" s="525"/>
      <c r="K465" s="525"/>
    </row>
    <row r="466" spans="8:11" x14ac:dyDescent="0.25">
      <c r="H466" s="525"/>
      <c r="I466" s="525"/>
      <c r="J466" s="525"/>
      <c r="K466" s="525"/>
    </row>
    <row r="472" spans="8:11" x14ac:dyDescent="0.25">
      <c r="H472" s="525"/>
      <c r="I472" s="525"/>
      <c r="J472" s="525"/>
      <c r="K472" s="525"/>
    </row>
    <row r="473" spans="8:11" x14ac:dyDescent="0.25">
      <c r="H473" s="525"/>
      <c r="I473" s="525"/>
      <c r="J473" s="525"/>
      <c r="K473" s="525"/>
    </row>
    <row r="474" spans="8:11" x14ac:dyDescent="0.25">
      <c r="H474" s="525"/>
      <c r="I474" s="525"/>
      <c r="J474" s="525"/>
      <c r="K474" s="525"/>
    </row>
    <row r="475" spans="8:11" x14ac:dyDescent="0.25">
      <c r="H475" s="525"/>
      <c r="I475" s="525"/>
      <c r="J475" s="525"/>
      <c r="K475" s="525"/>
    </row>
    <row r="476" spans="8:11" x14ac:dyDescent="0.25">
      <c r="H476" s="525"/>
      <c r="I476" s="525"/>
      <c r="J476" s="525"/>
      <c r="K476" s="525"/>
    </row>
    <row r="477" spans="8:11" x14ac:dyDescent="0.25">
      <c r="H477" s="525"/>
      <c r="I477" s="525"/>
      <c r="J477" s="525"/>
      <c r="K477" s="525"/>
    </row>
    <row r="478" spans="8:11" x14ac:dyDescent="0.25">
      <c r="H478" s="525"/>
      <c r="I478" s="525"/>
      <c r="J478" s="525"/>
      <c r="K478" s="525"/>
    </row>
    <row r="479" spans="8:11" x14ac:dyDescent="0.25">
      <c r="H479" s="525"/>
      <c r="I479" s="525"/>
      <c r="J479" s="525"/>
      <c r="K479" s="525"/>
    </row>
    <row r="480" spans="8:11" x14ac:dyDescent="0.25">
      <c r="H480" s="525"/>
      <c r="I480" s="525"/>
      <c r="J480" s="525"/>
      <c r="K480" s="525"/>
    </row>
    <row r="481" spans="8:11" x14ac:dyDescent="0.25">
      <c r="H481" s="525"/>
      <c r="I481" s="525"/>
      <c r="J481" s="525"/>
      <c r="K481" s="525"/>
    </row>
    <row r="482" spans="8:11" x14ac:dyDescent="0.25">
      <c r="H482" s="525"/>
      <c r="I482" s="525"/>
      <c r="J482" s="525"/>
      <c r="K482" s="525"/>
    </row>
    <row r="483" spans="8:11" x14ac:dyDescent="0.25">
      <c r="H483" s="525"/>
      <c r="I483" s="525"/>
      <c r="J483" s="525"/>
      <c r="K483" s="525"/>
    </row>
    <row r="484" spans="8:11" x14ac:dyDescent="0.25">
      <c r="H484" s="525"/>
      <c r="I484" s="525"/>
      <c r="J484" s="525"/>
      <c r="K484" s="525"/>
    </row>
    <row r="511" spans="4:4" x14ac:dyDescent="0.25">
      <c r="D511" s="401" t="s">
        <v>1499</v>
      </c>
    </row>
    <row r="522" spans="4:11" x14ac:dyDescent="0.25">
      <c r="D522" s="401" t="str">
        <f>CONCATENATE("the Statement of Accounts for the year ended ",('Standing Data'!D40)," on pages 25 to 28 has been prepared in the form directed by the Department for Communities and under the accounting policies set out on pages 29 to 53.")</f>
        <v>the Statement of Accounts for the year ended 31st March 2026 on pages 25 to 28 has been prepared in the form directed by the Department for Communities and under the accounting policies set out on pages 29 to 53.</v>
      </c>
    </row>
    <row r="527" spans="4:11" x14ac:dyDescent="0.25">
      <c r="G527" s="401" t="s">
        <v>450</v>
      </c>
      <c r="I527" s="401" t="s">
        <v>450</v>
      </c>
      <c r="K527" s="401" t="s">
        <v>450</v>
      </c>
    </row>
    <row r="528" spans="4:11" x14ac:dyDescent="0.25">
      <c r="G528" s="525"/>
      <c r="H528" s="525"/>
      <c r="I528" s="525"/>
      <c r="J528" s="525"/>
      <c r="K528" s="525"/>
    </row>
    <row r="529" spans="7:11" x14ac:dyDescent="0.25">
      <c r="G529" s="525"/>
      <c r="H529" s="525"/>
      <c r="I529" s="525"/>
      <c r="J529" s="525"/>
      <c r="K529" s="525"/>
    </row>
    <row r="530" spans="7:11" x14ac:dyDescent="0.25">
      <c r="G530" s="525"/>
      <c r="H530" s="525"/>
      <c r="I530" s="525"/>
      <c r="J530" s="525"/>
      <c r="K530" s="525"/>
    </row>
    <row r="696" spans="4:11" x14ac:dyDescent="0.25">
      <c r="D696" s="875"/>
    </row>
    <row r="697" spans="4:11" x14ac:dyDescent="0.25">
      <c r="D697" s="875"/>
    </row>
    <row r="698" spans="4:11" x14ac:dyDescent="0.25">
      <c r="D698" s="875"/>
    </row>
    <row r="699" spans="4:11" x14ac:dyDescent="0.25">
      <c r="D699" s="875"/>
    </row>
    <row r="700" spans="4:11" x14ac:dyDescent="0.25">
      <c r="D700" s="1500"/>
      <c r="E700" s="1500"/>
      <c r="F700" s="1500"/>
      <c r="G700" s="1500"/>
      <c r="H700" s="1500"/>
      <c r="I700" s="1500"/>
      <c r="J700" s="1500"/>
      <c r="K700" s="1500"/>
    </row>
    <row r="950" spans="11:11" x14ac:dyDescent="0.25">
      <c r="K950" s="401">
        <f>J930</f>
        <v>0</v>
      </c>
    </row>
    <row r="1045" spans="9:11" x14ac:dyDescent="0.25">
      <c r="I1045" s="900">
        <v>42825</v>
      </c>
      <c r="J1045" s="900">
        <v>42460</v>
      </c>
      <c r="K1045" s="900"/>
    </row>
  </sheetData>
  <autoFilter ref="A2:N207" xr:uid="{00000000-0009-0000-0000-000015000000}"/>
  <mergeCells count="160">
    <mergeCell ref="E180:F180"/>
    <mergeCell ref="E173:F173"/>
    <mergeCell ref="E174:F174"/>
    <mergeCell ref="E175:F175"/>
    <mergeCell ref="E176:F176"/>
    <mergeCell ref="E177:F177"/>
    <mergeCell ref="E167:F167"/>
    <mergeCell ref="E168:F168"/>
    <mergeCell ref="E169:F169"/>
    <mergeCell ref="E171:F171"/>
    <mergeCell ref="E172:F172"/>
    <mergeCell ref="E165:F165"/>
    <mergeCell ref="E166:F166"/>
    <mergeCell ref="E157:F157"/>
    <mergeCell ref="E158:F158"/>
    <mergeCell ref="E159:F159"/>
    <mergeCell ref="E160:F160"/>
    <mergeCell ref="E161:F161"/>
    <mergeCell ref="E178:F178"/>
    <mergeCell ref="E179:F179"/>
    <mergeCell ref="E162:F162"/>
    <mergeCell ref="E163:F163"/>
    <mergeCell ref="E164:F164"/>
    <mergeCell ref="B177:D177"/>
    <mergeCell ref="B178:D178"/>
    <mergeCell ref="B179:D179"/>
    <mergeCell ref="B180:D180"/>
    <mergeCell ref="B152:D152"/>
    <mergeCell ref="B153:D153"/>
    <mergeCell ref="B154:D154"/>
    <mergeCell ref="B155:D155"/>
    <mergeCell ref="B145:D145"/>
    <mergeCell ref="B146:D146"/>
    <mergeCell ref="B148:D148"/>
    <mergeCell ref="B149:D149"/>
    <mergeCell ref="B150:D150"/>
    <mergeCell ref="B151:D151"/>
    <mergeCell ref="B165:D165"/>
    <mergeCell ref="B161:D161"/>
    <mergeCell ref="B162:D162"/>
    <mergeCell ref="B163:D163"/>
    <mergeCell ref="B164:D164"/>
    <mergeCell ref="B156:D156"/>
    <mergeCell ref="B157:D157"/>
    <mergeCell ref="B158:D158"/>
    <mergeCell ref="B159:D159"/>
    <mergeCell ref="B160:D160"/>
    <mergeCell ref="E114:F114"/>
    <mergeCell ref="E115:F115"/>
    <mergeCell ref="E116:F116"/>
    <mergeCell ref="E117:F117"/>
    <mergeCell ref="E118:F118"/>
    <mergeCell ref="E119:F119"/>
    <mergeCell ref="E122:F122"/>
    <mergeCell ref="E123:F123"/>
    <mergeCell ref="E124:F124"/>
    <mergeCell ref="E139:F139"/>
    <mergeCell ref="B147:D147"/>
    <mergeCell ref="E128:F128"/>
    <mergeCell ref="E129:F129"/>
    <mergeCell ref="E132:F132"/>
    <mergeCell ref="E133:F133"/>
    <mergeCell ref="E134:F134"/>
    <mergeCell ref="B140:D140"/>
    <mergeCell ref="B141:D141"/>
    <mergeCell ref="B142:D142"/>
    <mergeCell ref="B143:D143"/>
    <mergeCell ref="E144:F144"/>
    <mergeCell ref="E145:F145"/>
    <mergeCell ref="E135:F135"/>
    <mergeCell ref="E136:F136"/>
    <mergeCell ref="E137:F137"/>
    <mergeCell ref="E138:F138"/>
    <mergeCell ref="E140:F140"/>
    <mergeCell ref="E146:F146"/>
    <mergeCell ref="E147:F147"/>
    <mergeCell ref="E141:F141"/>
    <mergeCell ref="E142:F142"/>
    <mergeCell ref="E143:F143"/>
    <mergeCell ref="E152:F152"/>
    <mergeCell ref="E153:F153"/>
    <mergeCell ref="E154:F154"/>
    <mergeCell ref="E155:F155"/>
    <mergeCell ref="E156:F156"/>
    <mergeCell ref="E148:F148"/>
    <mergeCell ref="E149:F149"/>
    <mergeCell ref="E150:F150"/>
    <mergeCell ref="E151:F151"/>
    <mergeCell ref="B187:I187"/>
    <mergeCell ref="B83:I83"/>
    <mergeCell ref="B135:D135"/>
    <mergeCell ref="B136:D136"/>
    <mergeCell ref="B137:D137"/>
    <mergeCell ref="B138:D138"/>
    <mergeCell ref="B127:D127"/>
    <mergeCell ref="B128:D128"/>
    <mergeCell ref="B129:D129"/>
    <mergeCell ref="B132:D132"/>
    <mergeCell ref="B133:D133"/>
    <mergeCell ref="E125:F125"/>
    <mergeCell ref="E126:F126"/>
    <mergeCell ref="E127:F127"/>
    <mergeCell ref="B172:D172"/>
    <mergeCell ref="B173:D173"/>
    <mergeCell ref="B174:D174"/>
    <mergeCell ref="B175:D175"/>
    <mergeCell ref="B176:D176"/>
    <mergeCell ref="B166:D166"/>
    <mergeCell ref="B167:D167"/>
    <mergeCell ref="B168:D168"/>
    <mergeCell ref="B169:D169"/>
    <mergeCell ref="B171:D171"/>
    <mergeCell ref="D700:K700"/>
    <mergeCell ref="B4:I4"/>
    <mergeCell ref="B201:E201"/>
    <mergeCell ref="B209:F209"/>
    <mergeCell ref="B194:E194"/>
    <mergeCell ref="B195:E195"/>
    <mergeCell ref="B197:E197"/>
    <mergeCell ref="B198:E198"/>
    <mergeCell ref="B199:E199"/>
    <mergeCell ref="B200:E200"/>
    <mergeCell ref="B193:E193"/>
    <mergeCell ref="D9:F9"/>
    <mergeCell ref="G9:I9"/>
    <mergeCell ref="B190:E190"/>
    <mergeCell ref="B191:E191"/>
    <mergeCell ref="B192:E192"/>
    <mergeCell ref="B6:I6"/>
    <mergeCell ref="B7:I7"/>
    <mergeCell ref="B8:I8"/>
    <mergeCell ref="B81:I81"/>
    <mergeCell ref="B82:I82"/>
    <mergeCell ref="B186:I186"/>
    <mergeCell ref="B170:D170"/>
    <mergeCell ref="E170:F170"/>
    <mergeCell ref="B111:I111"/>
    <mergeCell ref="B112:I112"/>
    <mergeCell ref="B113:I113"/>
    <mergeCell ref="B185:I185"/>
    <mergeCell ref="B116:D116"/>
    <mergeCell ref="B117:D117"/>
    <mergeCell ref="B118:D118"/>
    <mergeCell ref="B119:D119"/>
    <mergeCell ref="B122:D122"/>
    <mergeCell ref="B123:D123"/>
    <mergeCell ref="B124:D124"/>
    <mergeCell ref="B125:D125"/>
    <mergeCell ref="B126:D126"/>
    <mergeCell ref="B120:D120"/>
    <mergeCell ref="B121:D121"/>
    <mergeCell ref="E120:F120"/>
    <mergeCell ref="E121:F121"/>
    <mergeCell ref="B130:D130"/>
    <mergeCell ref="B131:D131"/>
    <mergeCell ref="E130:F130"/>
    <mergeCell ref="E131:F131"/>
    <mergeCell ref="B139:D139"/>
    <mergeCell ref="B144:D144"/>
    <mergeCell ref="B134:D134"/>
  </mergeCells>
  <pageMargins left="0.70866141732283472" right="0.70866141732283472" top="0.74803149606299213" bottom="0.74803149606299213" header="0.31496062992125984" footer="0.31496062992125984"/>
  <pageSetup paperSize="9" scale="74" firstPageNumber="29" fitToHeight="0" orientation="portrait" useFirstPageNumber="1" r:id="rId1"/>
  <headerFooter>
    <oddFooter>&amp;R&amp;P</oddFooter>
  </headerFooter>
  <rowBreaks count="3" manualBreakCount="3">
    <brk id="77" min="1" max="8" man="1"/>
    <brk id="107" min="1" max="8" man="1"/>
    <brk id="181" min="1" max="8" man="1"/>
  </rowBreaks>
  <ignoredErrors>
    <ignoredError sqref="A68:A73 A156:A163 A188:A207 A148:A154 A122:A124 A75 A114:A115 A77 A108:A111 A171:A185 A132:A138 A140:A146 A166:A169"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U1008"/>
  <sheetViews>
    <sheetView view="pageBreakPreview" topLeftCell="A153" zoomScaleNormal="100" zoomScaleSheetLayoutView="100" workbookViewId="0">
      <selection activeCell="E158" sqref="E158:L158"/>
    </sheetView>
  </sheetViews>
  <sheetFormatPr defaultColWidth="9.109375" defaultRowHeight="13.2" x14ac:dyDescent="0.25"/>
  <cols>
    <col min="1" max="1" width="12.88671875" style="401" customWidth="1"/>
    <col min="2" max="2" width="3.44140625" style="401" customWidth="1"/>
    <col min="3" max="3" width="5.33203125" style="402" customWidth="1"/>
    <col min="4" max="4" width="3.33203125" style="403" customWidth="1"/>
    <col min="5" max="5" width="3.109375" style="401" customWidth="1"/>
    <col min="6" max="7" width="9.109375" style="401"/>
    <col min="8" max="8" width="10.44140625" style="401" customWidth="1"/>
    <col min="9" max="10" width="11.6640625" style="401" customWidth="1"/>
    <col min="11" max="11" width="12.88671875" style="401" customWidth="1"/>
    <col min="12" max="12" width="23.5546875" style="401" customWidth="1"/>
    <col min="13" max="13" width="9.109375" style="401"/>
    <col min="14" max="14" width="15.6640625" style="401" customWidth="1"/>
    <col min="15" max="15" width="19" style="401" customWidth="1"/>
    <col min="16" max="16384" width="9.109375" style="401"/>
  </cols>
  <sheetData>
    <row r="1" spans="1:17" x14ac:dyDescent="0.25">
      <c r="F1" s="401">
        <v>12.75</v>
      </c>
      <c r="G1" s="401">
        <f t="shared" ref="G1:Q1" si="0">$F1*G2</f>
        <v>25.5</v>
      </c>
      <c r="H1" s="401">
        <f t="shared" si="0"/>
        <v>38.25</v>
      </c>
      <c r="I1" s="401">
        <f t="shared" si="0"/>
        <v>51</v>
      </c>
      <c r="J1" s="401">
        <f t="shared" si="0"/>
        <v>63.75</v>
      </c>
      <c r="K1" s="401">
        <f t="shared" si="0"/>
        <v>76.5</v>
      </c>
      <c r="L1" s="401">
        <f t="shared" si="0"/>
        <v>89.25</v>
      </c>
      <c r="M1" s="401">
        <f t="shared" si="0"/>
        <v>102</v>
      </c>
      <c r="N1" s="401">
        <f t="shared" si="0"/>
        <v>114.75</v>
      </c>
      <c r="O1" s="401">
        <f t="shared" si="0"/>
        <v>127.5</v>
      </c>
      <c r="P1" s="401">
        <f t="shared" si="0"/>
        <v>140.25</v>
      </c>
      <c r="Q1" s="401">
        <f t="shared" si="0"/>
        <v>153</v>
      </c>
    </row>
    <row r="2" spans="1:17" x14ac:dyDescent="0.25">
      <c r="F2" s="401">
        <v>1</v>
      </c>
      <c r="G2" s="401">
        <v>2</v>
      </c>
      <c r="H2" s="401">
        <v>3</v>
      </c>
      <c r="I2" s="401">
        <v>4</v>
      </c>
      <c r="J2" s="401">
        <v>5</v>
      </c>
      <c r="K2" s="401">
        <v>6</v>
      </c>
      <c r="L2" s="401">
        <v>7</v>
      </c>
      <c r="M2" s="401">
        <v>8</v>
      </c>
      <c r="N2" s="401">
        <v>9</v>
      </c>
      <c r="O2" s="401">
        <v>10</v>
      </c>
      <c r="P2" s="401">
        <v>11</v>
      </c>
      <c r="Q2" s="401">
        <v>12</v>
      </c>
    </row>
    <row r="3" spans="1:17" x14ac:dyDescent="0.25">
      <c r="A3" s="401" t="s">
        <v>448</v>
      </c>
      <c r="D3" s="404" t="str">
        <f>'Standing Data'!D4</f>
        <v>NAME OF COUNCIL</v>
      </c>
    </row>
    <row r="4" spans="1:17" x14ac:dyDescent="0.25">
      <c r="A4" s="401" t="s">
        <v>448</v>
      </c>
      <c r="D4" s="404" t="str">
        <f>'Standing Data'!D28</f>
        <v>Notes to the Financial Statements</v>
      </c>
    </row>
    <row r="5" spans="1:17" x14ac:dyDescent="0.25">
      <c r="A5" s="401" t="s">
        <v>448</v>
      </c>
      <c r="D5" s="404" t="str">
        <f>'Standing Data'!D32</f>
        <v>FOR THE YEAR ENDED 31 March 2026</v>
      </c>
    </row>
    <row r="6" spans="1:17" x14ac:dyDescent="0.25">
      <c r="A6" s="401" t="s">
        <v>448</v>
      </c>
    </row>
    <row r="7" spans="1:17" x14ac:dyDescent="0.25">
      <c r="A7" s="401" t="str">
        <f>IF(OR('Non TB - Note 1'!F6=1),"Print","Do Not Print")</f>
        <v>Print</v>
      </c>
      <c r="B7" s="401">
        <f>+Checklist!E10</f>
        <v>1</v>
      </c>
      <c r="E7" s="1538" t="str">
        <f>IF('Non TB - Note 1'!F6=1,'Non TB - Note 1'!B6,"")</f>
        <v>Accounting Policies</v>
      </c>
      <c r="F7" s="1538"/>
      <c r="G7" s="1538"/>
      <c r="H7" s="1538"/>
      <c r="I7" s="1538"/>
      <c r="J7" s="1538"/>
      <c r="K7" s="1538"/>
      <c r="L7" s="1538"/>
    </row>
    <row r="8" spans="1:17" x14ac:dyDescent="0.25">
      <c r="A8" s="401" t="str">
        <f>IF(A7="Print","Print","Do Not Print")</f>
        <v>Print</v>
      </c>
      <c r="E8" s="1542"/>
      <c r="F8" s="1542"/>
      <c r="G8" s="1542"/>
      <c r="H8" s="1542"/>
      <c r="I8" s="1542"/>
      <c r="J8" s="1542"/>
      <c r="K8" s="1542"/>
      <c r="L8" s="1542"/>
    </row>
    <row r="9" spans="1:17" x14ac:dyDescent="0.25">
      <c r="A9" s="401" t="str">
        <f>IF(E9="General Principles","Print","Do Not Print")</f>
        <v>Print</v>
      </c>
      <c r="C9" s="402" t="str">
        <f>+Checklist!E11</f>
        <v>a</v>
      </c>
      <c r="E9" s="1538" t="str">
        <f>IF('Non TB - Note 1'!F6=1,'Non TB - Note 1'!E6,"")</f>
        <v>General Principles</v>
      </c>
      <c r="F9" s="1538"/>
      <c r="G9" s="1538"/>
      <c r="H9" s="1538"/>
      <c r="I9" s="1538"/>
      <c r="J9" s="1538"/>
      <c r="K9" s="1538"/>
      <c r="L9" s="1538"/>
    </row>
    <row r="10" spans="1:17" ht="72.75" customHeight="1" x14ac:dyDescent="0.25">
      <c r="A10" s="401" t="str">
        <f>IF('Non TB - Note 1'!F6=1,"Print","Do Not Print")</f>
        <v>Print</v>
      </c>
      <c r="E10" s="1704" t="str">
        <f>IF('Non TB - Note 1'!F6=1,'Non TB - Note 1'!H6," ")</f>
        <v xml:space="preserve">The Statement of Accounts summarises the Council’s transactions for the 2025/26 financial year and its position at the year-end of 31 March 2026.  The Council is required to prepare an annual Statement of Accounts in a form directed by the Department for Communities in accordance with regulations 3 (7) and (8) in the Local Government (Accounts and Audit) Regulations (Northern Ireland) 2015 in accordance with proper accounting practices.  
</v>
      </c>
      <c r="F10" s="1704"/>
      <c r="G10" s="1704"/>
      <c r="H10" s="1704"/>
      <c r="I10" s="1704"/>
      <c r="J10" s="1704"/>
      <c r="K10" s="1704"/>
      <c r="L10" s="1704"/>
    </row>
    <row r="11" spans="1:17" ht="12.75" customHeight="1" x14ac:dyDescent="0.25">
      <c r="A11" s="401" t="str">
        <f>IF(A10="Print","Print","")</f>
        <v>Print</v>
      </c>
      <c r="E11" s="1704"/>
      <c r="F11" s="1704"/>
      <c r="G11" s="1704"/>
      <c r="H11" s="1704"/>
      <c r="I11" s="1704"/>
      <c r="J11" s="1704"/>
      <c r="K11" s="1704"/>
      <c r="L11" s="1704"/>
    </row>
    <row r="12" spans="1:17" ht="106.05" customHeight="1" x14ac:dyDescent="0.25">
      <c r="A12" s="401" t="str">
        <f>IF('Non TB - Note 1'!F7=1,"Print","Do Not Print")</f>
        <v>Print</v>
      </c>
      <c r="E12" s="1504" t="str">
        <f>IF('Non TB - Note 1'!F7=1,'Non TB - Note 1'!H7, " ")</f>
        <v>These practices primarily comprise the Code of Practice on Local Authority Accounting in the United Kingdom 2025/26, supported by International Financial Reporting Standards (IFRS). The accounting convention adopted in the Statement of Accounts is principally historical cost, modified by the revaluation of certain categories of non-current assets and financial instruments. 
The Code of Practice on Local Authority Accounting in the United Kingdom 2024/25 also requires disclosure in respect of:</v>
      </c>
      <c r="F12" s="1504"/>
      <c r="G12" s="1504"/>
      <c r="H12" s="1504"/>
      <c r="I12" s="1504"/>
      <c r="J12" s="1504"/>
      <c r="K12" s="1504"/>
      <c r="L12" s="1504"/>
    </row>
    <row r="13" spans="1:17" ht="12.75" customHeight="1" x14ac:dyDescent="0.25">
      <c r="A13" s="401" t="str">
        <f>IF(A12="Print","Print","Do Not Print")</f>
        <v>Print</v>
      </c>
      <c r="E13" s="1501"/>
      <c r="F13" s="1501"/>
      <c r="G13" s="1501"/>
      <c r="H13" s="1501"/>
      <c r="I13" s="1501"/>
      <c r="J13" s="1501"/>
      <c r="K13" s="1501"/>
      <c r="L13" s="1501"/>
    </row>
    <row r="14" spans="1:17" x14ac:dyDescent="0.25">
      <c r="A14" s="401" t="str">
        <f>IF('Non TB - Note 1'!F8=1,"Print","Do Not Print")</f>
        <v>Print</v>
      </c>
      <c r="E14" s="1538" t="str">
        <f>IF('Non TB - Note 1'!F8=1,'Non TB - Note 1'!C8,"")</f>
        <v>Summary of Material Accounting Policy Information</v>
      </c>
      <c r="F14" s="1538"/>
      <c r="G14" s="1538"/>
      <c r="H14" s="1538"/>
      <c r="I14" s="1538"/>
      <c r="J14" s="1538"/>
      <c r="K14" s="1538"/>
      <c r="L14" s="1538"/>
    </row>
    <row r="15" spans="1:17" ht="15.75" customHeight="1" x14ac:dyDescent="0.25">
      <c r="A15" s="401" t="str">
        <f>IF(A14="Print","Print","Do Not Print")</f>
        <v>Print</v>
      </c>
      <c r="E15" s="1542"/>
      <c r="F15" s="1542"/>
      <c r="G15" s="1542"/>
      <c r="H15" s="1542"/>
      <c r="I15" s="1542"/>
      <c r="J15" s="1542"/>
      <c r="K15" s="1542"/>
      <c r="L15" s="1542"/>
    </row>
    <row r="16" spans="1:17" x14ac:dyDescent="0.25">
      <c r="A16" s="401" t="str">
        <f>IF('Non TB - Note 1'!F8=1,"Print","Do Not Print")</f>
        <v>Print</v>
      </c>
      <c r="C16" s="402" t="str">
        <f>+Checklist!E12</f>
        <v>i)</v>
      </c>
      <c r="E16" s="1538" t="str">
        <f>IF(OR('Non TB - Note 1'!F8=1,'Non TB - Note 1'!F9=1,'Non TB - Note 1'!F10=1,'Non TB - Note 1'!F11=1,'Non TB - Note 1'!F12=1,'Non TB - Note 1'!F13=1),'Non TB - Note 1'!D8,"")</f>
        <v>Accruals of Income and Expenditure</v>
      </c>
      <c r="F16" s="1538"/>
      <c r="G16" s="1538"/>
      <c r="H16" s="1538"/>
      <c r="I16" s="1538"/>
      <c r="J16" s="1538"/>
      <c r="K16" s="1538"/>
      <c r="L16" s="1538"/>
    </row>
    <row r="17" spans="1:15" x14ac:dyDescent="0.25">
      <c r="A17" s="401" t="str">
        <f>IF(A16="Print","Print","Do Not Print")</f>
        <v>Print</v>
      </c>
      <c r="E17" s="1538"/>
      <c r="F17" s="1538"/>
      <c r="G17" s="1538"/>
      <c r="H17" s="1538"/>
      <c r="I17" s="1538"/>
      <c r="J17" s="1538"/>
      <c r="K17" s="1538"/>
      <c r="L17" s="1538"/>
    </row>
    <row r="18" spans="1:15" ht="29.1" customHeight="1" x14ac:dyDescent="0.25">
      <c r="A18" s="401" t="str">
        <f>IF('Non TB - Note 1'!F8=1,"Print","Do Not Print")</f>
        <v>Print</v>
      </c>
      <c r="C18" s="402" t="s">
        <v>6</v>
      </c>
      <c r="E18" s="1504" t="str">
        <f>IF('Non TB - Note 1'!F8=1,'Non TB - Note 1'!H8, " ")</f>
        <v>Activity is accounted for in the year that it takes place, not simply when cash payments are made or received.  In particular:</v>
      </c>
      <c r="F18" s="1504"/>
      <c r="G18" s="1504"/>
      <c r="H18" s="1504"/>
      <c r="I18" s="1504"/>
      <c r="J18" s="1504"/>
      <c r="K18" s="1504"/>
      <c r="L18" s="1504"/>
    </row>
    <row r="19" spans="1:15" ht="12.75" customHeight="1" x14ac:dyDescent="0.25">
      <c r="A19" s="401" t="str">
        <f>IF(A18="Print","Print","Do Not Print")</f>
        <v>Print</v>
      </c>
      <c r="E19" s="1504"/>
      <c r="F19" s="1504"/>
      <c r="G19" s="1504"/>
      <c r="H19" s="1504"/>
      <c r="I19" s="1504"/>
      <c r="J19" s="1504"/>
      <c r="K19" s="1504"/>
      <c r="L19" s="1504"/>
    </row>
    <row r="20" spans="1:15" ht="42" customHeight="1" x14ac:dyDescent="0.25">
      <c r="A20" s="401" t="str">
        <f>IF('Non TB - Note 1'!F9=1,"Print","Do Not Print")</f>
        <v>Print</v>
      </c>
      <c r="E20" s="1504" t="str">
        <f>IF('Non TB - Note 1'!F9=1,'Non TB - Note 1'!H9, " ")</f>
        <v>- Revenue from contracts with service recipients, whether for services or the provision of goods, is recognisd when (or as) the goods or services are transferred to the service recipient in accordance with the performance obligations in the contract.</v>
      </c>
      <c r="F20" s="1504"/>
      <c r="G20" s="1504"/>
      <c r="H20" s="1504"/>
      <c r="I20" s="1504"/>
      <c r="J20" s="1504"/>
      <c r="K20" s="1504"/>
      <c r="L20" s="1504"/>
    </row>
    <row r="21" spans="1:15" ht="12.75" customHeight="1" x14ac:dyDescent="0.25">
      <c r="A21" s="401" t="str">
        <f>IF(A20="Print","Print","Do Not Print")</f>
        <v>Print</v>
      </c>
      <c r="E21" s="1504"/>
      <c r="F21" s="1504"/>
      <c r="G21" s="1504"/>
      <c r="H21" s="1504"/>
      <c r="I21" s="1504"/>
      <c r="J21" s="1504"/>
      <c r="K21" s="1504"/>
      <c r="L21" s="1504"/>
    </row>
    <row r="22" spans="1:15" ht="42" customHeight="1" x14ac:dyDescent="0.25">
      <c r="A22" s="401" t="str">
        <f>IF('Non TB - Note 1'!F10=1,"Print","Do Not Print")</f>
        <v>Print</v>
      </c>
      <c r="E22" s="1504" t="str">
        <f>IF('Non TB - Note 1'!F10=1,'Non TB - Note 1'!H10, " ")</f>
        <v xml:space="preserve"> - Supplies are recorded as expenditure when they are consumed – where there is a gap between the date supplies are received and their consumption, they are carried as inventories on the Balance Sheet.</v>
      </c>
      <c r="F22" s="1504"/>
      <c r="G22" s="1504"/>
      <c r="H22" s="1504"/>
      <c r="I22" s="1504"/>
      <c r="J22" s="1504"/>
      <c r="K22" s="1504"/>
      <c r="L22" s="1504"/>
    </row>
    <row r="23" spans="1:15" ht="12.75" customHeight="1" x14ac:dyDescent="0.25">
      <c r="A23" s="401" t="str">
        <f>IF(A22="Print","Print","Do Not Print")</f>
        <v>Print</v>
      </c>
      <c r="E23" s="1504"/>
      <c r="F23" s="1504"/>
      <c r="G23" s="1504"/>
      <c r="H23" s="1504"/>
      <c r="I23" s="1504"/>
      <c r="J23" s="1504"/>
      <c r="K23" s="1504"/>
      <c r="L23" s="1504"/>
    </row>
    <row r="24" spans="1:15" ht="34.5" customHeight="1" x14ac:dyDescent="0.25">
      <c r="A24" s="401" t="str">
        <f>IF('Non TB - Note 1'!F11=1,"Print","Do Not Print")</f>
        <v>Print</v>
      </c>
      <c r="E24" s="1704" t="str">
        <f>IF('Non TB - Note 1'!F11,'Non TB - Note 1'!H11," ")</f>
        <v xml:space="preserve"> - Expenses in relation to services received (including services provided by employees) are recorded as expenditure when the services are received rather than when payments are made.</v>
      </c>
      <c r="F24" s="1704"/>
      <c r="G24" s="1704"/>
      <c r="H24" s="1704"/>
      <c r="I24" s="1704"/>
      <c r="J24" s="1704"/>
      <c r="K24" s="1704"/>
      <c r="L24" s="1704"/>
    </row>
    <row r="25" spans="1:15" ht="12.75" customHeight="1" x14ac:dyDescent="0.25">
      <c r="A25" s="401" t="str">
        <f>IF(A24="Print","Print","Do Not Print")</f>
        <v>Print</v>
      </c>
      <c r="E25" s="1704"/>
      <c r="F25" s="1704"/>
      <c r="G25" s="1704"/>
      <c r="H25" s="1704"/>
      <c r="I25" s="1704"/>
      <c r="J25" s="1704"/>
      <c r="K25" s="1704"/>
      <c r="L25" s="1704"/>
    </row>
    <row r="26" spans="1:15" ht="49.5" customHeight="1" x14ac:dyDescent="0.25">
      <c r="A26" s="401" t="str">
        <f>IF('Non TB - Note 1'!F12=1,"Print","Do Not Print")</f>
        <v>Print</v>
      </c>
      <c r="E26" s="1504" t="str">
        <f>IF('Non TB - Note 1'!F12=1,'Non TB - Note 1'!H12,"")</f>
        <v xml:space="preserve"> - Interest receivable on investments and payable on borrowings is accounted for respectively as income and expenditure on the basis of the effective interest rate for the relevant financial instrument rather than the cash flows fixed or determined by the contract.</v>
      </c>
      <c r="F26" s="1504"/>
      <c r="G26" s="1504"/>
      <c r="H26" s="1504"/>
      <c r="I26" s="1504"/>
      <c r="J26" s="1504"/>
      <c r="K26" s="1504"/>
      <c r="L26" s="1504"/>
    </row>
    <row r="27" spans="1:15" ht="12.75" customHeight="1" x14ac:dyDescent="0.25">
      <c r="A27" s="401" t="str">
        <f>IF(A26="Print","Print","Do Not Print")</f>
        <v>Print</v>
      </c>
      <c r="E27" s="1504"/>
      <c r="F27" s="1504"/>
      <c r="G27" s="1504"/>
      <c r="H27" s="1504"/>
      <c r="I27" s="1504"/>
      <c r="J27" s="1504"/>
      <c r="K27" s="1504"/>
      <c r="L27" s="1504"/>
    </row>
    <row r="28" spans="1:15" ht="57.75" customHeight="1" x14ac:dyDescent="0.25">
      <c r="A28" s="401" t="str">
        <f>IF('Non TB - Note 1'!F13=1,"Print","Do Not Print")</f>
        <v>Print</v>
      </c>
      <c r="E28" s="1704" t="str">
        <f>IF('Non TB - Note 1'!F13=1,'Non TB - Note 1'!H13, "")</f>
        <v xml:space="preserve"> - Where revenue and expenditure have been recognised but cash has not been received or paid, a debtor or creditor for the relevant amount is recorded in the Balance Sheet.  Where it is doubtful that debts will be settled, the balance of debtors is written down and a charge made to revenue for the income that might not be collected.</v>
      </c>
      <c r="F28" s="1704"/>
      <c r="G28" s="1704"/>
      <c r="H28" s="1704"/>
      <c r="I28" s="1704"/>
      <c r="J28" s="1704"/>
      <c r="K28" s="1704"/>
      <c r="L28" s="1704"/>
    </row>
    <row r="29" spans="1:15" x14ac:dyDescent="0.25">
      <c r="A29" s="401" t="str">
        <f>IF(A28="Print","Print","Do Not Print")</f>
        <v>Print</v>
      </c>
      <c r="E29" s="1504"/>
      <c r="F29" s="1504"/>
      <c r="G29" s="1504"/>
      <c r="H29" s="1504"/>
      <c r="I29" s="1504"/>
      <c r="J29" s="1504"/>
      <c r="K29" s="1504"/>
      <c r="L29" s="1504"/>
    </row>
    <row r="30" spans="1:15" ht="13.5" customHeight="1" x14ac:dyDescent="0.25">
      <c r="A30" s="401" t="str">
        <f>IF('Non TB - Note 1'!F14=1,"Print","Do Not Print")</f>
        <v>Print</v>
      </c>
      <c r="C30" s="402" t="str">
        <f>+Checklist!E13</f>
        <v>ii)</v>
      </c>
      <c r="E30" s="1541" t="str">
        <f>IF('Non TB - Note 1'!F14=1,'Non TB - Note 1'!D14,"")</f>
        <v>Acquisitions and Discontinued Operations</v>
      </c>
      <c r="F30" s="1541"/>
      <c r="G30" s="1541"/>
      <c r="H30" s="1541"/>
      <c r="I30" s="1541"/>
      <c r="J30" s="1541"/>
      <c r="K30" s="1541"/>
      <c r="L30" s="1541"/>
    </row>
    <row r="31" spans="1:15" ht="12.75" customHeight="1" x14ac:dyDescent="0.25">
      <c r="A31" s="401" t="str">
        <f>IF(A30="Print","Print","Do Not Print")</f>
        <v>Print</v>
      </c>
      <c r="E31" s="1543"/>
      <c r="F31" s="1543"/>
      <c r="G31" s="1543"/>
      <c r="H31" s="1543"/>
      <c r="I31" s="1543"/>
      <c r="J31" s="1543"/>
      <c r="K31" s="1543"/>
      <c r="L31" s="1543"/>
    </row>
    <row r="32" spans="1:15" ht="33.75" customHeight="1" x14ac:dyDescent="0.25">
      <c r="A32" s="401" t="str">
        <f>IF('Non TB - Note 1'!F14=1,"Print","Do Not Print")</f>
        <v>Print</v>
      </c>
      <c r="E32" s="1704" t="str">
        <f>IF('Non TB - Note 1'!F14=1,'Non TB - Note 1'!H14, "")</f>
        <v>Additional policy detail required where an authority has acquired operations (or transferred operations under combinations of public sector bodies) during the financial year.</v>
      </c>
      <c r="F32" s="1704"/>
      <c r="G32" s="1704"/>
      <c r="H32" s="1704"/>
      <c r="I32" s="1704"/>
      <c r="J32" s="1704"/>
      <c r="K32" s="1704"/>
      <c r="L32" s="1704"/>
      <c r="M32" s="1722"/>
      <c r="N32" s="1722"/>
      <c r="O32" s="1722"/>
    </row>
    <row r="33" spans="1:15" x14ac:dyDescent="0.25">
      <c r="A33" s="401" t="str">
        <f>IF(A32="Print","Print","Do Not Print")</f>
        <v>Print</v>
      </c>
      <c r="E33" s="1504"/>
      <c r="F33" s="1504"/>
      <c r="G33" s="1504"/>
      <c r="H33" s="1504"/>
      <c r="I33" s="1504"/>
      <c r="J33" s="1504"/>
      <c r="K33" s="1504"/>
      <c r="L33" s="1504"/>
    </row>
    <row r="34" spans="1:15" ht="37.5" customHeight="1" x14ac:dyDescent="0.25">
      <c r="A34" s="401" t="str">
        <f>IF('Non TB - Note 1'!F15=1,"Print","Do Not Print")</f>
        <v>Print</v>
      </c>
      <c r="E34" s="1506" t="str">
        <f>IF('Non TB - Note 1'!F15=1,'Non TB - Note 1'!H15, "")</f>
        <v>Additional policy detail required where an authority has discontinued operations (or transferred operations under combinations of public sector bodies) during the financial year.</v>
      </c>
      <c r="F34" s="1506"/>
      <c r="G34" s="1506"/>
      <c r="H34" s="1506"/>
      <c r="I34" s="1506"/>
      <c r="J34" s="1506"/>
      <c r="K34" s="1506"/>
      <c r="L34" s="1506"/>
    </row>
    <row r="35" spans="1:15" x14ac:dyDescent="0.25">
      <c r="A35" s="401" t="str">
        <f>IF(A34="Print","Print","Do Not Print")</f>
        <v>Print</v>
      </c>
      <c r="E35" s="1504"/>
      <c r="F35" s="1504"/>
      <c r="G35" s="1504"/>
      <c r="H35" s="1504"/>
      <c r="I35" s="1504"/>
      <c r="J35" s="1504"/>
      <c r="K35" s="1504"/>
      <c r="L35" s="1504"/>
    </row>
    <row r="36" spans="1:15" ht="17.25" customHeight="1" x14ac:dyDescent="0.25">
      <c r="A36" s="401" t="str">
        <f>IF('Non TB - Note 1'!F16=1,"Print","Do Not Print")</f>
        <v>Print</v>
      </c>
      <c r="C36" s="402" t="str">
        <f>+Checklist!E14</f>
        <v>iii)</v>
      </c>
      <c r="E36" s="1543" t="str">
        <f>IF('Non TB - Note 1'!F16=1,'Non TB - Note 1'!D16,"")</f>
        <v>Provision for Single Status, Job Evaluation and Pay and Grading Reviews</v>
      </c>
      <c r="F36" s="1543"/>
      <c r="G36" s="1543"/>
      <c r="H36" s="1543"/>
      <c r="I36" s="1543"/>
      <c r="J36" s="1543"/>
      <c r="K36" s="1543"/>
      <c r="L36" s="1543"/>
    </row>
    <row r="37" spans="1:15" x14ac:dyDescent="0.25">
      <c r="A37" s="401" t="str">
        <f>IF(A36="Print","Print","Do Not Print")</f>
        <v>Print</v>
      </c>
      <c r="E37" s="1543"/>
      <c r="F37" s="1543"/>
      <c r="G37" s="1543"/>
      <c r="H37" s="1543"/>
      <c r="I37" s="1543"/>
      <c r="J37" s="1543"/>
      <c r="K37" s="1543"/>
      <c r="L37" s="1543"/>
    </row>
    <row r="38" spans="1:15" ht="167.1" customHeight="1" x14ac:dyDescent="0.25">
      <c r="A38" s="401" t="str">
        <f>IF('Non TB - Note 1'!F16=1,"Print","Do Not Print")</f>
        <v>Print</v>
      </c>
      <c r="E38" s="1704" t="str">
        <f>IF('Non TB - Note 1'!F16=1,'Non TB - Note 1'!H16,"")</f>
        <v>The Council has made a provision for the costs of settling claims for back pay arising from discriminatory payments incurred before the Council implemented its Single Status Policy.  Local government reform resulted in the assets and liabilities of the former x legacy councils being transferred to xx on 1 April 2015.  
As each of the legacy councils had substantially completed its Single Status, Job Evaluation and Pay and Grading Reviews, Council has not acquired an opening provision for such matters.  As the staff of the former legacy councils and those transferring in from the Department of the Environment's Planning Service are protected by the Transfer of Protected Undertakings Act (Northern Ireland) 2006 (TUPE), Council has not sought to amend these employees' terms and conditions of employment.  Appropriate provision will be made for any financial consequences of employees' terms and conditions as and when required.</v>
      </c>
      <c r="F38" s="1704"/>
      <c r="G38" s="1704"/>
      <c r="H38" s="1704"/>
      <c r="I38" s="1704"/>
      <c r="J38" s="1704"/>
      <c r="K38" s="1704"/>
      <c r="L38" s="1704"/>
      <c r="M38" s="1722"/>
      <c r="N38" s="1722"/>
      <c r="O38" s="1722"/>
    </row>
    <row r="39" spans="1:15" x14ac:dyDescent="0.25">
      <c r="A39" s="401" t="str">
        <f>IF(A38="Print","Print","Do Not Print")</f>
        <v>Print</v>
      </c>
      <c r="E39" s="1500"/>
      <c r="F39" s="1500"/>
      <c r="G39" s="1500"/>
      <c r="H39" s="1500"/>
      <c r="I39" s="1500"/>
      <c r="J39" s="1500"/>
      <c r="K39" s="1500"/>
      <c r="L39" s="1500"/>
    </row>
    <row r="40" spans="1:15" ht="12.75" customHeight="1" x14ac:dyDescent="0.25">
      <c r="A40" s="401" t="str">
        <f>IF('Non TB - Note 1'!F17=1,"Print","Do Not Print")</f>
        <v>Print</v>
      </c>
      <c r="C40" s="402" t="str">
        <f>+Checklist!E15</f>
        <v>iv)</v>
      </c>
      <c r="E40" s="1543" t="str">
        <f>IF('Non TB - Note 1'!F17=1,'Non TB - Note 1'!D17,"")</f>
        <v>Cash and Cash Equivalents</v>
      </c>
      <c r="F40" s="1543"/>
      <c r="G40" s="1543"/>
      <c r="H40" s="1543"/>
      <c r="I40" s="1543"/>
      <c r="J40" s="1543"/>
      <c r="K40" s="1543"/>
      <c r="L40" s="1543"/>
    </row>
    <row r="41" spans="1:15" ht="12.75" customHeight="1" x14ac:dyDescent="0.25">
      <c r="A41" s="401" t="str">
        <f>IF(A40="Print","Print","Do Not Print")</f>
        <v>Print</v>
      </c>
      <c r="E41" s="1543"/>
      <c r="F41" s="1543"/>
      <c r="G41" s="1543"/>
      <c r="H41" s="1543"/>
      <c r="I41" s="1543"/>
      <c r="J41" s="1543"/>
      <c r="K41" s="1543"/>
      <c r="L41" s="1543"/>
    </row>
    <row r="42" spans="1:15" ht="99" customHeight="1" x14ac:dyDescent="0.25">
      <c r="A42" s="401" t="str">
        <f>IF('Non TB - Note 1'!F17=1,"Print","Do Not Print")</f>
        <v>Print</v>
      </c>
      <c r="E42" s="1704" t="str">
        <f>IF('Non TB - Note 1'!F17=1,'Non TB - Note 1'!H17,"")</f>
        <v xml:space="preserve">Cash is represented by cash in hand and deposits with financial institutions repayable without penalty on notice of not more than 24 hours.  Cash equivalents are highly liquid investments that mature in [specified period, no more than three months] or less from the date of acquisition and that are readily convertible to known amounts of cash with insignificant risk of change in value. 
In the Cash Flow Statement, cash and cash equivalents are shown net of bank overdrafts that are repayable on demand and form an integral part of the Council’s cash management. </v>
      </c>
      <c r="F42" s="1704"/>
      <c r="G42" s="1704"/>
      <c r="H42" s="1704"/>
      <c r="I42" s="1704"/>
      <c r="J42" s="1704"/>
      <c r="K42" s="1704"/>
      <c r="L42" s="1704"/>
    </row>
    <row r="43" spans="1:15" ht="12.75" customHeight="1" x14ac:dyDescent="0.25">
      <c r="A43" s="401" t="str">
        <f>IF(A42="Print","Print","Do Not Print")</f>
        <v>Print</v>
      </c>
      <c r="E43" s="1704"/>
      <c r="F43" s="1704"/>
      <c r="G43" s="1704"/>
      <c r="H43" s="1704"/>
      <c r="I43" s="1704"/>
      <c r="J43" s="1704"/>
      <c r="K43" s="1704"/>
      <c r="L43" s="1704"/>
    </row>
    <row r="44" spans="1:15" ht="12.75" customHeight="1" x14ac:dyDescent="0.25">
      <c r="A44" s="401" t="str">
        <f>IF('Non TB - Note 1'!F18=1,"Print","Do Not Print")</f>
        <v>Print</v>
      </c>
      <c r="E44" s="1704" t="str">
        <f>IF('Non TB - Note 1'!F18=1,'Non TB - Note 1'!H18,"")</f>
        <v>Council specific text</v>
      </c>
      <c r="F44" s="1704"/>
      <c r="G44" s="1704"/>
      <c r="H44" s="1704"/>
      <c r="I44" s="1704"/>
      <c r="J44" s="1704"/>
      <c r="K44" s="1704"/>
      <c r="L44" s="1704"/>
    </row>
    <row r="45" spans="1:15" ht="13.5" customHeight="1" x14ac:dyDescent="0.25">
      <c r="A45" s="401" t="str">
        <f>IF(A44="Print","Print","Do Not Print")</f>
        <v>Print</v>
      </c>
      <c r="E45" s="1720"/>
      <c r="F45" s="1720"/>
      <c r="G45" s="1720"/>
      <c r="H45" s="1720"/>
      <c r="I45" s="1720"/>
      <c r="J45" s="1720"/>
      <c r="K45" s="1720"/>
      <c r="L45" s="1720"/>
    </row>
    <row r="46" spans="1:15" ht="12.75" customHeight="1" x14ac:dyDescent="0.25">
      <c r="A46" s="401" t="str">
        <f>IF('Non TB - Note 1'!F19=1,"Print","Do Not Print")</f>
        <v>Print</v>
      </c>
      <c r="C46" s="402" t="str">
        <f>+Checklist!E16</f>
        <v>v)</v>
      </c>
      <c r="E46" s="1543" t="str">
        <f>IF('Non TB - Note 1'!F19=1,'Non TB - Note 1'!D19,"")</f>
        <v>Contingent Assets</v>
      </c>
      <c r="F46" s="1543"/>
      <c r="G46" s="1543"/>
      <c r="H46" s="1543"/>
      <c r="I46" s="1543"/>
      <c r="J46" s="1543"/>
      <c r="K46" s="1543"/>
      <c r="L46" s="1543"/>
    </row>
    <row r="47" spans="1:15" ht="12.75" customHeight="1" x14ac:dyDescent="0.25">
      <c r="A47" s="401" t="str">
        <f>IF(A46="Print","Print","Do Not Print")</f>
        <v>Print</v>
      </c>
      <c r="E47" s="1543"/>
      <c r="F47" s="1543"/>
      <c r="G47" s="1543"/>
      <c r="H47" s="1543"/>
      <c r="I47" s="1543"/>
      <c r="J47" s="1543"/>
      <c r="K47" s="1543"/>
      <c r="L47" s="1543"/>
    </row>
    <row r="48" spans="1:15" ht="43.5" customHeight="1" x14ac:dyDescent="0.25">
      <c r="A48" s="401" t="str">
        <f>IF('Non TB - Note 1'!F19=1,"Print","Do Not Print")</f>
        <v>Print</v>
      </c>
      <c r="E48" s="1704" t="str">
        <f>IF('Non TB - Note 1'!F19=1,'Non TB - Note 1'!H19,"")</f>
        <v xml:space="preserve">A contingent asset arises where an event has taken place that gives the Council a possible asset whose existence will only be confirmed by the occurrence or otherwise of uncertain future events not wholly within the control of the Council. </v>
      </c>
      <c r="F48" s="1704"/>
      <c r="G48" s="1704"/>
      <c r="H48" s="1704"/>
      <c r="I48" s="1704"/>
      <c r="J48" s="1704"/>
      <c r="K48" s="1704"/>
      <c r="L48" s="1704"/>
    </row>
    <row r="49" spans="1:12" ht="13.5" customHeight="1" x14ac:dyDescent="0.25">
      <c r="A49" s="401" t="str">
        <f>IF(A48="Print","Print","Do Not Print")</f>
        <v>Print</v>
      </c>
      <c r="E49" s="1500"/>
      <c r="F49" s="1500"/>
      <c r="G49" s="1500"/>
      <c r="H49" s="1500"/>
      <c r="I49" s="1500"/>
      <c r="J49" s="1500"/>
      <c r="K49" s="1500"/>
      <c r="L49" s="1500"/>
    </row>
    <row r="50" spans="1:12" ht="37.950000000000003" customHeight="1" x14ac:dyDescent="0.25">
      <c r="A50" s="401" t="str">
        <f>IF('Non TB - Note 1'!F20=1,"Print","Do Not Print")</f>
        <v>Print</v>
      </c>
      <c r="E50" s="1504" t="str">
        <f>IF('Non TB - Note 1'!F20=1,'Non TB - Note 1'!H20,"")</f>
        <v>Contingent assets are not recognised in the Balance Sheet but disclosed in a note to the accounts where it is probable that there will be an inflow of economic benefits or service potential.</v>
      </c>
      <c r="F50" s="1504"/>
      <c r="G50" s="1504"/>
      <c r="H50" s="1504"/>
      <c r="I50" s="1504"/>
      <c r="J50" s="1504"/>
      <c r="K50" s="1504"/>
      <c r="L50" s="1504"/>
    </row>
    <row r="51" spans="1:12" ht="13.5" customHeight="1" x14ac:dyDescent="0.25">
      <c r="A51" s="401" t="str">
        <f>IF(A50="Print","Print","Do Not Print")</f>
        <v>Print</v>
      </c>
      <c r="E51" s="1500"/>
      <c r="F51" s="1500"/>
      <c r="G51" s="1500"/>
      <c r="H51" s="1500"/>
      <c r="I51" s="1500"/>
      <c r="J51" s="1500"/>
      <c r="K51" s="1500"/>
      <c r="L51" s="1500"/>
    </row>
    <row r="52" spans="1:12" ht="13.5" customHeight="1" x14ac:dyDescent="0.25">
      <c r="A52" s="401" t="str">
        <f>IF('Non TB - Note 1'!F21=1,"Print","Do Not Print")</f>
        <v>Print</v>
      </c>
      <c r="C52" s="402" t="str">
        <f>+Checklist!E17</f>
        <v>vi)</v>
      </c>
      <c r="E52" s="1543" t="str">
        <f>IF('Non TB - Note 1'!F21=1,'Non TB - Note 1'!D21,"")</f>
        <v>Contingent Liabilities</v>
      </c>
      <c r="F52" s="1543"/>
      <c r="G52" s="1543"/>
      <c r="H52" s="1543"/>
      <c r="I52" s="1543"/>
      <c r="J52" s="1543"/>
      <c r="K52" s="1543"/>
      <c r="L52" s="1543"/>
    </row>
    <row r="53" spans="1:12" x14ac:dyDescent="0.25">
      <c r="A53" s="401" t="str">
        <f>IF(A52="Print","Print","Do Not Print")</f>
        <v>Print</v>
      </c>
      <c r="E53" s="1543"/>
      <c r="F53" s="1543"/>
      <c r="G53" s="1543"/>
      <c r="H53" s="1543"/>
      <c r="I53" s="1543"/>
      <c r="J53" s="1543"/>
      <c r="K53" s="1543"/>
      <c r="L53" s="1543"/>
    </row>
    <row r="54" spans="1:12" ht="74.25" customHeight="1" x14ac:dyDescent="0.25">
      <c r="A54" s="401" t="str">
        <f>IF('Non TB - Note 1'!F11=1,"Print","Do Not Print")</f>
        <v>Print</v>
      </c>
      <c r="E54" s="1704" t="str">
        <f>IF('Non TB - Note 1'!F21=1,'Non TB - Note 1'!H21,"")</f>
        <v xml:space="preserve">A contingent liability arises where an event has taken place that gives the Council a possible obligation whose existence will only be confirmed by the occurrence or otherwise of uncertain future events not wholly within the control of the Council.  Contingent liabilities also arise in circumstances where a provision would otherwise be made but either it is not probable that an outflow of resources will be required or the amount of the obligation cannot be measured reliably. </v>
      </c>
      <c r="F54" s="1704"/>
      <c r="G54" s="1704"/>
      <c r="H54" s="1704"/>
      <c r="I54" s="1704"/>
      <c r="J54" s="1704"/>
      <c r="K54" s="1704"/>
      <c r="L54" s="1704"/>
    </row>
    <row r="55" spans="1:12" x14ac:dyDescent="0.25">
      <c r="A55" s="401" t="str">
        <f>IF(A54="Print","Print","Do Not Print")</f>
        <v>Print</v>
      </c>
      <c r="E55" s="1704"/>
      <c r="F55" s="1704"/>
      <c r="G55" s="1704"/>
      <c r="H55" s="1704"/>
      <c r="I55" s="1704"/>
      <c r="J55" s="1704"/>
      <c r="K55" s="1704"/>
      <c r="L55" s="1704"/>
    </row>
    <row r="56" spans="1:12" ht="29.55" customHeight="1" x14ac:dyDescent="0.25">
      <c r="A56" s="401" t="str">
        <f>IF('Non TB - Note 1'!F22=1,"Print","Do Not Print")</f>
        <v>Print</v>
      </c>
      <c r="E56" s="1704" t="str">
        <f>IF('Non TB - Note 1'!F22=1,'Non TB - Note 1'!H22,"")</f>
        <v>Contingent liabilities are not recognised in the Balance Sheet but disclosed in a note to the accounts.</v>
      </c>
      <c r="F56" s="1704"/>
      <c r="G56" s="1704"/>
      <c r="H56" s="1704"/>
      <c r="I56" s="1704"/>
      <c r="J56" s="1704"/>
      <c r="K56" s="1704"/>
      <c r="L56" s="1704"/>
    </row>
    <row r="57" spans="1:12" ht="13.5" customHeight="1" x14ac:dyDescent="0.25">
      <c r="A57" s="401" t="str">
        <f>IF(A56="Print","Print","Do Not Print")</f>
        <v>Print</v>
      </c>
      <c r="E57" s="1704"/>
      <c r="F57" s="1704"/>
      <c r="G57" s="1704"/>
      <c r="H57" s="1704"/>
      <c r="I57" s="1704"/>
      <c r="J57" s="1704"/>
      <c r="K57" s="1704"/>
      <c r="L57" s="1704"/>
    </row>
    <row r="58" spans="1:12" ht="13.5" customHeight="1" x14ac:dyDescent="0.25">
      <c r="A58" s="401" t="str">
        <f>IF('Non TB - Note 1'!F23=1,"Print","Do Not Print")</f>
        <v>Print</v>
      </c>
      <c r="C58" s="402" t="str">
        <f>+Checklist!E18</f>
        <v>vii)</v>
      </c>
      <c r="E58" s="1543" t="str">
        <f>IF('Non TB - Note 1'!F23=1,'Non TB - Note 1'!D23,"")</f>
        <v xml:space="preserve">Employee Benefits </v>
      </c>
      <c r="F58" s="1543"/>
      <c r="G58" s="1543"/>
      <c r="H58" s="1543"/>
      <c r="I58" s="1543"/>
      <c r="J58" s="1543"/>
      <c r="K58" s="1543"/>
      <c r="L58" s="1543"/>
    </row>
    <row r="59" spans="1:12" x14ac:dyDescent="0.25">
      <c r="A59" s="401" t="str">
        <f>IF(A58="Print","Print","Do Not Print")</f>
        <v>Print</v>
      </c>
      <c r="E59" s="1543"/>
      <c r="F59" s="1543"/>
      <c r="G59" s="1543"/>
      <c r="H59" s="1543"/>
      <c r="I59" s="1543"/>
      <c r="J59" s="1543"/>
      <c r="K59" s="1543"/>
      <c r="L59" s="1543"/>
    </row>
    <row r="60" spans="1:12" ht="152.55000000000001" customHeight="1" x14ac:dyDescent="0.25">
      <c r="A60" s="401" t="str">
        <f>IF('Non TB - Note 1'!F13=1,"Print","Do Not Print")</f>
        <v>Print</v>
      </c>
      <c r="E60" s="1704" t="str">
        <f>IF('Non TB - Note 1'!F23=1,'Non TB - Note 1'!H23,"")</f>
        <v>Short-term employee benefits are those due to be settled wholly within 12 months of the year-end. They include such benefits as wages and salaries, paid annual leave and paid sick leave, bonuses and non-monetary benefits (e.g. cars) for current employees, and are recognised as an expense in the year in which employees render service to the Council.  An accrual is made for the cost of holiday entitlements (or any form of leave, e.g. time off in lieu) earned by employees but not taken before the year-end which employees can carry forward into the next financial year.  The accrual is made at the wage and salary rates applicable in the following accounting year, being the period in which the employee takes the benefit.  The accrual is charged to Surplus or Deficit on the Provision of Services, but then reversed out through the Movement in Reserves Statement so that holiday entitlements are charged to revenue in the financial year in which the holiday absence occurs.</v>
      </c>
      <c r="F60" s="1704"/>
      <c r="G60" s="1704"/>
      <c r="H60" s="1704"/>
      <c r="I60" s="1704"/>
      <c r="J60" s="1704"/>
      <c r="K60" s="1704"/>
      <c r="L60" s="1704"/>
    </row>
    <row r="61" spans="1:12" x14ac:dyDescent="0.25">
      <c r="A61" s="401" t="str">
        <f>IF(A60="Print","Print","Do Not Print")</f>
        <v>Print</v>
      </c>
      <c r="E61" s="1704"/>
      <c r="F61" s="1704"/>
      <c r="G61" s="1704"/>
      <c r="H61" s="1704"/>
      <c r="I61" s="1704"/>
      <c r="J61" s="1704"/>
      <c r="K61" s="1704"/>
      <c r="L61" s="1704"/>
    </row>
    <row r="62" spans="1:12" ht="13.5" customHeight="1" x14ac:dyDescent="0.25">
      <c r="A62" s="401" t="str">
        <f>IF('Non TB - Note 1'!F24=1,"Print","Do Not Print")</f>
        <v>Print</v>
      </c>
      <c r="E62" s="1707" t="str">
        <f>IF('Non TB - Note 1'!F24=1,'Non TB - Note 1'!E24,"")</f>
        <v>Termination benefits</v>
      </c>
      <c r="F62" s="1707"/>
      <c r="G62" s="1707"/>
      <c r="H62" s="1707"/>
      <c r="I62" s="1707"/>
      <c r="J62" s="1707"/>
      <c r="K62" s="1707"/>
      <c r="L62" s="1707"/>
    </row>
    <row r="63" spans="1:12" x14ac:dyDescent="0.25">
      <c r="A63" s="401" t="str">
        <f>IF(A62="Print","Print","Do Not Print")</f>
        <v>Print</v>
      </c>
      <c r="E63" s="1707"/>
      <c r="F63" s="1707"/>
      <c r="G63" s="1707"/>
      <c r="H63" s="1707"/>
      <c r="I63" s="1707"/>
      <c r="J63" s="1707"/>
      <c r="K63" s="1707"/>
      <c r="L63" s="1707"/>
    </row>
    <row r="64" spans="1:12" ht="182.55" customHeight="1" x14ac:dyDescent="0.25">
      <c r="A64" s="401" t="str">
        <f>IF('Non TB - Note 1'!F24=1,"Print","Do Not Print")</f>
        <v>Print</v>
      </c>
      <c r="E64" s="1504" t="str">
        <f>IF('Non TB - Note 1'!F24=1,'Non TB - Note 1'!H24,"")</f>
        <v xml:space="preserve">Termination benefits are amounts payable as a result of a decision by the Council to terminate an officer’s employment before the normal retirement date or an officer’s decision to accept voluntary redundancy in exchange for those benefits and are charged on an accruals basis to the appropriate service segment or, where applicable, to a corporate service segment at the earlier of when the Council can no longer withdraw the offer of those benefits or when the Council recognises costs for a restructuring.  Where termination benefits involve the enhancement of pensions, statutory provisions require the General Fund Balance to be charged with the amount payable by the Council to the pension fund or pensioner in the year, not the amount calculated according to the relevant accounting standards.  In the Movement in Reserves Statement, appropriations are required to and from the Pensions Reserve to remove the notional debits and credits for pension enhancement termination benefits and replace them with debts for the cash paid to the pension fund and pensioners and any such amounts payable but unpaid at the year-end. </v>
      </c>
      <c r="F64" s="1504"/>
      <c r="G64" s="1504"/>
      <c r="H64" s="1504"/>
      <c r="I64" s="1504"/>
      <c r="J64" s="1504"/>
      <c r="K64" s="1504"/>
      <c r="L64" s="1504"/>
    </row>
    <row r="65" spans="1:20" ht="12.75" customHeight="1" x14ac:dyDescent="0.25">
      <c r="A65" s="401" t="str">
        <f>IF(A64="Print","Print","Do Not Print")</f>
        <v>Print</v>
      </c>
      <c r="E65" s="1500"/>
      <c r="F65" s="1500"/>
      <c r="G65" s="1500"/>
      <c r="H65" s="1500"/>
      <c r="I65" s="1500"/>
      <c r="J65" s="1500"/>
      <c r="K65" s="1500"/>
      <c r="L65" s="1500"/>
      <c r="M65" s="406"/>
      <c r="N65" s="406"/>
      <c r="O65" s="406"/>
      <c r="P65" s="406"/>
      <c r="Q65" s="406"/>
      <c r="R65" s="406"/>
      <c r="S65" s="406"/>
      <c r="T65" s="406"/>
    </row>
    <row r="66" spans="1:20" ht="106.05" customHeight="1" x14ac:dyDescent="0.25">
      <c r="A66" s="401" t="str">
        <f>IF('Non TB - Note 1'!F25=1,"Print","Do Not Print")</f>
        <v>Print</v>
      </c>
      <c r="E66" s="1504" t="str">
        <f>IF('Non TB - Note 1'!F25=1,'Non TB - Note 1'!H25,"")</f>
        <v>Where termination benefits involve the enhancement of pensions, statutory provisions require the General Fund balance to be charged with the amount payable by the Council to the pension fund or pensioner in the year, not the amount calculated according to the relevant accounting standards.  In the Movement in Reserves Statement, appropriations are required to and from the Pensions Reserve to remove the notional debits and credits for pension enhancement termination benefits and replace them with debits for the cash paid to the pension fund and pensioners and any such amounts payable but unpaid at the year-end.</v>
      </c>
      <c r="F66" s="1504"/>
      <c r="G66" s="1504"/>
      <c r="H66" s="1504"/>
      <c r="I66" s="1504"/>
      <c r="J66" s="1504"/>
      <c r="K66" s="1504"/>
      <c r="L66" s="1504"/>
    </row>
    <row r="67" spans="1:20" x14ac:dyDescent="0.25">
      <c r="A67" s="401" t="str">
        <f>IF(A66="Print","Print","Do Not Print")</f>
        <v>Print</v>
      </c>
      <c r="E67" s="1721"/>
      <c r="F67" s="1721"/>
      <c r="G67" s="1721"/>
      <c r="H67" s="1721"/>
      <c r="I67" s="1721"/>
      <c r="J67" s="1721"/>
      <c r="K67" s="1721"/>
      <c r="L67" s="1721"/>
    </row>
    <row r="68" spans="1:20" ht="13.5" customHeight="1" x14ac:dyDescent="0.25">
      <c r="A68" s="401" t="str">
        <f>IF('Non TB - Note 1'!F26=1,"Print","Do Not Print")</f>
        <v>Print</v>
      </c>
      <c r="E68" s="1707" t="str">
        <f>IF('Non TB - Note 1'!F26=1,'Non TB - Note 1'!E26,"")</f>
        <v>Post Employment Benefits</v>
      </c>
      <c r="F68" s="1707"/>
      <c r="G68" s="1707"/>
      <c r="H68" s="1707"/>
      <c r="I68" s="1707"/>
      <c r="J68" s="1707"/>
      <c r="K68" s="1707"/>
      <c r="L68" s="1707"/>
    </row>
    <row r="69" spans="1:20" x14ac:dyDescent="0.25">
      <c r="A69" s="401" t="str">
        <f>IF(A68="Print","Print","Do Not Print")</f>
        <v>Print</v>
      </c>
      <c r="E69" s="1707"/>
      <c r="F69" s="1707"/>
      <c r="G69" s="1707"/>
      <c r="H69" s="1707"/>
      <c r="I69" s="1707"/>
      <c r="J69" s="1707"/>
      <c r="K69" s="1707"/>
      <c r="L69" s="1707"/>
    </row>
    <row r="70" spans="1:20" ht="56.55" customHeight="1" x14ac:dyDescent="0.25">
      <c r="A70" s="401" t="str">
        <f>IF('Non TB - Note 1'!F26=1,"Print","Do Not Print")</f>
        <v>Print</v>
      </c>
      <c r="E70" s="1504" t="str">
        <f>IF('Non TB - Note 1'!F26=1,'Non TB - Note 1'!H26,"")</f>
        <v>Employees of the Council are members of the Northern Ireland Local Government Officers' Pension Fund administered by the Northern Ireland Local Government Officers' Superannuation Committee. The scheme provides defined benefits to members (retirement lump sums and pensions), earned as employees worked for the Council.</v>
      </c>
      <c r="F70" s="1504"/>
      <c r="G70" s="1504"/>
      <c r="H70" s="1504"/>
      <c r="I70" s="1504"/>
      <c r="J70" s="1504"/>
      <c r="K70" s="1504"/>
      <c r="L70" s="1504"/>
    </row>
    <row r="71" spans="1:20" x14ac:dyDescent="0.25">
      <c r="A71" s="401" t="str">
        <f>IF(A70="Print","Print","Do Not Print")</f>
        <v>Print</v>
      </c>
      <c r="E71" s="1704"/>
      <c r="F71" s="1704"/>
      <c r="G71" s="1704"/>
      <c r="H71" s="1704"/>
      <c r="I71" s="1704"/>
      <c r="J71" s="1704"/>
      <c r="K71" s="1704"/>
      <c r="L71" s="1704"/>
    </row>
    <row r="72" spans="1:20" ht="20.25" customHeight="1" x14ac:dyDescent="0.25">
      <c r="A72" s="401" t="str">
        <f>IF('Non TB - Note 1'!F27=1,"Print","Do Not Print")</f>
        <v>Print</v>
      </c>
      <c r="E72" s="1707" t="str">
        <f>IF('Non TB - Note 1'!F27=1,'Non TB - Note 1'!E27,"")</f>
        <v>The Northern Ireland Local Government Officers' Pension Fund</v>
      </c>
      <c r="F72" s="1707"/>
      <c r="G72" s="1707"/>
      <c r="H72" s="1707"/>
      <c r="I72" s="1707"/>
      <c r="J72" s="1707"/>
      <c r="K72" s="1707"/>
      <c r="L72" s="1707"/>
    </row>
    <row r="73" spans="1:20" x14ac:dyDescent="0.25">
      <c r="A73" s="401" t="str">
        <f>IF(A72="Print","Print","Do Not Print")</f>
        <v>Print</v>
      </c>
      <c r="E73" s="1707"/>
      <c r="F73" s="1707"/>
      <c r="G73" s="1707"/>
      <c r="H73" s="1707"/>
      <c r="I73" s="1707"/>
      <c r="J73" s="1707"/>
      <c r="K73" s="1707"/>
      <c r="L73" s="1707"/>
    </row>
    <row r="74" spans="1:20" ht="116.1" customHeight="1" x14ac:dyDescent="0.25">
      <c r="A74" s="401" t="str">
        <f>IF('Non TB - Note 1'!F27=1,"Print","Do Not Print")</f>
        <v>Print</v>
      </c>
      <c r="E74" s="1704" t="str">
        <f>IF('Non TB - Note 1'!F27=1,'Non TB - Note 1'!H27,"")</f>
        <v xml:space="preserve">The Northern Ireland Local Government Officers' Pension Fund is accounted for as a defined benefits scheme.
The liabilities of the Northern Ireland Local Government Officers' Pension Fund attributable to the Council are included in the Balance Sheet on an actuarial basis using the projected unit method – i.e. an assessment of the future payments that will be made in relation to retirement benefits earned to date by employees, based on assumptions about mortality rates, employee turnover rates, etc., and projections of projected earnings for current employees.
</v>
      </c>
      <c r="F74" s="1704"/>
      <c r="G74" s="1704"/>
      <c r="H74" s="1704"/>
      <c r="I74" s="1704"/>
      <c r="J74" s="1704"/>
      <c r="K74" s="1704"/>
      <c r="L74" s="1704"/>
    </row>
    <row r="75" spans="1:20" x14ac:dyDescent="0.25">
      <c r="A75" s="401" t="str">
        <f>IF(A74="Print","Print","Do Not Print")</f>
        <v>Print</v>
      </c>
      <c r="E75" s="1704"/>
      <c r="F75" s="1704"/>
      <c r="G75" s="1704"/>
      <c r="H75" s="1704"/>
      <c r="I75" s="1704"/>
      <c r="J75" s="1704"/>
      <c r="K75" s="1704"/>
      <c r="L75" s="1704"/>
    </row>
    <row r="76" spans="1:20" ht="32.25" customHeight="1" x14ac:dyDescent="0.25">
      <c r="A76" s="401" t="str">
        <f>IF('Non TB - Note 1'!F28=1,"Print","Do Not Print")</f>
        <v>Print</v>
      </c>
      <c r="E76" s="1704" t="str">
        <f>IF('Non TB - Note 1'!F28=1,'Non TB - Note 1'!H28,"")</f>
        <v>Liabilities are discounted to their value at current prices, using a discount rate based on the Aon Hewitt GBP Select AA Curve over the duration of the Employer's liabilities.</v>
      </c>
      <c r="F76" s="1704"/>
      <c r="G76" s="1704"/>
      <c r="H76" s="1704"/>
      <c r="I76" s="1704"/>
      <c r="J76" s="1704"/>
      <c r="K76" s="1704"/>
      <c r="L76" s="1704"/>
    </row>
    <row r="77" spans="1:20" x14ac:dyDescent="0.25">
      <c r="A77" s="401" t="str">
        <f>IF(A76="Print","Print","Do Not Print")</f>
        <v>Print</v>
      </c>
      <c r="E77" s="1704"/>
      <c r="F77" s="1704"/>
      <c r="G77" s="1704"/>
      <c r="H77" s="1704"/>
      <c r="I77" s="1704"/>
      <c r="J77" s="1704"/>
      <c r="K77" s="1704"/>
      <c r="L77" s="1704"/>
    </row>
    <row r="78" spans="1:20" ht="129" customHeight="1" x14ac:dyDescent="0.25">
      <c r="A78" s="401" t="str">
        <f>IF('Non TB - Note 1'!F29=1,"Print","Do Not Print")</f>
        <v>Print</v>
      </c>
      <c r="E78" s="1704" t="str">
        <f>IF('Non TB - Note 1'!F29=1,'Non TB - Note 1'!H29,"")</f>
        <v>The assets of the Northern Ireland Local Government Officers' pension fund attributable to the Council are included in the Balance Sheet at their fair value:
·         quoted securities – current bid price
·         unquoted securities – professional estimate
·         property – market value
·         unitised securities – current bid price
The change in the net pensions liability is analysed into seven components:</v>
      </c>
      <c r="F78" s="1704"/>
      <c r="G78" s="1704"/>
      <c r="H78" s="1704"/>
      <c r="I78" s="1704"/>
      <c r="J78" s="1704"/>
      <c r="K78" s="1704"/>
      <c r="L78" s="1704"/>
    </row>
    <row r="79" spans="1:20" x14ac:dyDescent="0.25">
      <c r="A79" s="401" t="str">
        <f>IF(A78="Print","Print","Do Not Print")</f>
        <v>Print</v>
      </c>
      <c r="E79" s="1704"/>
      <c r="F79" s="1704"/>
      <c r="G79" s="1704"/>
      <c r="H79" s="1704"/>
      <c r="I79" s="1704"/>
      <c r="J79" s="1704"/>
      <c r="K79" s="1704"/>
      <c r="L79" s="1704"/>
    </row>
    <row r="80" spans="1:20" ht="183" customHeight="1" x14ac:dyDescent="0.25">
      <c r="A80" s="401" t="str">
        <f>IF('Non TB - Note 1'!F30=1,"Print","Do Not Print")</f>
        <v>Print</v>
      </c>
      <c r="E80" s="1704" t="str">
        <f>IF('Non TB - Note 1'!F30=1,'Non TB - Note 1'!H30,"")</f>
        <v xml:space="preserve">The change in the net pensions liability is analysed into the following components:
Service cost comprising:
Current Service Cost – the increase in liabilities as a result of years of service earned this year - allocated in the Comprehensive Income and Expenditure Statement to the services for which the employees worked.
Past Service Cost – the increase in liabilities as a result of a scheme amendment or curtailment whose effect relates to years of service earned in earlier years - debited to the Surplus or Deficit on the Provision of Services in the Comprehensive Income and Expenditure Statements. [The treatment of past service costs will depend on the decisions of the Council about how they are allocated to service segments.]
</v>
      </c>
      <c r="F80" s="1704"/>
      <c r="G80" s="1704"/>
      <c r="H80" s="1704"/>
      <c r="I80" s="1704"/>
      <c r="J80" s="1704"/>
      <c r="K80" s="1704"/>
      <c r="L80" s="1704"/>
    </row>
    <row r="81" spans="1:12" ht="12.75" customHeight="1" x14ac:dyDescent="0.25">
      <c r="A81" s="401" t="str">
        <f>IF(A80="Print","Print","Do Not Print")</f>
        <v>Print</v>
      </c>
      <c r="E81" s="1704"/>
      <c r="F81" s="1704"/>
      <c r="G81" s="1704"/>
      <c r="H81" s="1704"/>
      <c r="I81" s="1704"/>
      <c r="J81" s="1704"/>
      <c r="K81" s="1704"/>
      <c r="L81" s="1704"/>
    </row>
    <row r="82" spans="1:12" ht="137.25" customHeight="1" x14ac:dyDescent="0.25">
      <c r="A82" s="401" t="str">
        <f>IF('Non TB - Note 1'!F31=1,"Print","Do Not Print")</f>
        <v>Print</v>
      </c>
      <c r="E82" s="1704" t="str">
        <f>IF('Non TB - Note 1'!F31=1,'Non TB - Note 1'!H31,"")</f>
        <v>Within Financing and Investment Income and Expenditure
Net interest on the net defined benefit liability (asset), – i.e. net interest expense for the Council, the change during the period in the net defined benefit liability (asset) that arises from the passage of time charged to the Financing and Investment Income and Expenditure line of the Comprehensive Income and Expenditure Statement - this is calculated by applying the discount rate used to measure the defined benefit obligation at the beginning of the period to the net defined benefit liability (asset) at the beginning of the period - taking into account any changes in the net defined benefit liability (asset) during the period as a result of contribution and benefit payments.</v>
      </c>
      <c r="F82" s="1704"/>
      <c r="G82" s="1704"/>
      <c r="H82" s="1704"/>
      <c r="I82" s="1704"/>
      <c r="J82" s="1704"/>
      <c r="K82" s="1704"/>
      <c r="L82" s="1704"/>
    </row>
    <row r="83" spans="1:12" ht="12.75" customHeight="1" x14ac:dyDescent="0.25">
      <c r="A83" s="401" t="str">
        <f>IF(A82="Print","Print","Do Not Print")</f>
        <v>Print</v>
      </c>
      <c r="E83" s="1704"/>
      <c r="F83" s="1704"/>
      <c r="G83" s="1704"/>
      <c r="H83" s="1704"/>
      <c r="I83" s="1704"/>
      <c r="J83" s="1704"/>
      <c r="K83" s="1704"/>
      <c r="L83" s="1704"/>
    </row>
    <row r="84" spans="1:12" ht="182.1" customHeight="1" x14ac:dyDescent="0.25">
      <c r="A84" s="401" t="str">
        <f>IF('Non TB - Note 1'!F32=1,"Print","Do Not Print")</f>
        <v>Print</v>
      </c>
      <c r="E84" s="1704" t="str">
        <f>IF('Non TB - Note 1'!F32=1,'Non TB - Note 1'!H32,"")</f>
        <v>Within Other Comprehensive Income and Expenditure (Remeasurements)
The Return on Plan Assets – excluding amounts recognised in the Net Interest on the Net Defined Benefit Liability (Asset) charged to the Pensions Reserve as Other Comprehensive Income and Expenditure.  This includes interest, dividends and other income derived from the plan assets, together with realised and unrealised gains or losses on the plan assets, less any costs of managing plan assets, and any tax payable by the plan itself other than tax included in the actuarial assumptions used to measure the present value of the defined benefit obligation.
Actuarial Gains and Losses – changes in the net pensions liability that arise because events have not coincided with assumptions made at the last actuarial valuation or because the actuaries have updated their assumptions, charged to the Pensions Reserves as Other Comprehensive Income and Expenditure.</v>
      </c>
      <c r="F84" s="1704"/>
      <c r="G84" s="1704"/>
      <c r="H84" s="1704"/>
      <c r="I84" s="1704"/>
      <c r="J84" s="1704"/>
      <c r="K84" s="1704"/>
      <c r="L84" s="1704"/>
    </row>
    <row r="85" spans="1:12" ht="12.75" customHeight="1" x14ac:dyDescent="0.25">
      <c r="A85" s="401" t="str">
        <f>IF(A84="Print","Print","Do Not Print")</f>
        <v>Print</v>
      </c>
      <c r="E85" s="1704"/>
      <c r="F85" s="1704"/>
      <c r="G85" s="1704"/>
      <c r="H85" s="1704"/>
      <c r="I85" s="1704"/>
      <c r="J85" s="1704"/>
      <c r="K85" s="1704"/>
      <c r="L85" s="1704"/>
    </row>
    <row r="86" spans="1:12" ht="106.05" customHeight="1" x14ac:dyDescent="0.25">
      <c r="A86" s="401" t="str">
        <f>IF('Non TB - Note 1'!F33=1,"Print","Do Not Print")</f>
        <v>Print</v>
      </c>
      <c r="E86" s="1704" t="str">
        <f>IF('Non TB - Note 1'!F33=1,'Non TB - Note 1'!H33,"")</f>
        <v>Within the Movement in Reserves Statement Appropriations
Contributions by Scheme Participants – the increase in scheme liabilities and assets due to payments into the scheme by employees (where increased contribution increases pension due to the employee in the future).
Contributions by the Employer -  the increase in scheme assets due to payments into the scheme by the employer.</v>
      </c>
      <c r="F86" s="1704"/>
      <c r="G86" s="1704"/>
      <c r="H86" s="1704"/>
      <c r="I86" s="1704"/>
      <c r="J86" s="1704"/>
      <c r="K86" s="1704"/>
      <c r="L86" s="1704"/>
    </row>
    <row r="87" spans="1:12" ht="12.75" customHeight="1" x14ac:dyDescent="0.25">
      <c r="A87" s="401" t="str">
        <f>IF(A86="Print","Print","Do Not Print")</f>
        <v>Print</v>
      </c>
      <c r="E87" s="1704"/>
      <c r="F87" s="1704"/>
      <c r="G87" s="1704"/>
      <c r="H87" s="1704"/>
      <c r="I87" s="1704"/>
      <c r="J87" s="1704"/>
      <c r="K87" s="1704"/>
      <c r="L87" s="1704"/>
    </row>
    <row r="88" spans="1:12" ht="131.55000000000001" customHeight="1" x14ac:dyDescent="0.25">
      <c r="A88" s="401" t="str">
        <f>IF('Non TB - Note 1'!F34=1,"Print","Do Not Print")</f>
        <v>Print</v>
      </c>
      <c r="E88" s="1704" t="str">
        <f>IF('Non TB - Note 1'!F34=1,'Non TB - Note 1'!H34,"")</f>
        <v>In relation to retirement benefits, statutory provisions require the General Fund balance to be charged with the amount payable by the Council to the pension fund or directly to pensioners in the year, not the amount calculated according to the relevant accounting standards.  In the Movement in Reserves Statement, this means that there are transfers to and from the Pensions Reserve to remove the notional debits and credits for retirement benefits and replace them with debits for the cash paid to the pension fund and pensioners and any such amounts payable but unpaid at the year-end.  The negative balance that arises on the Pensions Reserve thereby measures the beneficial impact to the General Fund of being required to account for retirement benefits on the basis of cash flows rather than as benefits are earned by employees.</v>
      </c>
      <c r="F88" s="1704"/>
      <c r="G88" s="1704"/>
      <c r="H88" s="1704"/>
      <c r="I88" s="1704"/>
      <c r="J88" s="1704"/>
      <c r="K88" s="1704"/>
      <c r="L88" s="1704"/>
    </row>
    <row r="89" spans="1:12" ht="12.75" customHeight="1" x14ac:dyDescent="0.25">
      <c r="A89" s="401" t="str">
        <f>IF(A88="Print","Print","Do Not Print")</f>
        <v>Print</v>
      </c>
      <c r="E89" s="1704"/>
      <c r="F89" s="1704"/>
      <c r="G89" s="1704"/>
      <c r="H89" s="1704"/>
      <c r="I89" s="1704"/>
      <c r="J89" s="1704"/>
      <c r="K89" s="1704"/>
      <c r="L89" s="1704"/>
    </row>
    <row r="90" spans="1:12" ht="95.1" customHeight="1" x14ac:dyDescent="0.25">
      <c r="A90" s="401" t="str">
        <f>IF('Non TB - Note 1'!F35=1,"Print","Do Not Print")</f>
        <v>Print</v>
      </c>
      <c r="E90" s="1704" t="str">
        <f>IF('Non TB - Note 1'!F35=1,'Non TB - Note 1'!H35,"")</f>
        <v>Discretionary Benefits
The Council also has restricted powers to make discretionary awards of retirement benefits in the event of early retirements.  Any liabilities estimated to arise as a result of an award to any member of staff are accrued in the year of the decision to make the award and accounted for using the same policies that are applied to the Northern Ireland Local Government Officers' pension fund.</v>
      </c>
      <c r="F90" s="1704"/>
      <c r="G90" s="1704"/>
      <c r="H90" s="1704"/>
      <c r="I90" s="1704"/>
      <c r="J90" s="1704"/>
      <c r="K90" s="1704"/>
      <c r="L90" s="1704"/>
    </row>
    <row r="91" spans="1:12" x14ac:dyDescent="0.25">
      <c r="A91" s="401" t="str">
        <f>IF(A90="Print","Print","Do Not Print")</f>
        <v>Print</v>
      </c>
      <c r="E91" s="1707"/>
      <c r="F91" s="1707"/>
      <c r="G91" s="1707"/>
      <c r="H91" s="1707"/>
      <c r="I91" s="1707"/>
      <c r="J91" s="1707"/>
      <c r="K91" s="1707"/>
      <c r="L91" s="1707"/>
    </row>
    <row r="92" spans="1:12" ht="28.5" customHeight="1" x14ac:dyDescent="0.25">
      <c r="A92" s="401" t="str">
        <f>IF('Non TB - Note 1'!F36=1,"Print","Do Not Print")</f>
        <v>Print</v>
      </c>
      <c r="E92" s="1704" t="str">
        <f>IF('Non TB - Note 1'!F36=1,'Non TB - Note 1'!H36,"")</f>
        <v>Additional policy detail required where a Council makes material payments in relation to injury awards.</v>
      </c>
      <c r="F92" s="1704"/>
      <c r="G92" s="1704"/>
      <c r="H92" s="1704"/>
      <c r="I92" s="1704"/>
      <c r="J92" s="1704"/>
      <c r="K92" s="1704"/>
      <c r="L92" s="1704"/>
    </row>
    <row r="93" spans="1:12" ht="13.5" customHeight="1" x14ac:dyDescent="0.25">
      <c r="A93" s="401" t="str">
        <f>IF(A92="Print","Print","Do Not Print")</f>
        <v>Print</v>
      </c>
      <c r="E93" s="1704"/>
      <c r="F93" s="1704"/>
      <c r="G93" s="1704"/>
      <c r="H93" s="1704"/>
      <c r="I93" s="1704"/>
      <c r="J93" s="1704"/>
      <c r="K93" s="1704"/>
      <c r="L93" s="1704"/>
    </row>
    <row r="94" spans="1:12" ht="100.5" customHeight="1" x14ac:dyDescent="0.25">
      <c r="A94" s="401" t="str">
        <f>IF('Non TB - Note 1'!F37=1,"Print","Do Not Print")</f>
        <v>Print</v>
      </c>
      <c r="E94" s="1704" t="str">
        <f>IF('Non TB - Note 1'!F37=1,'Non TB - Note 1'!H37,"")</f>
        <v xml:space="preserve">As a result of Local Government Reform on 1 April 2015, staff that transferred from Central Government to the Council retained membership of the Northern Ireland Civil Service (NICS) Pension Scheme. The schemes provides defined benefits to members (retirement lump sums and pensions). However, the arrangements for the NICS Pension Scheme mean that liabilities for these benefits cannot ordinarily be identified specifically to the Council. The scheme is therefore accounted for as if it were a defined contribution scheme and no liability for future payments of benefits is recognised in the Balance Sheet.  </v>
      </c>
      <c r="F94" s="1704"/>
      <c r="G94" s="1704"/>
      <c r="H94" s="1704"/>
      <c r="I94" s="1704"/>
      <c r="J94" s="1704"/>
      <c r="K94" s="1704"/>
      <c r="L94" s="1704"/>
    </row>
    <row r="95" spans="1:12" x14ac:dyDescent="0.25">
      <c r="A95" s="401" t="str">
        <f>IF(A94="Print","Print","Do Not Print")</f>
        <v>Print</v>
      </c>
      <c r="E95" s="1704"/>
      <c r="F95" s="1704"/>
      <c r="G95" s="1704"/>
      <c r="H95" s="1704"/>
      <c r="I95" s="1704"/>
      <c r="J95" s="1704"/>
      <c r="K95" s="1704"/>
      <c r="L95" s="1704"/>
    </row>
    <row r="96" spans="1:12" ht="13.5" customHeight="1" x14ac:dyDescent="0.25">
      <c r="A96" s="401" t="str">
        <f>IF('Non TB - Note 1'!F38=1,"Print","Do Not Print")</f>
        <v>Print</v>
      </c>
      <c r="C96" s="402" t="str">
        <f>+Checklist!E19</f>
        <v>viii)</v>
      </c>
      <c r="E96" s="1543" t="str">
        <f>IF('Non TB - Note 1'!F38=1,'Non TB - Note 1'!D38,"")</f>
        <v xml:space="preserve">Events After the Balance Sheet Date </v>
      </c>
      <c r="F96" s="1543"/>
      <c r="G96" s="1543"/>
      <c r="H96" s="1543"/>
      <c r="I96" s="1543"/>
      <c r="J96" s="1543"/>
      <c r="K96" s="1543"/>
      <c r="L96" s="1543"/>
    </row>
    <row r="97" spans="1:20" x14ac:dyDescent="0.25">
      <c r="A97" s="401" t="str">
        <f>IF(A96="Print","Print","Do Not Print")</f>
        <v>Print</v>
      </c>
      <c r="E97" s="1543"/>
      <c r="F97" s="1543"/>
      <c r="G97" s="1543"/>
      <c r="H97" s="1543"/>
      <c r="I97" s="1543"/>
      <c r="J97" s="1543"/>
      <c r="K97" s="1543"/>
      <c r="L97" s="1543"/>
    </row>
    <row r="98" spans="1:20" ht="150" customHeight="1" x14ac:dyDescent="0.25">
      <c r="A98" s="401" t="str">
        <f>IF('Non TB - Note 1'!F38=1,"Print","Do Not Print")</f>
        <v>Print</v>
      </c>
      <c r="E98" s="1704" t="str">
        <f>IF('Non TB - Note 1'!F38=1,'Non TB - Note 1'!H38,"")</f>
        <v xml:space="preserve">Events after the Balance Sheet date are those events, both favourable and unfavourable, that occur between the end of the reporting period and the date when the Statement of Accounts is authorised for issue. Two types of events can be identified:
 -  those that provide evidence of conditions that existed at the end of the reporting period – the Statement of Accounts is adjusted to reflect such events.
 - those that are indicative of conditions that arose after the reporting period – the Statement of Accounts is not adjusted to reflect such events, but where a category of events would have a material effect, disclosure is made in the notes of the nature of the events and their estimated financial effect.
</v>
      </c>
      <c r="F98" s="1704"/>
      <c r="G98" s="1704"/>
      <c r="H98" s="1704"/>
      <c r="I98" s="1704"/>
      <c r="J98" s="1704"/>
      <c r="K98" s="1704"/>
      <c r="L98" s="1704"/>
    </row>
    <row r="99" spans="1:20" ht="12.75" customHeight="1" x14ac:dyDescent="0.25">
      <c r="A99" s="401" t="str">
        <f>IF(A98="Print","Print","Do Not Print")</f>
        <v>Print</v>
      </c>
      <c r="E99" s="1704"/>
      <c r="F99" s="1704"/>
      <c r="G99" s="1704"/>
      <c r="H99" s="1704"/>
      <c r="I99" s="1704"/>
      <c r="J99" s="1704"/>
      <c r="K99" s="1704"/>
      <c r="L99" s="1704"/>
      <c r="M99" s="407"/>
      <c r="N99" s="406"/>
      <c r="O99" s="406"/>
      <c r="P99" s="406"/>
      <c r="Q99" s="406"/>
      <c r="R99" s="406"/>
      <c r="S99" s="406"/>
      <c r="T99" s="406"/>
    </row>
    <row r="100" spans="1:20" ht="92.55" customHeight="1" x14ac:dyDescent="0.25">
      <c r="A100" s="401" t="str">
        <f>IF('Non TB - Note 1'!F39=1,"Print","Do Not Print")</f>
        <v>Print</v>
      </c>
      <c r="E100" s="1504" t="str">
        <f>IF('Non TB - Note 1'!F39=1,'Non TB - Note 1'!H39,"")</f>
        <v>The Statement of Accounts may subsequently be adjusted up to the date when they are authorised for issue.  This date will be recorded on the Statement of Accounts and is usually the date the Local Government Auditor issues the certificate and opinion.  Where material adjustments are made in this period they will be disclosed.
Events taking place after the date of authorisation for issue are not reflected in the Statement of Accounts.</v>
      </c>
      <c r="F100" s="1504"/>
      <c r="G100" s="1504"/>
      <c r="H100" s="1504"/>
      <c r="I100" s="1504"/>
      <c r="J100" s="1504"/>
      <c r="K100" s="1504"/>
      <c r="L100" s="1504"/>
    </row>
    <row r="101" spans="1:20" ht="12.75" customHeight="1" x14ac:dyDescent="0.25">
      <c r="A101" s="401" t="str">
        <f>IF(A100="Print","Print","Do Not Print")</f>
        <v>Print</v>
      </c>
      <c r="E101" s="1504"/>
      <c r="F101" s="1504"/>
      <c r="G101" s="1504"/>
      <c r="H101" s="1504"/>
      <c r="I101" s="1504"/>
      <c r="J101" s="1504"/>
      <c r="K101" s="1504"/>
      <c r="L101" s="1504"/>
    </row>
    <row r="102" spans="1:20" ht="13.5" customHeight="1" x14ac:dyDescent="0.25">
      <c r="A102" s="401" t="str">
        <f>IF('Non TB - Note 1'!F40=1,"Print","Do Not Print")</f>
        <v>Print</v>
      </c>
      <c r="C102" s="402" t="str">
        <f>+Checklist!E20</f>
        <v>ix)</v>
      </c>
      <c r="E102" s="1543" t="str">
        <f>IF('Non TB - Note 1'!F40=1,'Non TB - Note 1'!D40,"")</f>
        <v xml:space="preserve">Exceptional Items </v>
      </c>
      <c r="F102" s="1543"/>
      <c r="G102" s="1543"/>
      <c r="H102" s="1543"/>
      <c r="I102" s="1543"/>
      <c r="J102" s="1543"/>
      <c r="K102" s="1543"/>
      <c r="L102" s="1543"/>
    </row>
    <row r="103" spans="1:20" x14ac:dyDescent="0.25">
      <c r="A103" s="401" t="str">
        <f>IF(A102="Print","Print","Do Not Print")</f>
        <v>Print</v>
      </c>
      <c r="E103" s="1543"/>
      <c r="F103" s="1543"/>
      <c r="G103" s="1543"/>
      <c r="H103" s="1543"/>
      <c r="I103" s="1543"/>
      <c r="J103" s="1543"/>
      <c r="K103" s="1543"/>
      <c r="L103" s="1543"/>
    </row>
    <row r="104" spans="1:20" ht="55.5" customHeight="1" x14ac:dyDescent="0.25">
      <c r="A104" s="401" t="str">
        <f>IF('Non TB - Note 1'!F40=1,"Print","Do Not Print")</f>
        <v>Print</v>
      </c>
      <c r="E104" s="1704" t="str">
        <f>IF('Non TB - Note 1'!F40=1,'Non TB - Note 1'!H40,"")</f>
        <v>When items of income and expense are material, their nature and amount is disclosed separately, either on the face of the Comprehensive Income and Expenditure Statement or in the notes to the accounts, depending on how significant the items are to an understanding of the Council’s financial performance.</v>
      </c>
      <c r="F104" s="1704"/>
      <c r="G104" s="1704"/>
      <c r="H104" s="1704"/>
      <c r="I104" s="1704"/>
      <c r="J104" s="1704"/>
      <c r="K104" s="1704"/>
      <c r="L104" s="1704"/>
    </row>
    <row r="105" spans="1:20" x14ac:dyDescent="0.25">
      <c r="A105" s="401" t="str">
        <f>IF(A104="Print","Print","Do Not Print")</f>
        <v>Print</v>
      </c>
      <c r="E105" s="1704"/>
      <c r="F105" s="1704"/>
      <c r="G105" s="1704"/>
      <c r="H105" s="1704"/>
      <c r="I105" s="1704"/>
      <c r="J105" s="1704"/>
      <c r="K105" s="1704"/>
      <c r="L105" s="1704"/>
    </row>
    <row r="106" spans="1:20" ht="28.5" customHeight="1" x14ac:dyDescent="0.25">
      <c r="A106" s="401" t="str">
        <f>IF('Non TB - Note 1'!F41=1,"Print","Do Not Print")</f>
        <v>Print</v>
      </c>
      <c r="C106" s="402" t="str">
        <f>+Checklist!E21</f>
        <v>x)</v>
      </c>
      <c r="E106" s="1543" t="str">
        <f>IF('Non TB - Note 1'!F41=1,'Non TB - Note 1'!D41,"")</f>
        <v xml:space="preserve">Prior Period Adjustments, Changes in Accounting Policies and Estimates and Errors </v>
      </c>
      <c r="F106" s="1543"/>
      <c r="G106" s="1543"/>
      <c r="H106" s="1543"/>
      <c r="I106" s="1543"/>
      <c r="J106" s="1543"/>
      <c r="K106" s="1543"/>
      <c r="L106" s="1543"/>
    </row>
    <row r="107" spans="1:20" x14ac:dyDescent="0.25">
      <c r="A107" s="401" t="str">
        <f>IF(A106="Print","Print","Do Not Print")</f>
        <v>Print</v>
      </c>
      <c r="E107" s="1543"/>
      <c r="F107" s="1543"/>
      <c r="G107" s="1543"/>
      <c r="H107" s="1543"/>
      <c r="I107" s="1543"/>
      <c r="J107" s="1543"/>
      <c r="K107" s="1543"/>
      <c r="L107" s="1543"/>
    </row>
    <row r="108" spans="1:20" ht="48.75" customHeight="1" x14ac:dyDescent="0.25">
      <c r="A108" s="401" t="str">
        <f>IF('Non TB - Note 1'!F41=1,"Print","Do Not Print")</f>
        <v>Print</v>
      </c>
      <c r="E108" s="1704" t="str">
        <f>IF('Non TB - Note 1'!F41=1,'Non TB - Note 1'!H41,"")</f>
        <v xml:space="preserve">Prior period adjustments may arise as a result of a change in accounting policies or to correct a material error.  Changes in accounting estimates are accounted for prospectively, i.e. in the current and future years affected by the change and do not give rise to a prior period adjustment.
</v>
      </c>
      <c r="F108" s="1704"/>
      <c r="G108" s="1704"/>
      <c r="H108" s="1704"/>
      <c r="I108" s="1704"/>
      <c r="J108" s="1704"/>
      <c r="K108" s="1704"/>
      <c r="L108" s="1704"/>
    </row>
    <row r="109" spans="1:20" x14ac:dyDescent="0.25">
      <c r="A109" s="401" t="str">
        <f>IF(A108="Print","Print","Do Not Print")</f>
        <v>Print</v>
      </c>
      <c r="E109" s="1542" t="s">
        <v>345</v>
      </c>
      <c r="F109" s="1542"/>
      <c r="G109" s="1542"/>
      <c r="H109" s="1542"/>
      <c r="I109" s="1542"/>
      <c r="J109" s="1542"/>
      <c r="K109" s="1542"/>
      <c r="L109" s="1542"/>
    </row>
    <row r="110" spans="1:20" ht="82.5" customHeight="1" x14ac:dyDescent="0.25">
      <c r="A110" s="401" t="str">
        <f>IF('Non TB - Note 1'!F42=1,"Print","Do Not Print")</f>
        <v>Print</v>
      </c>
      <c r="E110" s="1704" t="str">
        <f>IF('Non TB - Note 1'!F42=1,'Non TB - Note 1'!H42,"")</f>
        <v>Changes in accounting policies are only made when required by proper accounting practices or the change provides more reliable or relevant information about the effect of transactions, other events and conditions on the Council’s financial position or financial performance.  Where a change is made, it is applied retrospectively (unless stated otherwise) by adjusting opening balances and comparative amounts for the prior period as if the new policy had always been applied.</v>
      </c>
      <c r="F110" s="1704"/>
      <c r="G110" s="1704"/>
      <c r="H110" s="1704"/>
      <c r="I110" s="1704"/>
      <c r="J110" s="1704"/>
      <c r="K110" s="1704"/>
      <c r="L110" s="1704"/>
    </row>
    <row r="111" spans="1:20" x14ac:dyDescent="0.25">
      <c r="A111" s="401" t="str">
        <f>IF(A110="Print","Print","Do Not Print")</f>
        <v>Print</v>
      </c>
      <c r="E111" s="1542"/>
      <c r="F111" s="1542"/>
      <c r="G111" s="1542"/>
      <c r="H111" s="1542"/>
      <c r="I111" s="1542"/>
      <c r="J111" s="1542"/>
      <c r="K111" s="1542"/>
      <c r="L111" s="1542"/>
    </row>
    <row r="112" spans="1:20" ht="31.05" customHeight="1" x14ac:dyDescent="0.25">
      <c r="A112" s="401" t="str">
        <f>IF('Non TB - Note 1'!F43=1,"Print","Do Not Print")</f>
        <v>Print</v>
      </c>
      <c r="E112" s="1704" t="str">
        <f>IF('Non TB - Note 1'!F43=1,'Non TB - Note 1'!H43,"")</f>
        <v>Material errors discovered in prior period figures are corrected retrospectively by amending opening balances and comparative amounts for the prior period.</v>
      </c>
      <c r="F112" s="1704"/>
      <c r="G112" s="1704"/>
      <c r="H112" s="1704"/>
      <c r="I112" s="1704"/>
      <c r="J112" s="1704"/>
      <c r="K112" s="1704"/>
      <c r="L112" s="1704"/>
    </row>
    <row r="113" spans="1:12" x14ac:dyDescent="0.25">
      <c r="A113" s="401" t="str">
        <f>IF(A112="Print","Print","Do Not Print")</f>
        <v>Print</v>
      </c>
      <c r="E113" s="1704"/>
      <c r="F113" s="1704"/>
      <c r="G113" s="1704"/>
      <c r="H113" s="1704"/>
      <c r="I113" s="1704"/>
      <c r="J113" s="1704"/>
      <c r="K113" s="1704"/>
      <c r="L113" s="1704"/>
    </row>
    <row r="114" spans="1:12" ht="13.5" customHeight="1" x14ac:dyDescent="0.25">
      <c r="A114" s="401" t="str">
        <f>IF('Non TB - Note 1'!F44=1,"Print","Do Not Print")</f>
        <v>Print</v>
      </c>
      <c r="C114" s="402" t="str">
        <f>+Checklist!E22</f>
        <v>xi)</v>
      </c>
      <c r="E114" s="1543" t="str">
        <f>IF('Non TB - Note 1'!F45=1,'Non TB - Note 1'!D44,"")</f>
        <v xml:space="preserve">Financial Instruments </v>
      </c>
      <c r="F114" s="1543"/>
      <c r="G114" s="1543"/>
      <c r="H114" s="1543"/>
      <c r="I114" s="1543"/>
      <c r="J114" s="1543"/>
      <c r="K114" s="1543"/>
      <c r="L114" s="1543"/>
    </row>
    <row r="115" spans="1:12" x14ac:dyDescent="0.25">
      <c r="A115" s="401" t="str">
        <f>IF(A114="Print","Print","Do Not Print")</f>
        <v>Print</v>
      </c>
      <c r="E115" s="1543"/>
      <c r="F115" s="1543"/>
      <c r="G115" s="1543"/>
      <c r="H115" s="1543"/>
      <c r="I115" s="1543"/>
      <c r="J115" s="1543"/>
      <c r="K115" s="1543"/>
      <c r="L115" s="1543"/>
    </row>
    <row r="116" spans="1:12" ht="103.5" customHeight="1" x14ac:dyDescent="0.25">
      <c r="A116" s="401" t="str">
        <f>IF('Non TB - Note 1'!F44=1,"Print","Do Not Print")</f>
        <v>Print</v>
      </c>
      <c r="E116" s="1504" t="str">
        <f>IF('Non TB - Note 1'!F44=1,'Non TB - Note 1'!H44,"")</f>
        <v>Financial liabilities are recognised on the Balance Sheet when the Council becomes a party to the contractual provisions of a financial instrument and are initially measured at fair value and are carried at their amortised cost.  Annual charges to the Financing and Investment Income and Expenditure line in the Comprehensive Income and Expenditure Statement for interest payable are based on the carrying amount of the liability, multiplied by the effective rate of interest for the instrument.  The effective interest rate is the rate that exactly discounts estimated future cash payments over the life of the instrument to the amount at which it was originally recognised.</v>
      </c>
      <c r="F116" s="1504"/>
      <c r="G116" s="1504"/>
      <c r="H116" s="1504"/>
      <c r="I116" s="1504"/>
      <c r="J116" s="1504"/>
      <c r="K116" s="1504"/>
      <c r="L116" s="1504"/>
    </row>
    <row r="117" spans="1:12" x14ac:dyDescent="0.25">
      <c r="A117" s="401" t="str">
        <f>IF(A116="Print","Print","Do Not Print")</f>
        <v>Print</v>
      </c>
      <c r="E117" s="1704"/>
      <c r="F117" s="1704"/>
      <c r="G117" s="1704"/>
      <c r="H117" s="1704"/>
      <c r="I117" s="1704"/>
      <c r="J117" s="1704"/>
      <c r="K117" s="1704"/>
      <c r="L117" s="1704"/>
    </row>
    <row r="118" spans="1:12" ht="56.55" customHeight="1" x14ac:dyDescent="0.25">
      <c r="A118" s="401" t="str">
        <f>IF('Non TB - Note 1'!F45=1,"Print","Do Not Print")</f>
        <v>Print</v>
      </c>
      <c r="E118" s="1704" t="str">
        <f>IF('Non TB - Note 1'!F45=1,'Non TB - Note 1'!H45,"")</f>
        <v>For most of the borrowings that the Council has, this means that the amount presented in the Balance Sheet is the outstanding principal repayable (plus accrued interest); and interest charged to the Comprehensive Income and Expenditure Statement is the amount payable for the year according to the loan agreement.</v>
      </c>
      <c r="F118" s="1704"/>
      <c r="G118" s="1704"/>
      <c r="H118" s="1704"/>
      <c r="I118" s="1704"/>
      <c r="J118" s="1704"/>
      <c r="K118" s="1704"/>
      <c r="L118" s="1704"/>
    </row>
    <row r="119" spans="1:12" x14ac:dyDescent="0.25">
      <c r="A119" s="401" t="str">
        <f>IF(A118="Print","Print","Do Not Print")</f>
        <v>Print</v>
      </c>
      <c r="E119" s="1542"/>
      <c r="F119" s="1542"/>
      <c r="G119" s="1542"/>
      <c r="H119" s="1542"/>
      <c r="I119" s="1542"/>
      <c r="J119" s="1542"/>
      <c r="K119" s="1542"/>
      <c r="L119" s="1542"/>
    </row>
    <row r="120" spans="1:12" ht="54" customHeight="1" x14ac:dyDescent="0.25">
      <c r="A120" s="401" t="str">
        <f>IF('Non TB - Note 1'!F46=1,"Print","Do Not Print")</f>
        <v>Print</v>
      </c>
      <c r="E120" s="1704" t="str">
        <f>IF('Non TB - Note 1'!F46=1,'Non TB - Note 1'!H46,"")</f>
        <v>However, the bonds issued by the Council in 2025/26 are carried at a lower amortised cost than the outstanding principal, and interest is charged at a marginally higher effective rate of interest than the rate payable to bondholders, as a material amount of costs incurred in its issue is being financed over the life of the stock.</v>
      </c>
      <c r="F120" s="1704"/>
      <c r="G120" s="1704"/>
      <c r="H120" s="1704"/>
      <c r="I120" s="1704"/>
      <c r="J120" s="1704"/>
      <c r="K120" s="1704"/>
      <c r="L120" s="1704"/>
    </row>
    <row r="121" spans="1:12" x14ac:dyDescent="0.25">
      <c r="A121" s="401" t="str">
        <f>IF(A120="Print","Print","Do Not Print")</f>
        <v>Print</v>
      </c>
      <c r="E121" s="1542"/>
      <c r="F121" s="1542"/>
      <c r="G121" s="1542"/>
      <c r="H121" s="1542"/>
      <c r="I121" s="1542"/>
      <c r="J121" s="1542"/>
      <c r="K121" s="1542"/>
      <c r="L121" s="1542"/>
    </row>
    <row r="122" spans="1:12" ht="111.75" customHeight="1" x14ac:dyDescent="0.25">
      <c r="A122" s="401" t="str">
        <f>IF('Non TB - Note 1'!F47=1,"Print","Do Not Print")</f>
        <v>Print</v>
      </c>
      <c r="E122" s="1704" t="str">
        <f>IF('Non TB - Note 1'!F47=1,'Non TB - Note 1'!H47,"")</f>
        <v>Where premiums and discounts have been charged to the Comprehensive Income and Expenditure Statement, regulations allow the impact on the General Fund Balance to be spread over future years.  The Council has a policy of spreading the gain or loss over the term that was remaining on the loan against which the premium was payable or discount receivable when it was repaid.  The reconciliation of amounts charged to the Comprehensive Income and Expenditure Statement to the net charge required against the General Fund Balance is managed by a transfer to or from the Financial Instruments Adjustment Account in the Movement in Reserves Statement.</v>
      </c>
      <c r="F122" s="1704"/>
      <c r="G122" s="1704"/>
      <c r="H122" s="1704"/>
      <c r="I122" s="1704"/>
      <c r="J122" s="1704"/>
      <c r="K122" s="1704"/>
      <c r="L122" s="1704"/>
    </row>
    <row r="123" spans="1:12" ht="12.75" customHeight="1" x14ac:dyDescent="0.25">
      <c r="A123" s="401" t="str">
        <f>IF(A122="Print","Print","Do Not Print")</f>
        <v>Print</v>
      </c>
      <c r="E123" s="1717"/>
      <c r="F123" s="1717"/>
      <c r="G123" s="1717"/>
      <c r="H123" s="1717"/>
      <c r="I123" s="1717"/>
      <c r="J123" s="1717"/>
      <c r="K123" s="1717"/>
      <c r="L123" s="1717"/>
    </row>
    <row r="124" spans="1:12" ht="30.6" customHeight="1" x14ac:dyDescent="0.25">
      <c r="A124" s="401" t="str">
        <f>IF('Non TB - Note 1'!F48=1,"Print","Do Not Print")</f>
        <v>Print</v>
      </c>
      <c r="E124" s="1504" t="str">
        <f>IF('Non TB - Note 1'!F48=1,'Non TB - Note 1'!H48,"")</f>
        <v>Additional policy detail required where a Council has entered into financial guarantees or has financial liabilities at fair value through profit or loss (such as derivatives).</v>
      </c>
      <c r="F124" s="1504"/>
      <c r="G124" s="1504"/>
      <c r="H124" s="1504"/>
      <c r="I124" s="1504"/>
      <c r="J124" s="1504"/>
      <c r="K124" s="1504"/>
      <c r="L124" s="1504"/>
    </row>
    <row r="125" spans="1:12" ht="13.5" customHeight="1" x14ac:dyDescent="0.25">
      <c r="A125" s="401" t="str">
        <f>IF(A124="Print","Print","Do Not Print")</f>
        <v>Print</v>
      </c>
      <c r="E125" s="1704"/>
      <c r="F125" s="1704"/>
      <c r="G125" s="1704"/>
      <c r="H125" s="1704"/>
      <c r="I125" s="1704"/>
      <c r="J125" s="1704"/>
      <c r="K125" s="1704"/>
      <c r="L125" s="1704"/>
    </row>
    <row r="126" spans="1:12" x14ac:dyDescent="0.25">
      <c r="A126" s="401" t="str">
        <f>IF('Non TB - Note 1'!F49=1,"Print","Do Not Print")</f>
        <v>Print</v>
      </c>
      <c r="E126" s="1541" t="str">
        <f>IF('Non TB - Note 1'!F49=1,'Non TB - Note 1'!E49,"")</f>
        <v>Financial Assets</v>
      </c>
      <c r="F126" s="1541"/>
      <c r="G126" s="1541"/>
      <c r="H126" s="1541"/>
      <c r="I126" s="1541"/>
      <c r="J126" s="1541"/>
      <c r="K126" s="1541"/>
      <c r="L126" s="1541"/>
    </row>
    <row r="127" spans="1:12" x14ac:dyDescent="0.25">
      <c r="A127" s="401" t="str">
        <f>IF(A126="Print","Print","Do Not Print")</f>
        <v>Print</v>
      </c>
      <c r="E127" s="1541"/>
      <c r="F127" s="1541"/>
      <c r="G127" s="1541"/>
      <c r="H127" s="1541"/>
      <c r="I127" s="1541"/>
      <c r="J127" s="1541"/>
      <c r="K127" s="1541"/>
      <c r="L127" s="1541"/>
    </row>
    <row r="128" spans="1:12" ht="129" customHeight="1" x14ac:dyDescent="0.25">
      <c r="A128" s="401" t="str">
        <f>IF('Non TB - Note 1'!F49=1,"Print","Do Not Print")</f>
        <v>Print</v>
      </c>
      <c r="E128" s="1704" t="str">
        <f>IF('Non TB - Note 1'!F49=1,'Non TB - Note 1'!H49,"")</f>
        <v>Financial assets are classified based on a classification and measurement approach that reflects the business model for holding the financial assets and their cashflow characteristics.  There are three main classes of financial assets measured at:
 - amortised cost
 - fair value through profit or loss (FVPL), and 
 - fair value through other comprehensive income (FVOCI)
[ Separate accounting policy is required where a council holds financial instruments at fair value through other comprehensive income].</v>
      </c>
      <c r="F128" s="1704"/>
      <c r="G128" s="1704"/>
      <c r="H128" s="1704"/>
      <c r="I128" s="1704"/>
      <c r="J128" s="1704"/>
      <c r="K128" s="1704"/>
      <c r="L128" s="1704"/>
    </row>
    <row r="129" spans="1:12" x14ac:dyDescent="0.25">
      <c r="A129" s="401" t="str">
        <f>IF(A128="Print","Print","Do Not Print")</f>
        <v>Print</v>
      </c>
      <c r="E129" s="1704"/>
      <c r="F129" s="1704"/>
      <c r="G129" s="1704"/>
      <c r="H129" s="1704"/>
      <c r="I129" s="1704"/>
      <c r="J129" s="1704"/>
      <c r="K129" s="1704"/>
      <c r="L129" s="1704"/>
    </row>
    <row r="130" spans="1:12" ht="55.5" customHeight="1" x14ac:dyDescent="0.25">
      <c r="A130" s="401" t="str">
        <f>IF('Non TB - Note 1'!F50=1,"Print","Do Not Print")</f>
        <v>Print</v>
      </c>
      <c r="E130" s="1704" t="str">
        <f>IF('Non TB - Note 1'!F50=1,'Non TB - Note 1'!H50,"")</f>
        <v>The Council's business model is to hold investments to collect contractual cash flows.  Financial assets are therefore classified as amortised cost, except for those whose contractual payments are not solely payment of principal and interest (i.e. where the cash flows do not take the form of a basic debt instrument).</v>
      </c>
      <c r="F130" s="1704"/>
      <c r="G130" s="1704"/>
      <c r="H130" s="1704"/>
      <c r="I130" s="1704"/>
      <c r="J130" s="1704"/>
      <c r="K130" s="1704"/>
      <c r="L130" s="1704"/>
    </row>
    <row r="131" spans="1:12" x14ac:dyDescent="0.25">
      <c r="A131" s="401" t="str">
        <f>IF(A130="Print","Print","Do Not Print")</f>
        <v>Print</v>
      </c>
      <c r="E131" s="1704"/>
      <c r="F131" s="1704"/>
      <c r="G131" s="1704"/>
      <c r="H131" s="1704"/>
      <c r="I131" s="1704"/>
      <c r="J131" s="1704"/>
      <c r="K131" s="1704"/>
      <c r="L131" s="1704"/>
    </row>
    <row r="132" spans="1:12" x14ac:dyDescent="0.25">
      <c r="A132" s="401" t="str">
        <f>IF('Non TB - Note 1'!F51=1,"Print","Do Not Print")</f>
        <v>Print</v>
      </c>
      <c r="E132" s="1707" t="str">
        <f>IF('Non TB - Note 1'!F51=1,'Non TB - Note 1'!E51,"")</f>
        <v>Financial Assets Measured at Amortised Cost</v>
      </c>
      <c r="F132" s="1707"/>
      <c r="G132" s="1707"/>
      <c r="H132" s="1707"/>
      <c r="I132" s="1707"/>
      <c r="J132" s="1707"/>
      <c r="K132" s="1707"/>
      <c r="L132" s="1707"/>
    </row>
    <row r="133" spans="1:12" x14ac:dyDescent="0.25">
      <c r="A133" s="401" t="str">
        <f>IF(A132="Print","Print","Do Not Print")</f>
        <v>Print</v>
      </c>
      <c r="E133" s="1704"/>
      <c r="F133" s="1704"/>
      <c r="G133" s="1704"/>
      <c r="H133" s="1704"/>
      <c r="I133" s="1704"/>
      <c r="J133" s="1704"/>
      <c r="K133" s="1704"/>
      <c r="L133" s="1704"/>
    </row>
    <row r="134" spans="1:12" ht="128.1" customHeight="1" x14ac:dyDescent="0.25">
      <c r="A134" s="401" t="str">
        <f>IF('Non TB - Note 1'!F51=1,"Print","Do Not Print")</f>
        <v>Print</v>
      </c>
      <c r="E134" s="1704" t="str">
        <f>IF('Non TB - Note 1'!F51=1,'Non TB - Note 1'!H51,"")</f>
        <v xml:space="preserve">Financial assets measured at amortised cost are recognised on the Balance Sheet when the Council becomes a party to the contractual provisions of a financial instrument and are initially measured at fair value.  They are subsequently measured at their amortised cost.  Annual credits to the Financing and Investment Income and Expenditure line in the Comprehensive Income and Expenditure Statement for interest receivable are based on the carrying amount of the asset multiplied by the effective rate of interest for the instrument.  For most of the financial assets held by the Council, this means that the amount presented in the Balance Sheet is the outstanding principal receivable (plus accrued interest) and interest credited to the Comprehensive Income and Expenditure is the amount receivable for the year in the loan agreement.
</v>
      </c>
      <c r="F134" s="1704"/>
      <c r="G134" s="1704"/>
      <c r="H134" s="1704"/>
      <c r="I134" s="1704"/>
      <c r="J134" s="1704"/>
      <c r="K134" s="1704"/>
      <c r="L134" s="1704"/>
    </row>
    <row r="135" spans="1:12" x14ac:dyDescent="0.25">
      <c r="A135" s="401" t="str">
        <f>IF(A134="Print","Print","Do Not Print")</f>
        <v>Print</v>
      </c>
      <c r="E135" s="1704"/>
      <c r="F135" s="1704"/>
      <c r="G135" s="1704"/>
      <c r="H135" s="1704"/>
      <c r="I135" s="1704"/>
      <c r="J135" s="1704"/>
      <c r="K135" s="1704"/>
      <c r="L135" s="1704"/>
    </row>
    <row r="136" spans="1:12" ht="71.25" customHeight="1" x14ac:dyDescent="0.25">
      <c r="A136" s="401" t="str">
        <f>IF('Non TB - Note 1'!F52=1,"Print","Do Not Print")</f>
        <v>Print</v>
      </c>
      <c r="E136" s="1704" t="str">
        <f>IF('Non TB - Note 1'!F52=1,'Non TB - Note 1'!H52,"")</f>
        <v>However, the Council has made a number of loans to voluntary organisations at less than market rates (soft loans).  When soft loans are made, a loss is recorded in the Comprehensive Income and Expenditure Statement (debited to the appropriate service) for the present value of the interest that will be foregone over the life of the instrument, resulting in a lower amortised cost than the outstanding principal.</v>
      </c>
      <c r="F136" s="1704"/>
      <c r="G136" s="1704"/>
      <c r="H136" s="1704"/>
      <c r="I136" s="1704"/>
      <c r="J136" s="1704"/>
      <c r="K136" s="1704"/>
      <c r="L136" s="1704"/>
    </row>
    <row r="137" spans="1:12" x14ac:dyDescent="0.25">
      <c r="A137" s="401" t="str">
        <f>IF(A136="Print","Print","Do Not Print")</f>
        <v>Print</v>
      </c>
      <c r="E137" s="1704"/>
      <c r="F137" s="1704"/>
      <c r="G137" s="1704"/>
      <c r="H137" s="1704"/>
      <c r="I137" s="1704"/>
      <c r="J137" s="1704"/>
      <c r="K137" s="1704"/>
      <c r="L137" s="1704"/>
    </row>
    <row r="138" spans="1:12" ht="118.5" customHeight="1" x14ac:dyDescent="0.25">
      <c r="A138" s="401" t="str">
        <f>IF('Non TB - Note 1'!F53=1,"Print","Do Not Print")</f>
        <v>Print</v>
      </c>
      <c r="E138" s="1704" t="str">
        <f>IF('Non TB - Note 1'!F53=1,'Non TB - Note 1'!H53,"")</f>
        <v>Interest is credited to the Financing and Investment Income and Expenditure line in the Comprehensive Income and Expenditure Statement at a marginally higher effective rate of interest than the rate receivable from the voluntary organisations, with the difference serving to increase the amortised cost of the loan in the Balance Sheet.  Statutory provisions require that the impact of soft loans on the General Fund Balance is the interest receivable for the financial year - the reconciliation of amounts debited and credited to the Comprehensive Income and Expenditure Statement to the net gain required against the General Fund Balance is managed by a transfer to or from the Financial Instruments Adjustment Account in the Movement in Reserves Statement.</v>
      </c>
      <c r="F138" s="1704"/>
      <c r="G138" s="1704"/>
      <c r="H138" s="1704"/>
      <c r="I138" s="1704"/>
      <c r="J138" s="1704"/>
      <c r="K138" s="1704"/>
      <c r="L138" s="1704"/>
    </row>
    <row r="139" spans="1:12" x14ac:dyDescent="0.25">
      <c r="A139" s="401" t="str">
        <f>IF(A138="Print","Print","Do Not Print")</f>
        <v>Print</v>
      </c>
      <c r="E139" s="1704"/>
      <c r="F139" s="1704"/>
      <c r="G139" s="1704"/>
      <c r="H139" s="1704"/>
      <c r="I139" s="1704"/>
      <c r="J139" s="1704"/>
      <c r="K139" s="1704"/>
      <c r="L139" s="1704"/>
    </row>
    <row r="140" spans="1:12" ht="42.6" customHeight="1" x14ac:dyDescent="0.25">
      <c r="A140" s="401" t="str">
        <f>IF('Non TB - Note 1'!F54=1,"Print","Do Not Print")</f>
        <v>Print</v>
      </c>
      <c r="E140" s="1704" t="str">
        <f>IF('Non TB - Note 1'!F54=1,'Non TB - Note 1'!H54,"")</f>
        <v>Any gains and losses that arise on the derecognition of an asset are credited or debits to the Financing and Investment Income and Expenditure line in the Comprehensive Income and Expenditure Statement.</v>
      </c>
      <c r="F140" s="1704"/>
      <c r="G140" s="1704"/>
      <c r="H140" s="1704"/>
      <c r="I140" s="1704"/>
      <c r="J140" s="1704"/>
      <c r="K140" s="1704"/>
      <c r="L140" s="1704"/>
    </row>
    <row r="141" spans="1:12" x14ac:dyDescent="0.25">
      <c r="A141" s="401" t="str">
        <f>IF(A140="Print","Print","Do Not Print")</f>
        <v>Print</v>
      </c>
      <c r="E141" s="1704"/>
      <c r="F141" s="1704"/>
      <c r="G141" s="1704"/>
      <c r="H141" s="1704"/>
      <c r="I141" s="1704"/>
      <c r="J141" s="1704"/>
      <c r="K141" s="1704"/>
      <c r="L141" s="1704"/>
    </row>
    <row r="142" spans="1:12" x14ac:dyDescent="0.25">
      <c r="A142" s="401" t="str">
        <f>IF('Non TB - Note 1'!F55=1,"Print","Do Not Print")</f>
        <v>Print</v>
      </c>
      <c r="E142" s="1541" t="str">
        <f>IF('Non TB - Note 1'!F55=1,'Non TB - Note 1'!E55,"")</f>
        <v>Expected Credit Loss Model</v>
      </c>
      <c r="F142" s="1541"/>
      <c r="G142" s="1541"/>
      <c r="H142" s="1541"/>
      <c r="I142" s="1541"/>
      <c r="J142" s="1541"/>
      <c r="K142" s="1541"/>
      <c r="L142" s="1541"/>
    </row>
    <row r="143" spans="1:12" x14ac:dyDescent="0.25">
      <c r="A143" s="401" t="str">
        <f>IF(A142="Print","Print","Do Not Print")</f>
        <v>Print</v>
      </c>
      <c r="E143" s="1541"/>
      <c r="F143" s="1541"/>
      <c r="G143" s="1541"/>
      <c r="H143" s="1541"/>
      <c r="I143" s="1541"/>
      <c r="J143" s="1541"/>
      <c r="K143" s="1541"/>
      <c r="L143" s="1541"/>
    </row>
    <row r="144" spans="1:12" ht="119.25" customHeight="1" x14ac:dyDescent="0.25">
      <c r="A144" s="401" t="str">
        <f>IF('Non TB - Note 1'!F55=1,"Print","Do Not Print")</f>
        <v>Print</v>
      </c>
      <c r="E144" s="1704" t="str">
        <f>IF('Non TB - Note 1'!F55=1,'Non TB - Note 1'!H55,"")</f>
        <v>The Council recognises expected credit losses on all of its financial assets held at amortised cost [or where relevant FVOCI], either on a 12-month or lifetime basis. The expected credit loss model also applies to lease receivables and contract assets.  Only lifetime losses are recognised for trade receivables (debtors) held by the Council
[Accounting policy should be provided where a Council has extended the simplified approach to lease receivables and trade receivables and contract assets where there is a significant financing component.]</v>
      </c>
      <c r="F144" s="1704"/>
      <c r="G144" s="1704"/>
      <c r="H144" s="1704"/>
      <c r="I144" s="1704"/>
      <c r="J144" s="1704"/>
      <c r="K144" s="1704"/>
      <c r="L144" s="1704"/>
    </row>
    <row r="145" spans="1:15" ht="12.75" customHeight="1" x14ac:dyDescent="0.25">
      <c r="A145" s="401" t="str">
        <f>IF(A144="Print","Print","Do Not Print")</f>
        <v>Print</v>
      </c>
      <c r="E145" s="1704"/>
      <c r="F145" s="1704"/>
      <c r="G145" s="1704"/>
      <c r="H145" s="1704"/>
      <c r="I145" s="1704"/>
      <c r="J145" s="1704"/>
      <c r="K145" s="1704"/>
      <c r="L145" s="1704"/>
    </row>
    <row r="146" spans="1:15" ht="79.05" customHeight="1" x14ac:dyDescent="0.25">
      <c r="A146" s="401" t="str">
        <f>IF('Non TB - Note 1'!F56=1,"Print","Do Not Print")</f>
        <v>Print</v>
      </c>
      <c r="E146" s="1704" t="str">
        <f>IF('Non TB - Note 1'!F56=1,'Non TB - Note 1'!H56,"")</f>
        <v>Impairment losses are calculated to reflect the expectation that the future cash flows might not take place because the borrower could default on their obligations.  Credit risk plays a crucial part in assessing losses.  Where risk has increased significantly since an instrument was initially recognised, losses are assessed on a lifetime basis.  Where risk has not increased significantly or remains low, losses are assessed on the basis of 12-month expected losses</v>
      </c>
      <c r="F146" s="1704"/>
      <c r="G146" s="1704"/>
      <c r="H146" s="1704"/>
      <c r="I146" s="1704"/>
      <c r="J146" s="1704"/>
      <c r="K146" s="1704"/>
      <c r="L146" s="1704"/>
      <c r="M146" s="1722"/>
      <c r="N146" s="1722"/>
      <c r="O146" s="1722"/>
    </row>
    <row r="147" spans="1:15" ht="12.75" customHeight="1" x14ac:dyDescent="0.25">
      <c r="A147" s="401" t="str">
        <f>IF(A146="Print","Print","Do Not Print")</f>
        <v>Print</v>
      </c>
      <c r="E147" s="1704"/>
      <c r="F147" s="1704"/>
      <c r="G147" s="1704"/>
      <c r="H147" s="1704"/>
      <c r="I147" s="1704"/>
      <c r="J147" s="1704"/>
      <c r="K147" s="1704"/>
      <c r="L147" s="1704"/>
    </row>
    <row r="148" spans="1:15" ht="58.05" customHeight="1" x14ac:dyDescent="0.25">
      <c r="A148" s="401" t="str">
        <f>IF('Non TB - Note 1'!F57=1,"Print","Do Not Print")</f>
        <v>Print</v>
      </c>
      <c r="E148" s="1704" t="str">
        <f>IF('Non TB - Note 1'!F57=1,'Non TB - Note 1'!H57,"")</f>
        <v>The Council has a portfolio of a significant number of loans to local businesses.  It does not have reasonable and supportable information that is available without undue cost or effort to support the measurement of lifetime expected losses on an individual instrument basis.  It has therefore assessed losses for the portfolio on a collective basis.</v>
      </c>
      <c r="F148" s="1704"/>
      <c r="G148" s="1704"/>
      <c r="H148" s="1704"/>
      <c r="I148" s="1704"/>
      <c r="J148" s="1704"/>
      <c r="K148" s="1704"/>
      <c r="L148" s="1704"/>
      <c r="M148" s="1722"/>
      <c r="N148" s="1722"/>
      <c r="O148" s="1722"/>
    </row>
    <row r="149" spans="1:15" ht="12.75" customHeight="1" x14ac:dyDescent="0.25">
      <c r="A149" s="401" t="str">
        <f>IF(A148="Print","Print","Do Not Print")</f>
        <v>Print</v>
      </c>
      <c r="E149" s="1704"/>
      <c r="F149" s="1704"/>
      <c r="G149" s="1704"/>
      <c r="H149" s="1704"/>
      <c r="I149" s="1704"/>
      <c r="J149" s="1704"/>
      <c r="K149" s="1704"/>
      <c r="L149" s="1704"/>
    </row>
    <row r="150" spans="1:15" ht="242.1" customHeight="1" x14ac:dyDescent="0.25">
      <c r="A150" s="401" t="str">
        <f>IF('Non TB - Note 1'!F58=1,"Print","Do Not Print")</f>
        <v>Print</v>
      </c>
      <c r="E150" s="1704" t="str">
        <f>IF('Non TB - Note 1'!F58=1,'Non TB - Note 1'!H58,"")</f>
        <v>The Council has grouped the loans into four groups for assessing loss allowances:
- Group 1 - these loans were made under a government programme, where the supply of funds was conditional on the authority putting in place a system for measuring and monitoring the risk of default for each of the businesses that was provided with a loan.  Loss allowances for these loans can be assessed on an individual basis.
- Group 2 - these loans were made to support local businesses that supply goods and services to the car manufacturing plant in the Council's area.  The manufacturer has recently announced plans to locate production of new models at its plants in other countries.  The Council therefore uses a 'bottom-up' approach to identify individual loans that have this common industry-related risk characteristic and determine that they are subject as a group to a significant increase in credit risk.
- Group 3 - these loans were made at a variable rate of interest.  The Council is advised that interest rates are probably going to risk by 1%.  Historical information evidences that a 1% increase in interest rates causes a significant increase in credit risk for 30% of the variable rate loans.  The Council therefore uses a 'top-down' approach to assess an overall proportion of a group of relatively homogenous loans to determine that 30% of Group 3 loans have had a significant increase in credit risk since initial recognition.
- Group 4 - for the residual group of loans, the Council relies on past due information and calculates losses based on lifetime credit losses for all loans more than 30 days pay due.</v>
      </c>
      <c r="F150" s="1704"/>
      <c r="G150" s="1704"/>
      <c r="H150" s="1704"/>
      <c r="I150" s="1704"/>
      <c r="J150" s="1704"/>
      <c r="K150" s="1704"/>
      <c r="L150" s="1704"/>
    </row>
    <row r="151" spans="1:15" ht="12.75" customHeight="1" x14ac:dyDescent="0.25">
      <c r="A151" s="401" t="str">
        <f>IF(A150="Print","Print","Do Not Print")</f>
        <v>Print</v>
      </c>
      <c r="E151" s="1704"/>
      <c r="F151" s="1704"/>
      <c r="G151" s="1704"/>
      <c r="H151" s="1704"/>
      <c r="I151" s="1704"/>
      <c r="J151" s="1704"/>
      <c r="K151" s="1704"/>
      <c r="L151" s="1704"/>
    </row>
    <row r="152" spans="1:15" ht="124.5" customHeight="1" x14ac:dyDescent="0.25">
      <c r="A152" s="401" t="str">
        <f>IF('Non TB - Note 1'!F59=1,"Print","Do Not Print")</f>
        <v>Print</v>
      </c>
      <c r="E152" s="1504" t="str">
        <f>IF('Non TB - Note 1'!F59=1,'Non TB - Note 1'!H59,"")</f>
        <v>The Council has provided a loan to a company in financial difficulties to ensure that the Community Centres Company is able to provide vital services for the elderly.  Fifty percent of the loan is thus deemed credit impaired on origination.  This will mean that:
- as lifetime expected credit losses are taken into account in the cash flows used for calculating the effective interest rate, no loss allowance is needed on initial recognition
- a loss allowance will then be built up on the basis of the cumulative change in lifetime expected credit losses since initial recognition
- the annual impairment gain or loss will be the change in lifetime expected credit losses over the year.</v>
      </c>
      <c r="F152" s="1504"/>
      <c r="G152" s="1504"/>
      <c r="H152" s="1504"/>
      <c r="I152" s="1504"/>
      <c r="J152" s="1504"/>
      <c r="K152" s="1504"/>
      <c r="L152" s="1504"/>
    </row>
    <row r="153" spans="1:15" x14ac:dyDescent="0.25">
      <c r="A153" s="401" t="str">
        <f>IF(A152="Print","Print","Do Not Print")</f>
        <v>Print</v>
      </c>
      <c r="E153" s="1710"/>
      <c r="F153" s="1710"/>
      <c r="G153" s="1710"/>
      <c r="H153" s="1710"/>
      <c r="I153" s="1710"/>
      <c r="J153" s="1710"/>
      <c r="K153" s="1710"/>
      <c r="L153" s="1710"/>
    </row>
    <row r="154" spans="1:15" ht="15.75" customHeight="1" x14ac:dyDescent="0.25">
      <c r="A154" s="401" t="str">
        <f>IF('Non TB - Note 1'!F60=1,"Print","Do Not Print")</f>
        <v>Print</v>
      </c>
      <c r="E154" s="1707" t="str">
        <f>IF('Non TB - Note 1'!F60=1,'Non TB - Note 1'!E60,"")</f>
        <v>Financial Assets Measured at Fair Value through Profit or Loss</v>
      </c>
      <c r="F154" s="1707"/>
      <c r="G154" s="1707"/>
      <c r="H154" s="1707"/>
      <c r="I154" s="1707"/>
      <c r="J154" s="1707"/>
      <c r="K154" s="1707"/>
      <c r="L154" s="1707"/>
    </row>
    <row r="155" spans="1:15" x14ac:dyDescent="0.25">
      <c r="A155" s="401" t="str">
        <f>IF(A154="Print","Print","Do Not Print")</f>
        <v>Print</v>
      </c>
      <c r="E155" s="1707"/>
      <c r="F155" s="1707"/>
      <c r="G155" s="1707"/>
      <c r="H155" s="1707"/>
      <c r="I155" s="1707"/>
      <c r="J155" s="1707"/>
      <c r="K155" s="1707"/>
      <c r="L155" s="1707"/>
    </row>
    <row r="156" spans="1:15" ht="53.1" customHeight="1" x14ac:dyDescent="0.25">
      <c r="A156" s="401" t="str">
        <f>IF('Non TB - Note 1'!F60=1,"Print","Do Not Print")</f>
        <v>Print</v>
      </c>
      <c r="E156" s="1704" t="str">
        <f>IF('Non TB - Note 1'!F60=1,'Non TB - Note 1'!H60,"")</f>
        <v xml:space="preserve">Financial assets that are measured at FVPL are recognised on the Balance Sheet when the Council becomes a party to the contractual provisions of a financial instrument and are initially measured and carried at fair value.  Fair value gains and losses are recognised as they arrive in the Surplus or Deficit on Provision of Services.
</v>
      </c>
      <c r="F156" s="1704"/>
      <c r="G156" s="1704"/>
      <c r="H156" s="1704"/>
      <c r="I156" s="1704"/>
      <c r="J156" s="1704"/>
      <c r="K156" s="1704"/>
      <c r="L156" s="1704"/>
    </row>
    <row r="157" spans="1:15" x14ac:dyDescent="0.25">
      <c r="A157" s="401" t="str">
        <f>IF(A156="Print","Print","Do Not Print")</f>
        <v>Print</v>
      </c>
      <c r="E157" s="1708"/>
      <c r="F157" s="1708"/>
      <c r="G157" s="1708"/>
      <c r="H157" s="1708"/>
      <c r="I157" s="1708"/>
      <c r="J157" s="1708"/>
      <c r="K157" s="1708"/>
      <c r="L157" s="1708"/>
    </row>
    <row r="158" spans="1:15" ht="42.6" customHeight="1" x14ac:dyDescent="0.25">
      <c r="A158" s="401" t="str">
        <f>IF('Non TB - Note 1'!F61=1,"Print","Do Not Print")</f>
        <v>Print</v>
      </c>
      <c r="E158" s="1704" t="str">
        <f>IF('Non TB - Note 1'!F61=1,'Non TB - Note 1'!H61,"")</f>
        <v>The fair value measurements of the financial assets are based on the following techniques:
- instruments with quoted market prices - the market price
- other instruments with fixed and determinable payments - discounted cash flow analysis.</v>
      </c>
      <c r="F158" s="1704"/>
      <c r="G158" s="1704"/>
      <c r="H158" s="1704"/>
      <c r="I158" s="1704"/>
      <c r="J158" s="1704"/>
      <c r="K158" s="1704"/>
      <c r="L158" s="1704"/>
    </row>
    <row r="159" spans="1:15" x14ac:dyDescent="0.25">
      <c r="A159" s="401" t="str">
        <f>IF(A158="Print","Print","Do Not Print")</f>
        <v>Print</v>
      </c>
      <c r="E159" s="1708"/>
      <c r="F159" s="1708"/>
      <c r="G159" s="1708"/>
      <c r="H159" s="1708"/>
      <c r="I159" s="1708"/>
      <c r="J159" s="1708"/>
      <c r="K159" s="1708"/>
      <c r="L159" s="1708"/>
    </row>
    <row r="160" spans="1:15" ht="108.75" customHeight="1" x14ac:dyDescent="0.25">
      <c r="A160" s="401" t="str">
        <f>IF('Non TB - Note 1'!F63=1,"Print","Do Not Print")</f>
        <v>Print</v>
      </c>
      <c r="E160" s="1704" t="str">
        <f>IF('Non TB - Note 1'!F62=1,'Non TB - Note 1'!H62,"")</f>
        <v>The inputs to the measurement techniques are categorised in accordance with the following three levels:
• Level 1 inputs - quoted prices (unadjusted) in active markets for identical assets that the authority can access at the measurement date.
• Level 2 inputs - inputs other than quoted prices included within Level 1 that are observable for the asset, either directly or indirectly.
• Level 3 inputs - unobservable inputs for the asset.</v>
      </c>
      <c r="F160" s="1704"/>
      <c r="G160" s="1704"/>
      <c r="H160" s="1704"/>
      <c r="I160" s="1704"/>
      <c r="J160" s="1704"/>
      <c r="K160" s="1704"/>
      <c r="L160" s="1704"/>
    </row>
    <row r="161" spans="1:12" ht="12.75" customHeight="1" x14ac:dyDescent="0.25">
      <c r="A161" s="401" t="str">
        <f>IF(A160="Print","Print","Do Not Print")</f>
        <v>Print</v>
      </c>
      <c r="E161" s="1704"/>
      <c r="F161" s="1704"/>
      <c r="G161" s="1704"/>
      <c r="H161" s="1704"/>
      <c r="I161" s="1704"/>
      <c r="J161" s="1704"/>
      <c r="K161" s="1704"/>
      <c r="L161" s="1704"/>
    </row>
    <row r="162" spans="1:12" ht="41.55" customHeight="1" x14ac:dyDescent="0.25">
      <c r="A162" s="401" t="str">
        <f>IF('Non TB - Note 1'!F64=1,"Print","Do Not Print")</f>
        <v>Print</v>
      </c>
      <c r="E162" s="1704" t="str">
        <f>IF('Non TB - Note 1'!F63=1,'Non TB - Note 1'!H63,"")</f>
        <v>Any gains and losses that arise on the derecognition of the asset are credited or debited to the Financing and Investment Income and Expenditure line in the Comprehensive Income and Expenditure Statement.</v>
      </c>
      <c r="F162" s="1704"/>
      <c r="G162" s="1704"/>
      <c r="H162" s="1704"/>
      <c r="I162" s="1704"/>
      <c r="J162" s="1704"/>
      <c r="K162" s="1704"/>
      <c r="L162" s="1704"/>
    </row>
    <row r="163" spans="1:12" ht="12.75" customHeight="1" x14ac:dyDescent="0.25">
      <c r="A163" s="401" t="str">
        <f>IF(A162="Print","Print","Do Not Print")</f>
        <v>Print</v>
      </c>
      <c r="E163" s="1704"/>
      <c r="F163" s="1704"/>
      <c r="G163" s="1704"/>
      <c r="H163" s="1704"/>
      <c r="I163" s="1704"/>
      <c r="J163" s="1704"/>
      <c r="K163" s="1704"/>
      <c r="L163" s="1704"/>
    </row>
    <row r="164" spans="1:12" ht="28.5" customHeight="1" x14ac:dyDescent="0.25">
      <c r="A164" s="401" t="str">
        <f>IF('Non TB - Note 1'!F65=1,"Print","Do Not Print")</f>
        <v>Print</v>
      </c>
      <c r="E164" s="1704" t="str">
        <f>IF('Non TB - Note 1'!F64=1,'Non TB - Note 1'!H64,"")</f>
        <v>Additional policy detail required where a Council decides to designate investments in equity instruments to FVOCI</v>
      </c>
      <c r="F164" s="1704"/>
      <c r="G164" s="1704"/>
      <c r="H164" s="1704"/>
      <c r="I164" s="1704"/>
      <c r="J164" s="1704"/>
      <c r="K164" s="1704"/>
      <c r="L164" s="1704"/>
    </row>
    <row r="165" spans="1:12" ht="12.75" customHeight="1" x14ac:dyDescent="0.25">
      <c r="A165" s="401" t="str">
        <f>IF(A164="Print","Print","Do Not Print")</f>
        <v>Print</v>
      </c>
      <c r="E165" s="1704"/>
      <c r="F165" s="1704"/>
      <c r="G165" s="1704"/>
      <c r="H165" s="1704"/>
      <c r="I165" s="1704"/>
      <c r="J165" s="1704"/>
      <c r="K165" s="1704"/>
      <c r="L165" s="1704"/>
    </row>
    <row r="166" spans="1:12" ht="30.6" customHeight="1" x14ac:dyDescent="0.25">
      <c r="A166" s="401" t="str">
        <f>IF('Non TB - Note 1'!F65=1,"Print","Do Not Print")</f>
        <v>Print</v>
      </c>
      <c r="E166" s="1704" t="str">
        <f>IF('Non TB - Note 1'!F65=1,'Non TB - Note 1'!H65,"")</f>
        <v>Additional policy detail required for reclassifications, modifications or derecognition or transfer of financial assets when such transactions occur.</v>
      </c>
      <c r="F166" s="1704"/>
      <c r="G166" s="1704"/>
      <c r="H166" s="1704"/>
      <c r="I166" s="1704"/>
      <c r="J166" s="1704"/>
      <c r="K166" s="1704"/>
      <c r="L166" s="1704"/>
    </row>
    <row r="167" spans="1:12" ht="12.75" customHeight="1" x14ac:dyDescent="0.25">
      <c r="A167" s="401" t="str">
        <f>IF(A166="Print","Print","Do Not Print")</f>
        <v>Print</v>
      </c>
      <c r="E167" s="1704"/>
      <c r="F167" s="1704"/>
      <c r="G167" s="1704"/>
      <c r="H167" s="1704"/>
      <c r="I167" s="1704"/>
      <c r="J167" s="1704"/>
      <c r="K167" s="1704"/>
      <c r="L167" s="1704"/>
    </row>
    <row r="168" spans="1:12" x14ac:dyDescent="0.25">
      <c r="A168" s="401" t="str">
        <f>IF('Non TB - Note 1'!F66=1,"Print","Do Not Print")</f>
        <v>Print</v>
      </c>
      <c r="E168" s="1541" t="str">
        <f>IF('Non TB - Note 1'!F66=1,'Non TB - Note 1'!E66,"")</f>
        <v>Instruments entered into before 1 April 2006</v>
      </c>
      <c r="F168" s="1541"/>
      <c r="G168" s="1541"/>
      <c r="H168" s="1541"/>
      <c r="I168" s="1541"/>
      <c r="J168" s="1541"/>
      <c r="K168" s="1541"/>
      <c r="L168" s="1541"/>
    </row>
    <row r="169" spans="1:12" x14ac:dyDescent="0.25">
      <c r="A169" s="401" t="str">
        <f>IF(A168="Print","Print","Do Not Print")</f>
        <v>Print</v>
      </c>
      <c r="E169" s="1710"/>
      <c r="F169" s="1710"/>
      <c r="G169" s="1710"/>
      <c r="H169" s="1710"/>
      <c r="I169" s="1710"/>
      <c r="J169" s="1710"/>
      <c r="K169" s="1710"/>
      <c r="L169" s="1710"/>
    </row>
    <row r="170" spans="1:12" ht="64.05" customHeight="1" x14ac:dyDescent="0.25">
      <c r="A170" s="401" t="str">
        <f>IF('Non TB - Note 1'!F66=1,"Print","Do Not Print")</f>
        <v>Print</v>
      </c>
      <c r="E170" s="1704" t="str">
        <f>IF('Non TB - Note 1'!F66=1,'Non TB - Note 1'!H66,"")</f>
        <v>The Council entered into a number of financial guarantees that are not required to be accounted for as financial instruments.  These guarantees are reflected in the Statement of Accounts to the extent that provisions might be required or a contingent liability note is needed under the policies set out in the section on Provisions, Contingent Liabilities and Contingent Assets.</v>
      </c>
      <c r="F170" s="1704"/>
      <c r="G170" s="1704"/>
      <c r="H170" s="1704"/>
      <c r="I170" s="1704"/>
      <c r="J170" s="1704"/>
      <c r="K170" s="1704"/>
      <c r="L170" s="1704"/>
    </row>
    <row r="171" spans="1:12" x14ac:dyDescent="0.25">
      <c r="A171" s="401" t="str">
        <f>IF(A170="Print","Print","Do Not Print")</f>
        <v>Print</v>
      </c>
      <c r="E171" s="1543"/>
      <c r="F171" s="1543"/>
      <c r="G171" s="1543"/>
      <c r="H171" s="1543"/>
      <c r="I171" s="1543"/>
      <c r="J171" s="1543"/>
      <c r="K171" s="1543"/>
      <c r="L171" s="1543"/>
    </row>
    <row r="172" spans="1:12" ht="13.5" customHeight="1" x14ac:dyDescent="0.25">
      <c r="A172" s="401" t="str">
        <f>IF('Non TB - Note 1'!F67=1,"Print","Do Not Print")</f>
        <v>Print</v>
      </c>
      <c r="C172" s="402" t="str">
        <f>+Checklist!E23</f>
        <v>xii)</v>
      </c>
      <c r="E172" s="1543" t="str">
        <f>IF('Non TB - Note 1'!F67=1,'Non TB - Note 1'!E67,"")</f>
        <v>Foreign Currency Translation</v>
      </c>
      <c r="F172" s="1543"/>
      <c r="G172" s="1543"/>
      <c r="H172" s="1543"/>
      <c r="I172" s="1543"/>
      <c r="J172" s="1543"/>
      <c r="K172" s="1543"/>
      <c r="L172" s="1543"/>
    </row>
    <row r="173" spans="1:12" x14ac:dyDescent="0.25">
      <c r="A173" s="401" t="str">
        <f>IF(A172="Print","Print","Do Not Print")</f>
        <v>Print</v>
      </c>
      <c r="E173" s="1543"/>
      <c r="F173" s="1543"/>
      <c r="G173" s="1543"/>
      <c r="H173" s="1543"/>
      <c r="I173" s="1543"/>
      <c r="J173" s="1543"/>
      <c r="K173" s="1543"/>
      <c r="L173" s="1543"/>
    </row>
    <row r="174" spans="1:12" ht="80.55" customHeight="1" x14ac:dyDescent="0.25">
      <c r="A174" s="401" t="str">
        <f>IF('Non TB - Note 1'!F67=1,"Print","Do Not Print")</f>
        <v>Print</v>
      </c>
      <c r="E174" s="1504" t="str">
        <f>IF('Non TB - Note 1'!F67=1,'Non TB - Note 1'!H67,"")</f>
        <v>Where the Council has entered into a transaction denominated in a foreign currency, the transaction is converted into sterling at the exchange rate applicable on the date the transaction was effective.  Where amounts in foreign currency are outstanding at the year-end, they are reconverted at the spot exchange rate at 31 March.  Resulting gains or losses are recognised in the Financing and Investment Income and Expenditure line in the Comprehensive Income and Expenditure Statement.</v>
      </c>
      <c r="F174" s="1504"/>
      <c r="G174" s="1504"/>
      <c r="H174" s="1504"/>
      <c r="I174" s="1504"/>
      <c r="J174" s="1504"/>
      <c r="K174" s="1504"/>
      <c r="L174" s="1504"/>
    </row>
    <row r="175" spans="1:12" x14ac:dyDescent="0.25">
      <c r="A175" s="401" t="str">
        <f>IF(A174="Print","Print","Do Not Print")</f>
        <v>Print</v>
      </c>
      <c r="E175" s="1704"/>
      <c r="F175" s="1704"/>
      <c r="G175" s="1704"/>
      <c r="H175" s="1704"/>
      <c r="I175" s="1704"/>
      <c r="J175" s="1704"/>
      <c r="K175" s="1704"/>
      <c r="L175" s="1704"/>
    </row>
    <row r="176" spans="1:12" ht="13.5" customHeight="1" x14ac:dyDescent="0.25">
      <c r="A176" s="401" t="str">
        <f>IF('Non TB - Note 1'!F68=1,"Print","Do Not Print")</f>
        <v>Print</v>
      </c>
      <c r="C176" s="402" t="str">
        <f>+Checklist!E24</f>
        <v>xiii)</v>
      </c>
      <c r="E176" s="1543" t="str">
        <f>IF('Non TB - Note 1'!F68=1,'Non TB - Note 1'!D68,"")</f>
        <v>Government Grants and Contributions</v>
      </c>
      <c r="F176" s="1543"/>
      <c r="G176" s="1543"/>
      <c r="H176" s="1543"/>
      <c r="I176" s="1543"/>
      <c r="J176" s="1543"/>
      <c r="K176" s="1543"/>
      <c r="L176" s="1543"/>
    </row>
    <row r="177" spans="1:12" x14ac:dyDescent="0.25">
      <c r="A177" s="401" t="str">
        <f>IF(A176="Print","Print","Do Not Print")</f>
        <v>Print</v>
      </c>
      <c r="E177" s="1543"/>
      <c r="F177" s="1543"/>
      <c r="G177" s="1543"/>
      <c r="H177" s="1543"/>
      <c r="I177" s="1543"/>
      <c r="J177" s="1543"/>
      <c r="K177" s="1543"/>
      <c r="L177" s="1543"/>
    </row>
    <row r="178" spans="1:12" ht="85.5" customHeight="1" x14ac:dyDescent="0.25">
      <c r="A178" s="401" t="str">
        <f>IF('Non TB - Note 1'!F68=1,"Print","Do Not Print")</f>
        <v>Print</v>
      </c>
      <c r="E178" s="1704" t="str">
        <f>IF('Non TB - Note 1'!F68=1,'Non TB - Note 1'!H68,"")</f>
        <v>Whether paid on account, by instalments or in arrears, government grants and third party contributions and donations are recognised as due to the Council when there is reasonable assurance that:
 - the Council will comply with the conditions attached to the payments, and
 -  the grants or contributions will be received.</v>
      </c>
      <c r="F178" s="1704"/>
      <c r="G178" s="1704"/>
      <c r="H178" s="1704"/>
      <c r="I178" s="1704"/>
      <c r="J178" s="1704"/>
      <c r="K178" s="1704"/>
      <c r="L178" s="1704"/>
    </row>
    <row r="179" spans="1:12" x14ac:dyDescent="0.25">
      <c r="A179" s="401" t="str">
        <f>IF(A178="Print","Print","Do Not Print")</f>
        <v>Print</v>
      </c>
      <c r="E179" s="1708"/>
      <c r="F179" s="1708"/>
      <c r="G179" s="1708"/>
      <c r="H179" s="1708"/>
      <c r="I179" s="1708"/>
      <c r="J179" s="1708"/>
      <c r="K179" s="1708"/>
      <c r="L179" s="1708"/>
    </row>
    <row r="180" spans="1:12" ht="80.099999999999994" customHeight="1" x14ac:dyDescent="0.25">
      <c r="A180" s="401" t="str">
        <f>IF('Non TB - Note 1'!F69=1,"Print","Do Not Print")</f>
        <v>Print</v>
      </c>
      <c r="E180" s="1704" t="str">
        <f>IF('Non TB - Note 1'!F69=1,'Non TB - Note 1'!H69,"")</f>
        <v>Amounts recognised as due are not credited to the Comprehensive Income and Expenditure Statement until conditions attaching to the grant or contribution have been satisfied.  Conditions are stipulations that specify that the future economic benefits or service potential embodied in the asset in the form of the grant or contribution are required to be consumed by the recipient as specified, or future economic benefits or service potential must be returned to the transferor.</v>
      </c>
      <c r="F180" s="1704"/>
      <c r="G180" s="1704"/>
      <c r="H180" s="1704"/>
      <c r="I180" s="1704"/>
      <c r="J180" s="1704"/>
      <c r="K180" s="1704"/>
      <c r="L180" s="1704"/>
    </row>
    <row r="181" spans="1:12" x14ac:dyDescent="0.25">
      <c r="A181" s="401" t="str">
        <f>IF(A180="Print","Print","Do Not Print")</f>
        <v>Print</v>
      </c>
      <c r="E181" s="1542"/>
      <c r="F181" s="1542"/>
      <c r="G181" s="1542"/>
      <c r="H181" s="1542"/>
      <c r="I181" s="1542"/>
      <c r="J181" s="1542"/>
      <c r="K181" s="1542"/>
      <c r="L181" s="1542"/>
    </row>
    <row r="182" spans="1:12" ht="72" customHeight="1" x14ac:dyDescent="0.25">
      <c r="A182" s="401" t="str">
        <f>IF('Non TB - Note 1'!F70=1,"Print","Do Not Print")</f>
        <v>Print</v>
      </c>
      <c r="E182" s="1704" t="str">
        <f>IF('Non TB - Note 1'!F70=1,'Non TB - Note 1'!H70,"")</f>
        <v>Monies advanced as grants and contributions for which conditions have not been satisfied are carried in the Balance Sheet as creditors.  When conditions are satisfied, the grant or contribution is credited to the relevant service line (attributable revenue grants and contributions) or Taxation and Non-Specific Grant Income (non-ring-fenced revenue grants and all capital grants) in the Comprehensive Income and Expenditure Statement.</v>
      </c>
      <c r="F182" s="1704"/>
      <c r="G182" s="1704"/>
      <c r="H182" s="1704"/>
      <c r="I182" s="1704"/>
      <c r="J182" s="1704"/>
      <c r="K182" s="1704"/>
      <c r="L182" s="1704"/>
    </row>
    <row r="183" spans="1:12" x14ac:dyDescent="0.25">
      <c r="A183" s="401" t="str">
        <f>IF(A182="Print","Print","Do Not Print")</f>
        <v>Print</v>
      </c>
      <c r="E183" s="1542"/>
      <c r="F183" s="1542"/>
      <c r="G183" s="1542"/>
      <c r="H183" s="1542"/>
      <c r="I183" s="1542"/>
      <c r="J183" s="1542"/>
      <c r="K183" s="1542"/>
      <c r="L183" s="1542"/>
    </row>
    <row r="184" spans="1:12" ht="87.75" customHeight="1" x14ac:dyDescent="0.25">
      <c r="A184" s="401" t="str">
        <f>IF('Non TB - Note 1'!F71=1,"Print","Do Not Print")</f>
        <v>Print</v>
      </c>
      <c r="E184" s="1704" t="str">
        <f>IF('Non TB - Note 1'!F71=1,'Non TB - Note 1'!H71,"")</f>
        <v>Where capital grants are credited to the Comprehensive Income and Expenditure Statement, they are reversed out of the General Fund Balance in the Movement in Reserves Statement.  Where the grant has yet to be used to finance capital expenditure, it is posted to the Capital Grants Unapplied Reserve.  Where it has been applied, it is posted to the Capital Adjustment Account.  Amounts in the Capital Grants Unapplied Reserve are transferred to the Capital Adjustment Account once they have been applied to fund capital expenditure.</v>
      </c>
      <c r="F184" s="1704"/>
      <c r="G184" s="1704"/>
      <c r="H184" s="1704"/>
      <c r="I184" s="1704"/>
      <c r="J184" s="1704"/>
      <c r="K184" s="1704"/>
      <c r="L184" s="1704"/>
    </row>
    <row r="185" spans="1:12" x14ac:dyDescent="0.25">
      <c r="A185" s="401" t="str">
        <f>IF(A184="Print","Print","Do Not Print")</f>
        <v>Print</v>
      </c>
      <c r="E185" s="1704"/>
      <c r="F185" s="1704"/>
      <c r="G185" s="1704"/>
      <c r="H185" s="1704"/>
      <c r="I185" s="1704"/>
      <c r="J185" s="1704"/>
      <c r="K185" s="1704"/>
      <c r="L185" s="1704"/>
    </row>
    <row r="186" spans="1:12" ht="13.5" customHeight="1" x14ac:dyDescent="0.25">
      <c r="A186" s="401" t="str">
        <f>IF('Non TB - Note 1'!F73=1,"Print","Do Not Print")</f>
        <v>Print</v>
      </c>
      <c r="C186" s="402" t="str">
        <f>+Checklist!E25</f>
        <v>xiv)</v>
      </c>
      <c r="E186" s="1543" t="str">
        <f>IF('Non TB - Note 1'!F73=1,'Non TB - Note 1'!D72,"")</f>
        <v>Intangible Assets</v>
      </c>
      <c r="F186" s="1543"/>
      <c r="G186" s="1543"/>
      <c r="H186" s="1543"/>
      <c r="I186" s="1543"/>
      <c r="J186" s="1543"/>
      <c r="K186" s="1543"/>
      <c r="L186" s="1543"/>
    </row>
    <row r="187" spans="1:12" ht="13.5" customHeight="1" x14ac:dyDescent="0.25">
      <c r="A187" s="401" t="str">
        <f>IF(A186="Print","Print","Do Not Print")</f>
        <v>Print</v>
      </c>
      <c r="E187" s="1543"/>
      <c r="F187" s="1543"/>
      <c r="G187" s="1543"/>
      <c r="H187" s="1543"/>
      <c r="I187" s="1543"/>
      <c r="J187" s="1543"/>
      <c r="K187" s="1543"/>
      <c r="L187" s="1543"/>
    </row>
    <row r="188" spans="1:12" ht="52.95" customHeight="1" x14ac:dyDescent="0.25">
      <c r="A188" s="401" t="str">
        <f>IF('Non TB - Note 1'!F72=1,"Print","Do Not Print")</f>
        <v>Print</v>
      </c>
      <c r="E188" s="1704" t="str">
        <f>IF('Non TB - Note 1'!F72=1,'Non TB - Note 1'!H72,"")</f>
        <v xml:space="preserve">Expenditure on non-monetary assets that do not have physical substance but are controlled by the Council as a result of past events (e.g. software licences) is capitalised when it is expected that future economic benefits or service potential will flow from the intangible asset to the Council.
</v>
      </c>
      <c r="F188" s="1704"/>
      <c r="G188" s="1704"/>
      <c r="H188" s="1704"/>
      <c r="I188" s="1704"/>
      <c r="J188" s="1704"/>
      <c r="K188" s="1704"/>
      <c r="L188" s="1704"/>
    </row>
    <row r="189" spans="1:12" ht="13.5" customHeight="1" x14ac:dyDescent="0.25">
      <c r="A189" s="401" t="str">
        <f>IF(A188="Print","Print","Do Not Print")</f>
        <v>Print</v>
      </c>
      <c r="E189" s="1708"/>
      <c r="F189" s="1708"/>
      <c r="G189" s="1708"/>
      <c r="H189" s="1708"/>
      <c r="I189" s="1708"/>
      <c r="J189" s="1708"/>
      <c r="K189" s="1708"/>
      <c r="L189" s="1708"/>
    </row>
    <row r="190" spans="1:12" ht="80.099999999999994" customHeight="1" x14ac:dyDescent="0.25">
      <c r="A190" s="401" t="str">
        <f>IF('Non TB - Note 1'!F73=1,"Print","Do Not Print")</f>
        <v>Print</v>
      </c>
      <c r="E190" s="1704" t="str">
        <f>IF('Non TB - Note 1'!F73=1,'Non TB - Note 1'!H73,"")</f>
        <v>Internally generated assets are capitalised where it is demonstrable that the project is technically feasible and is intended to be completed (with adequate resources being available) and the Council will be able to generate future economic benefits or deliver service potential by being able to sell or use the asset.  Expenditure is capitalised where it can be measured reliably as attributable to the asset and restricted to that incurred during the development phase (research expenditure is not capitalised).</v>
      </c>
      <c r="F190" s="1704"/>
      <c r="G190" s="1704"/>
      <c r="H190" s="1704"/>
      <c r="I190" s="1704"/>
      <c r="J190" s="1704"/>
      <c r="K190" s="1704"/>
      <c r="L190" s="1704"/>
    </row>
    <row r="191" spans="1:12" ht="13.5" customHeight="1" x14ac:dyDescent="0.25">
      <c r="A191" s="401" t="str">
        <f>IF(A190="Print","Print","Do Not Print")</f>
        <v>Print</v>
      </c>
      <c r="E191" s="1708"/>
      <c r="F191" s="1708"/>
      <c r="G191" s="1708"/>
      <c r="H191" s="1708"/>
      <c r="I191" s="1708"/>
      <c r="J191" s="1708"/>
      <c r="K191" s="1708"/>
      <c r="L191" s="1708"/>
    </row>
    <row r="192" spans="1:12" ht="29.55" customHeight="1" x14ac:dyDescent="0.25">
      <c r="A192" s="401" t="str">
        <f>IF('Non TB - Note 1'!F74=1,"Print","Do Not Print")</f>
        <v>Print</v>
      </c>
      <c r="E192" s="1704" t="str">
        <f>IF('Non TB - Note 1'!F74=1,'Non TB - Note 1'!H74,"")</f>
        <v>Expenditure on the development of websites is not capitalised if the website is solely or primarily intended to promote or advertise the Council’s goods or services.</v>
      </c>
      <c r="F192" s="1704"/>
      <c r="G192" s="1704"/>
      <c r="H192" s="1704"/>
      <c r="I192" s="1704"/>
      <c r="J192" s="1704"/>
      <c r="K192" s="1704"/>
      <c r="L192" s="1704"/>
    </row>
    <row r="193" spans="1:12" ht="13.5" customHeight="1" x14ac:dyDescent="0.25">
      <c r="A193" s="401" t="str">
        <f>IF(A192="Print","Print","Do Not Print")</f>
        <v>Print</v>
      </c>
      <c r="E193" s="1708"/>
      <c r="F193" s="1708"/>
      <c r="G193" s="1708"/>
      <c r="H193" s="1708"/>
      <c r="I193" s="1708"/>
      <c r="J193" s="1708"/>
      <c r="K193" s="1708"/>
      <c r="L193" s="1708"/>
    </row>
    <row r="194" spans="1:12" ht="141" customHeight="1" x14ac:dyDescent="0.25">
      <c r="A194" s="401" t="str">
        <f>IF('Non TB - Note 1'!F75=1,"Print","Do Not Print")</f>
        <v>Print</v>
      </c>
      <c r="E194" s="1704" t="str">
        <f>IF('Non TB - Note 1'!F75=1,'Non TB - Note 1'!H75,"")</f>
        <v>Intangible assets are measured initially at cost.  Amounts are only revalued where the fair value of the assets held by the Council can be determined by reference to an active market.  In practice, no intangible asset held by the Council meets this criterion, and they are therefore carried at amortised cost.  The depreciable amount of an intangible asset is amortised over its useful life to the relevant service line(s) in the Comprehensive Income and Expenditure Statement.  An asset is tested for impairment whenever there is an indication that the asset might be impaired – any losses recognised are posted to the relevant service line(s) in the Comprehensive Income and Expenditure Statement.  Any gain or loss arising on the disposal or abandonment of an intangible asset is posted to the Other Operating Expenditure line in the Comprehensive Income and Expenditure Statement.</v>
      </c>
      <c r="F194" s="1704"/>
      <c r="G194" s="1704"/>
      <c r="H194" s="1704"/>
      <c r="I194" s="1704"/>
      <c r="J194" s="1704"/>
      <c r="K194" s="1704"/>
      <c r="L194" s="1704"/>
    </row>
    <row r="195" spans="1:12" ht="13.5" customHeight="1" x14ac:dyDescent="0.25">
      <c r="A195" s="401" t="str">
        <f>IF(A194="Print","Print","Do Not Print")</f>
        <v>Print</v>
      </c>
      <c r="E195" s="1708"/>
      <c r="F195" s="1708"/>
      <c r="G195" s="1708"/>
      <c r="H195" s="1708"/>
      <c r="I195" s="1708"/>
      <c r="J195" s="1708"/>
      <c r="K195" s="1708"/>
      <c r="L195" s="1708"/>
    </row>
    <row r="196" spans="1:12" ht="80.55" customHeight="1" x14ac:dyDescent="0.25">
      <c r="A196" s="401" t="str">
        <f>IF('Non TB - Note 1'!F76=1,"Print","Do Not Print")</f>
        <v>Print</v>
      </c>
      <c r="E196" s="1704" t="str">
        <f>IF('Non TB - Note 1'!F76=1,'Non TB - Note 1'!H76,"")</f>
        <v>Where expenditure on intangible assets qualifies as capital expenditure for statutory purposes, amortisation, impairment losses and disposal gains and losses are not permitted to have an impact on the General Fund Balance.  The gains and losses are therefore reversed out of the General Fund Balance in the Movement in Reserves Statement and posted to the Capital Adjustment Account and (for any sale proceeds greater than £10,000) the Capital Receipts Reserve.</v>
      </c>
      <c r="F196" s="1704"/>
      <c r="G196" s="1704"/>
      <c r="H196" s="1704"/>
      <c r="I196" s="1704"/>
      <c r="J196" s="1704"/>
      <c r="K196" s="1704"/>
      <c r="L196" s="1704"/>
    </row>
    <row r="197" spans="1:12" ht="13.5" customHeight="1" x14ac:dyDescent="0.25">
      <c r="A197" s="401" t="str">
        <f>IF(A196="Print","Print","Do Not Print")</f>
        <v>Print</v>
      </c>
      <c r="E197" s="1704"/>
      <c r="F197" s="1704"/>
      <c r="G197" s="1704"/>
      <c r="H197" s="1704"/>
      <c r="I197" s="1704"/>
      <c r="J197" s="1704"/>
      <c r="K197" s="1704"/>
      <c r="L197" s="1704"/>
    </row>
    <row r="198" spans="1:12" ht="13.5" customHeight="1" x14ac:dyDescent="0.25">
      <c r="A198" s="401" t="str">
        <f>IF('Non TB - Note 1'!F77=1,"Print","Do Not Print")</f>
        <v>Print</v>
      </c>
      <c r="C198" s="402" t="str">
        <f>+Checklist!E26</f>
        <v>xv)</v>
      </c>
      <c r="E198" s="1543" t="str">
        <f>IF('Non TB - Note 1'!F77=1,'Non TB - Note 1'!D77,"")</f>
        <v>Inventories &amp; Long Term Contracts</v>
      </c>
      <c r="F198" s="1543"/>
      <c r="G198" s="1543"/>
      <c r="H198" s="1543"/>
      <c r="I198" s="1543"/>
      <c r="J198" s="1543"/>
      <c r="K198" s="1543"/>
      <c r="L198" s="1543"/>
    </row>
    <row r="199" spans="1:12" x14ac:dyDescent="0.25">
      <c r="A199" s="401" t="str">
        <f>IF(A198="Print","Print","Do Not Print")</f>
        <v>Print</v>
      </c>
      <c r="E199" s="1543"/>
      <c r="F199" s="1543"/>
      <c r="G199" s="1543"/>
      <c r="H199" s="1543"/>
      <c r="I199" s="1543"/>
      <c r="J199" s="1543"/>
      <c r="K199" s="1543"/>
      <c r="L199" s="1543"/>
    </row>
    <row r="200" spans="1:12" ht="38.25" customHeight="1" x14ac:dyDescent="0.25">
      <c r="A200" s="401" t="str">
        <f>IF('Non TB - Note 1'!F77=1,"Print","Do Not Print")</f>
        <v>Print</v>
      </c>
      <c r="E200" s="1704" t="str">
        <f>IF('Non TB - Note 1'!F77=1,'Non TB - Note 1'!H77,"")</f>
        <v xml:space="preserve">Inventories are included in the Balance Sheet at the lower of cost and net realisable value.  The cost of inventories is assigned using the [FIFO/weighted average] costing formula.
</v>
      </c>
      <c r="F200" s="1704"/>
      <c r="G200" s="1704"/>
      <c r="H200" s="1704"/>
      <c r="I200" s="1704"/>
      <c r="J200" s="1704"/>
      <c r="K200" s="1704"/>
      <c r="L200" s="1704"/>
    </row>
    <row r="201" spans="1:12" ht="12.75" customHeight="1" x14ac:dyDescent="0.25">
      <c r="A201" s="401" t="str">
        <f>IF(A200="Print","Print","Do Not Print")</f>
        <v>Print</v>
      </c>
      <c r="E201" s="1704"/>
      <c r="F201" s="1704"/>
      <c r="G201" s="1704"/>
      <c r="H201" s="1704"/>
      <c r="I201" s="1704"/>
      <c r="J201" s="1704"/>
      <c r="K201" s="1704"/>
      <c r="L201" s="1704"/>
    </row>
    <row r="202" spans="1:12" ht="55.05" customHeight="1" x14ac:dyDescent="0.25">
      <c r="A202" s="401" t="str">
        <f>IF('Non TB - Note 1'!F78=1,"Print","Do Not Print")</f>
        <v>Print</v>
      </c>
      <c r="E202" s="1504" t="str">
        <f>IF('Non TB - Note 1'!F78=1,'Non TB - Note 1'!H78,"")</f>
        <v>Long-term contracts are accounted for on the basis of charging the Surplus or Deficit on the Provision of Services with the consideration allocated to the performance obligations satisfied based on the goods or services transferred to the service recipient during the financial year.</v>
      </c>
      <c r="F202" s="1504"/>
      <c r="G202" s="1504"/>
      <c r="H202" s="1504"/>
      <c r="I202" s="1504"/>
      <c r="J202" s="1504"/>
      <c r="K202" s="1504"/>
      <c r="L202" s="1504"/>
    </row>
    <row r="203" spans="1:12" x14ac:dyDescent="0.25">
      <c r="A203" s="401" t="str">
        <f>IF(A202="Print","Print","Do Not Print")</f>
        <v>Print</v>
      </c>
      <c r="E203" s="1716"/>
      <c r="F203" s="1716"/>
      <c r="G203" s="1716"/>
      <c r="H203" s="1716"/>
      <c r="I203" s="1716"/>
      <c r="J203" s="1716"/>
      <c r="K203" s="1716"/>
      <c r="L203" s="1716"/>
    </row>
    <row r="204" spans="1:12" ht="29.1" customHeight="1" x14ac:dyDescent="0.25">
      <c r="A204" s="401" t="str">
        <f>IF('Non TB - Note 1'!F79=1,"Print","Do Not Print")</f>
        <v>Print</v>
      </c>
      <c r="E204" s="1504" t="str">
        <f>IF('Non TB - Note 1'!F79=1,'Non TB - Note 1'!H79,"")</f>
        <v>[Additional policy detail required where a Council has acquired material balances of inventories for less than their fair value.]</v>
      </c>
      <c r="F204" s="1504"/>
      <c r="G204" s="1504"/>
      <c r="H204" s="1504"/>
      <c r="I204" s="1504"/>
      <c r="J204" s="1504"/>
      <c r="K204" s="1504"/>
      <c r="L204" s="1504"/>
    </row>
    <row r="205" spans="1:12" x14ac:dyDescent="0.25">
      <c r="A205" s="401" t="str">
        <f>IF(A204="Print","Print","Do Not Print")</f>
        <v>Print</v>
      </c>
      <c r="E205" s="1704"/>
      <c r="F205" s="1704"/>
      <c r="G205" s="1704"/>
      <c r="H205" s="1704"/>
      <c r="I205" s="1704"/>
      <c r="J205" s="1704"/>
      <c r="K205" s="1704"/>
      <c r="L205" s="1704"/>
    </row>
    <row r="206" spans="1:12" ht="51" customHeight="1" x14ac:dyDescent="0.25">
      <c r="A206" s="401" t="str">
        <f>IF('Non TB - Note 1'!F80=1,"Print","Do Not Print")</f>
        <v>Print</v>
      </c>
      <c r="E206" s="1704" t="str">
        <f>IF('Non TB - Note 1'!F80=1,'Non TB - Note 1'!H80,"")</f>
        <v>[Additional policy detail required where a Council has acquired material balances of inventories that are held for distribution at no charge or for a nominal charge, or consumption in the production process of goods to be distributed at no charge or for a nominal charge.]</v>
      </c>
      <c r="F206" s="1704"/>
      <c r="G206" s="1704"/>
      <c r="H206" s="1704"/>
      <c r="I206" s="1704"/>
      <c r="J206" s="1704"/>
      <c r="K206" s="1704"/>
      <c r="L206" s="1704"/>
    </row>
    <row r="207" spans="1:12" x14ac:dyDescent="0.25">
      <c r="A207" s="401" t="str">
        <f>IF(A205="Print","Print","Do Not Print")</f>
        <v>Print</v>
      </c>
      <c r="E207" s="1704"/>
      <c r="F207" s="1704"/>
      <c r="G207" s="1704"/>
      <c r="H207" s="1704"/>
      <c r="I207" s="1704"/>
      <c r="J207" s="1704"/>
      <c r="K207" s="1704"/>
      <c r="L207" s="1704"/>
    </row>
    <row r="208" spans="1:12" ht="13.5" customHeight="1" x14ac:dyDescent="0.25">
      <c r="A208" s="401" t="str">
        <f>IF('Non TB - Note 1'!F81=1,"Print","Do Not Print")</f>
        <v>Print</v>
      </c>
      <c r="C208" s="402" t="str">
        <f>+Checklist!E27</f>
        <v>xvi)</v>
      </c>
      <c r="E208" s="1543" t="str">
        <f>IF('Non TB - Note 1'!F81=1,'Non TB - Note 1'!D81,"")</f>
        <v>Investment Property</v>
      </c>
      <c r="F208" s="1543"/>
      <c r="G208" s="1543"/>
      <c r="H208" s="1543"/>
      <c r="I208" s="1543"/>
      <c r="J208" s="1543"/>
      <c r="K208" s="1543"/>
      <c r="L208" s="1543"/>
    </row>
    <row r="209" spans="1:12" ht="13.5" customHeight="1" x14ac:dyDescent="0.25">
      <c r="A209" s="401" t="str">
        <f>IF(A208="Print","Print","Do Not Print")</f>
        <v>Print</v>
      </c>
      <c r="E209" s="1543"/>
      <c r="F209" s="1543"/>
      <c r="G209" s="1543"/>
      <c r="H209" s="1543"/>
      <c r="I209" s="1543"/>
      <c r="J209" s="1543"/>
      <c r="K209" s="1543"/>
      <c r="L209" s="1543"/>
    </row>
    <row r="210" spans="1:12" ht="42" customHeight="1" x14ac:dyDescent="0.25">
      <c r="A210" s="401" t="str">
        <f>IF('Non TB - Note 1'!F81=1,"Print","Do Not Print")</f>
        <v>Print</v>
      </c>
      <c r="E210" s="1704" t="str">
        <f>IF('Non TB - Note 1'!F81=1,'Non TB - Note 1'!H81,"")</f>
        <v xml:space="preserve">Investment properties are those that are used solely to earn rentals and/or for capital appreciation.  The definition is not met if the property is used in any way to facilitate the delivery of services or production of goods or is held for sale.
</v>
      </c>
      <c r="F210" s="1704"/>
      <c r="G210" s="1704"/>
      <c r="H210" s="1704"/>
      <c r="I210" s="1704"/>
      <c r="J210" s="1704"/>
      <c r="K210" s="1704"/>
      <c r="L210" s="1704"/>
    </row>
    <row r="211" spans="1:12" ht="13.5" customHeight="1" x14ac:dyDescent="0.25">
      <c r="A211" s="401" t="str">
        <f>IF(A210="Print","Print","Do Not Print")</f>
        <v>Print</v>
      </c>
      <c r="E211" s="1708"/>
      <c r="F211" s="1708"/>
      <c r="G211" s="1708"/>
      <c r="H211" s="1708"/>
      <c r="I211" s="1708"/>
      <c r="J211" s="1708"/>
      <c r="K211" s="1708"/>
      <c r="L211" s="1708"/>
    </row>
    <row r="212" spans="1:12" ht="98.25" customHeight="1" x14ac:dyDescent="0.25">
      <c r="A212" s="401" t="str">
        <f>IF('Non TB - Note 1'!F82=1,"Print","Do Not Print")</f>
        <v>Print</v>
      </c>
      <c r="E212" s="1704" t="str">
        <f>IF('Non TB - Note 1'!F82=1,'Non TB - Note 1'!H82,"")</f>
        <v>Investment properties are measured initially at cost and subsequently at fair value, being the price that would be received to sell such an asset in an orderly transaction between market participants at the measureable date.  As a non-financial asset, investment properties are measured at highest and best use.  Properties are not depreciated but are revalued annually according to market conditions at the year-end.  Gains and losses on revaluation are posted to the Financing and Investment Income and Expenditure line in the Comprehensive Income and Expenditure Statement.  The same treatment is applied to gains and losses on disposal.</v>
      </c>
      <c r="F212" s="1704"/>
      <c r="G212" s="1704"/>
      <c r="H212" s="1704"/>
      <c r="I212" s="1704"/>
      <c r="J212" s="1704"/>
      <c r="K212" s="1704"/>
      <c r="L212" s="1704"/>
    </row>
    <row r="213" spans="1:12" ht="13.5" customHeight="1" x14ac:dyDescent="0.25">
      <c r="A213" s="401" t="str">
        <f>IF(A212="Print","Print","Do Not Print")</f>
        <v>Print</v>
      </c>
      <c r="E213" s="1708"/>
      <c r="F213" s="1708"/>
      <c r="G213" s="1708"/>
      <c r="H213" s="1708"/>
      <c r="I213" s="1708"/>
      <c r="J213" s="1708"/>
      <c r="K213" s="1708"/>
      <c r="L213" s="1708"/>
    </row>
    <row r="214" spans="1:12" ht="86.25" customHeight="1" x14ac:dyDescent="0.25">
      <c r="A214" s="401" t="str">
        <f>IF('Non TB - Note 1'!F83=1,"Print","Do Not Print")</f>
        <v>Print</v>
      </c>
      <c r="E214" s="1704" t="str">
        <f>IF('Non TB - Note 1'!F83=1,'Non TB - Note 1'!H83,"")</f>
        <v>Rentals received in relation to investment properties are credited to the Financing and Investment Income line in the Comprehensive Income and Expenditure Statement and result in a gain for the General Fund Balance.  However, revaluation and disposal gains and losses are not permitted by statutory arrangements to have an impact on the General Fund Balance.  The gains and losses are therefore reversed out of the General Fund Balance in the Movement in Reserves Statement and posted to the Capital Adjustment Account and the Capital Receipts Reserve.</v>
      </c>
      <c r="F214" s="1704"/>
      <c r="G214" s="1704"/>
      <c r="H214" s="1704"/>
      <c r="I214" s="1704"/>
      <c r="J214" s="1704"/>
      <c r="K214" s="1704"/>
      <c r="L214" s="1704"/>
    </row>
    <row r="215" spans="1:12" ht="13.5" customHeight="1" x14ac:dyDescent="0.25">
      <c r="A215" s="401" t="str">
        <f>IF(A214="Print","Print","Do Not Print")</f>
        <v>Print</v>
      </c>
      <c r="E215" s="1704"/>
      <c r="F215" s="1704"/>
      <c r="G215" s="1704"/>
      <c r="H215" s="1704"/>
      <c r="I215" s="1704"/>
      <c r="J215" s="1704"/>
      <c r="K215" s="1704"/>
      <c r="L215" s="1704"/>
    </row>
    <row r="216" spans="1:12" ht="13.5" customHeight="1" x14ac:dyDescent="0.25">
      <c r="A216" s="401" t="str">
        <f>IF('Non TB - Note 1'!F84=1,"Print","Do Not Print")</f>
        <v>Print</v>
      </c>
      <c r="C216" s="402" t="str">
        <f>+Checklist!E28</f>
        <v>xvii)</v>
      </c>
      <c r="E216" s="1543" t="str">
        <f>IF('Non TB - Note 1'!F84=1,'Non TB - Note 1'!D84,"")</f>
        <v>Landfill Allowance Scheme</v>
      </c>
      <c r="F216" s="1543"/>
      <c r="G216" s="1543"/>
      <c r="H216" s="1543"/>
      <c r="I216" s="1543"/>
      <c r="J216" s="1543"/>
      <c r="K216" s="1543"/>
      <c r="L216" s="1543"/>
    </row>
    <row r="217" spans="1:12" x14ac:dyDescent="0.25">
      <c r="A217" s="401" t="str">
        <f>IF(A216="Print","Print","Do Not Print")</f>
        <v>Print</v>
      </c>
      <c r="E217" s="1543"/>
      <c r="F217" s="1543"/>
      <c r="G217" s="1543"/>
      <c r="H217" s="1543"/>
      <c r="I217" s="1543"/>
      <c r="J217" s="1543"/>
      <c r="K217" s="1543"/>
      <c r="L217" s="1543"/>
    </row>
    <row r="218" spans="1:12" ht="74.25" customHeight="1" x14ac:dyDescent="0.25">
      <c r="A218" s="401" t="str">
        <f>IF('Non TB - Note 1'!F84=1,"Print","Do Not Print")</f>
        <v>Print</v>
      </c>
      <c r="E218" s="1504" t="str">
        <f>IF('Non TB - Note 1'!F84=1,'Non TB - Note 1'!H84,"")</f>
        <v>The Landfill Allowances Scheme operates under the Landfill Allowances Scheme (Northern Ireland) Regulations 2005.  Local Authorities are allocated annual target figures for the maximum amount of biodegradable municipal waste that can be sent to landfill but there are no tradable allowances.  It is not a ‘cap and trade’ scheme since landfill allowances are not tradable.  For this reason, landfill allowances are not recognised as assets on the Balance Sheet.</v>
      </c>
      <c r="F218" s="1504"/>
      <c r="G218" s="1504"/>
      <c r="H218" s="1504"/>
      <c r="I218" s="1504"/>
      <c r="J218" s="1504"/>
      <c r="K218" s="1504"/>
      <c r="L218" s="1504"/>
    </row>
    <row r="219" spans="1:12" x14ac:dyDescent="0.25">
      <c r="A219" s="401" t="str">
        <f>IF(A218="Print","Print","Do Not Print")</f>
        <v>Print</v>
      </c>
      <c r="E219" s="1708"/>
      <c r="F219" s="1708"/>
      <c r="G219" s="1708"/>
      <c r="H219" s="1708"/>
      <c r="I219" s="1708"/>
      <c r="J219" s="1708"/>
      <c r="K219" s="1708"/>
      <c r="L219" s="1708"/>
    </row>
    <row r="220" spans="1:12" ht="13.5" customHeight="1" x14ac:dyDescent="0.25">
      <c r="A220" s="401" t="str">
        <f>IF('Non TB - Note 1'!F85=1,"Print","Do Not Print")</f>
        <v>Print</v>
      </c>
      <c r="C220" s="402" t="str">
        <f>+Checklist!E29</f>
        <v>xviii)</v>
      </c>
      <c r="E220" s="1543" t="str">
        <f>IF('Non TB - Note 1'!F85=1,'Non TB - Note 1'!D85,"")</f>
        <v xml:space="preserve">Leases </v>
      </c>
      <c r="F220" s="1543"/>
      <c r="G220" s="1543"/>
      <c r="H220" s="1543"/>
      <c r="I220" s="1543"/>
      <c r="J220" s="1543"/>
      <c r="K220" s="1543"/>
      <c r="L220" s="1543"/>
    </row>
    <row r="221" spans="1:12" x14ac:dyDescent="0.25">
      <c r="A221" s="401" t="str">
        <f>IF(A220="Print","Print","Do Not Print")</f>
        <v>Print</v>
      </c>
      <c r="E221" s="1543"/>
      <c r="F221" s="1543"/>
      <c r="G221" s="1543"/>
      <c r="H221" s="1543"/>
      <c r="I221" s="1543"/>
      <c r="J221" s="1543"/>
      <c r="K221" s="1543"/>
      <c r="L221" s="1543"/>
    </row>
    <row r="222" spans="1:12" ht="43.5" customHeight="1" x14ac:dyDescent="0.25">
      <c r="A222" s="401" t="str">
        <f>IF('Non TB - Note 1'!F85=1,"Print","Do Not Print")</f>
        <v>Print</v>
      </c>
      <c r="E222" s="1504" t="str">
        <f>IF('Non TB - Note 1'!F85=1,'Non TB - Note 1'!H85,"")</f>
        <v>Leases are classified as leases where the terms of the lease transfer substantially all the risks and rewards incidental to ownership of the property, plant or equipment from the lessor to the lessee.  All other leases are classified as operating leases.
.</v>
      </c>
      <c r="F222" s="1504"/>
      <c r="G222" s="1504"/>
      <c r="H222" s="1504"/>
      <c r="I222" s="1504"/>
      <c r="J222" s="1504"/>
      <c r="K222" s="1504"/>
      <c r="L222" s="1504"/>
    </row>
    <row r="223" spans="1:12" x14ac:dyDescent="0.25">
      <c r="A223" s="401" t="str">
        <f>IF(A222="Print","Print","Do Not Print")</f>
        <v>Print</v>
      </c>
      <c r="E223" s="1542"/>
      <c r="F223" s="1542"/>
      <c r="G223" s="1542"/>
      <c r="H223" s="1542"/>
      <c r="I223" s="1542"/>
      <c r="J223" s="1542"/>
      <c r="K223" s="1542"/>
      <c r="L223" s="1542"/>
    </row>
    <row r="224" spans="1:12" ht="27" customHeight="1" x14ac:dyDescent="0.25">
      <c r="A224" s="401" t="str">
        <f>IF('Non TB - Note 1'!F86=1,"Print","Do Not Print")</f>
        <v>Print</v>
      </c>
      <c r="E224" s="1504" t="str">
        <f>IF('Non TB - Note 1'!F86=1,'Non TB - Note 1'!H86,"")</f>
        <v>Where a lease covers both land and buildings, the land and buildings elements are considered separately for classification.</v>
      </c>
      <c r="F224" s="1504"/>
      <c r="G224" s="1504"/>
      <c r="H224" s="1504"/>
      <c r="I224" s="1504"/>
      <c r="J224" s="1504"/>
      <c r="K224" s="1504"/>
      <c r="L224" s="1504"/>
    </row>
    <row r="225" spans="1:12" x14ac:dyDescent="0.25">
      <c r="A225" s="401" t="str">
        <f>IF(A224="Print","Print","Do Not Print")</f>
        <v>Print</v>
      </c>
      <c r="E225" s="1542"/>
      <c r="F225" s="1542"/>
      <c r="G225" s="1542"/>
      <c r="H225" s="1542"/>
      <c r="I225" s="1542"/>
      <c r="J225" s="1542"/>
      <c r="K225" s="1542"/>
      <c r="L225" s="1542"/>
    </row>
    <row r="226" spans="1:12" ht="41.1" customHeight="1" x14ac:dyDescent="0.25">
      <c r="A226" s="401" t="str">
        <f>IF('Non TB - Note 1'!F87=1,"Print","Do Not Print")</f>
        <v>Print</v>
      </c>
      <c r="E226" s="1504" t="str">
        <f>IF('Non TB - Note 1'!F87=1,'Non TB - Note 1'!H87,"")</f>
        <v>Arrangements that do not have the legal status of a lease but convey a right to use an asset in return for payment are accounted for under this policy where fulfilment of the arrangement is dependent on the use of specific assets</v>
      </c>
      <c r="F226" s="1504"/>
      <c r="G226" s="1504"/>
      <c r="H226" s="1504"/>
      <c r="I226" s="1504"/>
      <c r="J226" s="1504"/>
      <c r="K226" s="1504"/>
      <c r="L226" s="1504"/>
    </row>
    <row r="227" spans="1:12" x14ac:dyDescent="0.25">
      <c r="A227" s="401" t="str">
        <f>IF(A226="Print","Print","Do Not Print")</f>
        <v>Print</v>
      </c>
      <c r="E227" s="1711"/>
      <c r="F227" s="1711"/>
      <c r="G227" s="1711"/>
      <c r="H227" s="1711"/>
      <c r="I227" s="1711"/>
      <c r="J227" s="1711"/>
      <c r="K227" s="1711"/>
      <c r="L227" s="1711"/>
    </row>
    <row r="228" spans="1:12" x14ac:dyDescent="0.25">
      <c r="A228" s="401" t="str">
        <f>IF('Non TB - Note 1'!F88=1,"Print","Do Not Print")</f>
        <v>Print</v>
      </c>
      <c r="E228" s="1541" t="str">
        <f>IF('Non TB - Note 1'!F88=1,'Non TB - Note 1'!E88,"")</f>
        <v>The Council as Lessee - lease</v>
      </c>
      <c r="F228" s="1541"/>
      <c r="G228" s="1541"/>
      <c r="H228" s="1541"/>
      <c r="I228" s="1541"/>
      <c r="J228" s="1541"/>
      <c r="K228" s="1541"/>
      <c r="L228" s="1541"/>
    </row>
    <row r="229" spans="1:12" x14ac:dyDescent="0.25">
      <c r="A229" s="401" t="str">
        <f>IF(A228="Print","Print","Do Not Print")</f>
        <v>Print</v>
      </c>
      <c r="E229" s="1712"/>
      <c r="F229" s="1712"/>
      <c r="G229" s="1712"/>
      <c r="H229" s="1712"/>
      <c r="I229" s="1712"/>
      <c r="J229" s="1712"/>
      <c r="K229" s="1712"/>
      <c r="L229" s="1712"/>
    </row>
    <row r="230" spans="1:12" ht="86.25" customHeight="1" x14ac:dyDescent="0.25">
      <c r="A230" s="401" t="str">
        <f>IF('Non TB - Note 1'!F88=1,"Print","Do Not Print")</f>
        <v>Print</v>
      </c>
      <c r="E230" s="1704" t="str">
        <f>IF('Non TB - Note 1'!F88=1,'Non TB - Note 1'!H88,"")</f>
        <v>Property, plant and equipment held under leases is recognised on the Balance Sheet at the commencement of the lease at its fair value measured at the lease’s inception (or the present value of the minimum lease payments, if lower).  The asset recognised is matched by a liability for the obligation to pay the lessor.  Initial direct costs of the Council are added to the carrying amount of the asset.  Premiums paid on entry into a lease are applied to writing down the lease liability.  Contingent rents are charged as expenses in the periods in which they are incurred.</v>
      </c>
      <c r="F230" s="1704"/>
      <c r="G230" s="1704"/>
      <c r="H230" s="1704"/>
      <c r="I230" s="1704"/>
      <c r="J230" s="1704"/>
      <c r="K230" s="1704"/>
      <c r="L230" s="1704"/>
    </row>
    <row r="231" spans="1:12" x14ac:dyDescent="0.25">
      <c r="A231" s="401" t="str">
        <f>IF(A230="Print","Print","Do Not Print")</f>
        <v>Print</v>
      </c>
      <c r="E231" s="1708"/>
      <c r="F231" s="1708"/>
      <c r="G231" s="1708"/>
      <c r="H231" s="1708"/>
      <c r="I231" s="1708"/>
      <c r="J231" s="1708"/>
      <c r="K231" s="1708"/>
      <c r="L231" s="1708"/>
    </row>
    <row r="232" spans="1:12" ht="67.05" customHeight="1" x14ac:dyDescent="0.25">
      <c r="A232" s="401" t="str">
        <f>IF('Non TB - Note 1'!F89=1,"Print","Do Not Print")</f>
        <v>Print</v>
      </c>
      <c r="E232" s="1704" t="str">
        <f>IF('Non TB - Note 1'!F89=1,'Non TB - Note 1'!H89,"")</f>
        <v>Lease payments are apportioned between:
a. a charge for the acquisition of the interest in the property,plant or equipment – applied to write down the lease liability, and
b. a finance charge (debited to the Financing and Investment Income and Expenditure line in the Comprehensive Income and Expenditure Statement)</v>
      </c>
      <c r="F232" s="1704"/>
      <c r="G232" s="1704"/>
      <c r="H232" s="1704"/>
      <c r="I232" s="1704"/>
      <c r="J232" s="1704"/>
      <c r="K232" s="1704"/>
      <c r="L232" s="1704"/>
    </row>
    <row r="233" spans="1:12" x14ac:dyDescent="0.25">
      <c r="A233" s="401" t="str">
        <f>IF(A232="Print","Print","Do Not Print")</f>
        <v>Print</v>
      </c>
      <c r="E233" s="1704"/>
      <c r="F233" s="1704"/>
      <c r="G233" s="1704"/>
      <c r="H233" s="1704"/>
      <c r="I233" s="1704"/>
      <c r="J233" s="1704"/>
      <c r="K233" s="1704"/>
      <c r="L233" s="1704"/>
    </row>
    <row r="234" spans="1:12" ht="55.5" customHeight="1" x14ac:dyDescent="0.25">
      <c r="A234" s="401" t="str">
        <f>IF('Non TB - Note 1'!F90=1,"Print","Do Not Print")</f>
        <v>Print</v>
      </c>
      <c r="E234" s="1704" t="str">
        <f>IF('Non TB - Note 1'!F90=1,'Non TB - Note 1'!H90,"")</f>
        <v>Property, Plant and Equipment recognised under leases is accounted for using the policies applied generally to such assets, subject to depreciation being charged over the lease term if this is shorter than the asset’s estimated useful life (where ownership of the asset does not transfer to the Council at the end of the lease period).</v>
      </c>
      <c r="F234" s="1704"/>
      <c r="G234" s="1704"/>
      <c r="H234" s="1704"/>
      <c r="I234" s="1704"/>
      <c r="J234" s="1704"/>
      <c r="K234" s="1704"/>
      <c r="L234" s="1704"/>
    </row>
    <row r="235" spans="1:12" ht="12.75" customHeight="1" x14ac:dyDescent="0.25">
      <c r="A235" s="401" t="str">
        <f>IF(A234="Print","Print","Do Not Print")</f>
        <v>Print</v>
      </c>
      <c r="E235" s="1704"/>
      <c r="F235" s="1704"/>
      <c r="G235" s="1704"/>
      <c r="H235" s="1704"/>
      <c r="I235" s="1704"/>
      <c r="J235" s="1704"/>
      <c r="K235" s="1704"/>
      <c r="L235" s="1704"/>
    </row>
    <row r="236" spans="1:12" ht="91.5" customHeight="1" x14ac:dyDescent="0.25">
      <c r="A236" s="401" t="str">
        <f>IF('Non TB - Note 1'!F91=1,"Print","Do Not Print")</f>
        <v>Print</v>
      </c>
      <c r="E236" s="1704" t="str">
        <f>IF('Non TB - Note 1'!F91=1,'Non TB - Note 1'!H91,"")</f>
        <v>The Council is not required to raise district rates to cover depreciation or revaluation and impairment losses arising on leased assets.  Instead, a prudent annual contribution is made from revenue towards the deemed capital investment in accordance with statutory requirements.  Depreciation and revaluation and impairment losses are therefore substituted by a revenue contribution in the General Fund Balance, by way of an adjusting transaction with the Capital Adjustment Account in the Movement in Reserves Statement for the difference between the two.</v>
      </c>
      <c r="F236" s="1704"/>
      <c r="G236" s="1704"/>
      <c r="H236" s="1704"/>
      <c r="I236" s="1704"/>
      <c r="J236" s="1704"/>
      <c r="K236" s="1704"/>
      <c r="L236" s="1704"/>
    </row>
    <row r="237" spans="1:12" ht="12.75" customHeight="1" x14ac:dyDescent="0.25">
      <c r="A237" s="401" t="str">
        <f>IF(A236="Print","Print","Do Not Print")</f>
        <v>Print</v>
      </c>
      <c r="E237" s="1704"/>
      <c r="F237" s="1704"/>
      <c r="G237" s="1704"/>
      <c r="H237" s="1704"/>
      <c r="I237" s="1704"/>
      <c r="J237" s="1704"/>
      <c r="K237" s="1704"/>
      <c r="L237" s="1704"/>
    </row>
    <row r="238" spans="1:12" x14ac:dyDescent="0.25">
      <c r="A238" s="401" t="str">
        <f>IF('Non TB - Note 1'!F92=1,"Print","Do Not Print")</f>
        <v>Print</v>
      </c>
      <c r="E238" s="1706" t="s">
        <v>514</v>
      </c>
      <c r="F238" s="1706"/>
      <c r="G238" s="1706"/>
      <c r="H238" s="1706"/>
      <c r="I238" s="1706"/>
      <c r="J238" s="1706"/>
      <c r="K238" s="1706"/>
      <c r="L238" s="1706"/>
    </row>
    <row r="239" spans="1:12" x14ac:dyDescent="0.25">
      <c r="A239" s="401" t="str">
        <f>IF(A238="Print","Print","Do Not Print")</f>
        <v>Print</v>
      </c>
      <c r="E239" s="1710"/>
      <c r="F239" s="1710"/>
      <c r="G239" s="1710"/>
      <c r="H239" s="1710"/>
      <c r="I239" s="1710"/>
      <c r="J239" s="1710"/>
      <c r="K239" s="1710"/>
      <c r="L239" s="1710"/>
    </row>
    <row r="240" spans="1:12" ht="69" customHeight="1" x14ac:dyDescent="0.25">
      <c r="A240" s="401" t="str">
        <f>IF('Non TB - Note 1'!F92=1,"Print","Do Not Print")</f>
        <v>Print</v>
      </c>
      <c r="E240" s="1704" t="str">
        <f>IF('Non TB - Note 1'!F92=1,'Non TB - Note 1'!H92,"")</f>
        <v>Rentals paid under operating leases are charged to the Comprehensive Income and Expenditure Statement as an expense of the services benefiting from use of the leased property, plant or equipment.  Charges are made on a straight-line basis over the life of the lease, even if this does not match the pattern of payments (e.g. there is a rent-free period at the commencement of the lease).</v>
      </c>
      <c r="F240" s="1704"/>
      <c r="G240" s="1704"/>
      <c r="H240" s="1704"/>
      <c r="I240" s="1704"/>
      <c r="J240" s="1704"/>
      <c r="K240" s="1704"/>
      <c r="L240" s="1704"/>
    </row>
    <row r="241" spans="1:21" x14ac:dyDescent="0.25">
      <c r="A241" s="401" t="str">
        <f>IF(A240="Print","Print","Do Not Print")</f>
        <v>Print</v>
      </c>
      <c r="E241" s="1704"/>
      <c r="F241" s="1704"/>
      <c r="G241" s="1704"/>
      <c r="H241" s="1704"/>
      <c r="I241" s="1704"/>
      <c r="J241" s="1704"/>
      <c r="K241" s="1704"/>
      <c r="L241" s="1704"/>
    </row>
    <row r="242" spans="1:21" x14ac:dyDescent="0.25">
      <c r="A242" s="401" t="str">
        <f>IF('Non TB - Note 1'!F93=1,"Print","Do Not Print")</f>
        <v>Print</v>
      </c>
      <c r="E242" s="1541" t="str">
        <f>IF('Non TB - Note 1'!F93=1,'Non TB - Note 1'!E93,"")</f>
        <v>The Council as Lessor - lease</v>
      </c>
      <c r="F242" s="1541"/>
      <c r="G242" s="1541"/>
      <c r="H242" s="1541"/>
      <c r="I242" s="1541"/>
      <c r="J242" s="1541"/>
      <c r="K242" s="1541"/>
      <c r="L242" s="1541"/>
    </row>
    <row r="243" spans="1:21" x14ac:dyDescent="0.25">
      <c r="A243" s="401" t="str">
        <f>IF(A242="Print","Print","Do Not Print")</f>
        <v>Print</v>
      </c>
      <c r="E243" s="1715"/>
      <c r="F243" s="1715"/>
      <c r="G243" s="1715"/>
      <c r="H243" s="1715"/>
      <c r="I243" s="1715"/>
      <c r="J243" s="1715"/>
      <c r="K243" s="1715"/>
      <c r="L243" s="1715"/>
    </row>
    <row r="244" spans="1:21" ht="131.1" customHeight="1" x14ac:dyDescent="0.25">
      <c r="A244" s="401" t="str">
        <f>IF('Non TB - Note 1'!F93=1,"Print","Do Not Print")</f>
        <v>Print</v>
      </c>
      <c r="E244" s="1704" t="str">
        <f>IF('Non TB - Note 1'!F93=1,'Non TB - Note 1'!H93,"")</f>
        <v xml:space="preserve">Where the Council grants a lease over a property or an item of plant or equipment, the relevant asset is written out of the Balance Sheet as a disposal. At the commencement of the lease, the carrying amount of the asset in the Balance Sheet (whether Property, Plant and Equipment or Assets Held for Sale) is written off to the Other Operating Expenditure line in the Comprehensive Income and Expenditure Statement as part of the gain or loss on disposal.  A gain, representing the Council’s net investment in the lease, is credited to the same line in the Comprehensive Income and Expenditure Statement also as part of the gain or loss on disposal (i.e. netted off against the carrying value of the asset at the time of disposal), matched by a lease asset (long term debtor) in the Balance Sheet. </v>
      </c>
      <c r="F244" s="1704"/>
      <c r="G244" s="1704"/>
      <c r="H244" s="1704"/>
      <c r="I244" s="1704"/>
      <c r="J244" s="1704"/>
      <c r="K244" s="1704"/>
      <c r="L244" s="1704"/>
    </row>
    <row r="245" spans="1:21" ht="12.75" customHeight="1" x14ac:dyDescent="0.25">
      <c r="A245" s="401" t="str">
        <f>IF(A244="Print","Print","Do Not Print")</f>
        <v>Print</v>
      </c>
      <c r="E245" s="1704"/>
      <c r="F245" s="1704"/>
      <c r="G245" s="1704"/>
      <c r="H245" s="1704"/>
      <c r="I245" s="1704"/>
      <c r="J245" s="1704"/>
      <c r="K245" s="1704"/>
      <c r="L245" s="1704"/>
    </row>
    <row r="246" spans="1:21" ht="72" customHeight="1" x14ac:dyDescent="0.25">
      <c r="A246" s="401" t="str">
        <f>IF('Non TB - Note 1'!F94=1,"Print","Do Not Print")</f>
        <v>Print</v>
      </c>
      <c r="E246" s="1704" t="str">
        <f>IF('Non TB - Note 1'!F94=1,'Non TB - Note 1'!H94,"")</f>
        <v>Lease rentals receivable are apportioned between:
a. a charge for the acquisition of the interest in the property – applied to write down the lease debtor together with any premiums received, and
b. finance income (credited to the Financing and Investment income and Expenditure line in the Comprehensive Income and Expenditure Statement).</v>
      </c>
      <c r="F246" s="1704"/>
      <c r="G246" s="1704"/>
      <c r="H246" s="1704"/>
      <c r="I246" s="1704"/>
      <c r="J246" s="1704"/>
      <c r="K246" s="1704"/>
      <c r="L246" s="1704"/>
    </row>
    <row r="247" spans="1:21" x14ac:dyDescent="0.25">
      <c r="A247" s="401" t="str">
        <f>IF(A246="Print","Print","Do Not Print")</f>
        <v>Print</v>
      </c>
      <c r="E247" s="1704"/>
      <c r="F247" s="1704"/>
      <c r="G247" s="1704"/>
      <c r="H247" s="1704"/>
      <c r="I247" s="1704"/>
      <c r="J247" s="1704"/>
      <c r="K247" s="1704"/>
      <c r="L247" s="1704"/>
      <c r="N247" s="407"/>
      <c r="O247" s="408"/>
      <c r="P247" s="408"/>
      <c r="Q247" s="408"/>
      <c r="R247" s="408"/>
      <c r="S247" s="408"/>
      <c r="T247" s="408"/>
      <c r="U247" s="408"/>
    </row>
    <row r="248" spans="1:21" ht="129" customHeight="1" x14ac:dyDescent="0.25">
      <c r="A248" s="401" t="str">
        <f>IF('Non TB - Note 1'!F95=1,"Print","Do Not Print")</f>
        <v>Print</v>
      </c>
      <c r="E248" s="1704" t="str">
        <f>IF('Non TB - Note 1'!F95=1,'Non TB - Note 1'!H95,"")</f>
        <v>The gain credited to the Comprehensive Income and Expenditure Statement on disposal is not permitted by statute to increase the General Fund Balance and is required to be treated as a capital receipt.  Where a premium has been received, this is posted out of the General Fund Balance to the Capital Receipts Reserve in the Movement in Reserves Statement.  Where the amount due in relation to the lease asset is to be settled by the payment of rentals in future financial years, this is posted out of the General Fund Balance to the Deferred Capital Receipts Reserve in the Movement in Reserves Statement.  [When the future rentals are paid, the element for the capital receipt for the disposal of the asset is used to write down the lease debtor.  At this point, the deferred capital receipts are transferred to the Capital Receipts Reserve.]</v>
      </c>
      <c r="F248" s="1704"/>
      <c r="G248" s="1704"/>
      <c r="H248" s="1704"/>
      <c r="I248" s="1704"/>
      <c r="J248" s="1704"/>
      <c r="K248" s="1704"/>
      <c r="L248" s="1704"/>
    </row>
    <row r="249" spans="1:21" ht="12.75" customHeight="1" x14ac:dyDescent="0.25">
      <c r="A249" s="401" t="str">
        <f>IF(A248="Print","Print","Do Not Print")</f>
        <v>Print</v>
      </c>
      <c r="E249" s="1704"/>
      <c r="F249" s="1704"/>
      <c r="G249" s="1704"/>
      <c r="H249" s="1704"/>
      <c r="I249" s="1704"/>
      <c r="J249" s="1704"/>
      <c r="K249" s="1704"/>
      <c r="L249" s="1704"/>
    </row>
    <row r="250" spans="1:21" ht="54" customHeight="1" x14ac:dyDescent="0.25">
      <c r="A250" s="401" t="str">
        <f>IF('Non TB - Note 1'!F96=1,"Print","Do Not Print")</f>
        <v>Print</v>
      </c>
      <c r="E250" s="1704" t="str">
        <f>IF('Non TB - Note 1'!F96=1,'Non TB - Note 1'!H96,"")</f>
        <v>The written-off value of disposals is not a charge against District rates, as the cost of non-current assets is fully provided for under separate arrangements for capital financing.  Amounts are therefore appropriated to the Capital Adjustment Account from the General Fund Balance in the Movement in Reserves Statement.</v>
      </c>
      <c r="F250" s="1704"/>
      <c r="G250" s="1704"/>
      <c r="H250" s="1704"/>
      <c r="I250" s="1704"/>
      <c r="J250" s="1704"/>
      <c r="K250" s="1704"/>
      <c r="L250" s="1704"/>
    </row>
    <row r="251" spans="1:21" ht="12.75" customHeight="1" x14ac:dyDescent="0.25">
      <c r="A251" s="401" t="str">
        <f>IF(A250="Print","Print","Do Not Print")</f>
        <v>Print</v>
      </c>
      <c r="E251" s="1704"/>
      <c r="F251" s="1704"/>
      <c r="G251" s="1704"/>
      <c r="H251" s="1704"/>
      <c r="I251" s="1704"/>
      <c r="J251" s="1704"/>
      <c r="K251" s="1704"/>
      <c r="L251" s="1704"/>
    </row>
    <row r="252" spans="1:21" x14ac:dyDescent="0.25">
      <c r="A252" s="401" t="str">
        <f>IF('Non TB - Note 1'!F97=1,"Print","Do Not Print")</f>
        <v>Print</v>
      </c>
      <c r="E252" s="1710" t="str">
        <f>IF('Non TB - Note 1'!F97,'Non TB - Note 1'!E97,"")</f>
        <v>The Council as Lessor - Operating Lease</v>
      </c>
      <c r="F252" s="1710"/>
      <c r="G252" s="1710"/>
      <c r="H252" s="1710"/>
      <c r="I252" s="1710"/>
      <c r="J252" s="1710"/>
      <c r="K252" s="1710"/>
      <c r="L252" s="1710"/>
    </row>
    <row r="253" spans="1:21" x14ac:dyDescent="0.25">
      <c r="A253" s="401" t="str">
        <f>IF(A252="Print","Print","Do Not Print")</f>
        <v>Print</v>
      </c>
      <c r="E253" s="1710"/>
      <c r="F253" s="1710"/>
      <c r="G253" s="1710"/>
      <c r="H253" s="1710"/>
      <c r="I253" s="1710"/>
      <c r="J253" s="1710"/>
      <c r="K253" s="1710"/>
      <c r="L253" s="1710"/>
    </row>
    <row r="254" spans="1:21" ht="107.1" customHeight="1" x14ac:dyDescent="0.25">
      <c r="A254" s="401" t="str">
        <f>IF('Non TB - Note 1'!F97=1,"Print","Do Not Print")</f>
        <v>Print</v>
      </c>
      <c r="E254" s="1704" t="str">
        <f>IF('Non TB - Note 1'!F97=1,'Non TB - Note 1'!H97,"")</f>
        <v xml:space="preserve">Where the Council grants an operating lease over a property or an item of plant or equipment, the asset is retained in the Balance Sheet.  Rental income is credited to the Other Operating Expenditure line in the Comprehensive Income and Expenditure Statement.  Credits are made on a straight-line basis over the life of the lease, even if this does not match the pattern of payments (e.g. there is a premium paid at the commencement of the lease).  Initial direct costs incurred in negotiating and arranging the lease are added to the carrying amount of the relevant asset and charged as an expense over the lease term on the same basis as rental income.
</v>
      </c>
      <c r="F254" s="1704"/>
      <c r="G254" s="1704"/>
      <c r="H254" s="1704"/>
      <c r="I254" s="1704"/>
      <c r="J254" s="1704"/>
      <c r="K254" s="1704"/>
      <c r="L254" s="1704"/>
    </row>
    <row r="255" spans="1:21" x14ac:dyDescent="0.25">
      <c r="A255" s="401" t="str">
        <f>IF(A254="Print","Print","Do Not Print")</f>
        <v>Print</v>
      </c>
      <c r="E255" s="1704"/>
      <c r="F255" s="1704"/>
      <c r="G255" s="1704"/>
      <c r="H255" s="1704"/>
      <c r="I255" s="1704"/>
      <c r="J255" s="1704"/>
      <c r="K255" s="1704"/>
      <c r="L255" s="1704"/>
    </row>
    <row r="256" spans="1:21" ht="29.1" customHeight="1" x14ac:dyDescent="0.25">
      <c r="A256" s="401" t="str">
        <f>IF('Non TB - Note 1'!F98=1,"Print","Do Not Print")</f>
        <v>Print</v>
      </c>
      <c r="E256" s="1504" t="str">
        <f>IF('Non TB - Note 1'!F98=1,'Non TB - Note 1'!H98,"")</f>
        <v>Additional Policy details are required where a Council has material sale and leaseback assets.</v>
      </c>
      <c r="F256" s="1504"/>
      <c r="G256" s="1504"/>
      <c r="H256" s="1504"/>
      <c r="I256" s="1504"/>
      <c r="J256" s="1504"/>
      <c r="K256" s="1504"/>
      <c r="L256" s="1504"/>
    </row>
    <row r="257" spans="1:12" ht="13.5" customHeight="1" x14ac:dyDescent="0.25">
      <c r="A257" s="401" t="str">
        <f>IF(A256="Print","Print","Do Not Print")</f>
        <v>Print</v>
      </c>
      <c r="E257" s="1704"/>
      <c r="F257" s="1704"/>
      <c r="G257" s="1704"/>
      <c r="H257" s="1704"/>
      <c r="I257" s="1704"/>
      <c r="J257" s="1704"/>
      <c r="K257" s="1704"/>
      <c r="L257" s="1704"/>
    </row>
    <row r="258" spans="1:12" ht="13.5" customHeight="1" x14ac:dyDescent="0.25">
      <c r="A258" s="401" t="str">
        <f>IF('Non TB - Note 1'!F99=1,"Print","Do Not Print")</f>
        <v>Print</v>
      </c>
      <c r="C258" s="402" t="str">
        <f>+Checklist!E30</f>
        <v>xix)</v>
      </c>
      <c r="E258" s="1543" t="str">
        <f>IF('Non TB - Note 1'!F99=1,'Non TB - Note 1'!E99,"")</f>
        <v xml:space="preserve">Disposals and Non-Current Assets Held for Sale </v>
      </c>
      <c r="F258" s="1543"/>
      <c r="G258" s="1543"/>
      <c r="H258" s="1543"/>
      <c r="I258" s="1543"/>
      <c r="J258" s="1543"/>
      <c r="K258" s="1543"/>
      <c r="L258" s="1543"/>
    </row>
    <row r="259" spans="1:12" x14ac:dyDescent="0.25">
      <c r="A259" s="401" t="str">
        <f>IF(A258="Print","Print","Do Not Print")</f>
        <v>Print</v>
      </c>
      <c r="E259" s="1543"/>
      <c r="F259" s="1543"/>
      <c r="G259" s="1543"/>
      <c r="H259" s="1543"/>
      <c r="I259" s="1543"/>
      <c r="J259" s="1543"/>
      <c r="K259" s="1543"/>
      <c r="L259" s="1543"/>
    </row>
    <row r="260" spans="1:12" ht="117" customHeight="1" x14ac:dyDescent="0.25">
      <c r="A260" s="401" t="str">
        <f>IF('Non TB - Note 1'!F99=1,"Print","Do Not Print")</f>
        <v>Print</v>
      </c>
      <c r="E260" s="1704" t="str">
        <f>IF('Non TB - Note 1'!F99=1,'Non TB - Note 1'!H99,"")</f>
        <v xml:space="preserve">When it becomes probable that the carrying amount of an asset will be recovered principally through a sale transaction rather than through its continuing use, it is reclassified as an Asset Held for Sale.  The asset is revalued immediately before reclassification and then carried at the lower of this amount and fair value less costs to sell.  Where there is a subsequent decrease to fair value less costs to sell, the loss is posted to the Other Operating Expenditure line in the Comprehensive Income and Expenditure Statement.  Gains in fair value are recognised only up to the amount of any previously recognised losses in the Surplus or Deficit on the Provision of Services.  Depreciation is not charged on Assets Held for Sale. 
</v>
      </c>
      <c r="F260" s="1704"/>
      <c r="G260" s="1704"/>
      <c r="H260" s="1704"/>
      <c r="I260" s="1704"/>
      <c r="J260" s="1704"/>
      <c r="K260" s="1704"/>
      <c r="L260" s="1704"/>
    </row>
    <row r="261" spans="1:12" x14ac:dyDescent="0.25">
      <c r="A261" s="401" t="str">
        <f>IF(A260="Print","Print","Do Not Print")</f>
        <v>Print</v>
      </c>
      <c r="E261" s="1704"/>
      <c r="F261" s="1704"/>
      <c r="G261" s="1704"/>
      <c r="H261" s="1704"/>
      <c r="I261" s="1704"/>
      <c r="J261" s="1704"/>
      <c r="K261" s="1704"/>
      <c r="L261" s="1704"/>
    </row>
    <row r="262" spans="1:12" ht="69.599999999999994" customHeight="1" x14ac:dyDescent="0.25">
      <c r="A262" s="401" t="str">
        <f>IF('Non TB - Note 1'!F100=1,"Print","Do Not Print")</f>
        <v>Print</v>
      </c>
      <c r="E262" s="1704" t="str">
        <f>IF('Non TB - Note 1'!F100=1,'Non TB - Note 1'!H100,"")</f>
        <v xml:space="preserve">If assets no longer meet the criteria to be classified as assets held for sale, they are reclassified back to non-current assets and valued at the lower of its carrying amount before they were classified as held for sale: adjusted for depreciation, amortisation or revaluations that would have been recognised had they not been classified as held for sale, and their recoverable amount at the date of the decision not to sell. </v>
      </c>
      <c r="F262" s="1704"/>
      <c r="G262" s="1704"/>
      <c r="H262" s="1704"/>
      <c r="I262" s="1704"/>
      <c r="J262" s="1704"/>
      <c r="K262" s="1704"/>
      <c r="L262" s="1704"/>
    </row>
    <row r="263" spans="1:12" x14ac:dyDescent="0.25">
      <c r="A263" s="401" t="str">
        <f>IF(A262="Print","Print","Do Not Print")</f>
        <v>Print</v>
      </c>
      <c r="E263" s="1704"/>
      <c r="F263" s="1704"/>
      <c r="G263" s="1704"/>
      <c r="H263" s="1704"/>
      <c r="I263" s="1704"/>
      <c r="J263" s="1704"/>
      <c r="K263" s="1704"/>
      <c r="L263" s="1704"/>
    </row>
    <row r="264" spans="1:12" ht="26.1" customHeight="1" x14ac:dyDescent="0.25">
      <c r="A264" s="401" t="str">
        <f>IF('Non TB - Note 1'!F101=1,"Print","Do Not Print")</f>
        <v>Print</v>
      </c>
      <c r="E264" s="1504" t="str">
        <f>IF('Non TB - Note 1'!F101=1,'Non TB - Note 1'!H101,"")</f>
        <v>Additional policy detail required where a Council is carrying a disposal group as an Asset Held for Sale.</v>
      </c>
      <c r="F264" s="1504"/>
      <c r="G264" s="1504"/>
      <c r="H264" s="1504"/>
      <c r="I264" s="1504"/>
      <c r="J264" s="1504"/>
      <c r="K264" s="1504"/>
      <c r="L264" s="1504"/>
    </row>
    <row r="265" spans="1:12" ht="13.5" customHeight="1" x14ac:dyDescent="0.25">
      <c r="A265" s="401" t="str">
        <f>IF(A264="Print","Print","Do Not Print")</f>
        <v>Print</v>
      </c>
      <c r="E265" s="1716"/>
      <c r="F265" s="1716"/>
      <c r="G265" s="1716"/>
      <c r="H265" s="1716"/>
      <c r="I265" s="1716"/>
      <c r="J265" s="1716"/>
      <c r="K265" s="1716"/>
      <c r="L265" s="1716"/>
    </row>
    <row r="266" spans="1:12" ht="13.05" customHeight="1" x14ac:dyDescent="0.25">
      <c r="A266" s="401" t="str">
        <f>IF('Non TB - Note 1'!F102=1,"Print","Do Not Print")</f>
        <v>Print</v>
      </c>
      <c r="E266" s="1704" t="str">
        <f>IF('Non TB - Note 1'!F102=1,'Non TB - Note 1'!H102,"")</f>
        <v>Assets that are to be abandoned or scrapped are not reclassified as assets held for sale.</v>
      </c>
      <c r="F266" s="1704"/>
      <c r="G266" s="1704"/>
      <c r="H266" s="1704"/>
      <c r="I266" s="1704"/>
      <c r="J266" s="1704"/>
      <c r="K266" s="1704"/>
      <c r="L266" s="1704"/>
    </row>
    <row r="267" spans="1:12" x14ac:dyDescent="0.25">
      <c r="A267" s="401" t="str">
        <f>IF(A266="Print","Print","Do Not Print")</f>
        <v>Print</v>
      </c>
      <c r="E267" s="1708"/>
      <c r="F267" s="1708"/>
      <c r="G267" s="1708"/>
      <c r="H267" s="1708"/>
      <c r="I267" s="1708"/>
      <c r="J267" s="1708"/>
      <c r="K267" s="1708"/>
      <c r="L267" s="1708"/>
    </row>
    <row r="268" spans="1:12" ht="110.25" customHeight="1" x14ac:dyDescent="0.25">
      <c r="A268" s="401" t="str">
        <f>IF('Non TB - Note 1'!F103=1,"Print","Do Not Print")</f>
        <v>Print</v>
      </c>
      <c r="E268" s="1704" t="str">
        <f>IF('Non TB - Note 1'!F103=1,'Non TB - Note 1'!H103,"")</f>
        <v>When an asset is disposed of, or decommissioned, the carrying amount of the asset in the Balance Sheet (whether property, plant and equipment or assets held for sale) is written off to the Other Operating Expenditure line in the Comprehensive Income and Expenditure Statement as part of the gain or loss on disposal.  Receipts from disposals (if any) are credited to the same line in the Comprehensive Income and Expenditure Statement also as part of the gain or loss on disposal (i.e. netted off against the carrying value of the asset at the time of disposal).  Any revaluation gains accumulated for the asset in the Revaluation Reserve are transferred to the Capital Adjustment Account.</v>
      </c>
      <c r="F268" s="1704"/>
      <c r="G268" s="1704"/>
      <c r="H268" s="1704"/>
      <c r="I268" s="1704"/>
      <c r="J268" s="1704"/>
      <c r="K268" s="1704"/>
      <c r="L268" s="1704"/>
    </row>
    <row r="269" spans="1:12" ht="12.75" customHeight="1" x14ac:dyDescent="0.25">
      <c r="A269" s="401" t="str">
        <f>IF(A268="Print","Print","Do Not Print")</f>
        <v>Print</v>
      </c>
      <c r="E269" s="1704"/>
      <c r="F269" s="1704"/>
      <c r="G269" s="1704"/>
      <c r="H269" s="1704"/>
      <c r="I269" s="1704"/>
      <c r="J269" s="1704"/>
      <c r="K269" s="1704"/>
      <c r="L269" s="1704"/>
    </row>
    <row r="270" spans="1:12" ht="40.5" customHeight="1" x14ac:dyDescent="0.25">
      <c r="A270" s="401" t="str">
        <f>IF('Non TB - Note 1'!F104=1,"Print","Do Not Print")</f>
        <v>Print</v>
      </c>
      <c r="E270" s="1704" t="str">
        <f>IF('Non TB - Note 1'!F104=1,'Non TB - Note 1'!H104,"")</f>
        <v xml:space="preserve">Amounts received for a disposal are categorised as capital receipts and credited to the Capital Receipts Reserve. Receipts are appropriated to the Reserve from the General Fund Balance in the Movement in Reserves Statement.  </v>
      </c>
      <c r="F270" s="1704"/>
      <c r="G270" s="1704"/>
      <c r="H270" s="1704"/>
      <c r="I270" s="1704"/>
      <c r="J270" s="1704"/>
      <c r="K270" s="1704"/>
      <c r="L270" s="1704"/>
    </row>
    <row r="271" spans="1:12" ht="12.75" customHeight="1" x14ac:dyDescent="0.25">
      <c r="A271" s="401" t="str">
        <f>IF(A270="Print","Print","Do Not Print")</f>
        <v>Print</v>
      </c>
      <c r="E271" s="1704"/>
      <c r="F271" s="1704"/>
      <c r="G271" s="1704"/>
      <c r="H271" s="1704"/>
      <c r="I271" s="1704"/>
      <c r="J271" s="1704"/>
      <c r="K271" s="1704"/>
      <c r="L271" s="1704"/>
    </row>
    <row r="272" spans="1:12" ht="57.75" customHeight="1" x14ac:dyDescent="0.25">
      <c r="A272" s="401" t="str">
        <f>IF('Non TB - Note 1'!F105=1,"Print","Do Not Print")</f>
        <v>Print</v>
      </c>
      <c r="E272" s="1704" t="str">
        <f>IF('Non TB - Note 1'!F105=1,'Non TB - Note 1'!H105,"")</f>
        <v>The written-off value of disposals is not a charge against district rates, as the cost of non-current assets is fully provided for under separate arrangements for capital financing.  Amounts are appropriated to the Capital Adjustment Account from the General Fund Balance in the Movement in Reserves Statement.</v>
      </c>
      <c r="F272" s="1704"/>
      <c r="G272" s="1704"/>
      <c r="H272" s="1704"/>
      <c r="I272" s="1704"/>
      <c r="J272" s="1704"/>
      <c r="K272" s="1704"/>
      <c r="L272" s="1704"/>
    </row>
    <row r="273" spans="1:12" x14ac:dyDescent="0.25">
      <c r="A273" s="401" t="str">
        <f>IF(A272="Print","Print","Do Not Print")</f>
        <v>Print</v>
      </c>
      <c r="E273" s="1704"/>
      <c r="F273" s="1704"/>
      <c r="G273" s="1704"/>
      <c r="H273" s="1704"/>
      <c r="I273" s="1704"/>
      <c r="J273" s="1704"/>
      <c r="K273" s="1704"/>
      <c r="L273" s="1704"/>
    </row>
    <row r="274" spans="1:12" ht="13.5" customHeight="1" x14ac:dyDescent="0.25">
      <c r="A274" s="401" t="str">
        <f>IF('Non TB - Note 1'!F106=1,"Print","Do Not Print")</f>
        <v>Print</v>
      </c>
      <c r="C274" s="402" t="str">
        <f>+Checklist!E31</f>
        <v>xx)</v>
      </c>
      <c r="E274" s="1543" t="str">
        <f>IF('Non TB - Note 1'!F106=1,'Non TB - Note 1'!E106,"")</f>
        <v>Overheads and Support Services</v>
      </c>
      <c r="F274" s="1543"/>
      <c r="G274" s="1543"/>
      <c r="H274" s="1543"/>
      <c r="I274" s="1543"/>
      <c r="J274" s="1543"/>
      <c r="K274" s="1543"/>
      <c r="L274" s="1543"/>
    </row>
    <row r="275" spans="1:12" x14ac:dyDescent="0.25">
      <c r="A275" s="401" t="str">
        <f>IF(A274="Print","Print","Do Not Print")</f>
        <v>Print</v>
      </c>
      <c r="E275" s="1543"/>
      <c r="F275" s="1543"/>
      <c r="G275" s="1543"/>
      <c r="H275" s="1543"/>
      <c r="I275" s="1543"/>
      <c r="J275" s="1543"/>
      <c r="K275" s="1543"/>
      <c r="L275" s="1543"/>
    </row>
    <row r="276" spans="1:12" ht="39.75" customHeight="1" x14ac:dyDescent="0.25">
      <c r="A276" s="401" t="str">
        <f>IF('Non TB - Note 1'!F106=1,"Print","Do Not Print")</f>
        <v>Print</v>
      </c>
      <c r="E276" s="1704" t="str">
        <f>IF('Non TB - Note 1'!F106=1,'Non TB - Note 1'!H106,"")</f>
        <v>The costs of overheads and support services are charged to service segments in accordance with the Council's arrangements for accountability and financial performance.</v>
      </c>
      <c r="F276" s="1704"/>
      <c r="G276" s="1704"/>
      <c r="H276" s="1704"/>
      <c r="I276" s="1704"/>
      <c r="J276" s="1704"/>
      <c r="K276" s="1704"/>
      <c r="L276" s="1704"/>
    </row>
    <row r="277" spans="1:12" x14ac:dyDescent="0.25">
      <c r="A277" s="401" t="str">
        <f>IF(A276="Print","Print","Do Not Print")</f>
        <v>Print</v>
      </c>
      <c r="E277" s="1704"/>
      <c r="F277" s="1704"/>
      <c r="G277" s="1704"/>
      <c r="H277" s="1704"/>
      <c r="I277" s="1704"/>
      <c r="J277" s="1704"/>
      <c r="K277" s="1704"/>
      <c r="L277" s="1704"/>
    </row>
    <row r="278" spans="1:12" ht="13.5" customHeight="1" x14ac:dyDescent="0.25">
      <c r="A278" s="401" t="str">
        <f>IF('Non TB - Note 1'!F107=1,"Print","Do Not Print")</f>
        <v>Print</v>
      </c>
      <c r="C278" s="402" t="str">
        <f>+Checklist!E32</f>
        <v>xxi)</v>
      </c>
      <c r="E278" s="1543" t="str">
        <f>IF('Non TB - Note 1'!F107=1,'Non TB - Note 1'!D107,"")</f>
        <v>Property, Plant and Equipment</v>
      </c>
      <c r="F278" s="1543"/>
      <c r="G278" s="1543"/>
      <c r="H278" s="1543"/>
      <c r="I278" s="1543"/>
      <c r="J278" s="1543"/>
      <c r="K278" s="1543"/>
      <c r="L278" s="1543"/>
    </row>
    <row r="279" spans="1:12" x14ac:dyDescent="0.25">
      <c r="A279" s="401" t="str">
        <f>IF(A278="Print","Print","Do Not Print")</f>
        <v>Print</v>
      </c>
      <c r="E279" s="1543"/>
      <c r="F279" s="1543"/>
      <c r="G279" s="1543"/>
      <c r="H279" s="1543"/>
      <c r="I279" s="1543"/>
      <c r="J279" s="1543"/>
      <c r="K279" s="1543"/>
      <c r="L279" s="1543"/>
    </row>
    <row r="280" spans="1:12" ht="51.75" customHeight="1" x14ac:dyDescent="0.25">
      <c r="A280" s="401" t="str">
        <f>IF('Non TB - Note 1'!F107=1,"Print","Do Not Print")</f>
        <v>Print</v>
      </c>
      <c r="E280" s="1704" t="str">
        <f>IF('Non TB - Note 1'!F107=1,'Non TB - Note 1'!H107,"")</f>
        <v>Assets that have physical substance and are held for use in the production or supply of goods or services, for rental to others, or for administrative purposes and that are expected to be used during more than one financial year are classified as Property, Plant and Equipment.</v>
      </c>
      <c r="F280" s="1704"/>
      <c r="G280" s="1704"/>
      <c r="H280" s="1704"/>
      <c r="I280" s="1704"/>
      <c r="J280" s="1704"/>
      <c r="K280" s="1704"/>
      <c r="L280" s="1704"/>
    </row>
    <row r="281" spans="1:12" x14ac:dyDescent="0.25">
      <c r="A281" s="401" t="str">
        <f>IF(A280="Print","Print","Do Not Print")</f>
        <v>Print</v>
      </c>
      <c r="E281" s="1708"/>
      <c r="F281" s="1708"/>
      <c r="G281" s="1708"/>
      <c r="H281" s="1708"/>
      <c r="I281" s="1708"/>
      <c r="J281" s="1708"/>
      <c r="K281" s="1708"/>
      <c r="L281" s="1708"/>
    </row>
    <row r="282" spans="1:12" x14ac:dyDescent="0.25">
      <c r="A282" s="401" t="str">
        <f>IF(A281="Print","Print","Do Not Print")</f>
        <v>Print</v>
      </c>
      <c r="E282" s="1709" t="str">
        <f>IF('Non TB - Note 1'!F108=1,'Non TB - Note 1'!E108,"")</f>
        <v>Recognition</v>
      </c>
      <c r="F282" s="1709"/>
      <c r="G282" s="1709"/>
      <c r="H282" s="1709"/>
      <c r="I282" s="1709"/>
      <c r="J282" s="1709"/>
      <c r="K282" s="1709"/>
      <c r="L282" s="1709"/>
    </row>
    <row r="283" spans="1:12" x14ac:dyDescent="0.25">
      <c r="A283" s="401" t="str">
        <f>IF(A282="Print","Print","Do Not Print")</f>
        <v>Print</v>
      </c>
      <c r="E283" s="1710"/>
      <c r="F283" s="1710"/>
      <c r="G283" s="1710"/>
      <c r="H283" s="1710"/>
      <c r="I283" s="1710"/>
      <c r="J283" s="1710"/>
      <c r="K283" s="1710"/>
      <c r="L283" s="1710"/>
    </row>
    <row r="284" spans="1:12" ht="81.75" customHeight="1" x14ac:dyDescent="0.25">
      <c r="A284" s="401" t="str">
        <f>IF('Non TB - Note 1'!F108=1,"Print","Do Not Print")</f>
        <v>Print</v>
      </c>
      <c r="E284" s="1704" t="str">
        <f>IF('Non TB - Note 1'!F108=1,'Non TB - Note 1'!H108,"")</f>
        <v>Expenditure on the acquisition, creation or enhancement of property, plant and equipment is capitalised on an accruals basis, provided that it is probable that the future economic benefits or service potential associated with the item will flow to the Council and the cost of the item can be measured reliably.  Expenditure that maintains but does not add to an asset’s potential to deliver future economic benefits or service potential (i.e. repairs and maintenance) is charged as an expense when it is incurred.</v>
      </c>
      <c r="F284" s="1704"/>
      <c r="G284" s="1704"/>
      <c r="H284" s="1704"/>
      <c r="I284" s="1704"/>
      <c r="J284" s="1704"/>
      <c r="K284" s="1704"/>
      <c r="L284" s="1704"/>
    </row>
    <row r="285" spans="1:12" x14ac:dyDescent="0.25">
      <c r="A285" s="401" t="str">
        <f>IF(A284="Print","Print","Do Not Print")</f>
        <v>Print</v>
      </c>
      <c r="E285" s="1708"/>
      <c r="F285" s="1708"/>
      <c r="G285" s="1708"/>
      <c r="H285" s="1708"/>
      <c r="I285" s="1708"/>
      <c r="J285" s="1708"/>
      <c r="K285" s="1708"/>
      <c r="L285" s="1708"/>
    </row>
    <row r="286" spans="1:12" x14ac:dyDescent="0.25">
      <c r="A286" s="401" t="str">
        <f>IF('Non TB - Note 1'!F109=1,"Print","Do Not Print")</f>
        <v>Print</v>
      </c>
      <c r="E286" s="1709" t="str">
        <f>IF('Non TB - Note 1'!F109=1,'Non TB - Note 1'!E109,"")</f>
        <v>Measurement</v>
      </c>
      <c r="F286" s="1709"/>
      <c r="G286" s="1709"/>
      <c r="H286" s="1709"/>
      <c r="I286" s="1709"/>
      <c r="J286" s="1709"/>
      <c r="K286" s="1709"/>
      <c r="L286" s="1709"/>
    </row>
    <row r="287" spans="1:12" x14ac:dyDescent="0.25">
      <c r="A287" s="401" t="str">
        <f>IF(A286="Print","Print","Do Not Print")</f>
        <v>Print</v>
      </c>
      <c r="E287" s="1709"/>
      <c r="F287" s="1709"/>
      <c r="G287" s="1709"/>
      <c r="H287" s="1709"/>
      <c r="I287" s="1709"/>
      <c r="J287" s="1709"/>
      <c r="K287" s="1709"/>
      <c r="L287" s="1709"/>
    </row>
    <row r="288" spans="1:12" ht="80.099999999999994" customHeight="1" x14ac:dyDescent="0.25">
      <c r="A288" s="401" t="str">
        <f>IF('Non TB - Note 1'!F109=1,"Print","Do Not Print")</f>
        <v>Print</v>
      </c>
      <c r="E288" s="1704" t="str">
        <f>IF('Non TB - Note 1'!F109=1,'Non TB - Note 1'!H109,"")</f>
        <v xml:space="preserve">Assets are initially measured at cost, comprising: 
a. the purchase price
b. any costs attributable to bringing the asset to the location and condition necessary for it to be capable of operating in the manner intended by management
c. the initial estimate of the costs of dismantling and removing the item and restoring the site on which it is located
</v>
      </c>
      <c r="F288" s="1704"/>
      <c r="G288" s="1704"/>
      <c r="H288" s="1704"/>
      <c r="I288" s="1704"/>
      <c r="J288" s="1704"/>
      <c r="K288" s="1704"/>
      <c r="L288" s="1704"/>
    </row>
    <row r="289" spans="1:12" x14ac:dyDescent="0.25">
      <c r="A289" s="401" t="str">
        <f>IF(A288="Print","Print","Do Not Print")</f>
        <v>Print</v>
      </c>
      <c r="E289" s="1704"/>
      <c r="F289" s="1704"/>
      <c r="G289" s="1704"/>
      <c r="H289" s="1704"/>
      <c r="I289" s="1704"/>
      <c r="J289" s="1704"/>
      <c r="K289" s="1704"/>
      <c r="L289" s="1704"/>
    </row>
    <row r="290" spans="1:12" ht="30" customHeight="1" x14ac:dyDescent="0.25">
      <c r="A290" s="401" t="str">
        <f>IF('Non TB - Note 1'!F110=1,"Print","Do Not Print")</f>
        <v>Print</v>
      </c>
      <c r="E290" s="1704" t="str">
        <f>IF('Non TB - Note 1'!F110=1,'Non TB - Note 1'!H110,"")</f>
        <v>The Council does not capitalise borrowing costs incurred whilst assets are under construction.</v>
      </c>
      <c r="F290" s="1704"/>
      <c r="G290" s="1704"/>
      <c r="H290" s="1704"/>
      <c r="I290" s="1704"/>
      <c r="J290" s="1704"/>
      <c r="K290" s="1704"/>
      <c r="L290" s="1704"/>
    </row>
    <row r="291" spans="1:12" x14ac:dyDescent="0.25">
      <c r="A291" s="401" t="str">
        <f>IF(A290="Print","Print","Do Not Print")</f>
        <v>Print</v>
      </c>
      <c r="E291" s="1708"/>
      <c r="F291" s="1708"/>
      <c r="G291" s="1708"/>
      <c r="H291" s="1708"/>
      <c r="I291" s="1708"/>
      <c r="J291" s="1708"/>
      <c r="K291" s="1708"/>
      <c r="L291" s="1708"/>
    </row>
    <row r="292" spans="1:12" ht="54" customHeight="1" x14ac:dyDescent="0.25">
      <c r="A292" s="401" t="str">
        <f>IF('Non TB - Note 1'!F111=1,"Print","Do Not Print")</f>
        <v>Print</v>
      </c>
      <c r="E292" s="1704" t="str">
        <f>IF('Non TB - Note 1'!F111=1,'Non TB - Note 1'!H111,"")</f>
        <v>The cost of assets acquired other than by purchase is deemed to be its fair value, unless the acquisition does not have commercial substance (i.e. it will not lead to a variation in the cash flows of the Council). In the latter case, where an asset is acquired via an exchange, the cost of the acquisition is the carrying amount of the asset given up by the Council.</v>
      </c>
      <c r="F292" s="1704"/>
      <c r="G292" s="1704"/>
      <c r="H292" s="1704"/>
      <c r="I292" s="1704"/>
      <c r="J292" s="1704"/>
      <c r="K292" s="1704"/>
      <c r="L292" s="1704"/>
    </row>
    <row r="293" spans="1:12" ht="12.75" customHeight="1" x14ac:dyDescent="0.25">
      <c r="A293" s="401" t="str">
        <f>IF(A292="Print","Print","Do Not Print")</f>
        <v>Print</v>
      </c>
      <c r="E293" s="1704"/>
      <c r="F293" s="1704"/>
      <c r="G293" s="1704"/>
      <c r="H293" s="1704"/>
      <c r="I293" s="1704"/>
      <c r="J293" s="1704"/>
      <c r="K293" s="1704"/>
      <c r="L293" s="1704"/>
    </row>
    <row r="294" spans="1:12" ht="99.75" customHeight="1" x14ac:dyDescent="0.25">
      <c r="A294" s="401" t="str">
        <f>IF('Non TB - Note 1'!F112=1,"Print","Do Not Print")</f>
        <v>Print</v>
      </c>
      <c r="E294" s="1704" t="str">
        <f>IF('Non TB - Note 1'!F112=1,'Non TB - Note 1'!H112,"")</f>
        <v>Donated assets are measured initially at fair value.  The difference between fair value and any consideration paid is credited to the Taxation and Non-Specific Grant Income line of the Comprehensive Income and Expenditure Statement, unless the donation has been made conditionally.  Until conditions are satisfied, the gain is held in the Donated Assets Account. Where gains are credited to the Comprehensive Income and Expenditure Statement, they are reversed out of the General Fund Balance to the Capital Adjustment Account in the Movement in Reserves Statement.</v>
      </c>
      <c r="F294" s="1704"/>
      <c r="G294" s="1704"/>
      <c r="H294" s="1704"/>
      <c r="I294" s="1704"/>
      <c r="J294" s="1704"/>
      <c r="K294" s="1704"/>
      <c r="L294" s="1704"/>
    </row>
    <row r="295" spans="1:12" ht="12.75" customHeight="1" x14ac:dyDescent="0.25">
      <c r="A295" s="401" t="str">
        <f>IF(A294="Print","Print","Do Not Print")</f>
        <v>Print</v>
      </c>
      <c r="E295" s="1704"/>
      <c r="F295" s="1704"/>
      <c r="G295" s="1704"/>
      <c r="H295" s="1704"/>
      <c r="I295" s="1704"/>
      <c r="J295" s="1704"/>
      <c r="K295" s="1704"/>
      <c r="L295" s="1704"/>
    </row>
    <row r="296" spans="1:12" ht="107.1" customHeight="1" x14ac:dyDescent="0.25">
      <c r="A296" s="401" t="str">
        <f>IF('Non TB - Note 1'!F113=1,"Print","Do Not Print")</f>
        <v>Print</v>
      </c>
      <c r="E296" s="1704" t="str">
        <f>IF('Non TB - Note 1'!F113=1,'Non TB - Note 1'!H113,"")</f>
        <v xml:space="preserve">Assets are then carried in the Balance Sheet using the following measurement bases:
 - infrastructure, community assets and assets under construction – depreciated historical cost
- surplus assets - the current value measurement base is fair value, estimated at highest and best use from a market participant's perspective
 - all other assets – fair value, determined as the amount that would be paid for the asset in its existing use (existing use value – EUV)
</v>
      </c>
      <c r="F296" s="1704"/>
      <c r="G296" s="1704"/>
      <c r="H296" s="1704"/>
      <c r="I296" s="1704"/>
      <c r="J296" s="1704"/>
      <c r="K296" s="1704"/>
      <c r="L296" s="1704"/>
    </row>
    <row r="297" spans="1:12" x14ac:dyDescent="0.25">
      <c r="A297" s="401" t="str">
        <f>IF(A296="Print","Print","Do Not Print")</f>
        <v>Print</v>
      </c>
      <c r="E297" s="1704"/>
      <c r="F297" s="1704"/>
      <c r="G297" s="1704"/>
      <c r="H297" s="1704"/>
      <c r="I297" s="1704"/>
      <c r="J297" s="1704"/>
      <c r="K297" s="1704"/>
      <c r="L297" s="1704"/>
    </row>
    <row r="298" spans="1:12" ht="30.6" customHeight="1" x14ac:dyDescent="0.25">
      <c r="A298" s="401" t="str">
        <f>IF('Non TB - Note 1'!F114=1,"Print","Do Not Print")</f>
        <v>Print</v>
      </c>
      <c r="E298" s="1704" t="str">
        <f>IF('Non TB - Note 1'!F114=1,'Non TB - Note 1'!H114,"")</f>
        <v>Where there is no market-based evidence of fair value because of the specialist nature of an asset, depreciated replacement cost is used as an estimate of fair value.</v>
      </c>
      <c r="F298" s="1704"/>
      <c r="G298" s="1704"/>
      <c r="H298" s="1704"/>
      <c r="I298" s="1704"/>
      <c r="J298" s="1704"/>
      <c r="K298" s="1704"/>
      <c r="L298" s="1704"/>
    </row>
    <row r="299" spans="1:12" x14ac:dyDescent="0.25">
      <c r="A299" s="401" t="str">
        <f>IF(A298="Print","Print","Do Not Print")</f>
        <v>Print</v>
      </c>
      <c r="E299" s="1704"/>
      <c r="F299" s="1704"/>
      <c r="G299" s="1704"/>
      <c r="H299" s="1704"/>
      <c r="I299" s="1704"/>
      <c r="J299" s="1704"/>
      <c r="K299" s="1704"/>
      <c r="L299" s="1704"/>
    </row>
    <row r="300" spans="1:12" ht="84" customHeight="1" x14ac:dyDescent="0.25">
      <c r="A300" s="401" t="str">
        <f>IF('Non TB - Note 1'!F115=1,"Print","Do Not Print")</f>
        <v>Print</v>
      </c>
      <c r="E300" s="1704" t="str">
        <f>IF('Non TB - Note 1'!F115=1,'Non TB - Note 1'!H115,"")</f>
        <v>Assets included in the Balance Sheet at current value are revalued sufficiently regularly to ensure that their carrying amount is not materially different from their current value at the year-end, but as a minimum every five years.  Increases in valuations are matched by credits to the Revaluation Reserve to recognise unrealised gains.  [Exceptionally, gains might be credited to the Comprehensive Income and Expenditure Statement where they arise from the reversal of a loss previously charged to a service.]</v>
      </c>
      <c r="F300" s="1704"/>
      <c r="G300" s="1704"/>
      <c r="H300" s="1704"/>
      <c r="I300" s="1704"/>
      <c r="J300" s="1704"/>
      <c r="K300" s="1704"/>
      <c r="L300" s="1704"/>
    </row>
    <row r="301" spans="1:12" x14ac:dyDescent="0.25">
      <c r="A301" s="401" t="str">
        <f>IF(A300="Print","Print","Do Not Print")</f>
        <v>Print</v>
      </c>
      <c r="E301" s="1708"/>
      <c r="F301" s="1708"/>
      <c r="G301" s="1708"/>
      <c r="H301" s="1708"/>
      <c r="I301" s="1708"/>
      <c r="J301" s="1708"/>
      <c r="K301" s="1708"/>
      <c r="L301" s="1708"/>
    </row>
    <row r="302" spans="1:12" ht="43.5" customHeight="1" x14ac:dyDescent="0.25">
      <c r="A302" s="401" t="str">
        <f>IF('Non TB - Note 1'!F116=1,"Print","Do Not Print")</f>
        <v>Print</v>
      </c>
      <c r="E302" s="1704" t="str">
        <f>IF('Non TB - Note 1'!F116=1,'Non TB - Note 1'!H116,"")</f>
        <v>The Revaluation Reserve contains revaluation gains recognised since 1 April 2008 only, the date of its formal implementation.  Gains arising before that date have been consolidated into the Capital Adjustment Account.</v>
      </c>
      <c r="F302" s="1704"/>
      <c r="G302" s="1704"/>
      <c r="H302" s="1704"/>
      <c r="I302" s="1704"/>
      <c r="J302" s="1704"/>
      <c r="K302" s="1704"/>
      <c r="L302" s="1704"/>
    </row>
    <row r="303" spans="1:12" x14ac:dyDescent="0.25">
      <c r="A303" s="401" t="str">
        <f>IF(A302="Print","Print","Do Not Print")</f>
        <v>Print</v>
      </c>
      <c r="E303" s="1708"/>
      <c r="F303" s="1708"/>
      <c r="G303" s="1708"/>
      <c r="H303" s="1708"/>
      <c r="I303" s="1708"/>
      <c r="J303" s="1708"/>
      <c r="K303" s="1708"/>
      <c r="L303" s="1708"/>
    </row>
    <row r="304" spans="1:12" x14ac:dyDescent="0.25">
      <c r="A304" s="401" t="str">
        <f>IF('Non TB - Note 1'!F117=1,"Print","Do Not Print")</f>
        <v>Print</v>
      </c>
      <c r="E304" s="1709" t="str">
        <f>IF('Non TB - Note 1'!F117=1,'Non TB - Note 1'!E117,"")</f>
        <v>Impairment</v>
      </c>
      <c r="F304" s="1709"/>
      <c r="G304" s="1709"/>
      <c r="H304" s="1709"/>
      <c r="I304" s="1709"/>
      <c r="J304" s="1709"/>
      <c r="K304" s="1709"/>
      <c r="L304" s="1709"/>
    </row>
    <row r="305" spans="1:21" x14ac:dyDescent="0.25">
      <c r="A305" s="401" t="str">
        <f>IF(A304="Print","Print","Do Not Print")</f>
        <v>Print</v>
      </c>
      <c r="E305" s="1709"/>
      <c r="F305" s="1709"/>
      <c r="G305" s="1709"/>
      <c r="H305" s="1709"/>
      <c r="I305" s="1709"/>
      <c r="J305" s="1709"/>
      <c r="K305" s="1709"/>
      <c r="L305" s="1709"/>
    </row>
    <row r="306" spans="1:21" ht="58.5" customHeight="1" x14ac:dyDescent="0.25">
      <c r="A306" s="401" t="str">
        <f>IF('Non TB - Note 1'!F117=1,"Print","Do Not Print")</f>
        <v>Print</v>
      </c>
      <c r="E306" s="1704" t="str">
        <f>IF('Non TB - Note 1'!F117=1,'Non TB - Note 1'!H117,"")</f>
        <v xml:space="preserve">Assets are assessed at each year-end as to whether there is any indication that an asset may be impaired.  Where indications exist and any possible differences are estimated to be material, the recoverable amount of the asset is estimated and, where this is less than the carrying amount of the asset, an impairment loss is recognised for the shortfall.
</v>
      </c>
      <c r="F306" s="1704"/>
      <c r="G306" s="1704"/>
      <c r="H306" s="1704"/>
      <c r="I306" s="1704"/>
      <c r="J306" s="1704"/>
      <c r="K306" s="1704"/>
      <c r="L306" s="1704"/>
    </row>
    <row r="307" spans="1:21" ht="12.75" customHeight="1" x14ac:dyDescent="0.25">
      <c r="A307" s="401" t="str">
        <f>IF(A306="Print","Print","Do Not Print")</f>
        <v>Print</v>
      </c>
      <c r="E307" s="1704"/>
      <c r="F307" s="1704"/>
      <c r="G307" s="1704"/>
      <c r="H307" s="1704"/>
      <c r="I307" s="1704"/>
      <c r="J307" s="1704"/>
      <c r="K307" s="1704"/>
      <c r="L307" s="1704"/>
    </row>
    <row r="308" spans="1:21" ht="110.25" customHeight="1" x14ac:dyDescent="0.25">
      <c r="A308" s="401" t="str">
        <f>IF('Non TB - Note 1'!F118=1,"Print","Do Not Print")</f>
        <v>Print</v>
      </c>
      <c r="E308" s="1704" t="str">
        <f>IF('Non TB - Note 1'!F118=1,'Non TB - Note 1'!H118,"")</f>
        <v>Where impairment losses are identified, they are accounted for by:
a. where there is a balance of revaluation gains for the asset in the Revaluation Reserve, the carrying amount of the asset is written down against that balance (up to the amount of the accumulated gains),
b. where there is no balance in the Revaluation Reserve or an insufficient balance, the carrying amount of the asset is written down against the relevant service line(s) in the Comprehensive Income and Expenditure Statement.</v>
      </c>
      <c r="F308" s="1704"/>
      <c r="G308" s="1704"/>
      <c r="H308" s="1704"/>
      <c r="I308" s="1704"/>
      <c r="J308" s="1704"/>
      <c r="K308" s="1704"/>
      <c r="L308" s="1704"/>
    </row>
    <row r="309" spans="1:21" ht="12.75" customHeight="1" x14ac:dyDescent="0.25">
      <c r="A309" s="401" t="str">
        <f>IF(A308="Print","Print","Do Not Print")</f>
        <v>Print</v>
      </c>
      <c r="E309" s="1704"/>
      <c r="F309" s="1704"/>
      <c r="G309" s="1704"/>
      <c r="H309" s="1704"/>
      <c r="I309" s="1704"/>
      <c r="J309" s="1704"/>
      <c r="K309" s="1704"/>
      <c r="L309" s="1704"/>
      <c r="N309" s="407"/>
      <c r="O309" s="406"/>
      <c r="P309" s="406"/>
      <c r="Q309" s="406"/>
      <c r="R309" s="406"/>
      <c r="S309" s="406"/>
      <c r="T309" s="406"/>
      <c r="U309" s="406"/>
    </row>
    <row r="310" spans="1:21" ht="50.55" customHeight="1" x14ac:dyDescent="0.25">
      <c r="A310" s="401" t="str">
        <f>IF('Non TB - Note 1'!F119=1,"Print","Do Not Print")</f>
        <v>Print</v>
      </c>
      <c r="E310" s="1704" t="str">
        <f>IF('Non TB - Note 1'!F119=1,'Non TB - Note 1'!H119,"")</f>
        <v>Where an impairment loss is reversed subsequently, the reversal is credited to the relevant service line(s) in the Comprehensive Income and Expenditure Statement, up to the amount of the original loss, adjusted for depreciation that would have been charged if the loss had not been recognised.</v>
      </c>
      <c r="F310" s="1704"/>
      <c r="G310" s="1704"/>
      <c r="H310" s="1704"/>
      <c r="I310" s="1704"/>
      <c r="J310" s="1704"/>
      <c r="K310" s="1704"/>
      <c r="L310" s="1704"/>
    </row>
    <row r="311" spans="1:21" x14ac:dyDescent="0.25">
      <c r="A311" s="401" t="str">
        <f>IF(A310="Print","Print","Do Not Print")</f>
        <v>Print</v>
      </c>
      <c r="E311" s="1704"/>
      <c r="F311" s="1704"/>
      <c r="G311" s="1704"/>
      <c r="H311" s="1704"/>
      <c r="I311" s="1704"/>
      <c r="J311" s="1704"/>
      <c r="K311" s="1704"/>
      <c r="L311" s="1704"/>
    </row>
    <row r="312" spans="1:21" x14ac:dyDescent="0.25">
      <c r="A312" s="401" t="str">
        <f>IF('Non TB - Note 1'!F120=1,"Print","Do Not Print")</f>
        <v>Print</v>
      </c>
      <c r="E312" s="1709" t="str">
        <f>IF('Non TB - Note 1'!F120=1,'Non TB - Note 1'!E120,"")</f>
        <v>Depreciation</v>
      </c>
      <c r="F312" s="1709"/>
      <c r="G312" s="1709"/>
      <c r="H312" s="1709"/>
      <c r="I312" s="1709"/>
      <c r="J312" s="1709"/>
      <c r="K312" s="1709"/>
      <c r="L312" s="1709"/>
    </row>
    <row r="313" spans="1:21" x14ac:dyDescent="0.25">
      <c r="A313" s="401" t="str">
        <f>IF(A312="Print","Print","Do Not Print")</f>
        <v>Print</v>
      </c>
      <c r="E313" s="1709"/>
      <c r="F313" s="1709"/>
      <c r="G313" s="1709"/>
      <c r="H313" s="1709"/>
      <c r="I313" s="1709"/>
      <c r="J313" s="1709"/>
      <c r="K313" s="1709"/>
      <c r="L313" s="1709"/>
    </row>
    <row r="314" spans="1:21" ht="56.1" customHeight="1" x14ac:dyDescent="0.25">
      <c r="A314" s="401" t="str">
        <f>IF('Non TB - Note 1'!F120=1,"Print","Do Not Print")</f>
        <v>Print</v>
      </c>
      <c r="E314" s="1704" t="str">
        <f>IF('Non TB - Note 1'!F120=1,'Non TB - Note 1'!H120,"")</f>
        <v xml:space="preserve">Depreciation is provided for on all property, plant and equipment assets by the systematic allocation of their depreciable amounts over their useful lives.  An exception is made for assets without a determinable finite useful life (i.e. freehold land and certain Community Assets) and assets that are not yet available for use (i.e. assets under construction).
</v>
      </c>
      <c r="F314" s="1704"/>
      <c r="G314" s="1704"/>
      <c r="H314" s="1704"/>
      <c r="I314" s="1704"/>
      <c r="J314" s="1704"/>
      <c r="K314" s="1704"/>
      <c r="L314" s="1704"/>
    </row>
    <row r="315" spans="1:21" ht="12.75" customHeight="1" x14ac:dyDescent="0.25">
      <c r="A315" s="401" t="str">
        <f>IF(A314="Print","Print","Do Not Print")</f>
        <v>Print</v>
      </c>
      <c r="E315" s="1704"/>
      <c r="F315" s="1704"/>
      <c r="G315" s="1704"/>
      <c r="H315" s="1704"/>
      <c r="I315" s="1704"/>
      <c r="J315" s="1704"/>
      <c r="K315" s="1704"/>
      <c r="L315" s="1704"/>
    </row>
    <row r="316" spans="1:21" x14ac:dyDescent="0.25">
      <c r="A316" s="401" t="str">
        <f>IF('Non TB - Note 1'!F121=1,"Print","Do Not Print")</f>
        <v>Print</v>
      </c>
      <c r="E316" s="1708" t="str">
        <f>IF('Non TB - Note 1'!F121=1,'Non TB - Note 1'!H121,"")</f>
        <v>Depreciation is calculated on the following bases:</v>
      </c>
      <c r="F316" s="1708"/>
      <c r="G316" s="1708"/>
      <c r="H316" s="1708"/>
      <c r="I316" s="1708"/>
      <c r="J316" s="1708"/>
      <c r="K316" s="1708"/>
      <c r="L316" s="1708"/>
    </row>
    <row r="317" spans="1:21" x14ac:dyDescent="0.25">
      <c r="A317" s="401" t="str">
        <f>IF(A316="Print","Print","Do Not Print")</f>
        <v>Print</v>
      </c>
      <c r="E317" s="1708"/>
      <c r="F317" s="1708"/>
      <c r="G317" s="1708"/>
      <c r="H317" s="1708"/>
      <c r="I317" s="1708"/>
      <c r="J317" s="1708"/>
      <c r="K317" s="1708"/>
      <c r="L317" s="1708"/>
    </row>
    <row r="318" spans="1:21" ht="72.75" customHeight="1" x14ac:dyDescent="0.25">
      <c r="A318" s="401" t="str">
        <f>IF('Non TB - Note 1'!F122=1,"Print","Do Not Print")</f>
        <v>Print</v>
      </c>
      <c r="E318" s="1704" t="str">
        <f>IF('Non TB - Note 1'!F122=1,'Non TB - Note 1'!H122,"")</f>
        <v>- dwellings and other buildings - straight-line allocation over the useful life of the property as estimated by the valuer
- vehicles, plant, furniture and equipment - a percentage of the value of each class of assets in the Balance Sheet, as advised by a suitably qualified officer
- infrastructure - straight line allocation over 25 years</v>
      </c>
      <c r="F318" s="1704"/>
      <c r="G318" s="1704"/>
      <c r="H318" s="1704"/>
      <c r="I318" s="1704"/>
      <c r="J318" s="1704"/>
      <c r="K318" s="1704"/>
      <c r="L318" s="1704"/>
      <c r="M318" s="1723"/>
      <c r="N318" s="1723"/>
      <c r="O318" s="1723"/>
      <c r="P318" s="1723"/>
      <c r="Q318" s="1723"/>
      <c r="R318" s="1723"/>
      <c r="S318" s="1723"/>
      <c r="T318" s="1723"/>
    </row>
    <row r="319" spans="1:21" x14ac:dyDescent="0.25">
      <c r="A319" s="401" t="str">
        <f>IF(A318="Print","Print","Do Not Print")</f>
        <v>Print</v>
      </c>
      <c r="E319" s="1704"/>
      <c r="F319" s="1704"/>
      <c r="G319" s="1704"/>
      <c r="H319" s="1704"/>
      <c r="I319" s="1704"/>
      <c r="J319" s="1704"/>
      <c r="K319" s="1704"/>
      <c r="L319" s="1704"/>
      <c r="M319" s="1724"/>
      <c r="N319" s="1525"/>
      <c r="O319" s="1525"/>
      <c r="P319" s="1525"/>
      <c r="Q319" s="1525"/>
      <c r="R319" s="1525"/>
      <c r="S319" s="1525"/>
      <c r="T319" s="1525"/>
    </row>
    <row r="320" spans="1:21" x14ac:dyDescent="0.25">
      <c r="A320" s="401" t="str">
        <f>IF('Non TB - Note 1'!F123=1,"Print","Do Not Print")</f>
        <v>Print</v>
      </c>
      <c r="E320" s="1709" t="str">
        <f>IF('Non TB - Note 1'!F123=1,'Non TB - Note 1'!E123,"")</f>
        <v>Componentisation</v>
      </c>
      <c r="F320" s="1709"/>
      <c r="G320" s="1709"/>
      <c r="H320" s="1709"/>
      <c r="I320" s="1709"/>
      <c r="J320" s="1709"/>
      <c r="K320" s="1709"/>
      <c r="L320" s="1709"/>
    </row>
    <row r="321" spans="1:12" x14ac:dyDescent="0.25">
      <c r="A321" s="401" t="str">
        <f>IF(A320="Print","Print","Do Not Print")</f>
        <v>Print</v>
      </c>
      <c r="E321" s="1709"/>
      <c r="F321" s="1709"/>
      <c r="G321" s="1709"/>
      <c r="H321" s="1709"/>
      <c r="I321" s="1709"/>
      <c r="J321" s="1709"/>
      <c r="K321" s="1709"/>
      <c r="L321" s="1709"/>
    </row>
    <row r="322" spans="1:12" ht="37.5" customHeight="1" x14ac:dyDescent="0.25">
      <c r="A322" s="401" t="str">
        <f>IF('Non TB - Note 1'!F123=1,"Print","Do Not Print")</f>
        <v>Print</v>
      </c>
      <c r="E322" s="1704" t="str">
        <f>IF('Non TB - Note 1'!F123=1,'Non TB - Note 1'!H123,"")</f>
        <v xml:space="preserve">Where an item of Property, Plant and Equipment asset has major components whose cost is significant in relation to the total cost of the item, the components are depreciated separately.
</v>
      </c>
      <c r="F322" s="1704"/>
      <c r="G322" s="1704"/>
      <c r="H322" s="1704"/>
      <c r="I322" s="1704"/>
      <c r="J322" s="1704"/>
      <c r="K322" s="1704"/>
      <c r="L322" s="1704"/>
    </row>
    <row r="323" spans="1:12" ht="12.75" customHeight="1" x14ac:dyDescent="0.25">
      <c r="A323" s="401" t="str">
        <f>IF(A322="Print","Print","Do Not Print")</f>
        <v>Print</v>
      </c>
      <c r="E323" s="1504"/>
      <c r="F323" s="1504"/>
      <c r="G323" s="1504"/>
      <c r="H323" s="1504"/>
      <c r="I323" s="1504"/>
      <c r="J323" s="1504"/>
      <c r="K323" s="1504"/>
      <c r="L323" s="1504"/>
    </row>
    <row r="324" spans="1:12" x14ac:dyDescent="0.25">
      <c r="A324" s="401" t="str">
        <f>IF('Non TB - Note 1'!F124=1,"Print","Do Not Print")</f>
        <v>Print</v>
      </c>
      <c r="E324" s="1709" t="str">
        <f>IF('Non TB - Note 1'!F124=1,'Non TB - Note 1'!E124,"")</f>
        <v>Revaluations</v>
      </c>
      <c r="F324" s="1709"/>
      <c r="G324" s="1709"/>
      <c r="H324" s="1709"/>
      <c r="I324" s="1709"/>
      <c r="J324" s="1709"/>
      <c r="K324" s="1709"/>
      <c r="L324" s="1709"/>
    </row>
    <row r="325" spans="1:12" x14ac:dyDescent="0.25">
      <c r="A325" s="401" t="str">
        <f>IF(A324="Print","Print","Do Not Print")</f>
        <v>Print</v>
      </c>
      <c r="E325" s="1709"/>
      <c r="F325" s="1709"/>
      <c r="G325" s="1709"/>
      <c r="H325" s="1709"/>
      <c r="I325" s="1709"/>
      <c r="J325" s="1709"/>
      <c r="K325" s="1709"/>
      <c r="L325" s="1709"/>
    </row>
    <row r="326" spans="1:12" ht="56.1" customHeight="1" x14ac:dyDescent="0.25">
      <c r="A326" s="401" t="str">
        <f>IF('Non TB - Note 1'!F124=1,"Print","Do Not Print")</f>
        <v>Print</v>
      </c>
      <c r="E326" s="1704" t="str">
        <f>IF('Non TB - Note 1'!F124=1,'Non TB - Note 1'!H124,"")</f>
        <v>Revaluation gains are also depreciated, with an amount equal to the difference between current value depreciation charged on assets and the depreciation that would have been chargeable based on their historical cost being transferred each year from the Revaluation Reserve to the Capital Adjustment Account.</v>
      </c>
      <c r="F326" s="1704"/>
      <c r="G326" s="1704"/>
      <c r="H326" s="1704"/>
      <c r="I326" s="1704"/>
      <c r="J326" s="1704"/>
      <c r="K326" s="1704"/>
      <c r="L326" s="1704"/>
    </row>
    <row r="327" spans="1:12" x14ac:dyDescent="0.25">
      <c r="A327" s="401" t="str">
        <f>IF(A326="Print","Print","Do Not Print")</f>
        <v>Print</v>
      </c>
      <c r="E327" s="1704"/>
      <c r="F327" s="1704"/>
      <c r="G327" s="1704"/>
      <c r="H327" s="1704"/>
      <c r="I327" s="1704"/>
      <c r="J327" s="1704"/>
      <c r="K327" s="1704"/>
      <c r="L327" s="1704"/>
    </row>
    <row r="328" spans="1:12" ht="13.5" customHeight="1" x14ac:dyDescent="0.25">
      <c r="A328" s="401" t="str">
        <f>IF('Non TB - Note 1'!F125=1,"Print","Do Not Print")</f>
        <v>Print</v>
      </c>
      <c r="C328" s="402" t="str">
        <f>+Checklist!E33</f>
        <v>xxii)</v>
      </c>
      <c r="E328" s="1707" t="str">
        <f>IF('Non TB - Note 1'!F125=1,'Non TB - Note 1'!E125,"")</f>
        <v>Heritage Assets</v>
      </c>
      <c r="F328" s="1707"/>
      <c r="G328" s="1707"/>
      <c r="H328" s="1707"/>
      <c r="I328" s="1707"/>
      <c r="J328" s="1707"/>
      <c r="K328" s="1707"/>
      <c r="L328" s="1707"/>
    </row>
    <row r="329" spans="1:12" x14ac:dyDescent="0.25">
      <c r="A329" s="401" t="str">
        <f>IF(A328="Print","Print","Do Not Print")</f>
        <v>Print</v>
      </c>
      <c r="E329" s="1707"/>
      <c r="F329" s="1707"/>
      <c r="G329" s="1707"/>
      <c r="H329" s="1707"/>
      <c r="I329" s="1707"/>
      <c r="J329" s="1707"/>
      <c r="K329" s="1707"/>
      <c r="L329" s="1707"/>
    </row>
    <row r="330" spans="1:12" ht="44.25" customHeight="1" x14ac:dyDescent="0.25">
      <c r="A330" s="401" t="str">
        <f>IF('Non TB - Note 1'!F125=1,"Print","Do Not Print")</f>
        <v>Print</v>
      </c>
      <c r="E330" s="1704" t="str">
        <f>IF('Non TB - Note 1'!F125=1,'Non TB - Note 1'!H125,"")</f>
        <v xml:space="preserve">Heritage Assets are assets with historical, artistic, scientific, technological, geophysical or environmental qualities that are held and maintained principally for their contribution to knowledge and culture.
</v>
      </c>
      <c r="F330" s="1704"/>
      <c r="G330" s="1704"/>
      <c r="H330" s="1704"/>
      <c r="I330" s="1704"/>
      <c r="J330" s="1704"/>
      <c r="K330" s="1704"/>
      <c r="L330" s="1704"/>
    </row>
    <row r="331" spans="1:12" ht="12.75" customHeight="1" x14ac:dyDescent="0.25">
      <c r="A331" s="401" t="str">
        <f>IF(A330="Print","Print","Do Not Print")</f>
        <v>Print</v>
      </c>
      <c r="E331" s="1704"/>
      <c r="F331" s="1704"/>
      <c r="G331" s="1704"/>
      <c r="H331" s="1704"/>
      <c r="I331" s="1704"/>
      <c r="J331" s="1704"/>
      <c r="K331" s="1704"/>
      <c r="L331" s="1704"/>
    </row>
    <row r="332" spans="1:12" ht="42.75" customHeight="1" x14ac:dyDescent="0.25">
      <c r="A332" s="401" t="str">
        <f>IF('Non TB - Note 1'!F126=1,"Print","Do Not Print")</f>
        <v>Print</v>
      </c>
      <c r="E332" s="1704" t="str">
        <f>IF('Non TB - Note 1'!F126=1,'Non TB - Note 1'!H126,"")</f>
        <v>Heritage Assets are those assets that are intended to be preserved in trust for future generations because of their cultural, environmental or historic associations. They would be held by this authority in pursuit of our overall objectives in relation to the maintenance of heritage.</v>
      </c>
      <c r="F332" s="1704"/>
      <c r="G332" s="1704"/>
      <c r="H332" s="1704"/>
      <c r="I332" s="1704"/>
      <c r="J332" s="1704"/>
      <c r="K332" s="1704"/>
      <c r="L332" s="1704"/>
    </row>
    <row r="333" spans="1:12" ht="12.75" customHeight="1" x14ac:dyDescent="0.25">
      <c r="A333" s="401" t="str">
        <f>IF(A332="Print","Print","Do Not Print")</f>
        <v>Print</v>
      </c>
      <c r="E333" s="1704"/>
      <c r="F333" s="1704"/>
      <c r="G333" s="1704"/>
      <c r="H333" s="1704"/>
      <c r="I333" s="1704"/>
      <c r="J333" s="1704"/>
      <c r="K333" s="1704"/>
      <c r="L333" s="1704"/>
    </row>
    <row r="334" spans="1:12" ht="55.5" customHeight="1" x14ac:dyDescent="0.25">
      <c r="A334" s="401" t="str">
        <f>IF('Non TB - Note 1'!F127=1,"Print","Do Not Print")</f>
        <v>Print</v>
      </c>
      <c r="E334" s="1704" t="str">
        <f>IF('Non TB - Note 1'!F127=1,'Non TB - Note 1'!H127,"")</f>
        <v xml:space="preserve">The carrying amounts of heritage assets are reviewed where there is evidence of impairment for heritage assets, e.g. where an item has suffered physical deterioration or breakage or where doubts arise as to its authenticity.  Any impairment is recognised and measured in accordance with the Council's general policy on impairment.  </v>
      </c>
      <c r="F334" s="1704"/>
      <c r="G334" s="1704"/>
      <c r="H334" s="1704"/>
      <c r="I334" s="1704"/>
      <c r="J334" s="1704"/>
      <c r="K334" s="1704"/>
      <c r="L334" s="1704"/>
    </row>
    <row r="335" spans="1:12" ht="12.75" customHeight="1" x14ac:dyDescent="0.25">
      <c r="A335" s="401" t="str">
        <f>IF(A334="Print","Print","Do Not Print")</f>
        <v>Print</v>
      </c>
      <c r="E335" s="1704"/>
      <c r="F335" s="1704"/>
      <c r="G335" s="1704"/>
      <c r="H335" s="1704"/>
      <c r="I335" s="1704"/>
      <c r="J335" s="1704"/>
      <c r="K335" s="1704"/>
      <c r="L335" s="1704"/>
    </row>
    <row r="336" spans="1:12" ht="29.1" customHeight="1" x14ac:dyDescent="0.25">
      <c r="A336" s="401" t="str">
        <f>IF('Non TB - Note 1'!F128=1,"Print","Do Not Print")</f>
        <v>Print</v>
      </c>
      <c r="E336" s="1504" t="str">
        <f>IF('Non TB - Note 1'!F128=1,'Non TB - Note 1'!H128,"")</f>
        <v>[At the end of this reporting period the Council holds two chains of office and a watercolour painting as heritage assets.]</v>
      </c>
      <c r="F336" s="1504"/>
      <c r="G336" s="1504"/>
      <c r="H336" s="1504"/>
      <c r="I336" s="1504"/>
      <c r="J336" s="1504"/>
      <c r="K336" s="1504"/>
      <c r="L336" s="1504"/>
    </row>
    <row r="337" spans="1:12" x14ac:dyDescent="0.25">
      <c r="A337" s="401" t="str">
        <f>IF(A336="Print","Print","Do Not Print")</f>
        <v>Print</v>
      </c>
      <c r="E337" s="1704"/>
      <c r="F337" s="1704"/>
      <c r="G337" s="1704"/>
      <c r="H337" s="1704"/>
      <c r="I337" s="1704"/>
      <c r="J337" s="1704"/>
      <c r="K337" s="1704"/>
      <c r="L337" s="1704"/>
    </row>
    <row r="338" spans="1:12" ht="13.5" customHeight="1" x14ac:dyDescent="0.25">
      <c r="A338" s="401" t="str">
        <f>IF('Non TB - Note 1'!F129=1,"Print","Do Not Print")</f>
        <v>Print</v>
      </c>
      <c r="C338" s="402" t="str">
        <f>+Checklist!E34</f>
        <v>xxiii)</v>
      </c>
      <c r="E338" s="1543" t="str">
        <f>IF('Non TB - Note 1'!F129=1,'Non TB - Note 1'!D129,"")</f>
        <v>Provisions</v>
      </c>
      <c r="F338" s="1543"/>
      <c r="G338" s="1543"/>
      <c r="H338" s="1543"/>
      <c r="I338" s="1543"/>
      <c r="J338" s="1543"/>
      <c r="K338" s="1543"/>
      <c r="L338" s="1543"/>
    </row>
    <row r="339" spans="1:12" x14ac:dyDescent="0.25">
      <c r="A339" s="401" t="str">
        <f>IF(A338="Print","Print","Do Not Print")</f>
        <v>Print</v>
      </c>
      <c r="E339" s="1543"/>
      <c r="F339" s="1543"/>
      <c r="G339" s="1543"/>
      <c r="H339" s="1543"/>
      <c r="I339" s="1543"/>
      <c r="J339" s="1543"/>
      <c r="K339" s="1543"/>
      <c r="L339" s="1543"/>
    </row>
    <row r="340" spans="1:12" ht="71.25" customHeight="1" x14ac:dyDescent="0.25">
      <c r="A340" s="401" t="str">
        <f>IF('Non TB - Note 1'!F129=1,"Print","Do Not Print")</f>
        <v>Print</v>
      </c>
      <c r="E340" s="1704" t="str">
        <f>IF('Non TB - Note 1'!F129=1,'Non TB - Note 1'!H129,"")</f>
        <v xml:space="preserve">Provisions are made where an event has taken place that gives the Council a legal or constructive obligation that probably requires settlement by a transfer of economic benefits or service potential, and a reliable estimate can be made of the amount of the obligation.  For instance, the Council may be involved in a court case that could eventually result in the making of a settlement or the payment of compensation.
</v>
      </c>
      <c r="F340" s="1704"/>
      <c r="G340" s="1704"/>
      <c r="H340" s="1704"/>
      <c r="I340" s="1704"/>
      <c r="J340" s="1704"/>
      <c r="K340" s="1704"/>
      <c r="L340" s="1704"/>
    </row>
    <row r="341" spans="1:12" ht="12.75" customHeight="1" x14ac:dyDescent="0.25">
      <c r="A341" s="401" t="str">
        <f>IF(A340="Print","Print","Do Not Print")</f>
        <v>Print</v>
      </c>
      <c r="E341" s="1704"/>
      <c r="F341" s="1704"/>
      <c r="G341" s="1704"/>
      <c r="H341" s="1704"/>
      <c r="I341" s="1704"/>
      <c r="J341" s="1704"/>
      <c r="K341" s="1704"/>
      <c r="L341" s="1704"/>
    </row>
    <row r="342" spans="1:12" ht="59.25" customHeight="1" x14ac:dyDescent="0.25">
      <c r="A342" s="401" t="str">
        <f>IF('Non TB - Note 1'!F130=1,"Print","Do Not Print")</f>
        <v>Print</v>
      </c>
      <c r="E342" s="1704" t="str">
        <f>IF('Non TB - Note 1'!F130=1,'Non TB - Note 1'!H130,"")</f>
        <v>Provisions are charged as an expense to the appropriate service line in the Comprehensive Income and Expenditure Statement in the year that the Council becomes aware of the obligation, and measured at the best estimate at the balance sheet date of the expenditure required to settle the obligation, taking into account relevant risks and uncertainties.</v>
      </c>
      <c r="F342" s="1704"/>
      <c r="G342" s="1704"/>
      <c r="H342" s="1704"/>
      <c r="I342" s="1704"/>
      <c r="J342" s="1704"/>
      <c r="K342" s="1704"/>
      <c r="L342" s="1704"/>
    </row>
    <row r="343" spans="1:12" ht="12.75" customHeight="1" x14ac:dyDescent="0.25">
      <c r="A343" s="401" t="str">
        <f>IF(A342="Print","Print","Do Not Print")</f>
        <v>Print</v>
      </c>
      <c r="E343" s="1704"/>
      <c r="F343" s="1704"/>
      <c r="G343" s="1704"/>
      <c r="H343" s="1704"/>
      <c r="I343" s="1704"/>
      <c r="J343" s="1704"/>
      <c r="K343" s="1704"/>
      <c r="L343" s="1704"/>
    </row>
    <row r="344" spans="1:12" ht="70.5" customHeight="1" x14ac:dyDescent="0.25">
      <c r="A344" s="401" t="str">
        <f>IF('Non TB - Note 1'!F131=1,"Print","Do Not Print")</f>
        <v>Print</v>
      </c>
      <c r="E344" s="1704" t="str">
        <f>IF('Non TB - Note 1'!F131=1,'Non TB - Note 1'!H131,"")</f>
        <v>When payments are eventually made, they are charged to the provision carried in the Balance Sheet.  Estimated settlements are reviewed at the end of each financial year – where it becomes less than probable that a transfer of economic benefits will now be required (or a lower settlement than anticipated is made), the provision is reversed and credited back to the relevant service.</v>
      </c>
      <c r="F344" s="1704"/>
      <c r="G344" s="1704"/>
      <c r="H344" s="1704"/>
      <c r="I344" s="1704"/>
      <c r="J344" s="1704"/>
      <c r="K344" s="1704"/>
      <c r="L344" s="1704"/>
    </row>
    <row r="345" spans="1:12" ht="12.75" customHeight="1" x14ac:dyDescent="0.25">
      <c r="A345" s="401" t="str">
        <f>IF(A344="Print","Print","Do Not Print")</f>
        <v>Print</v>
      </c>
      <c r="E345" s="1704"/>
      <c r="F345" s="1704"/>
      <c r="G345" s="1704"/>
      <c r="H345" s="1704"/>
      <c r="I345" s="1704"/>
      <c r="J345" s="1704"/>
      <c r="K345" s="1704"/>
      <c r="L345" s="1704"/>
    </row>
    <row r="346" spans="1:12" ht="59.25" customHeight="1" x14ac:dyDescent="0.25">
      <c r="A346" s="401" t="str">
        <f>IF('Non TB - Note 1'!F132=1,"Print","Do Not Print")</f>
        <v>Print</v>
      </c>
      <c r="E346" s="1704" t="str">
        <f>IF('Non TB - Note 1'!F132=1,'Non TB - Note 1'!H132,"")</f>
        <v>Where some or all of the payment required to settle a provision is expected to be recovered from another party (e.g. from an insurance claim), this is only recognised as income for the relevant service if it is virtually certain that reimbursement will be received if the Council settles the obligation.</v>
      </c>
      <c r="F346" s="1704"/>
      <c r="G346" s="1704"/>
      <c r="H346" s="1704"/>
      <c r="I346" s="1704"/>
      <c r="J346" s="1704"/>
      <c r="K346" s="1704"/>
      <c r="L346" s="1704"/>
    </row>
    <row r="347" spans="1:12" ht="12.75" customHeight="1" x14ac:dyDescent="0.25">
      <c r="A347" s="401" t="str">
        <f>IF(A346="Print","Print","Do Not Print")</f>
        <v>Print</v>
      </c>
      <c r="E347" s="1704"/>
      <c r="F347" s="1704"/>
      <c r="G347" s="1704"/>
      <c r="H347" s="1704"/>
      <c r="I347" s="1704"/>
      <c r="J347" s="1704"/>
      <c r="K347" s="1704"/>
      <c r="L347" s="1704"/>
    </row>
    <row r="348" spans="1:12" ht="34.5" customHeight="1" x14ac:dyDescent="0.25">
      <c r="A348" s="401" t="str">
        <f>IF('Non TB - Note 1'!F133=1,"Print","Do Not Print")</f>
        <v>Print</v>
      </c>
      <c r="E348" s="1504" t="str">
        <f>IF('Non TB - Note 1'!F133=1,'Non TB - Note 1'!H133,"")</f>
        <v>Additional policy detail required where a Council has made provision for onerous contracts or restructuring costs and where discounting of the amount to settle the obligation is required.</v>
      </c>
      <c r="F348" s="1504"/>
      <c r="G348" s="1504"/>
      <c r="H348" s="1504"/>
      <c r="I348" s="1504"/>
      <c r="J348" s="1504"/>
      <c r="K348" s="1504"/>
      <c r="L348" s="1504"/>
    </row>
    <row r="349" spans="1:12" ht="13.5" customHeight="1" x14ac:dyDescent="0.25">
      <c r="A349" s="401" t="str">
        <f>IF(A348="Print","Print","Do Not Print")</f>
        <v>Print</v>
      </c>
      <c r="E349" s="1708"/>
      <c r="F349" s="1708"/>
      <c r="G349" s="1708"/>
      <c r="H349" s="1708"/>
      <c r="I349" s="1708"/>
      <c r="J349" s="1708"/>
      <c r="K349" s="1708"/>
      <c r="L349" s="1708"/>
    </row>
    <row r="350" spans="1:12" ht="13.5" customHeight="1" x14ac:dyDescent="0.25">
      <c r="A350" s="401" t="str">
        <f>IF('Non TB - Note 1'!F134=1,"Print","Do Not Print")</f>
        <v>Print</v>
      </c>
      <c r="C350" s="402" t="str">
        <f>+Checklist!E35</f>
        <v>xxiv)</v>
      </c>
      <c r="E350" s="1543" t="str">
        <f>IF('Non TB - Note 1'!F134=1,'Non TB - Note 1'!D134,"")</f>
        <v>Reserves</v>
      </c>
      <c r="F350" s="1543"/>
      <c r="G350" s="1543"/>
      <c r="H350" s="1543"/>
      <c r="I350" s="1543"/>
      <c r="J350" s="1543"/>
      <c r="K350" s="1543"/>
      <c r="L350" s="1543"/>
    </row>
    <row r="351" spans="1:12" x14ac:dyDescent="0.25">
      <c r="A351" s="401" t="str">
        <f>IF(A350="Print","Print","Do Not Print")</f>
        <v>Print</v>
      </c>
      <c r="E351" s="1543"/>
      <c r="F351" s="1543"/>
      <c r="G351" s="1543"/>
      <c r="H351" s="1543"/>
      <c r="I351" s="1543"/>
      <c r="J351" s="1543"/>
      <c r="K351" s="1543"/>
      <c r="L351" s="1543"/>
    </row>
    <row r="352" spans="1:12" ht="89.55" customHeight="1" x14ac:dyDescent="0.25">
      <c r="A352" s="401" t="str">
        <f>IF('Non TB - Note 1'!F134=1,"Print","Do Not Print")</f>
        <v>Print</v>
      </c>
      <c r="E352" s="1704" t="str">
        <f>IF('Non TB - Note 1'!F134=1,'Non TB - Note 1'!H134,"")</f>
        <v xml:space="preserve">The Council sets aside specific amounts as reserves for future policy purposes or to cover contingencies.  Reserves are created by transferring amounts out of the General Fund Balance.  When expenditure to be financed from a reserve is incurred, it is charged to the appropriate service in that year against the Surplus or Deficit on the Provision of Services in the Comprehensive Income and Expenditure Statement.  The reserve is then transferred back into the General Fund Balance so that there is no net charge against District Rates for the expenditure.
</v>
      </c>
      <c r="F352" s="1704"/>
      <c r="G352" s="1704"/>
      <c r="H352" s="1704"/>
      <c r="I352" s="1704"/>
      <c r="J352" s="1704"/>
      <c r="K352" s="1704"/>
      <c r="L352" s="1704"/>
    </row>
    <row r="353" spans="1:21" x14ac:dyDescent="0.25">
      <c r="A353" s="401" t="str">
        <f>IF(A352="Print","Print","Do Not Print")</f>
        <v>Print</v>
      </c>
      <c r="E353" s="1704"/>
      <c r="F353" s="1704"/>
      <c r="G353" s="1704"/>
      <c r="H353" s="1704"/>
      <c r="I353" s="1704"/>
      <c r="J353" s="1704"/>
      <c r="K353" s="1704"/>
      <c r="L353" s="1704"/>
    </row>
    <row r="354" spans="1:21" ht="51" customHeight="1" x14ac:dyDescent="0.25">
      <c r="A354" s="401" t="str">
        <f>IF('Non TB - Note 1'!F135=1,"Print","Do Not Print")</f>
        <v>Print</v>
      </c>
      <c r="E354" s="1704" t="str">
        <f>IF('Non TB - Note 1'!F135=1,'Non TB - Note 1'!H135,"")</f>
        <v>Certain reserves are kept to manage the accounting processes for non-current assets, financial instruments, retirement benefits and employee benefits and do not represent usable resources for the Council – these reserves are explained in the relevant note to the accounts.</v>
      </c>
      <c r="F354" s="1704"/>
      <c r="G354" s="1704"/>
      <c r="H354" s="1704"/>
      <c r="I354" s="1704"/>
      <c r="J354" s="1704"/>
      <c r="K354" s="1704"/>
      <c r="L354" s="1704"/>
    </row>
    <row r="355" spans="1:21" x14ac:dyDescent="0.25">
      <c r="A355" s="401" t="str">
        <f>IF(A354="Print","Print","Do Not Print")</f>
        <v>Print</v>
      </c>
      <c r="E355" s="1704"/>
      <c r="F355" s="1704"/>
      <c r="G355" s="1704"/>
      <c r="H355" s="1704"/>
      <c r="I355" s="1704"/>
      <c r="J355" s="1704"/>
      <c r="K355" s="1704"/>
      <c r="L355" s="1704"/>
    </row>
    <row r="356" spans="1:21" ht="21" customHeight="1" x14ac:dyDescent="0.25">
      <c r="A356" s="401" t="str">
        <f>IF('Non TB - Note 1'!F136=1,"Print","Do Not Print")</f>
        <v>Print</v>
      </c>
      <c r="C356" s="402" t="str">
        <f>+Checklist!E36</f>
        <v>xxv)</v>
      </c>
      <c r="E356" s="1707" t="str">
        <f>IF('Non TB - Note 1'!F136=1,'Non TB - Note 1'!D136,"")</f>
        <v>Charges to Revenue for Non-Current Assets</v>
      </c>
      <c r="F356" s="1707"/>
      <c r="G356" s="1707"/>
      <c r="H356" s="1707"/>
      <c r="I356" s="1707"/>
      <c r="J356" s="1707"/>
      <c r="K356" s="1707"/>
      <c r="L356" s="1707"/>
    </row>
    <row r="357" spans="1:21" x14ac:dyDescent="0.25">
      <c r="A357" s="401" t="str">
        <f>IF(A356="Print","Print","Do Not Print")</f>
        <v>Print</v>
      </c>
      <c r="E357" s="1707"/>
      <c r="F357" s="1707"/>
      <c r="G357" s="1707"/>
      <c r="H357" s="1707"/>
      <c r="I357" s="1707"/>
      <c r="J357" s="1707"/>
      <c r="K357" s="1707"/>
      <c r="L357" s="1707"/>
    </row>
    <row r="358" spans="1:21" ht="100.5" customHeight="1" x14ac:dyDescent="0.25">
      <c r="A358" s="401" t="str">
        <f>IF('Non TB - Note 1'!F136=1,"Print","Do Not Print")</f>
        <v>Print</v>
      </c>
      <c r="E358" s="1704" t="str">
        <f>IF('Non TB - Note 1'!F136=1,'Non TB - Note 1'!H136,"")</f>
        <v xml:space="preserve">Services, support services and trading accounts are debited with the following amounts to record the cost of holding non-current assets during the year:
a. depreciation attributable to the assets used by the relevant service
b. revaluation and impairment losses on assets used by the service where there are no accumulated gains in the Revaluation Reserve against which the losses can be written off
c. amortisation of intangible fixed assets attributable to the service.
</v>
      </c>
      <c r="F358" s="1704"/>
      <c r="G358" s="1704"/>
      <c r="H358" s="1704"/>
      <c r="I358" s="1704"/>
      <c r="J358" s="1704"/>
      <c r="K358" s="1704"/>
      <c r="L358" s="1704"/>
    </row>
    <row r="359" spans="1:21" x14ac:dyDescent="0.25">
      <c r="A359" s="401" t="str">
        <f>IF(A358="Print","Print","Do Not Print")</f>
        <v>Print</v>
      </c>
      <c r="E359" s="1708"/>
      <c r="F359" s="1708"/>
      <c r="G359" s="1708"/>
      <c r="H359" s="1708"/>
      <c r="I359" s="1708"/>
      <c r="J359" s="1708"/>
      <c r="K359" s="1708"/>
      <c r="L359" s="1708"/>
      <c r="N359" s="409"/>
      <c r="O359" s="410"/>
      <c r="P359" s="410"/>
      <c r="Q359" s="410"/>
      <c r="R359" s="410"/>
      <c r="S359" s="410"/>
      <c r="T359" s="410"/>
      <c r="U359" s="410"/>
    </row>
    <row r="360" spans="1:21" ht="124.5" customHeight="1" x14ac:dyDescent="0.25">
      <c r="A360" s="401" t="str">
        <f>IF('Non TB - Note 1'!F137=1,"Print","Do Not Print")</f>
        <v>Print</v>
      </c>
      <c r="E360" s="1704" t="str">
        <f>IF('Non TB - Note 1'!F137=1,'Non TB - Note 1'!H137,"")</f>
        <v>The Council is not required to raise District Rates to cover depreciation, revaluation and impairment losses or amortisations.  However, it is required to make an annual contribution from revenue to contribute towards the reduction in its overall borrowing requirement [equal to either an amount calculated on a prudent basis determined by the Council in accordance with statutory guidance].  Depreciation, revaluation and impairment losses and amortisation are therefore replaced by the contribution in the General Fund Balance [minimum revenue provision (MRP]) or the Statutory Repayment of Loans Fund Advances], by way of an adjusting transaction with the Capital Adjustment Account in the Movement in Reserves Statement for the difference between the two.</v>
      </c>
      <c r="F360" s="1704"/>
      <c r="G360" s="1704"/>
      <c r="H360" s="1704"/>
      <c r="I360" s="1704"/>
      <c r="J360" s="1704"/>
      <c r="K360" s="1704"/>
      <c r="L360" s="1704"/>
    </row>
    <row r="361" spans="1:21" x14ac:dyDescent="0.25">
      <c r="A361" s="401" t="str">
        <f>IF(A360="Print","Print","Do Not Print")</f>
        <v>Print</v>
      </c>
      <c r="E361" s="1704"/>
      <c r="F361" s="1704"/>
      <c r="G361" s="1704"/>
      <c r="H361" s="1704"/>
      <c r="I361" s="1704"/>
      <c r="J361" s="1704"/>
      <c r="K361" s="1704"/>
      <c r="L361" s="1704"/>
    </row>
    <row r="362" spans="1:21" ht="13.5" customHeight="1" x14ac:dyDescent="0.25">
      <c r="A362" s="401" t="str">
        <f>IF('Non TB - Note 1'!F138=1,"Print","Do Not Print")</f>
        <v>Print</v>
      </c>
      <c r="C362" s="402" t="str">
        <f>+Checklist!E37</f>
        <v>xxvi)</v>
      </c>
      <c r="E362" s="1543" t="str">
        <f>IF('Non TB - Note 1'!F138=1,'Non TB - Note 1'!D138,"")</f>
        <v xml:space="preserve">Revenue Expenditure Funded from Capital under Statute </v>
      </c>
      <c r="F362" s="1543"/>
      <c r="G362" s="1543"/>
      <c r="H362" s="1543"/>
      <c r="I362" s="1543"/>
      <c r="J362" s="1543"/>
      <c r="K362" s="1543"/>
      <c r="L362" s="1543"/>
    </row>
    <row r="363" spans="1:21" x14ac:dyDescent="0.25">
      <c r="A363" s="401" t="str">
        <f>IF(A362="Print","Print","Do Not Print")</f>
        <v>Print</v>
      </c>
      <c r="E363" s="1543"/>
      <c r="F363" s="1543"/>
      <c r="G363" s="1543"/>
      <c r="H363" s="1543"/>
      <c r="I363" s="1543"/>
      <c r="J363" s="1543"/>
      <c r="K363" s="1543"/>
      <c r="L363" s="1543"/>
    </row>
    <row r="364" spans="1:21" ht="106.5" customHeight="1" x14ac:dyDescent="0.25">
      <c r="A364" s="401" t="str">
        <f>IF('Non TB - Note 1'!F138=1,"Print","Do Not Print")</f>
        <v>Print</v>
      </c>
      <c r="E364" s="1704" t="str">
        <f>IF('Non TB - Note 1'!F138=1,'Non TB - Note 1'!H138,"")</f>
        <v>Expenditure incurred during the year that may be capitalised under statutory provisions but that does not result in the creation of a non-current asset has been charged as expenditure to the relevant service in the Comprehensive Income and Expenditure Statement in the year.  Where the Council has determined to meet the cost of this expenditure from existing capital resources or by borrowing, a transfer in the Movement in Reserves Statement from the General Fund Balance to the Capital Adjustment Account then reverses out the amounts charged, so that there is no impact on the level of District Rates.</v>
      </c>
      <c r="F364" s="1704"/>
      <c r="G364" s="1704"/>
      <c r="H364" s="1704"/>
      <c r="I364" s="1704"/>
      <c r="J364" s="1704"/>
      <c r="K364" s="1704"/>
      <c r="L364" s="1704"/>
    </row>
    <row r="365" spans="1:21" x14ac:dyDescent="0.25">
      <c r="A365" s="401" t="str">
        <f>IF(A364="Print","Print","Do Not Print")</f>
        <v>Print</v>
      </c>
      <c r="E365" s="1500"/>
      <c r="F365" s="1500"/>
      <c r="G365" s="1500"/>
      <c r="H365" s="1500"/>
      <c r="I365" s="1500"/>
      <c r="J365" s="1500"/>
      <c r="K365" s="1500"/>
      <c r="L365" s="1500"/>
    </row>
    <row r="366" spans="1:21" ht="13.5" customHeight="1" x14ac:dyDescent="0.25">
      <c r="A366" s="401" t="str">
        <f>IF('Non TB - Note 1'!F139=1,"Print","Do Not Print")</f>
        <v>Print</v>
      </c>
      <c r="C366" s="402" t="str">
        <f>+Checklist!E38</f>
        <v>xxvii)</v>
      </c>
      <c r="E366" s="1543" t="str">
        <f>IF('Non TB - Note 1'!F139=1,'Non TB - Note 1'!D139,"")</f>
        <v>Value Added Tax</v>
      </c>
      <c r="F366" s="1543"/>
      <c r="G366" s="1543"/>
      <c r="H366" s="1543"/>
      <c r="I366" s="1543"/>
      <c r="J366" s="1543"/>
      <c r="K366" s="1543"/>
      <c r="L366" s="1543"/>
    </row>
    <row r="367" spans="1:21" x14ac:dyDescent="0.25">
      <c r="A367" s="401" t="str">
        <f>IF(A366="Print","Print","Do Not Print")</f>
        <v>Print</v>
      </c>
      <c r="E367" s="1543"/>
      <c r="F367" s="1543"/>
      <c r="G367" s="1543"/>
      <c r="H367" s="1543"/>
      <c r="I367" s="1543"/>
      <c r="J367" s="1543"/>
      <c r="K367" s="1543"/>
      <c r="L367" s="1543"/>
    </row>
    <row r="368" spans="1:21" ht="27.6" customHeight="1" x14ac:dyDescent="0.25">
      <c r="A368" s="401" t="str">
        <f>IF('Non TB - Note 1'!F139=1,"Print","Do Not Print")</f>
        <v>Print</v>
      </c>
      <c r="E368" s="1504" t="str">
        <f>IF('Non TB - Note 1'!F139=1,'Non TB - Note 1'!H139,"")</f>
        <v>VAT payable is included as an expense only to the extent that it is not recoverable from Her Majesty's Revenue and Customs.  VAT receivable is excluded from income.</v>
      </c>
      <c r="F368" s="1504"/>
      <c r="G368" s="1504"/>
      <c r="H368" s="1504"/>
      <c r="I368" s="1504"/>
      <c r="J368" s="1504"/>
      <c r="K368" s="1504"/>
      <c r="L368" s="1504"/>
    </row>
    <row r="369" spans="1:12" x14ac:dyDescent="0.25">
      <c r="A369" s="401" t="str">
        <f>IF(A368="Print","Print","Do Not Print")</f>
        <v>Print</v>
      </c>
      <c r="E369" s="1500"/>
      <c r="F369" s="1500"/>
      <c r="G369" s="1500"/>
      <c r="H369" s="1500"/>
      <c r="I369" s="1500"/>
      <c r="J369" s="1500"/>
      <c r="K369" s="1500"/>
      <c r="L369" s="1500"/>
    </row>
    <row r="370" spans="1:12" x14ac:dyDescent="0.25">
      <c r="A370" s="401" t="str">
        <f>IF('Non TB - Note 1'!F140=1,"Print","Do Not Print")</f>
        <v>Print</v>
      </c>
      <c r="C370" s="401" t="str">
        <f>+Checklist!E43</f>
        <v>d</v>
      </c>
      <c r="E370" s="1541" t="str">
        <f>IF('Non TB - Note 1'!F140=1,'Non TB - Note 1'!D140,"")</f>
        <v>Fair Value Measurement</v>
      </c>
      <c r="F370" s="1541"/>
      <c r="G370" s="1541"/>
      <c r="H370" s="1541"/>
      <c r="I370" s="1541"/>
      <c r="J370" s="1541"/>
      <c r="K370" s="1541"/>
      <c r="L370" s="1541"/>
    </row>
    <row r="371" spans="1:12" x14ac:dyDescent="0.25">
      <c r="A371" s="401" t="str">
        <f>IF(A370="Print","Print","Do Not Print")</f>
        <v>Print</v>
      </c>
      <c r="E371" s="1541"/>
      <c r="F371" s="1541"/>
      <c r="G371" s="1541"/>
      <c r="H371" s="1541"/>
      <c r="I371" s="1541"/>
      <c r="J371" s="1541"/>
      <c r="K371" s="1541"/>
      <c r="L371" s="1541"/>
    </row>
    <row r="372" spans="1:12" ht="85.5" customHeight="1" x14ac:dyDescent="0.25">
      <c r="A372" s="401" t="str">
        <f>IF('Non TB - Note 1'!F140=1,"Print","Do Not Print")</f>
        <v>Print</v>
      </c>
      <c r="E372" s="1504" t="str">
        <f>IF('Non TB - Note 1'!F140=1,'Non TB - Note 1'!H140,"")</f>
        <v>The Council measures some of its non-financial assets such as surplus assets and investment properties and some of its financial instruments such as equity shareholdings [other financial instruments as applicable] at fair value at each reporting date. Fair value is the price that would be received to sell an asset or paid to transfer a liability in an orderly transaction between market participants at the measurement date. The fair value measurement assumes that the transaction to sell the asset or transfer the liability takes place either:</v>
      </c>
      <c r="F372" s="1504"/>
      <c r="G372" s="1504"/>
      <c r="H372" s="1504"/>
      <c r="I372" s="1504"/>
      <c r="J372" s="1504"/>
      <c r="K372" s="1504"/>
      <c r="L372" s="1504"/>
    </row>
    <row r="373" spans="1:12" x14ac:dyDescent="0.25">
      <c r="A373" s="401" t="str">
        <f>IF(A372="Print","Print","Do Not Print")</f>
        <v>Print</v>
      </c>
      <c r="E373" s="1542"/>
      <c r="F373" s="1542"/>
      <c r="G373" s="1542"/>
      <c r="H373" s="1542"/>
      <c r="I373" s="1542"/>
      <c r="J373" s="1542"/>
      <c r="K373" s="1542"/>
      <c r="L373" s="1542"/>
    </row>
    <row r="374" spans="1:12" ht="198" customHeight="1" x14ac:dyDescent="0.25">
      <c r="A374" s="401" t="str">
        <f>IF('Non TB - Note 1'!F141=1,"Print","Do Not Print")</f>
        <v>Print</v>
      </c>
      <c r="E374" s="1504" t="str">
        <f>IF('Non TB - Note 1'!F141=1,'Non TB - Note 1'!H141,"")</f>
        <v xml:space="preserve">a) in the principal market for the asset or liability, or
b) in the absence of a principal market, in the most advantageous market for the asset or liability.
The Council measures the fair value of an asset or liability using the assumptions that market participants would use when pricing the asset or liability, assuming that market participants act in their economic best interest. 
When measuring the fair value of a non-financial asset, the Council takes into account a market participant’s ability to generate economic benefits by using the asset in its highest and best use or by selling it to another market participant that would use the asset in its highest and best use. 
The Council uses valuation techniques that are appropriate in the circumstances and for which sufficient data is available, maximising the use of relevant observable inputs and minimising the use of unobservable inputs. </v>
      </c>
      <c r="F374" s="1504"/>
      <c r="G374" s="1504"/>
      <c r="H374" s="1504"/>
      <c r="I374" s="1504"/>
      <c r="J374" s="1504"/>
      <c r="K374" s="1504"/>
      <c r="L374" s="1504"/>
    </row>
    <row r="375" spans="1:12" x14ac:dyDescent="0.25">
      <c r="A375" s="401" t="str">
        <f>IF(A374="Print","Print","Do Not Print")</f>
        <v>Print</v>
      </c>
      <c r="E375" s="1542"/>
      <c r="F375" s="1542"/>
      <c r="G375" s="1542"/>
      <c r="H375" s="1542"/>
      <c r="I375" s="1542"/>
      <c r="J375" s="1542"/>
      <c r="K375" s="1542"/>
      <c r="L375" s="1542"/>
    </row>
    <row r="376" spans="1:12" ht="110.25" customHeight="1" x14ac:dyDescent="0.25">
      <c r="A376" s="401" t="str">
        <f>IF('Non TB - Note 1'!F142=1,"Print","Do Not Print")</f>
        <v>Print</v>
      </c>
      <c r="E376" s="1504" t="str">
        <f>IF('Non TB - Note 1'!F142=1,'Non TB - Note 1'!H142,"")</f>
        <v>Inputs to the valuation techniques in respect of assets and liabilities for which fair value is measured or disclosed in the Council’s financial statements are categorised within the fair value hierarchy, as follows:
* Level 1 – quoted prices (unadjusted) in active markets for identical assets or liabilities that
the authority can access at the measurement date
* Level 2 – inputs other than quoted prices included within Level 1 that are observable for
the asset or liability, either directly or indirectly
* Level 3 – unobservable inputs for the asset or liability.</v>
      </c>
      <c r="F376" s="1504"/>
      <c r="G376" s="1504"/>
      <c r="H376" s="1504"/>
      <c r="I376" s="1504"/>
      <c r="J376" s="1504"/>
      <c r="K376" s="1504"/>
      <c r="L376" s="1504"/>
    </row>
    <row r="377" spans="1:12" x14ac:dyDescent="0.25">
      <c r="A377" s="401" t="str">
        <f>IF(A376="Print","Print","Do Not Print")</f>
        <v>Print</v>
      </c>
      <c r="E377" s="1541"/>
      <c r="F377" s="1541"/>
      <c r="G377" s="1541"/>
      <c r="H377" s="1541"/>
      <c r="I377" s="1541"/>
      <c r="J377" s="1541"/>
      <c r="K377" s="1541"/>
      <c r="L377" s="1541"/>
    </row>
    <row r="378" spans="1:12" x14ac:dyDescent="0.25">
      <c r="A378" s="401" t="str">
        <f>IF('Non TB - Note 1'!F143=1,"Print","Do Not Print")</f>
        <v>Print</v>
      </c>
      <c r="E378" s="1541" t="str">
        <f>IF('Non TB - Note 1'!F143=1,'Non TB - Note 1'!D143,"")</f>
        <v>Interests in Companies and Other Entities</v>
      </c>
      <c r="F378" s="1541"/>
      <c r="G378" s="1541"/>
      <c r="H378" s="1541"/>
      <c r="I378" s="1541"/>
      <c r="J378" s="1541"/>
      <c r="K378" s="1541"/>
      <c r="L378" s="1541"/>
    </row>
    <row r="379" spans="1:12" x14ac:dyDescent="0.25">
      <c r="A379" s="401" t="str">
        <f>IF(A378="Print","Print","Do Not Print")</f>
        <v>Print</v>
      </c>
      <c r="E379" s="1541"/>
      <c r="F379" s="1541"/>
      <c r="G379" s="1541"/>
      <c r="H379" s="1541"/>
      <c r="I379" s="1541"/>
      <c r="J379" s="1541"/>
      <c r="K379" s="1541"/>
      <c r="L379" s="1541"/>
    </row>
    <row r="380" spans="1:12" ht="56.25" customHeight="1" x14ac:dyDescent="0.25">
      <c r="A380" s="401" t="str">
        <f>IF('Non TB - Note 1'!F143=1,"Print","Do Not Print")</f>
        <v>Print</v>
      </c>
      <c r="E380" s="1504" t="str">
        <f>IF('Non TB - Note 1'!F143=1,'Non TB - Note 1'!H143,"")</f>
        <v>The Council has material interests in companies and other entities that have the nature of subsidiaries, associates and joint ventures and require it to prepare group accounts.  In the Council's own single-entity accounts, the interests in companies and other entities are recorded as financial assets at cost, less any provision for losses.</v>
      </c>
      <c r="F380" s="1504"/>
      <c r="G380" s="1504"/>
      <c r="H380" s="1504"/>
      <c r="I380" s="1504"/>
      <c r="J380" s="1504"/>
      <c r="K380" s="1504"/>
      <c r="L380" s="1504"/>
    </row>
    <row r="381" spans="1:12" x14ac:dyDescent="0.25">
      <c r="A381" s="401" t="str">
        <f>IF(A380="Print","Print","Do Not Print")</f>
        <v>Print</v>
      </c>
      <c r="E381" s="1541"/>
      <c r="F381" s="1541"/>
      <c r="G381" s="1541"/>
      <c r="H381" s="1541"/>
      <c r="I381" s="1541"/>
      <c r="J381" s="1541"/>
      <c r="K381" s="1541"/>
      <c r="L381" s="1541"/>
    </row>
    <row r="382" spans="1:12" x14ac:dyDescent="0.25">
      <c r="A382" s="401" t="str">
        <f>IF('Non TB - Note 1'!F144=1,"Print","Do Not Print")</f>
        <v>Print</v>
      </c>
      <c r="E382" s="1541" t="str">
        <f>IF('Non TB - Note 1'!F144=1,'Non TB - Note 1'!D144,"")</f>
        <v>Joint Operations</v>
      </c>
      <c r="F382" s="1541"/>
      <c r="G382" s="1541"/>
      <c r="H382" s="1541"/>
      <c r="I382" s="1541"/>
      <c r="J382" s="1541"/>
      <c r="K382" s="1541"/>
      <c r="L382" s="1541"/>
    </row>
    <row r="383" spans="1:12" x14ac:dyDescent="0.25">
      <c r="A383" s="401" t="str">
        <f>IF(A382="Print","Print","Do Not Print")</f>
        <v>Print</v>
      </c>
      <c r="E383" s="1541"/>
      <c r="F383" s="1541"/>
      <c r="G383" s="1541"/>
      <c r="H383" s="1541"/>
      <c r="I383" s="1541"/>
      <c r="J383" s="1541"/>
      <c r="K383" s="1541"/>
      <c r="L383" s="1541"/>
    </row>
    <row r="384" spans="1:12" ht="140.25" customHeight="1" x14ac:dyDescent="0.25">
      <c r="A384" s="401" t="str">
        <f>IF('Non TB - Note 1'!F144=1,"Print","Do Not Print")</f>
        <v>Print</v>
      </c>
      <c r="E384" s="1504" t="str">
        <f>IF('Non TB - Note 1'!F144=1,'Non TB - Note 1'!H144,"")</f>
        <v>Joint operations are arrangements where the parties that have joint control of the arrangement have rights to the assets and obligations for the liabilities relating to the arrangement.  The activities undertaken by the Council in conjunction with other joint operators involve the use of the assets and resources of those joint operators.  In relation to its interest in a joint operation, the authority as a joint operator recognises;
- its assets, including its share of any assets held jointly
- its liabilities, including its share of any liabilities incurred jointly
- its revenue from the sale of its share of the output arising from the joint operation
- its share of the revenue from the sale of the output by the joint operation
- its expenses, including its share of any expenses incurred jointly.</v>
      </c>
      <c r="F384" s="1504"/>
      <c r="G384" s="1504"/>
      <c r="H384" s="1504"/>
      <c r="I384" s="1504"/>
      <c r="J384" s="1504"/>
      <c r="K384" s="1504"/>
      <c r="L384" s="1504"/>
    </row>
    <row r="385" spans="1:12" x14ac:dyDescent="0.25">
      <c r="A385" s="401" t="str">
        <f>IF(A384="Print","Print","Do Not Print")</f>
        <v>Print</v>
      </c>
      <c r="E385" s="1541"/>
      <c r="F385" s="1541"/>
      <c r="G385" s="1541"/>
      <c r="H385" s="1541"/>
      <c r="I385" s="1541"/>
      <c r="J385" s="1541"/>
      <c r="K385" s="1541"/>
      <c r="L385" s="1541"/>
    </row>
    <row r="386" spans="1:12" ht="17.25" customHeight="1" x14ac:dyDescent="0.25">
      <c r="A386" s="401" t="str">
        <f>IF('Non TB - Note 1'!F145=1,"Print","Do Not Print")</f>
        <v>Print</v>
      </c>
      <c r="C386" s="402" t="str">
        <f>+Checklist!E41</f>
        <v xml:space="preserve">b </v>
      </c>
      <c r="E386" s="1543" t="str">
        <f>IF('Non TB - Note 1'!F145=1,'Non TB - Note 1'!D145,"")</f>
        <v>Accounting Standards That Have Been Issued but Have Not Yet Been Adopted</v>
      </c>
      <c r="F386" s="1543"/>
      <c r="G386" s="1543"/>
      <c r="H386" s="1543"/>
      <c r="I386" s="1543"/>
      <c r="J386" s="1543"/>
      <c r="K386" s="1543"/>
      <c r="L386" s="1543"/>
    </row>
    <row r="387" spans="1:12" x14ac:dyDescent="0.25">
      <c r="A387" s="401" t="str">
        <f>IF(A386="Print","Print","Do Not Print")</f>
        <v>Print</v>
      </c>
      <c r="E387" s="1543"/>
      <c r="F387" s="1543"/>
      <c r="G387" s="1543"/>
      <c r="H387" s="1543"/>
      <c r="I387" s="1543"/>
      <c r="J387" s="1543"/>
      <c r="K387" s="1543"/>
      <c r="L387" s="1543"/>
    </row>
    <row r="388" spans="1:12" ht="86.25" customHeight="1" x14ac:dyDescent="0.25">
      <c r="A388" s="401" t="str">
        <f>IF('Non TB - Note 1'!F145=1,"Print","Do Not Print")</f>
        <v>Print</v>
      </c>
      <c r="E388" s="1504" t="str">
        <f>IF('Non TB - Note 1'!F145=1,'Non TB - Note 1'!H145,"")</f>
        <v xml:space="preserve">The Code of Practice on Local Authority Accounting in the United Kingdom (the Code) requires an authority to disclose information relating to the expected impact of an accounting change that will be required by a new standard that has been issued but not yet adopted. The Code also requires that changes in accounting policy are to be applied retrospectively unless transitional arrangements are specified, this would result in an impact on disclosures spanning two financial years. </v>
      </c>
      <c r="F388" s="1504"/>
      <c r="G388" s="1504"/>
      <c r="H388" s="1504"/>
      <c r="I388" s="1504"/>
      <c r="J388" s="1504"/>
      <c r="K388" s="1504"/>
      <c r="L388" s="1504"/>
    </row>
    <row r="389" spans="1:12" x14ac:dyDescent="0.25">
      <c r="A389" s="401" t="str">
        <f>IF(A388="Print","Print","Do Not Print")</f>
        <v>Print</v>
      </c>
      <c r="E389" s="1543"/>
      <c r="F389" s="1543"/>
      <c r="G389" s="1543"/>
      <c r="H389" s="1543"/>
      <c r="I389" s="1543"/>
      <c r="J389" s="1543"/>
      <c r="K389" s="1543"/>
      <c r="L389" s="1543"/>
    </row>
    <row r="390" spans="1:12" ht="45" customHeight="1" x14ac:dyDescent="0.25">
      <c r="A390" s="401" t="str">
        <f>IF('Non TB - Note 1'!F146=1,"Print","Do Not Print")</f>
        <v>Print</v>
      </c>
      <c r="E390" s="1504" t="str">
        <f>IF('Non TB - Note 1'!F146=1,'Non TB - Note 1'!H146,"")</f>
        <v>For 2025/26 the accounting policy changes that need to be reported will be confirmed in the year-end CIPFA Bulletin issued under the guidance of LAAP.  Appendix C of the 2025/26 Code will provide details of the disclosures required.</v>
      </c>
      <c r="F390" s="1504"/>
      <c r="G390" s="1504"/>
      <c r="H390" s="1504"/>
      <c r="I390" s="1504"/>
      <c r="J390" s="1504"/>
      <c r="K390" s="1504"/>
      <c r="L390" s="1504"/>
    </row>
    <row r="391" spans="1:12" x14ac:dyDescent="0.25">
      <c r="A391" s="401" t="str">
        <f>IF(A390="Print","Print","Do Not Print")</f>
        <v>Print</v>
      </c>
      <c r="E391" s="1504"/>
      <c r="F391" s="1504"/>
      <c r="G391" s="1504"/>
      <c r="H391" s="1504"/>
      <c r="I391" s="1504"/>
      <c r="J391" s="1504"/>
      <c r="K391" s="1504"/>
      <c r="L391" s="1504"/>
    </row>
    <row r="392" spans="1:12" ht="38.25" customHeight="1" x14ac:dyDescent="0.25">
      <c r="A392" s="401" t="str">
        <f>IF('Non TB - Note 1'!F147=1,"Print","Do Not Print")</f>
        <v>Print</v>
      </c>
      <c r="E392" s="1504" t="str">
        <f>IF('Non TB - Note 1'!F147=1,'Non TB - Note 1'!H147,"")</f>
        <v>Council specific detail</v>
      </c>
      <c r="F392" s="1504"/>
      <c r="G392" s="1504"/>
      <c r="H392" s="1504"/>
      <c r="I392" s="1504"/>
      <c r="J392" s="1504"/>
      <c r="K392" s="1504"/>
      <c r="L392" s="1504"/>
    </row>
    <row r="393" spans="1:12" ht="13.5" customHeight="1" x14ac:dyDescent="0.25">
      <c r="A393" s="401" t="str">
        <f>IF(A392="Print","Print","Do Not Print")</f>
        <v>Print</v>
      </c>
      <c r="E393" s="1504"/>
      <c r="F393" s="1504"/>
      <c r="G393" s="1504"/>
      <c r="H393" s="1504"/>
      <c r="I393" s="1504"/>
      <c r="J393" s="1504"/>
      <c r="K393" s="1504"/>
      <c r="L393" s="1504"/>
    </row>
    <row r="394" spans="1:12" ht="53.25" customHeight="1" x14ac:dyDescent="0.25">
      <c r="A394" s="401" t="str">
        <f>IF('Non TB - Note 1'!F148=1,"Print","Do Not Print")</f>
        <v>Print</v>
      </c>
      <c r="E394" s="1504" t="str">
        <f>IF('Non TB - Note 1'!F148=1,'Non TB - Note 1'!H148,"")</f>
        <v>Council specific detail</v>
      </c>
      <c r="F394" s="1504"/>
      <c r="G394" s="1504"/>
      <c r="H394" s="1504"/>
      <c r="I394" s="1504"/>
      <c r="J394" s="1504"/>
      <c r="K394" s="1504"/>
      <c r="L394" s="1504"/>
    </row>
    <row r="395" spans="1:12" ht="13.5" customHeight="1" x14ac:dyDescent="0.25">
      <c r="A395" s="401" t="str">
        <f>IF(A394="Print","Print","Do Not Print")</f>
        <v>Print</v>
      </c>
      <c r="E395" s="1504"/>
      <c r="F395" s="1504"/>
      <c r="G395" s="1504"/>
      <c r="H395" s="1504"/>
      <c r="I395" s="1504"/>
      <c r="J395" s="1504"/>
      <c r="K395" s="1504"/>
      <c r="L395" s="1504"/>
    </row>
    <row r="396" spans="1:12" ht="70.5" customHeight="1" x14ac:dyDescent="0.25">
      <c r="A396" s="401" t="str">
        <f>IF('Non TB - Note 1'!F149=1,"Print","Do Not Print")</f>
        <v>Print</v>
      </c>
      <c r="E396" s="1504" t="str">
        <f>IF('Non TB - Note 1'!F149=1,'Non TB - Note 1'!H149,"")</f>
        <v>Council specific detail</v>
      </c>
      <c r="F396" s="1504"/>
      <c r="G396" s="1504"/>
      <c r="H396" s="1504"/>
      <c r="I396" s="1504"/>
      <c r="J396" s="1504"/>
      <c r="K396" s="1504"/>
      <c r="L396" s="1504"/>
    </row>
    <row r="397" spans="1:12" ht="13.5" customHeight="1" x14ac:dyDescent="0.25">
      <c r="A397" s="401" t="str">
        <f>IF(A396="Print","Print","Do Not Print")</f>
        <v>Print</v>
      </c>
      <c r="E397" s="1705"/>
      <c r="F397" s="1705"/>
      <c r="G397" s="1705"/>
      <c r="H397" s="1705"/>
      <c r="I397" s="1705"/>
      <c r="J397" s="1705"/>
      <c r="K397" s="1705"/>
      <c r="L397" s="1705"/>
    </row>
    <row r="398" spans="1:12" ht="17.25" customHeight="1" x14ac:dyDescent="0.25">
      <c r="A398" s="401" t="str">
        <f>IF('Non TB - Note 1'!F150=1,"Print","Do Not Print")</f>
        <v>Print</v>
      </c>
      <c r="C398" s="402" t="str">
        <f>+Checklist!E42</f>
        <v>c</v>
      </c>
      <c r="E398" s="1707" t="str">
        <f>IF('Non TB - Note 1'!F150=1,'Non TB - Note 1'!D150,"")</f>
        <v>Critical Judgements in Applying Accounting Policies</v>
      </c>
      <c r="F398" s="1707"/>
      <c r="G398" s="1707"/>
      <c r="H398" s="1707"/>
      <c r="I398" s="1707"/>
      <c r="J398" s="1707"/>
      <c r="K398" s="1707"/>
      <c r="L398" s="1707"/>
    </row>
    <row r="399" spans="1:12" x14ac:dyDescent="0.25">
      <c r="A399" s="401" t="str">
        <f>IF(A398="Print","Print","Do Not Print")</f>
        <v>Print</v>
      </c>
      <c r="E399" s="1707"/>
      <c r="F399" s="1707"/>
      <c r="G399" s="1707"/>
      <c r="H399" s="1707"/>
      <c r="I399" s="1707"/>
      <c r="J399" s="1707"/>
      <c r="K399" s="1707"/>
      <c r="L399" s="1707"/>
    </row>
    <row r="400" spans="1:12" ht="44.25" customHeight="1" x14ac:dyDescent="0.25">
      <c r="A400" s="401" t="str">
        <f>IF('Non TB - Note 1'!F150=1,"Print","Do Not Print")</f>
        <v>Print</v>
      </c>
      <c r="E400" s="1704" t="str">
        <f>IF('Non TB - Note 1'!F150=1,'Non TB - Note 1'!H150,"")</f>
        <v>In applying accounting policies set out from 1a above,  the Council has had to make certain judgements about complex transactions or those involving uncertainty about future events.  The critical judgements made in the Statement of Accounts are:</v>
      </c>
      <c r="F400" s="1704"/>
      <c r="G400" s="1704"/>
      <c r="H400" s="1704"/>
      <c r="I400" s="1704"/>
      <c r="J400" s="1704"/>
      <c r="K400" s="1704"/>
      <c r="L400" s="1704"/>
    </row>
    <row r="401" spans="1:21" ht="12.75" customHeight="1" x14ac:dyDescent="0.25">
      <c r="A401" s="401" t="str">
        <f>IF(A400="Print","Print","Do Not Print")</f>
        <v>Print</v>
      </c>
      <c r="E401" s="1704"/>
      <c r="F401" s="1704"/>
      <c r="G401" s="1704"/>
      <c r="H401" s="1704"/>
      <c r="I401" s="1704"/>
      <c r="J401" s="1704"/>
      <c r="K401" s="1704"/>
      <c r="L401" s="1704"/>
      <c r="N401" s="1723"/>
      <c r="O401" s="1513"/>
      <c r="P401" s="1513"/>
      <c r="Q401" s="1513"/>
      <c r="R401" s="1513"/>
      <c r="S401" s="1513"/>
      <c r="T401" s="1513"/>
      <c r="U401" s="1513"/>
    </row>
    <row r="402" spans="1:21" ht="74.25" customHeight="1" x14ac:dyDescent="0.25">
      <c r="A402" s="401" t="str">
        <f>IF('Non TB - Note 1'!F151=1,"Print","Do Not Print")</f>
        <v>Print</v>
      </c>
      <c r="E402" s="1704" t="str">
        <f>IF('Non TB - Note 1'!F151=1,'Non TB - Note 1'!H151,"")</f>
        <v>Examples below are for illustration only and Councils must adapt to their own local circumstances
- There is a high degree of uncertainty about future levels of funding for local government.  However, the Council has determined that this uncertainty is not yet sufficient to provide an indication that the assets of the Council might be impaired as a result of a need to close facilities and reduce levels of service provision.</v>
      </c>
      <c r="F402" s="1704"/>
      <c r="G402" s="1704"/>
      <c r="H402" s="1704"/>
      <c r="I402" s="1704"/>
      <c r="J402" s="1704"/>
      <c r="K402" s="1704"/>
      <c r="L402" s="1704"/>
      <c r="N402" s="1723"/>
      <c r="O402" s="1513"/>
      <c r="P402" s="1513"/>
      <c r="Q402" s="1513"/>
      <c r="R402" s="1513"/>
      <c r="S402" s="1513"/>
      <c r="T402" s="1513"/>
      <c r="U402" s="1513"/>
    </row>
    <row r="403" spans="1:21" ht="12.75" customHeight="1" x14ac:dyDescent="0.25">
      <c r="A403" s="401" t="str">
        <f>IF(A402="Print","Print","Do Not Print")</f>
        <v>Print</v>
      </c>
      <c r="E403" s="1704"/>
      <c r="F403" s="1704"/>
      <c r="G403" s="1704"/>
      <c r="H403" s="1704"/>
      <c r="I403" s="1704"/>
      <c r="J403" s="1704"/>
      <c r="K403" s="1704"/>
      <c r="L403" s="1704"/>
      <c r="N403" s="407"/>
      <c r="O403" s="408"/>
      <c r="P403" s="408"/>
      <c r="Q403" s="408"/>
      <c r="R403" s="408"/>
      <c r="S403" s="408"/>
      <c r="T403" s="408"/>
      <c r="U403" s="408"/>
    </row>
    <row r="404" spans="1:21" ht="75" customHeight="1" x14ac:dyDescent="0.25">
      <c r="A404" s="401" t="str">
        <f>IF('Non TB - Note 1'!F152=1,"Print","Do Not Print")</f>
        <v>Print</v>
      </c>
      <c r="E404" s="1704" t="str">
        <f>IF('Non TB - Note 1'!F152=1,'Non TB - Note 1'!H152,"")</f>
        <v>Examples below are for illustration only and Councils must adapt to their own local circumstances
- The Council has £Xm deposited with XYZ Bank which is in administration.  A decision by the courts is being sought as to whether the Council will have the status of a preferred creditor or whether the amount will have to be written off.  Legal advice has been obtained to support a judgement that this status will be secured and that the full amount of the deposit will be repaid.</v>
      </c>
      <c r="F404" s="1704"/>
      <c r="G404" s="1704"/>
      <c r="H404" s="1704"/>
      <c r="I404" s="1704"/>
      <c r="J404" s="1704"/>
      <c r="K404" s="1704"/>
      <c r="L404" s="1704"/>
      <c r="N404" s="407"/>
      <c r="O404" s="408"/>
      <c r="P404" s="408"/>
      <c r="Q404" s="408"/>
      <c r="R404" s="408"/>
      <c r="S404" s="408"/>
      <c r="T404" s="408"/>
      <c r="U404" s="408"/>
    </row>
    <row r="405" spans="1:21" ht="12.75" customHeight="1" x14ac:dyDescent="0.25">
      <c r="A405" s="401" t="str">
        <f>IF(A404="Print","Print","Do Not Print")</f>
        <v>Print</v>
      </c>
      <c r="E405" s="1704"/>
      <c r="F405" s="1704"/>
      <c r="G405" s="1704"/>
      <c r="H405" s="1704"/>
      <c r="I405" s="1704"/>
      <c r="J405" s="1704"/>
      <c r="K405" s="1704"/>
      <c r="L405" s="1704"/>
      <c r="N405" s="1723"/>
      <c r="O405" s="1513"/>
      <c r="P405" s="1513"/>
      <c r="Q405" s="1513"/>
      <c r="R405" s="1513"/>
      <c r="S405" s="1513"/>
      <c r="T405" s="1513"/>
      <c r="U405" s="1513"/>
    </row>
    <row r="406" spans="1:21" ht="75.75" customHeight="1" x14ac:dyDescent="0.25">
      <c r="A406" s="401" t="str">
        <f>IF('Non TB - Note 1'!F153=1,"Print","Do Not Print")</f>
        <v>Print</v>
      </c>
      <c r="E406" s="1704" t="str">
        <f>IF('Non TB - Note 1'!F153=1,'Non TB - Note 1'!H153,"")</f>
        <v>Examples below are for illustration only and Councils must adapt to their own local circumstances
- A claim has been made against the Council in relation TO the cancellation of A major procurement contract.  With the support of the Council’s legal advisors, it has been assessed that the Council was entitled TO cancel the contract and no provision for possible damages has been made in relation TO the claim.</v>
      </c>
      <c r="F406" s="1704"/>
      <c r="G406" s="1704"/>
      <c r="H406" s="1704"/>
      <c r="I406" s="1704"/>
      <c r="J406" s="1704"/>
      <c r="K406" s="1704"/>
      <c r="L406" s="1704"/>
      <c r="N406" s="407"/>
      <c r="O406" s="408"/>
      <c r="P406" s="408"/>
      <c r="Q406" s="408"/>
      <c r="R406" s="408"/>
      <c r="S406" s="408"/>
      <c r="T406" s="408"/>
      <c r="U406" s="408"/>
    </row>
    <row r="407" spans="1:21" ht="12.75" customHeight="1" x14ac:dyDescent="0.25">
      <c r="A407" s="401" t="str">
        <f>IF(A406="Print","Print","Do Not Print")</f>
        <v>Print</v>
      </c>
      <c r="E407" s="1704"/>
      <c r="F407" s="1704"/>
      <c r="G407" s="1704"/>
      <c r="H407" s="1704"/>
      <c r="I407" s="1704"/>
      <c r="J407" s="1704"/>
      <c r="K407" s="1704"/>
      <c r="L407" s="1704"/>
      <c r="N407" s="407"/>
      <c r="O407" s="408"/>
      <c r="P407" s="408"/>
      <c r="Q407" s="408"/>
      <c r="R407" s="408"/>
      <c r="S407" s="408"/>
      <c r="T407" s="408"/>
      <c r="U407" s="408"/>
    </row>
    <row r="408" spans="1:21" ht="21" customHeight="1" x14ac:dyDescent="0.25">
      <c r="A408" s="401" t="str">
        <f>IF('Non TB - Note 1'!F154=1,"Print","Do Not Print")</f>
        <v>Print</v>
      </c>
      <c r="C408" s="402" t="str">
        <f>Checklist!E43</f>
        <v>d</v>
      </c>
      <c r="E408" s="1543" t="str">
        <f>IF('Non TB - Note 1'!F154=1,'Non TB - Note 1'!D154,"")</f>
        <v>Assumptions Made About the Future and Other Major Sources of Estimation Uncertainty</v>
      </c>
      <c r="F408" s="1543"/>
      <c r="G408" s="1543"/>
      <c r="H408" s="1543"/>
      <c r="I408" s="1543"/>
      <c r="J408" s="1543"/>
      <c r="K408" s="1543"/>
      <c r="L408" s="1543"/>
    </row>
    <row r="409" spans="1:21" x14ac:dyDescent="0.25">
      <c r="A409" s="401" t="str">
        <f>IF(A408="Print","Print","Do Not Print")</f>
        <v>Print</v>
      </c>
      <c r="E409" s="1543"/>
      <c r="F409" s="1543"/>
      <c r="G409" s="1543"/>
      <c r="H409" s="1543"/>
      <c r="I409" s="1543"/>
      <c r="J409" s="1543"/>
      <c r="K409" s="1543"/>
      <c r="L409" s="1543"/>
    </row>
    <row r="410" spans="1:21" ht="108.6" customHeight="1" x14ac:dyDescent="0.25">
      <c r="A410" s="401" t="str">
        <f>IF('Non TB - Note 1'!F154=1,"Print","Do Not Print")</f>
        <v>Print</v>
      </c>
      <c r="E410" s="1704" t="str">
        <f>IF('Non TB - Note 1'!F154=1,'Non TB - Note 1'!H154,"")</f>
        <v xml:space="preserve">The Statement of Accounts contains estimated figures that are based on assumptions made by the Council about the future or that are otherwise uncertain.  Estimates are made taking into account historical experience, current trends and other relevant factors.  However, because balances cannot be determined with certainty, actual results could be materially different from the assumptions and estimates.
The items in the Council’s Balance Sheet at 31 March 2026 for which there is a significant risk of material adjustment in the forthcoming financial year are as follows:
</v>
      </c>
      <c r="F410" s="1704"/>
      <c r="G410" s="1704"/>
      <c r="H410" s="1704"/>
      <c r="I410" s="1704"/>
      <c r="J410" s="1704"/>
      <c r="K410" s="1704"/>
      <c r="L410" s="1704"/>
    </row>
    <row r="411" spans="1:21" ht="12.75" customHeight="1" x14ac:dyDescent="0.25">
      <c r="A411" s="401" t="str">
        <f>IF(A410="Print","Print","Do Not Print")</f>
        <v>Print</v>
      </c>
      <c r="E411" s="1704"/>
      <c r="F411" s="1704"/>
      <c r="G411" s="1704"/>
      <c r="H411" s="1704"/>
      <c r="I411" s="1704"/>
      <c r="J411" s="1704"/>
      <c r="K411" s="1704"/>
      <c r="L411" s="1704"/>
    </row>
    <row r="412" spans="1:21" ht="21.75" customHeight="1" x14ac:dyDescent="0.25">
      <c r="A412" s="401" t="str">
        <f>IF('Non TB - Note 1'!F155=1,"Print","Do Not Print")</f>
        <v>Print</v>
      </c>
      <c r="D412" s="403" t="str">
        <f>+Checklist!E44</f>
        <v>i)</v>
      </c>
      <c r="E412" s="1706" t="str">
        <f>IF('Non TB - Note 1'!F155=1,'Non TB - Note 1'!E155,"")</f>
        <v>Property, Plant and Equipment</v>
      </c>
      <c r="F412" s="1706"/>
      <c r="G412" s="1706"/>
      <c r="H412" s="1706"/>
      <c r="I412" s="1706"/>
      <c r="J412" s="1706"/>
      <c r="K412" s="1706"/>
      <c r="L412" s="1706"/>
      <c r="N412" s="401" t="s">
        <v>2342</v>
      </c>
    </row>
    <row r="413" spans="1:21" x14ac:dyDescent="0.25">
      <c r="A413" s="401" t="str">
        <f>IF(A412="Print","Print","Do Not Print")</f>
        <v>Print</v>
      </c>
      <c r="E413" s="1713"/>
      <c r="F413" s="1713"/>
      <c r="G413" s="1713"/>
      <c r="H413" s="1713"/>
      <c r="I413" s="1713"/>
      <c r="J413" s="1713"/>
      <c r="K413" s="1713"/>
      <c r="L413" s="1713"/>
    </row>
    <row r="414" spans="1:21" ht="145.05000000000001" customHeight="1" x14ac:dyDescent="0.25">
      <c r="A414" s="401" t="str">
        <f>IF('Non TB - Note 1'!F155=1,"Print","Do Not Print")</f>
        <v>Print</v>
      </c>
      <c r="E414" s="1704" t="str">
        <f>IF('Non TB - Note 1'!F155=1,'Non TB - Note 1'!H155,"")</f>
        <v>Assets are depreciated over useful lives that are dependent on assumptions about the level of repairs and maintenance that will be incurred in relation to individual assets.  The current economic climate makes it uncertain that the Council will be able to sustain its current spending on repairs and maintenance, bringing into doubt the useful lives assigned to assets.
If the useful life of assets is reduced, depreciation increases and the carrying amount of the assets falls.
It is estimated that the annual depreciation charge for buildings would increase by £x for every year that useful lives had to be reduced.</v>
      </c>
      <c r="F414" s="1704"/>
      <c r="G414" s="1704"/>
      <c r="H414" s="1704"/>
      <c r="I414" s="1704"/>
      <c r="J414" s="1704"/>
      <c r="K414" s="1704"/>
      <c r="L414" s="1704"/>
    </row>
    <row r="415" spans="1:21" ht="12.75" customHeight="1" x14ac:dyDescent="0.25">
      <c r="A415" s="401" t="str">
        <f>IF(A414="Print","Print","Do Not Print")</f>
        <v>Print</v>
      </c>
      <c r="E415" s="1704"/>
      <c r="F415" s="1704"/>
      <c r="G415" s="1704"/>
      <c r="H415" s="1704"/>
      <c r="I415" s="1704"/>
      <c r="J415" s="1704"/>
      <c r="K415" s="1704"/>
      <c r="L415" s="1704"/>
    </row>
    <row r="416" spans="1:21" ht="12.75" customHeight="1" x14ac:dyDescent="0.25">
      <c r="A416" s="401" t="str">
        <f>IF('Non TB - Note 1'!F156=1,"Print","Do Not Print")</f>
        <v>Print</v>
      </c>
      <c r="D416" s="403" t="str">
        <f>+Checklist!E45</f>
        <v>ii)</v>
      </c>
      <c r="E416" s="1707" t="str">
        <f>IF('Non TB - Note 1'!F156=1,'Non TB - Note 1'!E156,"")</f>
        <v>Fair Value Measurement</v>
      </c>
      <c r="F416" s="1707"/>
      <c r="G416" s="1707"/>
      <c r="H416" s="1707"/>
      <c r="I416" s="1707"/>
      <c r="J416" s="1707"/>
      <c r="K416" s="1707"/>
      <c r="L416" s="1707"/>
    </row>
    <row r="417" spans="1:12" ht="12.75" customHeight="1" x14ac:dyDescent="0.25">
      <c r="A417" s="401" t="str">
        <f>IF(A416="Print","Print","Do Not Print")</f>
        <v>Print</v>
      </c>
      <c r="E417" s="1704"/>
      <c r="F417" s="1704"/>
      <c r="G417" s="1704"/>
      <c r="H417" s="1704"/>
      <c r="I417" s="1704"/>
      <c r="J417" s="1704"/>
      <c r="K417" s="1704"/>
      <c r="L417" s="1704"/>
    </row>
    <row r="418" spans="1:12" ht="279" customHeight="1" x14ac:dyDescent="0.25">
      <c r="A418" s="401" t="str">
        <f>IF('Non TB - Note 1'!F156=1,"Print","Do Not Print")</f>
        <v>Print</v>
      </c>
      <c r="E418" s="1704" t="str">
        <f>IF('Non TB - Note 1'!F156=1,'Non TB - Note 1'!H156,"")</f>
        <v>When the fair values of financial assets and financial liabilities cannot be measured based on quoted prices in active markets (i.e. Level 1 inputs), their fair value is measured using valuation techniques (e.g. quoted prices for similar assets or liabilities in active markets or the discounted cash flow (DCF) model.  Where possible, the inputs to these valuation techniques are based on observable data, but where this is not possible judgement is required in establishing fair values.  These judgements typically include considerations such as uncertainty and risk.  However, changes in the assumptions used could affect the fair value of the Council's assets and liabilities.
Where Level 1 inputs are not available, the Council employs relevant experts to identify the most appropriate valuation techniques to determine fair value (for example for investment properties, the Council's Chief Valuation Officer and External Valuer).
Information about the valuation techniques and inputs used in determining the fair value of the Council's assets and liabilities is disclosed in notes xx and xx below.
The Council uses the discounted cash flow (DCF) model to measure the fair value of some of its investment properties and financial assets.
The significant unobservable inputs used in the fair value measurement include management assumptions regarding rent growth, vacancy levels (for investment properties) and discounts rates - adjusted for regional factors (for both investment properties and some financial assets)
Significant changes in any of the unobservable inputs would result in a significantly lower or higher fair value measurement for the investment properties and financial assets.</v>
      </c>
      <c r="F418" s="1704"/>
      <c r="G418" s="1704"/>
      <c r="H418" s="1704"/>
      <c r="I418" s="1704"/>
      <c r="J418" s="1704"/>
      <c r="K418" s="1704"/>
      <c r="L418" s="1704"/>
    </row>
    <row r="419" spans="1:12" ht="12.75" customHeight="1" x14ac:dyDescent="0.25">
      <c r="A419" s="401" t="str">
        <f>IF(A418="Print","Print","Do Not Print")</f>
        <v>Print</v>
      </c>
      <c r="E419" s="1704"/>
      <c r="F419" s="1704"/>
      <c r="G419" s="1704"/>
      <c r="H419" s="1704"/>
      <c r="I419" s="1704"/>
      <c r="J419" s="1704"/>
      <c r="K419" s="1704"/>
      <c r="L419" s="1704"/>
    </row>
    <row r="420" spans="1:12" ht="13.5" customHeight="1" x14ac:dyDescent="0.25">
      <c r="A420" s="401" t="str">
        <f>IF('Non TB - Note 1'!F157=1,"Print","Do Not Print")</f>
        <v>Print</v>
      </c>
      <c r="D420" s="403" t="str">
        <f>+Checklist!E46</f>
        <v>iii)</v>
      </c>
      <c r="E420" s="1713" t="str">
        <f>IF('Non TB - Note 1'!F157=1,'Non TB - Note 1'!E157,"")</f>
        <v>Provisions</v>
      </c>
      <c r="F420" s="1713"/>
      <c r="G420" s="1713"/>
      <c r="H420" s="1713"/>
      <c r="I420" s="1713"/>
      <c r="J420" s="1713"/>
      <c r="K420" s="1713"/>
      <c r="L420" s="1713"/>
    </row>
    <row r="421" spans="1:12" ht="13.5" customHeight="1" x14ac:dyDescent="0.25">
      <c r="A421" s="401" t="str">
        <f>IF(A420="Print","Print","Do Not Print")</f>
        <v>Print</v>
      </c>
      <c r="E421" s="1713"/>
      <c r="F421" s="1713"/>
      <c r="G421" s="1713"/>
      <c r="H421" s="1713"/>
      <c r="I421" s="1713"/>
      <c r="J421" s="1713"/>
      <c r="K421" s="1713"/>
      <c r="L421" s="1713"/>
    </row>
    <row r="422" spans="1:12" ht="103.5" customHeight="1" x14ac:dyDescent="0.25">
      <c r="A422" s="401" t="str">
        <f>IF('Non TB - Note 1'!F157=1,"Print","Do Not Print")</f>
        <v>Print</v>
      </c>
      <c r="E422" s="1704" t="str">
        <f>IF('Non TB - Note 1'!F157=1,'Non TB - Note 1'!H157,"")</f>
        <v>The Council has made a provision of £Xm for the settlement of claims for back pay arising from the Equal Pay initiative, based on the number of claims received and an average settlement amount.  It is not certain that all valid claims have yet been received by the Council or that precedents set by other Councils in the settlement of claims will be applicable.
An increase over the forthcoming year of X% in either the total number of claims or the estimated average settlement would each have the effect of adding £Xk to the provision needed.</v>
      </c>
      <c r="F422" s="1704"/>
      <c r="G422" s="1704"/>
      <c r="H422" s="1704"/>
      <c r="I422" s="1704"/>
      <c r="J422" s="1704"/>
      <c r="K422" s="1704"/>
      <c r="L422" s="1704"/>
    </row>
    <row r="423" spans="1:12" ht="13.5" customHeight="1" x14ac:dyDescent="0.25">
      <c r="A423" s="401" t="str">
        <f>IF(A422="Print","Print","Do Not Print")</f>
        <v>Print</v>
      </c>
      <c r="E423" s="1704"/>
      <c r="F423" s="1704"/>
      <c r="G423" s="1704"/>
      <c r="H423" s="1704"/>
      <c r="I423" s="1704"/>
      <c r="J423" s="1704"/>
      <c r="K423" s="1704"/>
      <c r="L423" s="1704"/>
    </row>
    <row r="424" spans="1:12" ht="13.5" customHeight="1" x14ac:dyDescent="0.25">
      <c r="A424" s="401" t="str">
        <f>IF('Non TB - Note 1'!F158=1,"Print","Do Not Print")</f>
        <v>Print</v>
      </c>
      <c r="D424" s="403" t="str">
        <f>+Checklist!E47</f>
        <v>iv)</v>
      </c>
      <c r="E424" s="1714" t="str">
        <f>IF('Non TB - Note 1'!F158=1,'Non TB - Note 1'!E158,"")</f>
        <v>Pension Liability</v>
      </c>
      <c r="F424" s="1714"/>
      <c r="G424" s="1714"/>
      <c r="H424" s="1714"/>
      <c r="I424" s="1714"/>
      <c r="J424" s="1714"/>
      <c r="K424" s="1714"/>
      <c r="L424" s="1714"/>
    </row>
    <row r="425" spans="1:12" x14ac:dyDescent="0.25">
      <c r="A425" s="401" t="str">
        <f>IF(A424="Print","Print","Do Not Print")</f>
        <v>Print</v>
      </c>
      <c r="E425" s="1714"/>
      <c r="F425" s="1714"/>
      <c r="G425" s="1714"/>
      <c r="H425" s="1714"/>
      <c r="I425" s="1714"/>
      <c r="J425" s="1714"/>
      <c r="K425" s="1714"/>
      <c r="L425" s="1714"/>
    </row>
    <row r="426" spans="1:12" ht="183" customHeight="1" x14ac:dyDescent="0.25">
      <c r="A426" s="401" t="str">
        <f>IF('Non TB - Note 1'!F158=1,"Print","Do Not Print")</f>
        <v>Print</v>
      </c>
      <c r="E426" s="1704" t="str">
        <f>IF('Non TB - Note 1'!F158=1,'Non TB - Note 1'!H158,"")</f>
        <v>Estimation of the net liability to pay pensions depends on a number of complex judgements relating to the discount rate used, the rate at which salaries are projected to increase, changes in retirement ages, mortality rates and expected returns on pension fund assets.  A firm of consulting actuaries is engaged to provide the Council with expert advice about the assumptions to be applied.
The effects on the net pension liability of changes in individual assumptions can be measured.  For instance, a 0.5% increase in the discount rate assumption would result in a decrease in the pension liability of £x.
However, the assumptions interact in complex ways.  During 2025/26, the Council's actuaries advised that the net pensions liability had increased by £x as a result of experience and decreased by £x attributable to updating of the assumptions.</v>
      </c>
      <c r="F426" s="1704"/>
      <c r="G426" s="1704"/>
      <c r="H426" s="1704"/>
      <c r="I426" s="1704"/>
      <c r="J426" s="1704"/>
      <c r="K426" s="1704"/>
      <c r="L426" s="1704"/>
    </row>
    <row r="427" spans="1:12" x14ac:dyDescent="0.25">
      <c r="A427" s="401" t="str">
        <f>IF(A426="Print","Print","Do Not Print")</f>
        <v>Print</v>
      </c>
      <c r="E427" s="1056"/>
      <c r="F427" s="1056"/>
      <c r="G427" s="1056"/>
      <c r="H427" s="1064"/>
      <c r="I427" s="1064"/>
      <c r="J427" s="1064"/>
      <c r="K427" s="1064"/>
      <c r="L427" s="1056"/>
    </row>
    <row r="428" spans="1:12" x14ac:dyDescent="0.25">
      <c r="A428" s="401" t="str">
        <f>IF('Non TB - Note 1'!F159=1,"Print","Do Not Print")</f>
        <v>Print</v>
      </c>
      <c r="D428" s="403" t="str">
        <f>+Checklist!E48</f>
        <v>v)</v>
      </c>
      <c r="E428" s="1713" t="str">
        <f>IF('Non TB - Note 1'!F159=1,'Non TB - Note 1'!E159,"")</f>
        <v>Arrears</v>
      </c>
      <c r="F428" s="1713"/>
      <c r="G428" s="1713"/>
      <c r="H428" s="1713"/>
      <c r="I428" s="1713"/>
      <c r="J428" s="1713"/>
      <c r="K428" s="1713"/>
      <c r="L428" s="405"/>
    </row>
    <row r="429" spans="1:12" x14ac:dyDescent="0.25">
      <c r="A429" s="401" t="str">
        <f>IF(A428="Print","Print","Do Not Print")</f>
        <v>Print</v>
      </c>
      <c r="E429" s="1713"/>
      <c r="F429" s="1713"/>
      <c r="G429" s="1713"/>
      <c r="H429" s="1713"/>
      <c r="I429" s="1713"/>
      <c r="J429" s="1713"/>
      <c r="K429" s="1713"/>
      <c r="L429" s="1055"/>
    </row>
    <row r="430" spans="1:12" ht="129.75" customHeight="1" x14ac:dyDescent="0.25">
      <c r="A430" s="401" t="str">
        <f>IF('Non TB - Note 1'!F159=1,"Print","Do Not Print")</f>
        <v>Print</v>
      </c>
      <c r="E430" s="1704" t="str">
        <f>IF('Non TB - Note 1'!F159=1,'Non TB - Note 1'!H159,"")</f>
        <v xml:space="preserve">At 31 March 2025, the Council had a balance of sundry debtors for £Xk.  A review of significant balances suggested that an allowance for doubtful debts of X% (£Xk) was appropriate.  However, in the current economic climate it is not certain that such an allowance would be sufficient.
If collection rates were to deteriorate, a doubling of the amount of doubtful debts would require an additional £Xk to set aside as an allowance.
</v>
      </c>
      <c r="F430" s="1704"/>
      <c r="G430" s="1704"/>
      <c r="H430" s="1704"/>
      <c r="I430" s="1704"/>
      <c r="J430" s="1704"/>
      <c r="K430" s="1704"/>
      <c r="L430" s="639"/>
    </row>
    <row r="431" spans="1:12" x14ac:dyDescent="0.25">
      <c r="A431" s="401" t="str">
        <f>IF(A430="Print","Print","Do Not Print")</f>
        <v>Print</v>
      </c>
      <c r="E431" s="1500"/>
      <c r="F431" s="1500"/>
      <c r="G431" s="1500"/>
      <c r="H431" s="1500"/>
      <c r="I431" s="1500"/>
      <c r="J431" s="1500"/>
      <c r="K431" s="1500"/>
    </row>
    <row r="432" spans="1:12" x14ac:dyDescent="0.25">
      <c r="A432" s="401" t="str">
        <f>IF('Non TB - Note 1'!F160=1,"Print","Do Not Print")</f>
        <v>Print</v>
      </c>
      <c r="D432" s="403" t="str">
        <f>+Checklist!E49</f>
        <v>vi)</v>
      </c>
      <c r="E432" s="1538" t="str">
        <f>IF('Non TB - Note 1'!F160=1,'Non TB - Note 1'!E160,"")</f>
        <v>INSERT HEADING OF ADDITIONAL NARRATIVE</v>
      </c>
      <c r="F432" s="1538"/>
      <c r="G432" s="1538"/>
      <c r="H432" s="1538"/>
      <c r="I432" s="1538"/>
      <c r="J432" s="1538"/>
      <c r="K432" s="1538"/>
    </row>
    <row r="433" spans="1:12" x14ac:dyDescent="0.25">
      <c r="A433" s="401" t="str">
        <f>IF(A432="Print","Print","Do Not Print")</f>
        <v>Print</v>
      </c>
      <c r="E433" s="1500"/>
      <c r="F433" s="1500"/>
      <c r="G433" s="1500"/>
      <c r="H433" s="1500"/>
      <c r="I433" s="1500"/>
      <c r="J433" s="1500"/>
      <c r="K433" s="1500"/>
    </row>
    <row r="434" spans="1:12" x14ac:dyDescent="0.25">
      <c r="A434" s="401" t="str">
        <f>IF('Non TB - Note 1'!F160=1,"Print","Do Not Print")</f>
        <v>Print</v>
      </c>
      <c r="E434" s="1500" t="str">
        <f>IF('Non TB - Note 1'!F160=1,'Non TB - Note 1'!H160,"")</f>
        <v>Additional narrative</v>
      </c>
      <c r="F434" s="1500"/>
      <c r="G434" s="1500"/>
      <c r="H434" s="1500"/>
      <c r="I434" s="1500"/>
      <c r="J434" s="1500"/>
      <c r="K434" s="1500"/>
    </row>
    <row r="435" spans="1:12" x14ac:dyDescent="0.25">
      <c r="A435" s="401" t="str">
        <f>IF(A434="Print","Print","Do Not Print")</f>
        <v>Print</v>
      </c>
      <c r="E435" s="1500"/>
      <c r="F435" s="1500"/>
      <c r="G435" s="1500"/>
      <c r="H435" s="1500"/>
      <c r="I435" s="1500"/>
      <c r="J435" s="1500"/>
      <c r="K435" s="1500"/>
    </row>
    <row r="436" spans="1:12" x14ac:dyDescent="0.25">
      <c r="A436" s="401" t="s">
        <v>593</v>
      </c>
      <c r="E436" s="1500"/>
      <c r="F436" s="1500"/>
      <c r="G436" s="1500"/>
      <c r="H436" s="1500"/>
      <c r="I436" s="1500"/>
      <c r="J436" s="1500"/>
      <c r="K436" s="1500"/>
    </row>
    <row r="437" spans="1:12" x14ac:dyDescent="0.25">
      <c r="A437" s="401" t="s">
        <v>593</v>
      </c>
      <c r="E437" s="1500"/>
      <c r="F437" s="1500"/>
      <c r="G437" s="1500"/>
      <c r="H437" s="1500"/>
      <c r="I437" s="1500"/>
      <c r="J437" s="1500"/>
      <c r="K437" s="1500"/>
    </row>
    <row r="438" spans="1:12" x14ac:dyDescent="0.25">
      <c r="A438" s="401" t="s">
        <v>593</v>
      </c>
      <c r="E438" s="1500"/>
      <c r="F438" s="1500"/>
      <c r="G438" s="1500"/>
      <c r="H438" s="1500"/>
      <c r="I438" s="1500"/>
      <c r="J438" s="1500"/>
      <c r="K438" s="1500"/>
    </row>
    <row r="439" spans="1:12" x14ac:dyDescent="0.25">
      <c r="A439" s="401" t="s">
        <v>593</v>
      </c>
      <c r="E439" s="1500"/>
      <c r="F439" s="1500"/>
      <c r="G439" s="1500"/>
      <c r="H439" s="1500"/>
      <c r="I439" s="1500"/>
      <c r="J439" s="1500"/>
      <c r="K439" s="1500"/>
    </row>
    <row r="440" spans="1:12" x14ac:dyDescent="0.25">
      <c r="E440" s="1718"/>
      <c r="F440" s="1718"/>
      <c r="G440" s="1718"/>
      <c r="H440" s="1719"/>
      <c r="I440" s="1719"/>
      <c r="J440" s="1719"/>
      <c r="K440" s="1719"/>
      <c r="L440" s="1718"/>
    </row>
    <row r="441" spans="1:12" x14ac:dyDescent="0.25">
      <c r="E441" s="411"/>
      <c r="F441" s="411"/>
      <c r="G441" s="411"/>
      <c r="H441" s="889"/>
      <c r="I441" s="889"/>
      <c r="J441" s="889"/>
      <c r="K441" s="889"/>
      <c r="L441" s="411"/>
    </row>
    <row r="442" spans="1:12" x14ac:dyDescent="0.25">
      <c r="E442" s="411"/>
      <c r="F442" s="411"/>
      <c r="G442" s="411"/>
      <c r="H442" s="889"/>
      <c r="I442" s="889"/>
      <c r="J442" s="889"/>
      <c r="K442" s="889"/>
      <c r="L442" s="411"/>
    </row>
    <row r="443" spans="1:12" x14ac:dyDescent="0.25">
      <c r="E443" s="411"/>
      <c r="F443" s="411"/>
      <c r="G443" s="411"/>
      <c r="H443" s="889"/>
      <c r="I443" s="889"/>
      <c r="J443" s="889"/>
      <c r="K443" s="889"/>
      <c r="L443" s="411"/>
    </row>
    <row r="444" spans="1:12" x14ac:dyDescent="0.25">
      <c r="E444" s="411"/>
      <c r="F444" s="411"/>
      <c r="G444" s="411"/>
      <c r="H444" s="889"/>
      <c r="I444" s="889"/>
      <c r="J444" s="889"/>
      <c r="K444" s="889"/>
      <c r="L444" s="411"/>
    </row>
    <row r="445" spans="1:12" x14ac:dyDescent="0.25">
      <c r="E445" s="411"/>
      <c r="F445" s="411"/>
      <c r="G445" s="411"/>
      <c r="H445" s="889"/>
      <c r="I445" s="889"/>
      <c r="J445" s="889"/>
      <c r="K445" s="889"/>
      <c r="L445" s="411"/>
    </row>
    <row r="446" spans="1:12" x14ac:dyDescent="0.25">
      <c r="E446" s="411"/>
      <c r="F446" s="411"/>
      <c r="G446" s="411"/>
      <c r="H446" s="889"/>
      <c r="I446" s="889"/>
      <c r="J446" s="889"/>
      <c r="K446" s="889"/>
      <c r="L446" s="411"/>
    </row>
    <row r="447" spans="1:12" x14ac:dyDescent="0.25">
      <c r="E447" s="411"/>
      <c r="F447" s="411"/>
      <c r="G447" s="411"/>
      <c r="H447" s="889"/>
      <c r="I447" s="889"/>
      <c r="J447" s="889"/>
      <c r="K447" s="889"/>
      <c r="L447" s="411"/>
    </row>
    <row r="448" spans="1:12" x14ac:dyDescent="0.25">
      <c r="E448" s="411"/>
      <c r="F448" s="411"/>
      <c r="G448" s="411"/>
      <c r="H448" s="411"/>
      <c r="I448" s="411"/>
      <c r="J448" s="411"/>
      <c r="K448" s="411"/>
      <c r="L448" s="411"/>
    </row>
    <row r="449" spans="5:12" x14ac:dyDescent="0.25">
      <c r="E449" s="411"/>
      <c r="F449" s="411"/>
      <c r="G449" s="411"/>
      <c r="H449" s="411"/>
      <c r="I449" s="411"/>
      <c r="J449" s="411"/>
      <c r="K449" s="411"/>
      <c r="L449" s="411"/>
    </row>
    <row r="450" spans="5:12" x14ac:dyDescent="0.25">
      <c r="E450" s="411"/>
      <c r="F450" s="411"/>
      <c r="G450" s="411"/>
      <c r="H450" s="411"/>
      <c r="I450" s="411"/>
      <c r="J450" s="411"/>
      <c r="K450" s="411"/>
      <c r="L450" s="411"/>
    </row>
    <row r="451" spans="5:12" x14ac:dyDescent="0.25">
      <c r="E451" s="411"/>
      <c r="F451" s="411"/>
      <c r="G451" s="411"/>
      <c r="H451" s="411"/>
      <c r="I451" s="411"/>
      <c r="J451" s="411"/>
      <c r="K451" s="411"/>
      <c r="L451" s="411"/>
    </row>
    <row r="452" spans="5:12" x14ac:dyDescent="0.25">
      <c r="E452" s="411"/>
      <c r="F452" s="411"/>
      <c r="G452" s="411"/>
      <c r="H452" s="411"/>
      <c r="I452" s="411"/>
      <c r="J452" s="411"/>
      <c r="K452" s="411"/>
      <c r="L452" s="411"/>
    </row>
    <row r="453" spans="5:12" x14ac:dyDescent="0.25">
      <c r="E453" s="411"/>
      <c r="F453" s="411"/>
      <c r="G453" s="411"/>
      <c r="H453" s="411"/>
      <c r="I453" s="411"/>
      <c r="J453" s="411"/>
      <c r="K453" s="411"/>
      <c r="L453" s="411"/>
    </row>
    <row r="454" spans="5:12" x14ac:dyDescent="0.25">
      <c r="E454" s="411"/>
      <c r="F454" s="411"/>
      <c r="G454" s="411"/>
      <c r="H454" s="411"/>
      <c r="I454" s="411"/>
      <c r="J454" s="411"/>
      <c r="K454" s="411"/>
      <c r="L454" s="411"/>
    </row>
    <row r="455" spans="5:12" x14ac:dyDescent="0.25">
      <c r="E455" s="411"/>
      <c r="F455" s="411"/>
      <c r="G455" s="411"/>
      <c r="H455" s="411"/>
      <c r="I455" s="411"/>
      <c r="J455" s="411"/>
      <c r="K455" s="411"/>
      <c r="L455" s="411"/>
    </row>
    <row r="456" spans="5:12" x14ac:dyDescent="0.25">
      <c r="E456" s="411"/>
      <c r="F456" s="411"/>
      <c r="G456" s="411"/>
      <c r="H456" s="411"/>
      <c r="I456" s="411"/>
      <c r="J456" s="411"/>
      <c r="K456" s="411"/>
      <c r="L456" s="411"/>
    </row>
    <row r="457" spans="5:12" x14ac:dyDescent="0.25">
      <c r="E457" s="411"/>
      <c r="F457" s="411"/>
      <c r="G457" s="411"/>
      <c r="H457" s="411"/>
      <c r="I457" s="411"/>
      <c r="J457" s="411"/>
      <c r="K457" s="411"/>
      <c r="L457" s="411"/>
    </row>
    <row r="458" spans="5:12" x14ac:dyDescent="0.25">
      <c r="E458" s="411"/>
      <c r="F458" s="411"/>
      <c r="G458" s="411"/>
      <c r="H458" s="411"/>
      <c r="I458" s="411"/>
      <c r="J458" s="411"/>
      <c r="K458" s="411"/>
      <c r="L458" s="411"/>
    </row>
    <row r="459" spans="5:12" x14ac:dyDescent="0.25">
      <c r="E459" s="411"/>
      <c r="F459" s="411"/>
      <c r="G459" s="411"/>
      <c r="H459" s="411"/>
      <c r="I459" s="411"/>
      <c r="J459" s="411"/>
      <c r="K459" s="411"/>
      <c r="L459" s="411"/>
    </row>
    <row r="460" spans="5:12" x14ac:dyDescent="0.25">
      <c r="E460" s="411"/>
      <c r="F460" s="411"/>
      <c r="G460" s="411"/>
      <c r="H460" s="411"/>
      <c r="I460" s="411"/>
      <c r="J460" s="411"/>
      <c r="K460" s="411"/>
      <c r="L460" s="411"/>
    </row>
    <row r="461" spans="5:12" x14ac:dyDescent="0.25">
      <c r="E461" s="411"/>
      <c r="F461" s="411"/>
      <c r="G461" s="411"/>
      <c r="H461" s="411"/>
      <c r="I461" s="411"/>
      <c r="J461" s="411"/>
      <c r="K461" s="411"/>
      <c r="L461" s="411"/>
    </row>
    <row r="462" spans="5:12" x14ac:dyDescent="0.25">
      <c r="E462" s="411"/>
      <c r="F462" s="411"/>
      <c r="G462" s="411"/>
      <c r="H462" s="411"/>
      <c r="I462" s="411"/>
      <c r="J462" s="411"/>
      <c r="K462" s="411"/>
      <c r="L462" s="411"/>
    </row>
    <row r="463" spans="5:12" x14ac:dyDescent="0.25">
      <c r="E463" s="411"/>
      <c r="F463" s="411"/>
      <c r="G463" s="411"/>
      <c r="H463" s="411"/>
      <c r="I463" s="411"/>
      <c r="J463" s="411"/>
      <c r="K463" s="411"/>
      <c r="L463" s="411"/>
    </row>
    <row r="464" spans="5:12" x14ac:dyDescent="0.25">
      <c r="E464" s="411"/>
      <c r="F464" s="411"/>
      <c r="G464" s="411"/>
      <c r="H464" s="411"/>
      <c r="I464" s="411"/>
      <c r="J464" s="411"/>
      <c r="K464" s="411"/>
      <c r="L464" s="411"/>
    </row>
    <row r="465" spans="4:12" x14ac:dyDescent="0.25">
      <c r="E465" s="411"/>
      <c r="F465" s="411"/>
      <c r="G465" s="411"/>
      <c r="H465" s="411"/>
      <c r="I465" s="411"/>
      <c r="J465" s="411"/>
      <c r="K465" s="411"/>
      <c r="L465" s="411"/>
    </row>
    <row r="466" spans="4:12" x14ac:dyDescent="0.25">
      <c r="E466" s="411"/>
      <c r="F466" s="411"/>
      <c r="G466" s="411"/>
      <c r="H466" s="411"/>
      <c r="I466" s="411"/>
      <c r="J466" s="411"/>
      <c r="K466" s="411"/>
      <c r="L466" s="411"/>
    </row>
    <row r="467" spans="4:12" x14ac:dyDescent="0.25">
      <c r="E467" s="411"/>
      <c r="F467" s="411"/>
      <c r="G467" s="411"/>
      <c r="H467" s="411"/>
      <c r="I467" s="411"/>
      <c r="J467" s="411"/>
      <c r="K467" s="411"/>
      <c r="L467" s="411"/>
    </row>
    <row r="468" spans="4:12" x14ac:dyDescent="0.25">
      <c r="E468" s="411"/>
      <c r="F468" s="411"/>
      <c r="G468" s="411"/>
      <c r="H468" s="411"/>
      <c r="I468" s="411"/>
      <c r="J468" s="411"/>
      <c r="K468" s="411"/>
      <c r="L468" s="411"/>
    </row>
    <row r="469" spans="4:12" x14ac:dyDescent="0.25">
      <c r="E469" s="411"/>
      <c r="F469" s="411"/>
      <c r="G469" s="411"/>
      <c r="H469" s="411"/>
      <c r="I469" s="411"/>
      <c r="J469" s="411"/>
      <c r="K469" s="411"/>
      <c r="L469" s="411"/>
    </row>
    <row r="470" spans="4:12" x14ac:dyDescent="0.25">
      <c r="E470" s="411"/>
      <c r="F470" s="411"/>
      <c r="G470" s="411"/>
      <c r="H470" s="411"/>
      <c r="I470" s="411"/>
      <c r="J470" s="411"/>
      <c r="K470" s="411"/>
      <c r="L470" s="411"/>
    </row>
    <row r="471" spans="4:12" x14ac:dyDescent="0.25">
      <c r="E471" s="411"/>
      <c r="F471" s="411"/>
      <c r="G471" s="411"/>
      <c r="H471" s="411"/>
      <c r="I471" s="411"/>
      <c r="J471" s="411"/>
      <c r="K471" s="411"/>
      <c r="L471" s="411"/>
    </row>
    <row r="472" spans="4:12" x14ac:dyDescent="0.25">
      <c r="E472" s="411"/>
      <c r="F472" s="411"/>
      <c r="G472" s="411"/>
      <c r="H472" s="411"/>
      <c r="I472" s="411"/>
      <c r="J472" s="411"/>
      <c r="K472" s="411"/>
      <c r="L472" s="411"/>
    </row>
    <row r="473" spans="4:12" x14ac:dyDescent="0.25">
      <c r="E473" s="411"/>
      <c r="F473" s="411"/>
      <c r="G473" s="411"/>
      <c r="H473" s="411"/>
      <c r="I473" s="411"/>
      <c r="J473" s="411"/>
      <c r="K473" s="411"/>
      <c r="L473" s="411"/>
    </row>
    <row r="474" spans="4:12" x14ac:dyDescent="0.25">
      <c r="D474" s="403" t="s">
        <v>1499</v>
      </c>
      <c r="E474" s="411"/>
      <c r="F474" s="411"/>
      <c r="G474" s="411"/>
      <c r="H474" s="411"/>
      <c r="I474" s="411"/>
      <c r="J474" s="411"/>
      <c r="K474" s="411"/>
      <c r="L474" s="411"/>
    </row>
    <row r="475" spans="4:12" x14ac:dyDescent="0.25">
      <c r="E475" s="411"/>
      <c r="F475" s="411"/>
      <c r="G475" s="411"/>
      <c r="H475" s="411"/>
      <c r="I475" s="411"/>
      <c r="J475" s="411"/>
      <c r="K475" s="411"/>
      <c r="L475" s="411"/>
    </row>
    <row r="476" spans="4:12" x14ac:dyDescent="0.25">
      <c r="E476" s="411"/>
      <c r="F476" s="411"/>
      <c r="G476" s="411"/>
      <c r="H476" s="411"/>
      <c r="I476" s="411"/>
      <c r="J476" s="411"/>
      <c r="K476" s="411"/>
      <c r="L476" s="411"/>
    </row>
    <row r="477" spans="4:12" x14ac:dyDescent="0.25">
      <c r="E477" s="411"/>
      <c r="F477" s="411"/>
      <c r="G477" s="411"/>
      <c r="H477" s="411"/>
      <c r="I477" s="411"/>
      <c r="J477" s="411"/>
      <c r="K477" s="411"/>
      <c r="L477" s="411"/>
    </row>
    <row r="478" spans="4:12" x14ac:dyDescent="0.25">
      <c r="E478" s="411"/>
      <c r="F478" s="411"/>
      <c r="G478" s="411"/>
      <c r="H478" s="411"/>
      <c r="I478" s="411"/>
      <c r="J478" s="411"/>
      <c r="K478" s="411"/>
      <c r="L478" s="411"/>
    </row>
    <row r="479" spans="4:12" x14ac:dyDescent="0.25">
      <c r="E479" s="411"/>
      <c r="F479" s="411"/>
      <c r="G479" s="411"/>
      <c r="H479" s="411"/>
      <c r="I479" s="411"/>
      <c r="J479" s="411"/>
      <c r="K479" s="411"/>
      <c r="L479" s="411"/>
    </row>
    <row r="480" spans="4:12" x14ac:dyDescent="0.25">
      <c r="E480" s="411"/>
      <c r="F480" s="411"/>
      <c r="G480" s="411"/>
      <c r="H480" s="411"/>
      <c r="I480" s="411"/>
      <c r="J480" s="411"/>
      <c r="K480" s="411"/>
      <c r="L480" s="411"/>
    </row>
    <row r="481" spans="4:12" x14ac:dyDescent="0.25">
      <c r="E481" s="411"/>
      <c r="F481" s="411"/>
      <c r="G481" s="411"/>
      <c r="H481" s="411"/>
      <c r="I481" s="411"/>
      <c r="J481" s="411"/>
      <c r="K481" s="411"/>
      <c r="L481" s="411"/>
    </row>
    <row r="482" spans="4:12" x14ac:dyDescent="0.25">
      <c r="E482" s="411"/>
      <c r="F482" s="411"/>
      <c r="G482" s="411"/>
      <c r="H482" s="411"/>
      <c r="I482" s="411"/>
      <c r="J482" s="411"/>
      <c r="K482" s="411"/>
      <c r="L482" s="411"/>
    </row>
    <row r="483" spans="4:12" x14ac:dyDescent="0.25">
      <c r="E483" s="411"/>
      <c r="F483" s="411"/>
      <c r="G483" s="411"/>
      <c r="H483" s="411"/>
      <c r="I483" s="411"/>
      <c r="J483" s="411"/>
      <c r="K483" s="411"/>
      <c r="L483" s="411"/>
    </row>
    <row r="484" spans="4:12" x14ac:dyDescent="0.25">
      <c r="E484" s="411"/>
      <c r="F484" s="411"/>
      <c r="G484" s="411"/>
      <c r="H484" s="411"/>
      <c r="I484" s="411"/>
      <c r="J484" s="411"/>
      <c r="K484" s="411"/>
      <c r="L484" s="411"/>
    </row>
    <row r="485" spans="4:12" x14ac:dyDescent="0.25">
      <c r="E485" s="411"/>
      <c r="F485" s="411"/>
      <c r="G485" s="411"/>
      <c r="H485" s="411"/>
      <c r="I485" s="411"/>
      <c r="J485" s="411"/>
      <c r="K485" s="411"/>
      <c r="L485" s="411"/>
    </row>
    <row r="486" spans="4:12" x14ac:dyDescent="0.25">
      <c r="D486" s="403" t="str">
        <f>CONCATENATE("the Statement of Accounts for the year ended ",('Standing Data'!D40)," on pages 25 to 28 has been prepared in the form directed by the Department for Communities and under the accounting policies set out on pages 29 to 53.")</f>
        <v>the Statement of Accounts for the year ended 31st March 2026 on pages 25 to 28 has been prepared in the form directed by the Department for Communities and under the accounting policies set out on pages 29 to 53.</v>
      </c>
      <c r="E486" s="411"/>
      <c r="F486" s="411"/>
      <c r="G486" s="411"/>
      <c r="H486" s="411"/>
      <c r="I486" s="411"/>
      <c r="J486" s="411"/>
      <c r="K486" s="411"/>
      <c r="L486" s="411"/>
    </row>
    <row r="487" spans="4:12" x14ac:dyDescent="0.25">
      <c r="E487" s="411"/>
      <c r="F487" s="411"/>
      <c r="G487" s="411"/>
      <c r="H487" s="411"/>
      <c r="I487" s="411"/>
      <c r="J487" s="411"/>
      <c r="K487" s="411"/>
      <c r="L487" s="411"/>
    </row>
    <row r="488" spans="4:12" x14ac:dyDescent="0.25">
      <c r="E488" s="411"/>
      <c r="F488" s="411"/>
      <c r="G488" s="411"/>
      <c r="H488" s="411"/>
      <c r="I488" s="411"/>
      <c r="J488" s="411"/>
      <c r="K488" s="411"/>
      <c r="L488" s="411"/>
    </row>
    <row r="489" spans="4:12" x14ac:dyDescent="0.25">
      <c r="E489" s="411"/>
      <c r="F489" s="411"/>
      <c r="G489" s="411"/>
      <c r="H489" s="411"/>
      <c r="I489" s="411"/>
      <c r="J489" s="411"/>
      <c r="K489" s="411"/>
      <c r="L489" s="411"/>
    </row>
    <row r="490" spans="4:12" x14ac:dyDescent="0.25">
      <c r="E490" s="411"/>
      <c r="F490" s="411"/>
      <c r="G490" s="411" t="s">
        <v>450</v>
      </c>
      <c r="H490" s="411"/>
      <c r="I490" s="411" t="s">
        <v>450</v>
      </c>
      <c r="J490" s="411"/>
      <c r="K490" s="411" t="s">
        <v>450</v>
      </c>
      <c r="L490" s="411"/>
    </row>
    <row r="491" spans="4:12" x14ac:dyDescent="0.25">
      <c r="E491" s="411"/>
      <c r="F491" s="411"/>
      <c r="G491" s="889"/>
      <c r="H491" s="889"/>
      <c r="I491" s="889"/>
      <c r="J491" s="889"/>
      <c r="K491" s="889"/>
      <c r="L491" s="411"/>
    </row>
    <row r="492" spans="4:12" x14ac:dyDescent="0.25">
      <c r="E492" s="411"/>
      <c r="F492" s="411"/>
      <c r="G492" s="889"/>
      <c r="H492" s="889"/>
      <c r="I492" s="889"/>
      <c r="J492" s="889"/>
      <c r="K492" s="889"/>
      <c r="L492" s="411"/>
    </row>
    <row r="493" spans="4:12" x14ac:dyDescent="0.25">
      <c r="E493" s="411"/>
      <c r="F493" s="411"/>
      <c r="G493" s="889"/>
      <c r="H493" s="889"/>
      <c r="I493" s="889"/>
      <c r="J493" s="889"/>
      <c r="K493" s="889"/>
      <c r="L493" s="411"/>
    </row>
    <row r="494" spans="4:12" x14ac:dyDescent="0.25">
      <c r="E494" s="411"/>
      <c r="F494" s="411"/>
      <c r="G494" s="411"/>
      <c r="H494" s="411"/>
      <c r="I494" s="411"/>
      <c r="J494" s="411"/>
      <c r="K494" s="411"/>
      <c r="L494" s="411"/>
    </row>
    <row r="495" spans="4:12" x14ac:dyDescent="0.25">
      <c r="E495" s="411"/>
      <c r="F495" s="411"/>
      <c r="G495" s="411"/>
      <c r="H495" s="411"/>
      <c r="I495" s="411"/>
      <c r="J495" s="411"/>
      <c r="K495" s="411"/>
      <c r="L495" s="411"/>
    </row>
    <row r="496" spans="4:12" x14ac:dyDescent="0.25">
      <c r="E496" s="411"/>
      <c r="F496" s="411"/>
      <c r="G496" s="411"/>
      <c r="H496" s="411"/>
      <c r="I496" s="411"/>
      <c r="J496" s="411"/>
      <c r="K496" s="411"/>
      <c r="L496" s="411"/>
    </row>
    <row r="497" spans="5:12" x14ac:dyDescent="0.25">
      <c r="E497" s="411"/>
      <c r="F497" s="411"/>
      <c r="G497" s="411"/>
      <c r="H497" s="411"/>
      <c r="I497" s="411"/>
      <c r="J497" s="411"/>
      <c r="K497" s="411"/>
      <c r="L497" s="411"/>
    </row>
    <row r="498" spans="5:12" x14ac:dyDescent="0.25">
      <c r="E498" s="411"/>
      <c r="F498" s="411"/>
      <c r="G498" s="411"/>
      <c r="H498" s="411"/>
      <c r="I498" s="411"/>
      <c r="J498" s="411"/>
      <c r="K498" s="411"/>
      <c r="L498" s="411"/>
    </row>
    <row r="499" spans="5:12" x14ac:dyDescent="0.25">
      <c r="E499" s="411"/>
      <c r="F499" s="411"/>
      <c r="G499" s="411"/>
      <c r="H499" s="411"/>
      <c r="I499" s="411"/>
      <c r="J499" s="411"/>
      <c r="K499" s="411"/>
      <c r="L499" s="411"/>
    </row>
    <row r="500" spans="5:12" x14ac:dyDescent="0.25">
      <c r="E500" s="411"/>
      <c r="F500" s="411"/>
      <c r="G500" s="411"/>
      <c r="H500" s="411"/>
      <c r="I500" s="411"/>
      <c r="J500" s="411"/>
      <c r="K500" s="411"/>
      <c r="L500" s="411"/>
    </row>
    <row r="501" spans="5:12" x14ac:dyDescent="0.25">
      <c r="E501" s="411"/>
      <c r="F501" s="411"/>
      <c r="G501" s="411"/>
      <c r="H501" s="411"/>
      <c r="I501" s="411"/>
      <c r="J501" s="411"/>
      <c r="K501" s="411"/>
      <c r="L501" s="411"/>
    </row>
    <row r="502" spans="5:12" x14ac:dyDescent="0.25">
      <c r="E502" s="411"/>
      <c r="F502" s="411"/>
      <c r="G502" s="411"/>
      <c r="H502" s="411"/>
      <c r="I502" s="411"/>
      <c r="J502" s="411"/>
      <c r="K502" s="411"/>
      <c r="L502" s="411"/>
    </row>
    <row r="503" spans="5:12" x14ac:dyDescent="0.25">
      <c r="E503" s="411"/>
      <c r="F503" s="411"/>
      <c r="G503" s="411"/>
      <c r="H503" s="411"/>
      <c r="I503" s="411"/>
      <c r="J503" s="411"/>
      <c r="K503" s="411"/>
      <c r="L503" s="411"/>
    </row>
    <row r="504" spans="5:12" x14ac:dyDescent="0.25">
      <c r="E504" s="411"/>
      <c r="F504" s="411"/>
      <c r="G504" s="411"/>
      <c r="H504" s="411"/>
      <c r="I504" s="411"/>
      <c r="J504" s="411"/>
      <c r="K504" s="411"/>
      <c r="L504" s="411"/>
    </row>
    <row r="505" spans="5:12" x14ac:dyDescent="0.25">
      <c r="E505" s="411"/>
      <c r="F505" s="411"/>
      <c r="G505" s="411"/>
      <c r="H505" s="411"/>
      <c r="I505" s="411"/>
      <c r="J505" s="411"/>
      <c r="K505" s="411"/>
      <c r="L505" s="411"/>
    </row>
    <row r="506" spans="5:12" x14ac:dyDescent="0.25">
      <c r="E506" s="411"/>
      <c r="F506" s="411"/>
      <c r="G506" s="411"/>
      <c r="H506" s="411"/>
      <c r="I506" s="411"/>
      <c r="J506" s="411"/>
      <c r="K506" s="411"/>
      <c r="L506" s="411"/>
    </row>
    <row r="507" spans="5:12" x14ac:dyDescent="0.25">
      <c r="E507" s="411"/>
      <c r="F507" s="411"/>
      <c r="G507" s="411"/>
      <c r="H507" s="411"/>
      <c r="I507" s="411"/>
      <c r="J507" s="411"/>
      <c r="K507" s="411"/>
      <c r="L507" s="411"/>
    </row>
    <row r="508" spans="5:12" x14ac:dyDescent="0.25">
      <c r="E508" s="411"/>
      <c r="F508" s="411"/>
      <c r="G508" s="411"/>
      <c r="H508" s="411"/>
      <c r="I508" s="411"/>
      <c r="J508" s="411"/>
      <c r="K508" s="411"/>
      <c r="L508" s="411"/>
    </row>
    <row r="509" spans="5:12" x14ac:dyDescent="0.25">
      <c r="E509" s="411"/>
      <c r="F509" s="411"/>
      <c r="G509" s="411"/>
      <c r="H509" s="411"/>
      <c r="I509" s="411"/>
      <c r="J509" s="411"/>
      <c r="K509" s="411"/>
      <c r="L509" s="411"/>
    </row>
    <row r="510" spans="5:12" x14ac:dyDescent="0.25">
      <c r="E510" s="411"/>
      <c r="F510" s="411"/>
      <c r="G510" s="411"/>
      <c r="H510" s="411"/>
      <c r="I510" s="411"/>
      <c r="J510" s="411"/>
      <c r="K510" s="411"/>
      <c r="L510" s="411"/>
    </row>
    <row r="511" spans="5:12" x14ac:dyDescent="0.25">
      <c r="E511" s="411"/>
      <c r="F511" s="411"/>
      <c r="G511" s="411"/>
      <c r="H511" s="411"/>
      <c r="I511" s="411"/>
      <c r="J511" s="411"/>
      <c r="K511" s="411"/>
      <c r="L511" s="411"/>
    </row>
    <row r="512" spans="5:12" x14ac:dyDescent="0.25">
      <c r="E512" s="411"/>
      <c r="F512" s="411"/>
      <c r="G512" s="411"/>
      <c r="H512" s="411"/>
      <c r="I512" s="411"/>
      <c r="J512" s="411"/>
      <c r="K512" s="411"/>
      <c r="L512" s="411"/>
    </row>
    <row r="513" spans="5:12" x14ac:dyDescent="0.25">
      <c r="E513" s="411"/>
      <c r="F513" s="411"/>
      <c r="G513" s="411"/>
      <c r="H513" s="411"/>
      <c r="I513" s="411"/>
      <c r="J513" s="411"/>
      <c r="K513" s="411"/>
      <c r="L513" s="411"/>
    </row>
    <row r="514" spans="5:12" x14ac:dyDescent="0.25">
      <c r="E514" s="411"/>
      <c r="F514" s="411"/>
      <c r="G514" s="411"/>
      <c r="H514" s="411"/>
      <c r="I514" s="411"/>
      <c r="J514" s="411"/>
      <c r="K514" s="411"/>
      <c r="L514" s="411"/>
    </row>
    <row r="515" spans="5:12" x14ac:dyDescent="0.25">
      <c r="E515" s="411"/>
      <c r="F515" s="411"/>
      <c r="G515" s="411"/>
      <c r="H515" s="411"/>
      <c r="I515" s="411"/>
      <c r="J515" s="411"/>
      <c r="K515" s="411"/>
      <c r="L515" s="411"/>
    </row>
    <row r="516" spans="5:12" x14ac:dyDescent="0.25">
      <c r="E516" s="411"/>
      <c r="F516" s="411"/>
      <c r="G516" s="411"/>
      <c r="H516" s="411"/>
      <c r="I516" s="411"/>
      <c r="J516" s="411"/>
      <c r="K516" s="411"/>
      <c r="L516" s="411"/>
    </row>
    <row r="517" spans="5:12" x14ac:dyDescent="0.25">
      <c r="E517" s="411"/>
      <c r="F517" s="411"/>
      <c r="G517" s="411"/>
      <c r="H517" s="411"/>
      <c r="I517" s="411"/>
      <c r="J517" s="411"/>
      <c r="K517" s="411"/>
      <c r="L517" s="411"/>
    </row>
    <row r="518" spans="5:12" x14ac:dyDescent="0.25">
      <c r="E518" s="411"/>
      <c r="F518" s="411"/>
      <c r="G518" s="411"/>
      <c r="H518" s="411"/>
      <c r="I518" s="411"/>
      <c r="J518" s="411"/>
      <c r="K518" s="411"/>
      <c r="L518" s="411"/>
    </row>
    <row r="519" spans="5:12" x14ac:dyDescent="0.25">
      <c r="E519" s="411"/>
      <c r="F519" s="411"/>
      <c r="G519" s="411"/>
      <c r="H519" s="411"/>
      <c r="I519" s="411"/>
      <c r="J519" s="411"/>
      <c r="K519" s="411"/>
      <c r="L519" s="411"/>
    </row>
    <row r="520" spans="5:12" x14ac:dyDescent="0.25">
      <c r="E520" s="411"/>
      <c r="F520" s="411"/>
      <c r="G520" s="411"/>
      <c r="H520" s="411"/>
      <c r="I520" s="411"/>
      <c r="J520" s="411"/>
      <c r="K520" s="411"/>
      <c r="L520" s="411"/>
    </row>
    <row r="521" spans="5:12" x14ac:dyDescent="0.25">
      <c r="E521" s="411"/>
      <c r="F521" s="411"/>
      <c r="G521" s="411"/>
      <c r="H521" s="411"/>
      <c r="I521" s="411"/>
      <c r="J521" s="411"/>
      <c r="K521" s="411"/>
      <c r="L521" s="411"/>
    </row>
    <row r="522" spans="5:12" x14ac:dyDescent="0.25">
      <c r="E522" s="411"/>
      <c r="F522" s="411"/>
      <c r="G522" s="411"/>
      <c r="H522" s="411"/>
      <c r="I522" s="411"/>
      <c r="J522" s="411"/>
      <c r="K522" s="411"/>
      <c r="L522" s="411"/>
    </row>
    <row r="523" spans="5:12" x14ac:dyDescent="0.25">
      <c r="E523" s="411"/>
      <c r="F523" s="411"/>
      <c r="G523" s="411"/>
      <c r="H523" s="411"/>
      <c r="I523" s="411"/>
      <c r="J523" s="411"/>
      <c r="K523" s="411"/>
      <c r="L523" s="411"/>
    </row>
    <row r="524" spans="5:12" x14ac:dyDescent="0.25">
      <c r="E524" s="411"/>
      <c r="F524" s="411"/>
      <c r="G524" s="411"/>
      <c r="H524" s="411"/>
      <c r="I524" s="411"/>
      <c r="J524" s="411"/>
      <c r="K524" s="411"/>
      <c r="L524" s="411"/>
    </row>
    <row r="525" spans="5:12" x14ac:dyDescent="0.25">
      <c r="E525" s="411"/>
      <c r="F525" s="411"/>
      <c r="G525" s="411"/>
      <c r="H525" s="411"/>
      <c r="I525" s="411"/>
      <c r="J525" s="411"/>
      <c r="K525" s="411"/>
      <c r="L525" s="411"/>
    </row>
    <row r="526" spans="5:12" x14ac:dyDescent="0.25">
      <c r="E526" s="411"/>
      <c r="F526" s="411"/>
      <c r="G526" s="411"/>
      <c r="H526" s="411"/>
      <c r="I526" s="411"/>
      <c r="J526" s="411"/>
      <c r="K526" s="411"/>
      <c r="L526" s="411"/>
    </row>
    <row r="527" spans="5:12" x14ac:dyDescent="0.25">
      <c r="E527" s="411"/>
      <c r="F527" s="411"/>
      <c r="G527" s="411"/>
      <c r="H527" s="411"/>
      <c r="I527" s="411"/>
      <c r="J527" s="411"/>
      <c r="K527" s="411"/>
      <c r="L527" s="411"/>
    </row>
    <row r="528" spans="5:12" x14ac:dyDescent="0.25">
      <c r="E528" s="411"/>
      <c r="F528" s="411"/>
      <c r="G528" s="411"/>
      <c r="H528" s="411"/>
      <c r="I528" s="411"/>
      <c r="J528" s="411"/>
      <c r="K528" s="411"/>
      <c r="L528" s="411"/>
    </row>
    <row r="529" spans="5:12" x14ac:dyDescent="0.25">
      <c r="E529" s="411"/>
      <c r="F529" s="411"/>
      <c r="G529" s="411"/>
      <c r="H529" s="411"/>
      <c r="I529" s="411"/>
      <c r="J529" s="411"/>
      <c r="K529" s="411"/>
      <c r="L529" s="411"/>
    </row>
    <row r="530" spans="5:12" x14ac:dyDescent="0.25">
      <c r="E530" s="411"/>
      <c r="F530" s="411"/>
      <c r="G530" s="411"/>
      <c r="H530" s="411"/>
      <c r="I530" s="411"/>
      <c r="J530" s="411"/>
      <c r="K530" s="411"/>
      <c r="L530" s="411"/>
    </row>
    <row r="531" spans="5:12" x14ac:dyDescent="0.25">
      <c r="E531" s="411"/>
      <c r="F531" s="411"/>
      <c r="G531" s="411"/>
      <c r="H531" s="411"/>
      <c r="I531" s="411"/>
      <c r="J531" s="411"/>
      <c r="K531" s="411"/>
      <c r="L531" s="411"/>
    </row>
    <row r="532" spans="5:12" x14ac:dyDescent="0.25">
      <c r="E532" s="411"/>
      <c r="F532" s="411"/>
      <c r="G532" s="411"/>
      <c r="H532" s="411"/>
      <c r="I532" s="411"/>
      <c r="J532" s="411"/>
      <c r="K532" s="411"/>
      <c r="L532" s="411"/>
    </row>
    <row r="533" spans="5:12" x14ac:dyDescent="0.25">
      <c r="E533" s="411"/>
      <c r="F533" s="411"/>
      <c r="G533" s="411"/>
      <c r="H533" s="411"/>
      <c r="I533" s="411"/>
      <c r="J533" s="411"/>
      <c r="K533" s="411"/>
      <c r="L533" s="411"/>
    </row>
    <row r="534" spans="5:12" x14ac:dyDescent="0.25">
      <c r="E534" s="411"/>
      <c r="F534" s="411"/>
      <c r="G534" s="411"/>
      <c r="H534" s="411"/>
      <c r="I534" s="411"/>
      <c r="J534" s="411"/>
      <c r="K534" s="411"/>
      <c r="L534" s="411"/>
    </row>
    <row r="535" spans="5:12" x14ac:dyDescent="0.25">
      <c r="E535" s="411"/>
      <c r="F535" s="411"/>
      <c r="G535" s="411"/>
      <c r="H535" s="411"/>
      <c r="I535" s="411"/>
      <c r="J535" s="411"/>
      <c r="K535" s="411"/>
      <c r="L535" s="411"/>
    </row>
    <row r="536" spans="5:12" x14ac:dyDescent="0.25">
      <c r="E536" s="411"/>
      <c r="F536" s="411"/>
      <c r="G536" s="411"/>
      <c r="H536" s="411"/>
      <c r="I536" s="411"/>
      <c r="J536" s="411"/>
      <c r="K536" s="411"/>
      <c r="L536" s="411"/>
    </row>
    <row r="537" spans="5:12" x14ac:dyDescent="0.25">
      <c r="E537" s="411"/>
      <c r="F537" s="411"/>
      <c r="G537" s="411"/>
      <c r="H537" s="411"/>
      <c r="I537" s="411"/>
      <c r="J537" s="411"/>
      <c r="K537" s="411"/>
      <c r="L537" s="411"/>
    </row>
    <row r="538" spans="5:12" x14ac:dyDescent="0.25">
      <c r="E538" s="411"/>
      <c r="F538" s="411"/>
      <c r="G538" s="411"/>
      <c r="H538" s="411"/>
      <c r="I538" s="411"/>
      <c r="J538" s="411"/>
      <c r="K538" s="411"/>
      <c r="L538" s="411"/>
    </row>
    <row r="539" spans="5:12" x14ac:dyDescent="0.25">
      <c r="E539" s="411"/>
      <c r="F539" s="411"/>
      <c r="G539" s="411"/>
      <c r="H539" s="411"/>
      <c r="I539" s="411"/>
      <c r="J539" s="411"/>
      <c r="K539" s="411"/>
      <c r="L539" s="411"/>
    </row>
    <row r="540" spans="5:12" x14ac:dyDescent="0.25">
      <c r="E540" s="411"/>
      <c r="F540" s="411"/>
      <c r="G540" s="411"/>
      <c r="H540" s="411"/>
      <c r="I540" s="411"/>
      <c r="J540" s="411"/>
      <c r="K540" s="411"/>
      <c r="L540" s="411"/>
    </row>
    <row r="541" spans="5:12" x14ac:dyDescent="0.25">
      <c r="E541" s="411"/>
      <c r="F541" s="411"/>
      <c r="G541" s="411"/>
      <c r="H541" s="411"/>
      <c r="I541" s="411"/>
      <c r="J541" s="411"/>
      <c r="K541" s="411"/>
      <c r="L541" s="411"/>
    </row>
    <row r="542" spans="5:12" x14ac:dyDescent="0.25">
      <c r="E542" s="411"/>
      <c r="F542" s="411"/>
      <c r="G542" s="411"/>
      <c r="H542" s="411"/>
      <c r="I542" s="411"/>
      <c r="J542" s="411"/>
      <c r="K542" s="411"/>
      <c r="L542" s="411"/>
    </row>
    <row r="543" spans="5:12" x14ac:dyDescent="0.25">
      <c r="E543" s="411"/>
      <c r="F543" s="411"/>
      <c r="G543" s="411"/>
      <c r="H543" s="411"/>
      <c r="I543" s="411"/>
      <c r="J543" s="411"/>
      <c r="K543" s="411"/>
      <c r="L543" s="411"/>
    </row>
    <row r="544" spans="5:12" x14ac:dyDescent="0.25">
      <c r="E544" s="411"/>
      <c r="F544" s="411"/>
      <c r="G544" s="411"/>
      <c r="H544" s="411"/>
      <c r="I544" s="411"/>
      <c r="J544" s="411"/>
      <c r="K544" s="411"/>
      <c r="L544" s="411"/>
    </row>
    <row r="545" spans="5:12" x14ac:dyDescent="0.25">
      <c r="E545" s="411"/>
      <c r="F545" s="411"/>
      <c r="G545" s="411"/>
      <c r="H545" s="411"/>
      <c r="I545" s="411"/>
      <c r="J545" s="411"/>
      <c r="K545" s="411"/>
      <c r="L545" s="411"/>
    </row>
    <row r="546" spans="5:12" x14ac:dyDescent="0.25">
      <c r="E546" s="411"/>
      <c r="F546" s="411"/>
      <c r="G546" s="411"/>
      <c r="H546" s="411"/>
      <c r="I546" s="411"/>
      <c r="J546" s="411"/>
      <c r="K546" s="411"/>
      <c r="L546" s="411"/>
    </row>
    <row r="547" spans="5:12" x14ac:dyDescent="0.25">
      <c r="E547" s="411"/>
      <c r="F547" s="411"/>
      <c r="G547" s="411"/>
      <c r="H547" s="411"/>
      <c r="I547" s="411"/>
      <c r="J547" s="411"/>
      <c r="K547" s="411"/>
      <c r="L547" s="411"/>
    </row>
    <row r="548" spans="5:12" x14ac:dyDescent="0.25">
      <c r="E548" s="411"/>
      <c r="F548" s="411"/>
      <c r="G548" s="411"/>
      <c r="H548" s="411"/>
      <c r="I548" s="411"/>
      <c r="J548" s="411"/>
      <c r="K548" s="411"/>
      <c r="L548" s="411"/>
    </row>
    <row r="549" spans="5:12" x14ac:dyDescent="0.25">
      <c r="E549" s="411"/>
      <c r="F549" s="411"/>
      <c r="G549" s="411"/>
      <c r="H549" s="411"/>
      <c r="I549" s="411"/>
      <c r="J549" s="411"/>
      <c r="K549" s="411"/>
      <c r="L549" s="411"/>
    </row>
    <row r="550" spans="5:12" x14ac:dyDescent="0.25">
      <c r="E550" s="411"/>
      <c r="F550" s="411"/>
      <c r="G550" s="411"/>
      <c r="H550" s="411"/>
      <c r="I550" s="411"/>
      <c r="J550" s="411"/>
      <c r="K550" s="411"/>
      <c r="L550" s="411"/>
    </row>
    <row r="551" spans="5:12" x14ac:dyDescent="0.25">
      <c r="E551" s="411"/>
      <c r="F551" s="411"/>
      <c r="G551" s="411"/>
      <c r="H551" s="411"/>
      <c r="I551" s="411"/>
      <c r="J551" s="411"/>
      <c r="K551" s="411"/>
      <c r="L551" s="411"/>
    </row>
    <row r="552" spans="5:12" x14ac:dyDescent="0.25">
      <c r="E552" s="411"/>
      <c r="F552" s="411"/>
      <c r="G552" s="411"/>
      <c r="H552" s="411"/>
      <c r="I552" s="411"/>
      <c r="J552" s="411"/>
      <c r="K552" s="411"/>
      <c r="L552" s="411"/>
    </row>
    <row r="553" spans="5:12" x14ac:dyDescent="0.25">
      <c r="E553" s="411"/>
      <c r="F553" s="411"/>
      <c r="G553" s="411"/>
      <c r="H553" s="411"/>
      <c r="I553" s="411"/>
      <c r="J553" s="411"/>
      <c r="K553" s="411"/>
      <c r="L553" s="411"/>
    </row>
    <row r="554" spans="5:12" x14ac:dyDescent="0.25">
      <c r="E554" s="411"/>
      <c r="F554" s="411"/>
      <c r="G554" s="411"/>
      <c r="H554" s="411"/>
      <c r="I554" s="411"/>
      <c r="J554" s="411"/>
      <c r="K554" s="411"/>
      <c r="L554" s="411"/>
    </row>
    <row r="555" spans="5:12" x14ac:dyDescent="0.25">
      <c r="E555" s="411"/>
      <c r="F555" s="411"/>
      <c r="G555" s="411"/>
      <c r="H555" s="411"/>
      <c r="I555" s="411"/>
      <c r="J555" s="411"/>
      <c r="K555" s="411"/>
      <c r="L555" s="411"/>
    </row>
    <row r="556" spans="5:12" x14ac:dyDescent="0.25">
      <c r="E556" s="411"/>
      <c r="F556" s="411"/>
      <c r="G556" s="411"/>
      <c r="H556" s="411"/>
      <c r="I556" s="411"/>
      <c r="J556" s="411"/>
      <c r="K556" s="411"/>
      <c r="L556" s="411"/>
    </row>
    <row r="557" spans="5:12" x14ac:dyDescent="0.25">
      <c r="E557" s="411"/>
      <c r="F557" s="411"/>
      <c r="G557" s="411"/>
      <c r="H557" s="411"/>
      <c r="I557" s="411"/>
      <c r="J557" s="411"/>
      <c r="K557" s="411"/>
      <c r="L557" s="411"/>
    </row>
    <row r="558" spans="5:12" x14ac:dyDescent="0.25">
      <c r="E558" s="411"/>
      <c r="F558" s="411"/>
      <c r="G558" s="411"/>
      <c r="H558" s="411"/>
      <c r="I558" s="411"/>
      <c r="J558" s="411"/>
      <c r="K558" s="411"/>
      <c r="L558" s="411"/>
    </row>
    <row r="559" spans="5:12" x14ac:dyDescent="0.25">
      <c r="E559" s="411"/>
      <c r="F559" s="411"/>
      <c r="G559" s="411"/>
      <c r="H559" s="411"/>
      <c r="I559" s="411"/>
      <c r="J559" s="411"/>
      <c r="K559" s="411"/>
      <c r="L559" s="411"/>
    </row>
    <row r="560" spans="5:12" x14ac:dyDescent="0.25">
      <c r="E560" s="411"/>
      <c r="F560" s="411"/>
      <c r="G560" s="411"/>
      <c r="H560" s="411"/>
      <c r="I560" s="411"/>
      <c r="J560" s="411"/>
      <c r="K560" s="411"/>
      <c r="L560" s="411"/>
    </row>
    <row r="561" spans="5:12" x14ac:dyDescent="0.25">
      <c r="E561" s="411"/>
      <c r="F561" s="411"/>
      <c r="G561" s="411"/>
      <c r="H561" s="411"/>
      <c r="I561" s="411"/>
      <c r="J561" s="411"/>
      <c r="K561" s="411"/>
      <c r="L561" s="411"/>
    </row>
    <row r="562" spans="5:12" x14ac:dyDescent="0.25">
      <c r="E562" s="411"/>
      <c r="F562" s="411"/>
      <c r="G562" s="411"/>
      <c r="H562" s="411"/>
      <c r="I562" s="411"/>
      <c r="J562" s="411"/>
      <c r="K562" s="411"/>
      <c r="L562" s="411"/>
    </row>
    <row r="563" spans="5:12" x14ac:dyDescent="0.25">
      <c r="E563" s="411"/>
      <c r="F563" s="411"/>
      <c r="G563" s="411"/>
      <c r="H563" s="411"/>
      <c r="I563" s="411"/>
      <c r="J563" s="411"/>
      <c r="K563" s="411"/>
      <c r="L563" s="411"/>
    </row>
    <row r="564" spans="5:12" x14ac:dyDescent="0.25">
      <c r="E564" s="411"/>
      <c r="F564" s="411"/>
      <c r="G564" s="411"/>
      <c r="H564" s="411"/>
      <c r="I564" s="411"/>
      <c r="J564" s="411"/>
      <c r="K564" s="411"/>
      <c r="L564" s="411"/>
    </row>
    <row r="565" spans="5:12" x14ac:dyDescent="0.25">
      <c r="E565" s="411"/>
      <c r="F565" s="411"/>
      <c r="G565" s="411"/>
      <c r="H565" s="411"/>
      <c r="I565" s="411"/>
      <c r="J565" s="411"/>
      <c r="K565" s="411"/>
      <c r="L565" s="411"/>
    </row>
    <row r="566" spans="5:12" x14ac:dyDescent="0.25">
      <c r="E566" s="411"/>
      <c r="F566" s="411"/>
      <c r="G566" s="411"/>
      <c r="H566" s="411"/>
      <c r="I566" s="411"/>
      <c r="J566" s="411"/>
      <c r="K566" s="411"/>
      <c r="L566" s="411"/>
    </row>
    <row r="567" spans="5:12" x14ac:dyDescent="0.25">
      <c r="E567" s="411"/>
      <c r="F567" s="411"/>
      <c r="G567" s="411"/>
      <c r="H567" s="411"/>
      <c r="I567" s="411"/>
      <c r="J567" s="411"/>
      <c r="K567" s="411"/>
      <c r="L567" s="411"/>
    </row>
    <row r="568" spans="5:12" x14ac:dyDescent="0.25">
      <c r="E568" s="411"/>
      <c r="F568" s="411"/>
      <c r="G568" s="411"/>
      <c r="H568" s="411"/>
      <c r="I568" s="411"/>
      <c r="J568" s="411"/>
      <c r="K568" s="411"/>
      <c r="L568" s="411"/>
    </row>
    <row r="569" spans="5:12" x14ac:dyDescent="0.25">
      <c r="E569" s="411"/>
      <c r="F569" s="411"/>
      <c r="G569" s="411"/>
      <c r="H569" s="411"/>
      <c r="I569" s="411"/>
      <c r="J569" s="411"/>
      <c r="K569" s="411"/>
      <c r="L569" s="411"/>
    </row>
    <row r="570" spans="5:12" x14ac:dyDescent="0.25">
      <c r="E570" s="411"/>
      <c r="F570" s="411"/>
      <c r="G570" s="411"/>
      <c r="H570" s="411"/>
      <c r="I570" s="411"/>
      <c r="J570" s="411"/>
      <c r="K570" s="411"/>
      <c r="L570" s="411"/>
    </row>
    <row r="571" spans="5:12" x14ac:dyDescent="0.25">
      <c r="E571" s="411"/>
      <c r="F571" s="411"/>
      <c r="G571" s="411"/>
      <c r="H571" s="411"/>
      <c r="I571" s="411"/>
      <c r="J571" s="411"/>
      <c r="K571" s="411"/>
      <c r="L571" s="411"/>
    </row>
    <row r="572" spans="5:12" x14ac:dyDescent="0.25">
      <c r="E572" s="411"/>
      <c r="F572" s="411"/>
      <c r="G572" s="411"/>
      <c r="H572" s="411"/>
      <c r="I572" s="411"/>
      <c r="J572" s="411"/>
      <c r="K572" s="411"/>
      <c r="L572" s="411"/>
    </row>
    <row r="573" spans="5:12" x14ac:dyDescent="0.25">
      <c r="E573" s="411"/>
      <c r="F573" s="411"/>
      <c r="G573" s="411"/>
      <c r="H573" s="411"/>
      <c r="I573" s="411"/>
      <c r="J573" s="411"/>
      <c r="K573" s="411"/>
      <c r="L573" s="411"/>
    </row>
    <row r="574" spans="5:12" x14ac:dyDescent="0.25">
      <c r="E574" s="411"/>
      <c r="F574" s="411"/>
      <c r="G574" s="411"/>
      <c r="H574" s="411"/>
      <c r="I574" s="411"/>
      <c r="J574" s="411"/>
      <c r="K574" s="411"/>
      <c r="L574" s="411"/>
    </row>
    <row r="575" spans="5:12" x14ac:dyDescent="0.25">
      <c r="E575" s="411"/>
      <c r="F575" s="411"/>
      <c r="G575" s="411"/>
      <c r="H575" s="411"/>
      <c r="I575" s="411"/>
      <c r="J575" s="411"/>
      <c r="K575" s="411"/>
      <c r="L575" s="411"/>
    </row>
    <row r="576" spans="5:12" x14ac:dyDescent="0.25">
      <c r="E576" s="411"/>
      <c r="F576" s="411"/>
      <c r="G576" s="411"/>
      <c r="H576" s="411"/>
      <c r="I576" s="411"/>
      <c r="J576" s="411"/>
      <c r="K576" s="411"/>
      <c r="L576" s="411"/>
    </row>
    <row r="577" spans="5:12" x14ac:dyDescent="0.25">
      <c r="E577" s="411"/>
      <c r="F577" s="411"/>
      <c r="G577" s="411"/>
      <c r="H577" s="411"/>
      <c r="I577" s="411"/>
      <c r="J577" s="411"/>
      <c r="K577" s="411"/>
      <c r="L577" s="411"/>
    </row>
    <row r="578" spans="5:12" x14ac:dyDescent="0.25">
      <c r="E578" s="411"/>
      <c r="F578" s="411"/>
      <c r="G578" s="411"/>
      <c r="H578" s="411"/>
      <c r="I578" s="411"/>
      <c r="J578" s="411"/>
      <c r="K578" s="411"/>
      <c r="L578" s="411"/>
    </row>
    <row r="579" spans="5:12" x14ac:dyDescent="0.25">
      <c r="E579" s="411"/>
      <c r="F579" s="411"/>
      <c r="G579" s="411"/>
      <c r="H579" s="411"/>
      <c r="I579" s="411"/>
      <c r="J579" s="411"/>
      <c r="K579" s="411"/>
      <c r="L579" s="411"/>
    </row>
    <row r="580" spans="5:12" x14ac:dyDescent="0.25">
      <c r="E580" s="411"/>
      <c r="F580" s="411"/>
      <c r="G580" s="411"/>
      <c r="H580" s="411"/>
      <c r="I580" s="411"/>
      <c r="J580" s="411"/>
      <c r="K580" s="411"/>
      <c r="L580" s="411"/>
    </row>
    <row r="581" spans="5:12" x14ac:dyDescent="0.25">
      <c r="E581" s="411"/>
      <c r="F581" s="411"/>
      <c r="G581" s="411"/>
      <c r="H581" s="411"/>
      <c r="I581" s="411"/>
      <c r="J581" s="411"/>
      <c r="K581" s="411"/>
      <c r="L581" s="411"/>
    </row>
    <row r="582" spans="5:12" x14ac:dyDescent="0.25">
      <c r="E582" s="411"/>
      <c r="F582" s="411"/>
      <c r="G582" s="411"/>
      <c r="H582" s="411"/>
      <c r="I582" s="411"/>
      <c r="J582" s="411"/>
      <c r="K582" s="411"/>
      <c r="L582" s="411"/>
    </row>
    <row r="583" spans="5:12" x14ac:dyDescent="0.25">
      <c r="E583" s="411"/>
      <c r="F583" s="411"/>
      <c r="G583" s="411"/>
      <c r="H583" s="411"/>
      <c r="I583" s="411"/>
      <c r="J583" s="411"/>
      <c r="K583" s="411"/>
      <c r="L583" s="411"/>
    </row>
    <row r="584" spans="5:12" x14ac:dyDescent="0.25">
      <c r="E584" s="411"/>
      <c r="F584" s="411"/>
      <c r="G584" s="411"/>
      <c r="H584" s="411"/>
      <c r="I584" s="411"/>
      <c r="J584" s="411"/>
      <c r="K584" s="411"/>
      <c r="L584" s="411"/>
    </row>
    <row r="585" spans="5:12" x14ac:dyDescent="0.25">
      <c r="E585" s="411"/>
      <c r="F585" s="411"/>
      <c r="G585" s="411"/>
      <c r="H585" s="411"/>
      <c r="I585" s="411"/>
      <c r="J585" s="411"/>
      <c r="K585" s="411"/>
      <c r="L585" s="411"/>
    </row>
    <row r="586" spans="5:12" x14ac:dyDescent="0.25">
      <c r="E586" s="411"/>
      <c r="F586" s="411"/>
      <c r="G586" s="411"/>
      <c r="H586" s="411"/>
      <c r="I586" s="411"/>
      <c r="J586" s="411"/>
      <c r="K586" s="411"/>
      <c r="L586" s="411"/>
    </row>
    <row r="587" spans="5:12" x14ac:dyDescent="0.25">
      <c r="E587" s="411"/>
      <c r="F587" s="411"/>
      <c r="G587" s="411"/>
      <c r="H587" s="411"/>
      <c r="I587" s="411"/>
      <c r="J587" s="411"/>
      <c r="K587" s="411"/>
      <c r="L587" s="411"/>
    </row>
    <row r="588" spans="5:12" x14ac:dyDescent="0.25">
      <c r="E588" s="411"/>
      <c r="F588" s="411"/>
      <c r="G588" s="411"/>
      <c r="H588" s="411"/>
      <c r="I588" s="411"/>
      <c r="J588" s="411"/>
      <c r="K588" s="411"/>
      <c r="L588" s="411"/>
    </row>
    <row r="589" spans="5:12" x14ac:dyDescent="0.25">
      <c r="E589" s="411"/>
      <c r="F589" s="411"/>
      <c r="G589" s="411"/>
      <c r="H589" s="411"/>
      <c r="I589" s="411"/>
      <c r="J589" s="411"/>
      <c r="K589" s="411"/>
      <c r="L589" s="411"/>
    </row>
    <row r="590" spans="5:12" x14ac:dyDescent="0.25">
      <c r="E590" s="411"/>
      <c r="F590" s="411"/>
      <c r="G590" s="411"/>
      <c r="H590" s="411"/>
      <c r="I590" s="411"/>
      <c r="J590" s="411"/>
      <c r="K590" s="411"/>
      <c r="L590" s="411"/>
    </row>
    <row r="591" spans="5:12" x14ac:dyDescent="0.25">
      <c r="E591" s="411"/>
      <c r="F591" s="411"/>
      <c r="G591" s="411"/>
      <c r="H591" s="411"/>
      <c r="I591" s="411"/>
      <c r="J591" s="411"/>
      <c r="K591" s="411"/>
      <c r="L591" s="411"/>
    </row>
    <row r="592" spans="5:12" x14ac:dyDescent="0.25">
      <c r="E592" s="411"/>
      <c r="F592" s="411"/>
      <c r="G592" s="411"/>
      <c r="H592" s="411"/>
      <c r="I592" s="411"/>
      <c r="J592" s="411"/>
      <c r="K592" s="411"/>
      <c r="L592" s="411"/>
    </row>
    <row r="593" spans="5:12" x14ac:dyDescent="0.25">
      <c r="E593" s="411"/>
      <c r="F593" s="411"/>
      <c r="G593" s="411"/>
      <c r="H593" s="411"/>
      <c r="I593" s="411"/>
      <c r="J593" s="411"/>
      <c r="K593" s="411"/>
      <c r="L593" s="411"/>
    </row>
    <row r="594" spans="5:12" x14ac:dyDescent="0.25">
      <c r="E594" s="411"/>
      <c r="F594" s="411"/>
      <c r="G594" s="411"/>
      <c r="H594" s="411"/>
      <c r="I594" s="411"/>
      <c r="J594" s="411"/>
      <c r="K594" s="411"/>
      <c r="L594" s="411"/>
    </row>
    <row r="595" spans="5:12" x14ac:dyDescent="0.25">
      <c r="E595" s="411"/>
      <c r="F595" s="411"/>
      <c r="G595" s="411"/>
      <c r="H595" s="411"/>
      <c r="I595" s="411"/>
      <c r="J595" s="411"/>
      <c r="K595" s="411"/>
      <c r="L595" s="411"/>
    </row>
    <row r="596" spans="5:12" x14ac:dyDescent="0.25">
      <c r="E596" s="411"/>
      <c r="F596" s="411"/>
      <c r="G596" s="411"/>
      <c r="H596" s="411"/>
      <c r="I596" s="411"/>
      <c r="J596" s="411"/>
      <c r="K596" s="411"/>
      <c r="L596" s="411"/>
    </row>
    <row r="597" spans="5:12" x14ac:dyDescent="0.25">
      <c r="E597" s="411"/>
      <c r="F597" s="411"/>
      <c r="G597" s="411"/>
      <c r="H597" s="411"/>
      <c r="I597" s="411"/>
      <c r="J597" s="411"/>
      <c r="K597" s="411"/>
      <c r="L597" s="411"/>
    </row>
    <row r="598" spans="5:12" x14ac:dyDescent="0.25">
      <c r="E598" s="411"/>
      <c r="F598" s="411"/>
      <c r="G598" s="411"/>
      <c r="H598" s="411"/>
      <c r="I598" s="411"/>
      <c r="J598" s="411"/>
      <c r="K598" s="411"/>
      <c r="L598" s="411"/>
    </row>
    <row r="599" spans="5:12" x14ac:dyDescent="0.25">
      <c r="E599" s="411"/>
      <c r="F599" s="411"/>
      <c r="G599" s="411"/>
      <c r="H599" s="411"/>
      <c r="I599" s="411"/>
      <c r="J599" s="411"/>
      <c r="K599" s="411"/>
      <c r="L599" s="411"/>
    </row>
    <row r="600" spans="5:12" x14ac:dyDescent="0.25">
      <c r="E600" s="411"/>
      <c r="F600" s="411"/>
      <c r="G600" s="411"/>
      <c r="H600" s="411"/>
      <c r="I600" s="411"/>
      <c r="J600" s="411"/>
      <c r="K600" s="411"/>
      <c r="L600" s="411"/>
    </row>
    <row r="601" spans="5:12" x14ac:dyDescent="0.25">
      <c r="E601" s="411"/>
      <c r="F601" s="411"/>
      <c r="G601" s="411"/>
      <c r="H601" s="411"/>
      <c r="I601" s="411"/>
      <c r="J601" s="411"/>
      <c r="K601" s="411"/>
      <c r="L601" s="411"/>
    </row>
    <row r="602" spans="5:12" x14ac:dyDescent="0.25">
      <c r="E602" s="411"/>
      <c r="F602" s="411"/>
      <c r="G602" s="411"/>
      <c r="H602" s="411"/>
      <c r="I602" s="411"/>
      <c r="J602" s="411"/>
      <c r="K602" s="411"/>
      <c r="L602" s="411"/>
    </row>
    <row r="603" spans="5:12" x14ac:dyDescent="0.25">
      <c r="E603" s="411"/>
      <c r="F603" s="411"/>
      <c r="G603" s="411"/>
      <c r="H603" s="411"/>
      <c r="I603" s="411"/>
      <c r="J603" s="411"/>
      <c r="K603" s="411"/>
      <c r="L603" s="411"/>
    </row>
    <row r="604" spans="5:12" x14ac:dyDescent="0.25">
      <c r="E604" s="411"/>
      <c r="F604" s="411"/>
      <c r="G604" s="411"/>
      <c r="H604" s="411"/>
      <c r="I604" s="411"/>
      <c r="J604" s="411"/>
      <c r="K604" s="411"/>
      <c r="L604" s="411"/>
    </row>
    <row r="605" spans="5:12" x14ac:dyDescent="0.25">
      <c r="E605" s="411"/>
      <c r="F605" s="411"/>
      <c r="G605" s="411"/>
      <c r="H605" s="411"/>
      <c r="I605" s="411"/>
      <c r="J605" s="411"/>
      <c r="K605" s="411"/>
      <c r="L605" s="411"/>
    </row>
    <row r="606" spans="5:12" x14ac:dyDescent="0.25">
      <c r="E606" s="411"/>
      <c r="F606" s="411"/>
      <c r="G606" s="411"/>
      <c r="H606" s="411"/>
      <c r="I606" s="411"/>
      <c r="J606" s="411"/>
      <c r="K606" s="411"/>
      <c r="L606" s="411"/>
    </row>
    <row r="607" spans="5:12" x14ac:dyDescent="0.25">
      <c r="E607" s="411"/>
      <c r="F607" s="411"/>
      <c r="G607" s="411"/>
      <c r="H607" s="411"/>
      <c r="I607" s="411"/>
      <c r="J607" s="411"/>
      <c r="K607" s="411"/>
      <c r="L607" s="411"/>
    </row>
    <row r="608" spans="5:12" x14ac:dyDescent="0.25">
      <c r="E608" s="411"/>
      <c r="F608" s="411"/>
      <c r="G608" s="411"/>
      <c r="H608" s="411"/>
      <c r="I608" s="411"/>
      <c r="J608" s="411"/>
      <c r="K608" s="411"/>
      <c r="L608" s="411"/>
    </row>
    <row r="609" spans="5:12" x14ac:dyDescent="0.25">
      <c r="E609" s="411"/>
      <c r="F609" s="411"/>
      <c r="G609" s="411"/>
      <c r="H609" s="411"/>
      <c r="I609" s="411"/>
      <c r="J609" s="411"/>
      <c r="K609" s="411"/>
      <c r="L609" s="411"/>
    </row>
    <row r="610" spans="5:12" x14ac:dyDescent="0.25">
      <c r="E610" s="411"/>
      <c r="F610" s="411"/>
      <c r="G610" s="411"/>
      <c r="H610" s="411"/>
      <c r="I610" s="411"/>
      <c r="J610" s="411"/>
      <c r="K610" s="411"/>
      <c r="L610" s="411"/>
    </row>
    <row r="611" spans="5:12" x14ac:dyDescent="0.25">
      <c r="E611" s="411"/>
      <c r="F611" s="411"/>
      <c r="G611" s="411"/>
      <c r="H611" s="411"/>
      <c r="I611" s="411"/>
      <c r="J611" s="411"/>
      <c r="K611" s="411"/>
      <c r="L611" s="411"/>
    </row>
    <row r="612" spans="5:12" x14ac:dyDescent="0.25">
      <c r="E612" s="411"/>
      <c r="F612" s="411"/>
      <c r="G612" s="411"/>
      <c r="H612" s="411"/>
      <c r="I612" s="411"/>
      <c r="J612" s="411"/>
      <c r="K612" s="411"/>
      <c r="L612" s="411"/>
    </row>
    <row r="613" spans="5:12" x14ac:dyDescent="0.25">
      <c r="E613" s="411"/>
      <c r="F613" s="411"/>
      <c r="G613" s="411"/>
      <c r="H613" s="411"/>
      <c r="I613" s="411"/>
      <c r="J613" s="411"/>
      <c r="K613" s="411"/>
      <c r="L613" s="411"/>
    </row>
    <row r="614" spans="5:12" x14ac:dyDescent="0.25">
      <c r="E614" s="411"/>
      <c r="F614" s="411"/>
      <c r="G614" s="411"/>
      <c r="H614" s="411"/>
      <c r="I614" s="411"/>
      <c r="J614" s="411"/>
      <c r="K614" s="411"/>
      <c r="L614" s="411"/>
    </row>
    <row r="615" spans="5:12" x14ac:dyDescent="0.25">
      <c r="E615" s="411"/>
      <c r="F615" s="411"/>
      <c r="G615" s="411"/>
      <c r="H615" s="411"/>
      <c r="I615" s="411"/>
      <c r="J615" s="411"/>
      <c r="K615" s="411"/>
      <c r="L615" s="411"/>
    </row>
    <row r="616" spans="5:12" x14ac:dyDescent="0.25">
      <c r="E616" s="411"/>
      <c r="F616" s="411"/>
      <c r="G616" s="411"/>
      <c r="H616" s="411"/>
      <c r="I616" s="411"/>
      <c r="J616" s="411"/>
      <c r="K616" s="411"/>
      <c r="L616" s="411"/>
    </row>
    <row r="617" spans="5:12" x14ac:dyDescent="0.25">
      <c r="E617" s="411"/>
      <c r="F617" s="411"/>
      <c r="G617" s="411"/>
      <c r="H617" s="411"/>
      <c r="I617" s="411"/>
      <c r="J617" s="411"/>
      <c r="K617" s="411"/>
      <c r="L617" s="411"/>
    </row>
    <row r="618" spans="5:12" x14ac:dyDescent="0.25">
      <c r="E618" s="411"/>
      <c r="F618" s="411"/>
      <c r="G618" s="411"/>
      <c r="H618" s="411"/>
      <c r="I618" s="411"/>
      <c r="J618" s="411"/>
      <c r="K618" s="411"/>
      <c r="L618" s="411"/>
    </row>
    <row r="619" spans="5:12" x14ac:dyDescent="0.25">
      <c r="E619" s="411"/>
      <c r="F619" s="411"/>
      <c r="G619" s="411"/>
      <c r="H619" s="411"/>
      <c r="I619" s="411"/>
      <c r="J619" s="411"/>
      <c r="K619" s="411"/>
      <c r="L619" s="411"/>
    </row>
    <row r="620" spans="5:12" x14ac:dyDescent="0.25">
      <c r="E620" s="411"/>
      <c r="F620" s="411"/>
      <c r="G620" s="411"/>
      <c r="H620" s="411"/>
      <c r="I620" s="411"/>
      <c r="J620" s="411"/>
      <c r="K620" s="411"/>
      <c r="L620" s="411"/>
    </row>
    <row r="621" spans="5:12" x14ac:dyDescent="0.25">
      <c r="E621" s="411"/>
      <c r="F621" s="411"/>
      <c r="G621" s="411"/>
      <c r="H621" s="411"/>
      <c r="I621" s="411"/>
      <c r="J621" s="411"/>
      <c r="K621" s="411"/>
      <c r="L621" s="411"/>
    </row>
    <row r="622" spans="5:12" x14ac:dyDescent="0.25">
      <c r="E622" s="411"/>
      <c r="F622" s="411"/>
      <c r="G622" s="411"/>
      <c r="H622" s="411"/>
      <c r="I622" s="411"/>
      <c r="J622" s="411"/>
      <c r="K622" s="411"/>
      <c r="L622" s="411"/>
    </row>
    <row r="623" spans="5:12" x14ac:dyDescent="0.25">
      <c r="E623" s="411"/>
      <c r="F623" s="411"/>
      <c r="G623" s="411"/>
      <c r="H623" s="411"/>
      <c r="I623" s="411"/>
      <c r="J623" s="411"/>
      <c r="K623" s="411"/>
      <c r="L623" s="411"/>
    </row>
    <row r="624" spans="5:12" x14ac:dyDescent="0.25">
      <c r="E624" s="411"/>
      <c r="F624" s="411"/>
      <c r="G624" s="411"/>
      <c r="H624" s="411"/>
      <c r="I624" s="411"/>
      <c r="J624" s="411"/>
      <c r="K624" s="411"/>
      <c r="L624" s="411"/>
    </row>
    <row r="625" spans="5:12" x14ac:dyDescent="0.25">
      <c r="E625" s="411"/>
      <c r="F625" s="411"/>
      <c r="G625" s="411"/>
      <c r="H625" s="411"/>
      <c r="I625" s="411"/>
      <c r="J625" s="411"/>
      <c r="K625" s="411"/>
      <c r="L625" s="411"/>
    </row>
    <row r="626" spans="5:12" x14ac:dyDescent="0.25">
      <c r="E626" s="411"/>
      <c r="F626" s="411"/>
      <c r="G626" s="411"/>
      <c r="H626" s="411"/>
      <c r="I626" s="411"/>
      <c r="J626" s="411"/>
      <c r="K626" s="411"/>
      <c r="L626" s="411"/>
    </row>
    <row r="627" spans="5:12" x14ac:dyDescent="0.25">
      <c r="E627" s="411"/>
      <c r="F627" s="411"/>
      <c r="G627" s="411"/>
      <c r="H627" s="411"/>
      <c r="I627" s="411"/>
      <c r="J627" s="411"/>
      <c r="K627" s="411"/>
      <c r="L627" s="411"/>
    </row>
    <row r="628" spans="5:12" x14ac:dyDescent="0.25">
      <c r="E628" s="411"/>
      <c r="F628" s="411"/>
      <c r="G628" s="411"/>
      <c r="H628" s="411"/>
      <c r="I628" s="411"/>
      <c r="J628" s="411"/>
      <c r="K628" s="411"/>
      <c r="L628" s="411"/>
    </row>
    <row r="629" spans="5:12" x14ac:dyDescent="0.25">
      <c r="E629" s="411"/>
      <c r="F629" s="411"/>
      <c r="G629" s="411"/>
      <c r="H629" s="411"/>
      <c r="I629" s="411"/>
      <c r="J629" s="411"/>
      <c r="K629" s="411"/>
      <c r="L629" s="411"/>
    </row>
    <row r="630" spans="5:12" x14ac:dyDescent="0.25">
      <c r="E630" s="411"/>
      <c r="F630" s="411"/>
      <c r="G630" s="411"/>
      <c r="H630" s="411"/>
      <c r="I630" s="411"/>
      <c r="J630" s="411"/>
      <c r="K630" s="411"/>
      <c r="L630" s="411"/>
    </row>
    <row r="631" spans="5:12" x14ac:dyDescent="0.25">
      <c r="E631" s="411"/>
      <c r="F631" s="411"/>
      <c r="G631" s="411"/>
      <c r="H631" s="411"/>
      <c r="I631" s="411"/>
      <c r="J631" s="411"/>
      <c r="K631" s="411"/>
      <c r="L631" s="411"/>
    </row>
    <row r="632" spans="5:12" x14ac:dyDescent="0.25">
      <c r="E632" s="411"/>
      <c r="F632" s="411"/>
      <c r="G632" s="411"/>
      <c r="H632" s="411"/>
      <c r="I632" s="411"/>
      <c r="J632" s="411"/>
      <c r="K632" s="411"/>
      <c r="L632" s="411"/>
    </row>
    <row r="633" spans="5:12" x14ac:dyDescent="0.25">
      <c r="E633" s="411"/>
      <c r="F633" s="411"/>
      <c r="G633" s="411"/>
      <c r="H633" s="411"/>
      <c r="I633" s="411"/>
      <c r="J633" s="411"/>
      <c r="K633" s="411"/>
      <c r="L633" s="411"/>
    </row>
    <row r="634" spans="5:12" x14ac:dyDescent="0.25">
      <c r="E634" s="411"/>
      <c r="F634" s="411"/>
      <c r="G634" s="411"/>
      <c r="H634" s="411"/>
      <c r="I634" s="411"/>
      <c r="J634" s="411"/>
      <c r="K634" s="411"/>
      <c r="L634" s="411"/>
    </row>
    <row r="635" spans="5:12" x14ac:dyDescent="0.25">
      <c r="E635" s="411"/>
      <c r="F635" s="411"/>
      <c r="G635" s="411"/>
      <c r="H635" s="411"/>
      <c r="I635" s="411"/>
      <c r="J635" s="411"/>
      <c r="K635" s="411"/>
      <c r="L635" s="411"/>
    </row>
    <row r="636" spans="5:12" x14ac:dyDescent="0.25">
      <c r="E636" s="411"/>
      <c r="F636" s="411"/>
      <c r="G636" s="411"/>
      <c r="H636" s="411"/>
      <c r="I636" s="411"/>
      <c r="J636" s="411"/>
      <c r="K636" s="411"/>
      <c r="L636" s="411"/>
    </row>
    <row r="637" spans="5:12" x14ac:dyDescent="0.25">
      <c r="E637" s="411"/>
      <c r="F637" s="411"/>
      <c r="G637" s="411"/>
      <c r="H637" s="411"/>
      <c r="I637" s="411"/>
      <c r="J637" s="411"/>
      <c r="K637" s="411"/>
      <c r="L637" s="411"/>
    </row>
    <row r="638" spans="5:12" x14ac:dyDescent="0.25">
      <c r="E638" s="411"/>
      <c r="F638" s="411"/>
      <c r="G638" s="411"/>
      <c r="H638" s="411"/>
      <c r="I638" s="411"/>
      <c r="J638" s="411"/>
      <c r="K638" s="411"/>
      <c r="L638" s="411"/>
    </row>
    <row r="639" spans="5:12" x14ac:dyDescent="0.25">
      <c r="E639" s="411"/>
      <c r="F639" s="411"/>
      <c r="G639" s="411"/>
      <c r="H639" s="411"/>
      <c r="I639" s="411"/>
      <c r="J639" s="411"/>
      <c r="K639" s="411"/>
      <c r="L639" s="411"/>
    </row>
    <row r="640" spans="5:12" x14ac:dyDescent="0.25">
      <c r="E640" s="411"/>
      <c r="F640" s="411"/>
      <c r="G640" s="411"/>
      <c r="H640" s="411"/>
      <c r="I640" s="411"/>
      <c r="J640" s="411"/>
      <c r="K640" s="411"/>
      <c r="L640" s="411"/>
    </row>
    <row r="641" spans="5:12" x14ac:dyDescent="0.25">
      <c r="E641" s="411"/>
      <c r="F641" s="411"/>
      <c r="G641" s="411"/>
      <c r="H641" s="411"/>
      <c r="I641" s="411"/>
      <c r="J641" s="411"/>
      <c r="K641" s="411"/>
      <c r="L641" s="411"/>
    </row>
    <row r="642" spans="5:12" x14ac:dyDescent="0.25">
      <c r="E642" s="411"/>
      <c r="F642" s="411"/>
      <c r="G642" s="411"/>
      <c r="H642" s="411"/>
      <c r="I642" s="411"/>
      <c r="J642" s="411"/>
      <c r="K642" s="411"/>
      <c r="L642" s="411"/>
    </row>
    <row r="643" spans="5:12" x14ac:dyDescent="0.25">
      <c r="E643" s="411"/>
      <c r="F643" s="411"/>
      <c r="G643" s="411"/>
      <c r="H643" s="411"/>
      <c r="I643" s="411"/>
      <c r="J643" s="411"/>
      <c r="K643" s="411"/>
      <c r="L643" s="411"/>
    </row>
    <row r="644" spans="5:12" x14ac:dyDescent="0.25">
      <c r="E644" s="411"/>
      <c r="F644" s="411"/>
      <c r="G644" s="411"/>
      <c r="H644" s="411"/>
      <c r="I644" s="411"/>
      <c r="J644" s="411"/>
      <c r="K644" s="411"/>
      <c r="L644" s="411"/>
    </row>
    <row r="645" spans="5:12" x14ac:dyDescent="0.25">
      <c r="E645" s="411"/>
      <c r="F645" s="411"/>
      <c r="G645" s="411"/>
      <c r="H645" s="411"/>
      <c r="I645" s="411"/>
      <c r="J645" s="411"/>
      <c r="K645" s="411"/>
      <c r="L645" s="411"/>
    </row>
    <row r="646" spans="5:12" x14ac:dyDescent="0.25">
      <c r="E646" s="411"/>
      <c r="F646" s="411"/>
      <c r="G646" s="411"/>
      <c r="H646" s="411"/>
      <c r="I646" s="411"/>
      <c r="J646" s="411"/>
      <c r="K646" s="411"/>
      <c r="L646" s="411"/>
    </row>
    <row r="647" spans="5:12" x14ac:dyDescent="0.25">
      <c r="E647" s="411"/>
      <c r="F647" s="411"/>
      <c r="G647" s="411"/>
      <c r="H647" s="411"/>
      <c r="I647" s="411"/>
      <c r="J647" s="411"/>
      <c r="K647" s="411"/>
      <c r="L647" s="411"/>
    </row>
    <row r="648" spans="5:12" x14ac:dyDescent="0.25">
      <c r="E648" s="411"/>
      <c r="F648" s="411"/>
      <c r="G648" s="411"/>
      <c r="H648" s="411"/>
      <c r="I648" s="411"/>
      <c r="J648" s="411"/>
      <c r="K648" s="411"/>
      <c r="L648" s="411"/>
    </row>
    <row r="649" spans="5:12" x14ac:dyDescent="0.25">
      <c r="E649" s="411"/>
      <c r="F649" s="411"/>
      <c r="G649" s="411"/>
      <c r="H649" s="411"/>
      <c r="I649" s="411"/>
      <c r="J649" s="411"/>
      <c r="K649" s="411"/>
      <c r="L649" s="411"/>
    </row>
    <row r="650" spans="5:12" x14ac:dyDescent="0.25">
      <c r="E650" s="411"/>
      <c r="F650" s="411"/>
      <c r="G650" s="411"/>
      <c r="H650" s="411"/>
      <c r="I650" s="411"/>
      <c r="J650" s="411"/>
      <c r="K650" s="411"/>
      <c r="L650" s="411"/>
    </row>
    <row r="651" spans="5:12" x14ac:dyDescent="0.25">
      <c r="E651" s="411"/>
      <c r="F651" s="411"/>
      <c r="G651" s="411"/>
      <c r="H651" s="411"/>
      <c r="I651" s="411"/>
      <c r="J651" s="411"/>
      <c r="K651" s="411"/>
      <c r="L651" s="411"/>
    </row>
    <row r="652" spans="5:12" x14ac:dyDescent="0.25">
      <c r="E652" s="411"/>
      <c r="F652" s="411"/>
      <c r="G652" s="411"/>
      <c r="H652" s="411"/>
      <c r="I652" s="411"/>
      <c r="J652" s="411"/>
      <c r="K652" s="411"/>
      <c r="L652" s="411"/>
    </row>
    <row r="653" spans="5:12" x14ac:dyDescent="0.25">
      <c r="E653" s="411"/>
      <c r="F653" s="411"/>
      <c r="G653" s="411"/>
      <c r="H653" s="411"/>
      <c r="I653" s="411"/>
      <c r="J653" s="411"/>
      <c r="K653" s="411"/>
      <c r="L653" s="411"/>
    </row>
    <row r="654" spans="5:12" x14ac:dyDescent="0.25">
      <c r="E654" s="411"/>
      <c r="F654" s="411"/>
      <c r="G654" s="411"/>
      <c r="H654" s="411"/>
      <c r="I654" s="411"/>
      <c r="J654" s="411"/>
      <c r="K654" s="411"/>
      <c r="L654" s="411"/>
    </row>
    <row r="655" spans="5:12" x14ac:dyDescent="0.25">
      <c r="E655" s="411"/>
      <c r="F655" s="411"/>
      <c r="G655" s="411"/>
      <c r="H655" s="411"/>
      <c r="I655" s="411"/>
      <c r="J655" s="411"/>
      <c r="K655" s="411"/>
      <c r="L655" s="411"/>
    </row>
    <row r="656" spans="5:12" x14ac:dyDescent="0.25">
      <c r="E656" s="411"/>
      <c r="F656" s="411"/>
      <c r="G656" s="411"/>
      <c r="H656" s="411"/>
      <c r="I656" s="411"/>
      <c r="J656" s="411"/>
      <c r="K656" s="411"/>
      <c r="L656" s="411"/>
    </row>
    <row r="657" spans="4:12" x14ac:dyDescent="0.25">
      <c r="E657" s="411"/>
      <c r="F657" s="411"/>
      <c r="G657" s="411"/>
      <c r="H657" s="411"/>
      <c r="I657" s="411"/>
      <c r="J657" s="411"/>
      <c r="K657" s="411"/>
      <c r="L657" s="411"/>
    </row>
    <row r="658" spans="4:12" x14ac:dyDescent="0.25">
      <c r="E658" s="411"/>
      <c r="F658" s="411"/>
      <c r="G658" s="411"/>
      <c r="H658" s="411"/>
      <c r="I658" s="411"/>
      <c r="J658" s="411"/>
      <c r="K658" s="411"/>
      <c r="L658" s="411"/>
    </row>
    <row r="659" spans="4:12" x14ac:dyDescent="0.25">
      <c r="D659" s="892"/>
      <c r="E659" s="411"/>
      <c r="F659" s="411"/>
      <c r="G659" s="411"/>
      <c r="H659" s="411"/>
      <c r="I659" s="411"/>
      <c r="J659" s="411"/>
      <c r="K659" s="411"/>
      <c r="L659" s="411"/>
    </row>
    <row r="660" spans="4:12" x14ac:dyDescent="0.25">
      <c r="D660" s="892"/>
      <c r="E660" s="411"/>
      <c r="F660" s="411"/>
      <c r="G660" s="411"/>
      <c r="H660" s="411"/>
      <c r="I660" s="411"/>
      <c r="J660" s="411"/>
      <c r="K660" s="411"/>
      <c r="L660" s="411"/>
    </row>
    <row r="661" spans="4:12" x14ac:dyDescent="0.25">
      <c r="D661" s="892"/>
      <c r="E661" s="411"/>
      <c r="F661" s="411"/>
      <c r="G661" s="411"/>
      <c r="H661" s="411"/>
      <c r="I661" s="411"/>
      <c r="J661" s="411"/>
      <c r="K661" s="411"/>
      <c r="L661" s="411"/>
    </row>
    <row r="662" spans="4:12" x14ac:dyDescent="0.25">
      <c r="D662" s="892"/>
      <c r="E662" s="411"/>
      <c r="F662" s="411"/>
      <c r="G662" s="411"/>
      <c r="H662" s="411"/>
      <c r="I662" s="411"/>
      <c r="J662" s="411"/>
      <c r="K662" s="411"/>
      <c r="L662" s="411"/>
    </row>
    <row r="663" spans="4:12" x14ac:dyDescent="0.25">
      <c r="D663" s="1710"/>
      <c r="E663" s="1710"/>
      <c r="F663" s="1710"/>
      <c r="G663" s="1710"/>
      <c r="H663" s="1710"/>
      <c r="I663" s="1710"/>
      <c r="J663" s="1710"/>
      <c r="K663" s="1710"/>
      <c r="L663" s="411"/>
    </row>
    <row r="664" spans="4:12" x14ac:dyDescent="0.25">
      <c r="E664" s="411"/>
      <c r="F664" s="411"/>
      <c r="G664" s="411"/>
      <c r="H664" s="411"/>
      <c r="I664" s="411"/>
      <c r="J664" s="411"/>
      <c r="K664" s="411"/>
      <c r="L664" s="411"/>
    </row>
    <row r="665" spans="4:12" x14ac:dyDescent="0.25">
      <c r="E665" s="411"/>
      <c r="F665" s="411"/>
      <c r="G665" s="411"/>
      <c r="H665" s="411"/>
      <c r="I665" s="411"/>
      <c r="J665" s="411"/>
      <c r="K665" s="411"/>
      <c r="L665" s="411"/>
    </row>
    <row r="666" spans="4:12" x14ac:dyDescent="0.25">
      <c r="E666" s="411"/>
      <c r="F666" s="411"/>
      <c r="G666" s="411"/>
      <c r="H666" s="411"/>
      <c r="I666" s="411"/>
      <c r="J666" s="411"/>
      <c r="K666" s="411"/>
      <c r="L666" s="411"/>
    </row>
    <row r="667" spans="4:12" x14ac:dyDescent="0.25">
      <c r="E667" s="411"/>
      <c r="F667" s="411"/>
      <c r="G667" s="411"/>
      <c r="H667" s="411"/>
      <c r="I667" s="411"/>
      <c r="J667" s="411"/>
      <c r="K667" s="411"/>
      <c r="L667" s="411"/>
    </row>
    <row r="668" spans="4:12" x14ac:dyDescent="0.25">
      <c r="E668" s="411"/>
      <c r="F668" s="411"/>
      <c r="G668" s="411"/>
      <c r="H668" s="411"/>
      <c r="I668" s="411"/>
      <c r="J668" s="411"/>
      <c r="K668" s="411"/>
      <c r="L668" s="411"/>
    </row>
    <row r="669" spans="4:12" x14ac:dyDescent="0.25">
      <c r="E669" s="411"/>
      <c r="F669" s="411"/>
      <c r="G669" s="411"/>
      <c r="H669" s="411"/>
      <c r="I669" s="411"/>
      <c r="J669" s="411"/>
      <c r="K669" s="411"/>
      <c r="L669" s="411"/>
    </row>
    <row r="670" spans="4:12" x14ac:dyDescent="0.25">
      <c r="E670" s="411"/>
      <c r="F670" s="411"/>
      <c r="G670" s="411"/>
      <c r="H670" s="411"/>
      <c r="I670" s="411"/>
      <c r="J670" s="411"/>
      <c r="K670" s="411"/>
      <c r="L670" s="411"/>
    </row>
    <row r="671" spans="4:12" x14ac:dyDescent="0.25">
      <c r="E671" s="411"/>
      <c r="F671" s="411"/>
      <c r="G671" s="411"/>
      <c r="H671" s="411"/>
      <c r="I671" s="411"/>
      <c r="J671" s="411"/>
      <c r="K671" s="411"/>
      <c r="L671" s="411"/>
    </row>
    <row r="672" spans="4:12" x14ac:dyDescent="0.25">
      <c r="E672" s="411"/>
      <c r="F672" s="411"/>
      <c r="G672" s="411"/>
      <c r="H672" s="411"/>
      <c r="I672" s="411"/>
      <c r="J672" s="411"/>
      <c r="K672" s="411"/>
      <c r="L672" s="411"/>
    </row>
    <row r="673" spans="5:12" x14ac:dyDescent="0.25">
      <c r="E673" s="411"/>
      <c r="F673" s="411"/>
      <c r="G673" s="411"/>
      <c r="H673" s="411"/>
      <c r="I673" s="411"/>
      <c r="J673" s="411"/>
      <c r="K673" s="411"/>
      <c r="L673" s="411"/>
    </row>
    <row r="674" spans="5:12" x14ac:dyDescent="0.25">
      <c r="E674" s="411"/>
      <c r="F674" s="411"/>
      <c r="G674" s="411"/>
      <c r="H674" s="411"/>
      <c r="I674" s="411"/>
      <c r="J674" s="411"/>
      <c r="K674" s="411"/>
      <c r="L674" s="411"/>
    </row>
    <row r="675" spans="5:12" x14ac:dyDescent="0.25">
      <c r="E675" s="411"/>
      <c r="F675" s="411"/>
      <c r="G675" s="411"/>
      <c r="H675" s="411"/>
      <c r="I675" s="411"/>
      <c r="J675" s="411"/>
      <c r="K675" s="411"/>
      <c r="L675" s="411"/>
    </row>
    <row r="676" spans="5:12" x14ac:dyDescent="0.25">
      <c r="E676" s="411"/>
      <c r="F676" s="411"/>
      <c r="G676" s="411"/>
      <c r="H676" s="411"/>
      <c r="I676" s="411"/>
      <c r="J676" s="411"/>
      <c r="K676" s="411"/>
      <c r="L676" s="411"/>
    </row>
    <row r="677" spans="5:12" x14ac:dyDescent="0.25">
      <c r="E677" s="411"/>
      <c r="F677" s="411"/>
      <c r="G677" s="411"/>
      <c r="H677" s="411"/>
      <c r="I677" s="411"/>
      <c r="J677" s="411"/>
      <c r="K677" s="411"/>
      <c r="L677" s="411"/>
    </row>
    <row r="678" spans="5:12" x14ac:dyDescent="0.25">
      <c r="E678" s="411"/>
      <c r="F678" s="411"/>
      <c r="G678" s="411"/>
      <c r="H678" s="411"/>
      <c r="I678" s="411"/>
      <c r="J678" s="411"/>
      <c r="K678" s="411"/>
      <c r="L678" s="411"/>
    </row>
    <row r="679" spans="5:12" x14ac:dyDescent="0.25">
      <c r="E679" s="411"/>
      <c r="F679" s="411"/>
      <c r="G679" s="411"/>
      <c r="H679" s="411"/>
      <c r="I679" s="411"/>
      <c r="J679" s="411"/>
      <c r="K679" s="411"/>
      <c r="L679" s="411"/>
    </row>
    <row r="680" spans="5:12" x14ac:dyDescent="0.25">
      <c r="E680" s="411"/>
      <c r="F680" s="411"/>
      <c r="G680" s="411"/>
      <c r="H680" s="411"/>
      <c r="I680" s="411"/>
      <c r="J680" s="411"/>
      <c r="K680" s="411"/>
      <c r="L680" s="411"/>
    </row>
    <row r="681" spans="5:12" x14ac:dyDescent="0.25">
      <c r="E681" s="411"/>
      <c r="F681" s="411"/>
      <c r="G681" s="411"/>
      <c r="H681" s="411"/>
      <c r="I681" s="411"/>
      <c r="J681" s="411"/>
      <c r="K681" s="411"/>
      <c r="L681" s="411"/>
    </row>
    <row r="682" spans="5:12" x14ac:dyDescent="0.25">
      <c r="E682" s="411"/>
      <c r="F682" s="411"/>
      <c r="G682" s="411"/>
      <c r="H682" s="411"/>
      <c r="I682" s="411"/>
      <c r="J682" s="411"/>
      <c r="K682" s="411"/>
      <c r="L682" s="411"/>
    </row>
    <row r="683" spans="5:12" x14ac:dyDescent="0.25">
      <c r="E683" s="411"/>
      <c r="F683" s="411"/>
      <c r="G683" s="411"/>
      <c r="H683" s="411"/>
      <c r="I683" s="411"/>
      <c r="J683" s="411"/>
      <c r="K683" s="411"/>
      <c r="L683" s="411"/>
    </row>
    <row r="684" spans="5:12" x14ac:dyDescent="0.25">
      <c r="E684" s="411"/>
      <c r="F684" s="411"/>
      <c r="G684" s="411"/>
      <c r="H684" s="411"/>
      <c r="I684" s="411"/>
      <c r="J684" s="411"/>
      <c r="K684" s="411"/>
      <c r="L684" s="411"/>
    </row>
    <row r="685" spans="5:12" x14ac:dyDescent="0.25">
      <c r="E685" s="411"/>
      <c r="F685" s="411"/>
      <c r="G685" s="411"/>
      <c r="H685" s="411"/>
      <c r="I685" s="411"/>
      <c r="J685" s="411"/>
      <c r="K685" s="411"/>
      <c r="L685" s="411"/>
    </row>
    <row r="686" spans="5:12" x14ac:dyDescent="0.25">
      <c r="E686" s="411"/>
      <c r="F686" s="411"/>
      <c r="G686" s="411"/>
      <c r="H686" s="411"/>
      <c r="I686" s="411"/>
      <c r="J686" s="411"/>
      <c r="K686" s="411"/>
      <c r="L686" s="411"/>
    </row>
    <row r="687" spans="5:12" x14ac:dyDescent="0.25">
      <c r="E687" s="411"/>
      <c r="F687" s="411"/>
      <c r="G687" s="411"/>
      <c r="H687" s="411"/>
      <c r="I687" s="411"/>
      <c r="J687" s="411"/>
      <c r="K687" s="411"/>
      <c r="L687" s="411"/>
    </row>
    <row r="688" spans="5:12" x14ac:dyDescent="0.25">
      <c r="E688" s="411"/>
      <c r="F688" s="411"/>
      <c r="G688" s="411"/>
      <c r="H688" s="411"/>
      <c r="I688" s="411"/>
      <c r="J688" s="411"/>
      <c r="K688" s="411"/>
      <c r="L688" s="411"/>
    </row>
    <row r="689" spans="5:12" x14ac:dyDescent="0.25">
      <c r="E689" s="411"/>
      <c r="F689" s="411"/>
      <c r="G689" s="411"/>
      <c r="H689" s="411"/>
      <c r="I689" s="411"/>
      <c r="J689" s="411"/>
      <c r="K689" s="411"/>
      <c r="L689" s="411"/>
    </row>
    <row r="690" spans="5:12" x14ac:dyDescent="0.25">
      <c r="E690" s="411"/>
      <c r="F690" s="411"/>
      <c r="G690" s="411"/>
      <c r="H690" s="411"/>
      <c r="I690" s="411"/>
      <c r="J690" s="411"/>
      <c r="K690" s="411"/>
      <c r="L690" s="411"/>
    </row>
    <row r="691" spans="5:12" x14ac:dyDescent="0.25">
      <c r="E691" s="411"/>
      <c r="F691" s="411"/>
      <c r="G691" s="411"/>
      <c r="H691" s="411"/>
      <c r="I691" s="411"/>
      <c r="J691" s="411"/>
      <c r="K691" s="411"/>
      <c r="L691" s="411"/>
    </row>
    <row r="692" spans="5:12" x14ac:dyDescent="0.25">
      <c r="E692" s="411"/>
      <c r="F692" s="411"/>
      <c r="G692" s="411"/>
      <c r="H692" s="411"/>
      <c r="I692" s="411"/>
      <c r="J692" s="411"/>
      <c r="K692" s="411"/>
      <c r="L692" s="411"/>
    </row>
    <row r="693" spans="5:12" x14ac:dyDescent="0.25">
      <c r="E693" s="411"/>
      <c r="F693" s="411"/>
      <c r="G693" s="411"/>
      <c r="H693" s="411"/>
      <c r="I693" s="411"/>
      <c r="J693" s="411"/>
      <c r="K693" s="411"/>
      <c r="L693" s="411"/>
    </row>
    <row r="694" spans="5:12" x14ac:dyDescent="0.25">
      <c r="E694" s="411"/>
      <c r="F694" s="411"/>
      <c r="G694" s="411"/>
      <c r="H694" s="411"/>
      <c r="I694" s="411"/>
      <c r="J694" s="411"/>
      <c r="K694" s="411"/>
      <c r="L694" s="411"/>
    </row>
    <row r="695" spans="5:12" x14ac:dyDescent="0.25">
      <c r="E695" s="411"/>
      <c r="F695" s="411"/>
      <c r="G695" s="411"/>
      <c r="H695" s="411"/>
      <c r="I695" s="411"/>
      <c r="J695" s="411"/>
      <c r="K695" s="411"/>
      <c r="L695" s="411"/>
    </row>
    <row r="696" spans="5:12" x14ac:dyDescent="0.25">
      <c r="E696" s="411"/>
      <c r="F696" s="411"/>
      <c r="G696" s="411"/>
      <c r="H696" s="411"/>
      <c r="I696" s="411"/>
      <c r="J696" s="411"/>
      <c r="K696" s="411"/>
      <c r="L696" s="411"/>
    </row>
    <row r="697" spans="5:12" x14ac:dyDescent="0.25">
      <c r="E697" s="411"/>
      <c r="F697" s="411"/>
      <c r="G697" s="411"/>
      <c r="H697" s="411"/>
      <c r="I697" s="411"/>
      <c r="J697" s="411"/>
      <c r="K697" s="411"/>
      <c r="L697" s="411"/>
    </row>
    <row r="698" spans="5:12" x14ac:dyDescent="0.25">
      <c r="E698" s="411"/>
      <c r="F698" s="411"/>
      <c r="G698" s="411"/>
      <c r="H698" s="411"/>
      <c r="I698" s="411"/>
      <c r="J698" s="411"/>
      <c r="K698" s="411"/>
      <c r="L698" s="411"/>
    </row>
    <row r="699" spans="5:12" x14ac:dyDescent="0.25">
      <c r="E699" s="411"/>
      <c r="F699" s="411"/>
      <c r="G699" s="411"/>
      <c r="H699" s="411"/>
      <c r="I699" s="411"/>
      <c r="J699" s="411"/>
      <c r="K699" s="411"/>
      <c r="L699" s="411"/>
    </row>
    <row r="700" spans="5:12" x14ac:dyDescent="0.25">
      <c r="E700" s="411"/>
      <c r="F700" s="411"/>
      <c r="G700" s="411"/>
      <c r="H700" s="411"/>
      <c r="I700" s="411"/>
      <c r="J700" s="411"/>
      <c r="K700" s="411"/>
      <c r="L700" s="411"/>
    </row>
    <row r="701" spans="5:12" x14ac:dyDescent="0.25">
      <c r="E701" s="411"/>
      <c r="F701" s="411"/>
      <c r="G701" s="411"/>
      <c r="H701" s="411"/>
      <c r="I701" s="411"/>
      <c r="J701" s="411"/>
      <c r="K701" s="411"/>
      <c r="L701" s="411"/>
    </row>
    <row r="702" spans="5:12" x14ac:dyDescent="0.25">
      <c r="E702" s="411"/>
      <c r="F702" s="411"/>
      <c r="G702" s="411"/>
      <c r="H702" s="411"/>
      <c r="I702" s="411"/>
      <c r="J702" s="411"/>
      <c r="K702" s="411"/>
      <c r="L702" s="411"/>
    </row>
    <row r="703" spans="5:12" x14ac:dyDescent="0.25">
      <c r="E703" s="411"/>
      <c r="F703" s="411"/>
      <c r="G703" s="411"/>
      <c r="H703" s="411"/>
      <c r="I703" s="411"/>
      <c r="J703" s="411"/>
      <c r="K703" s="411"/>
      <c r="L703" s="411"/>
    </row>
    <row r="704" spans="5:12" x14ac:dyDescent="0.25">
      <c r="E704" s="411"/>
      <c r="F704" s="411"/>
      <c r="G704" s="411"/>
      <c r="H704" s="411"/>
      <c r="I704" s="411"/>
      <c r="J704" s="411"/>
      <c r="K704" s="411"/>
      <c r="L704" s="411"/>
    </row>
    <row r="705" spans="5:12" x14ac:dyDescent="0.25">
      <c r="E705" s="411"/>
      <c r="F705" s="411"/>
      <c r="G705" s="411"/>
      <c r="H705" s="411"/>
      <c r="I705" s="411"/>
      <c r="J705" s="411"/>
      <c r="K705" s="411"/>
      <c r="L705" s="411"/>
    </row>
    <row r="706" spans="5:12" x14ac:dyDescent="0.25">
      <c r="E706" s="411"/>
      <c r="F706" s="411"/>
      <c r="G706" s="411"/>
      <c r="H706" s="411"/>
      <c r="I706" s="411"/>
      <c r="J706" s="411"/>
      <c r="K706" s="411"/>
      <c r="L706" s="411"/>
    </row>
    <row r="707" spans="5:12" x14ac:dyDescent="0.25">
      <c r="E707" s="411"/>
      <c r="F707" s="411"/>
      <c r="G707" s="411"/>
      <c r="H707" s="411"/>
      <c r="I707" s="411"/>
      <c r="J707" s="411"/>
      <c r="K707" s="411"/>
      <c r="L707" s="411"/>
    </row>
    <row r="708" spans="5:12" x14ac:dyDescent="0.25">
      <c r="E708" s="411"/>
      <c r="F708" s="411"/>
      <c r="G708" s="411"/>
      <c r="H708" s="411"/>
      <c r="I708" s="411"/>
      <c r="J708" s="411"/>
      <c r="K708" s="411"/>
      <c r="L708" s="411"/>
    </row>
    <row r="709" spans="5:12" x14ac:dyDescent="0.25">
      <c r="E709" s="411"/>
      <c r="F709" s="411"/>
      <c r="G709" s="411"/>
      <c r="H709" s="411"/>
      <c r="I709" s="411"/>
      <c r="J709" s="411"/>
      <c r="K709" s="411"/>
      <c r="L709" s="411"/>
    </row>
    <row r="710" spans="5:12" x14ac:dyDescent="0.25">
      <c r="E710" s="411"/>
      <c r="F710" s="411"/>
      <c r="G710" s="411"/>
      <c r="H710" s="411"/>
      <c r="I710" s="411"/>
      <c r="J710" s="411"/>
      <c r="K710" s="411"/>
      <c r="L710" s="411"/>
    </row>
    <row r="711" spans="5:12" x14ac:dyDescent="0.25">
      <c r="E711" s="411"/>
      <c r="F711" s="411"/>
      <c r="G711" s="411"/>
      <c r="H711" s="411"/>
      <c r="I711" s="411"/>
      <c r="J711" s="411"/>
      <c r="K711" s="411"/>
      <c r="L711" s="411"/>
    </row>
    <row r="712" spans="5:12" x14ac:dyDescent="0.25">
      <c r="E712" s="411"/>
      <c r="F712" s="411"/>
      <c r="G712" s="411"/>
      <c r="H712" s="411"/>
      <c r="I712" s="411"/>
      <c r="J712" s="411"/>
      <c r="K712" s="411"/>
      <c r="L712" s="411"/>
    </row>
    <row r="713" spans="5:12" x14ac:dyDescent="0.25">
      <c r="E713" s="411"/>
      <c r="F713" s="411"/>
      <c r="G713" s="411"/>
      <c r="H713" s="411"/>
      <c r="I713" s="411"/>
      <c r="J713" s="411"/>
      <c r="K713" s="411"/>
      <c r="L713" s="411"/>
    </row>
    <row r="714" spans="5:12" x14ac:dyDescent="0.25">
      <c r="E714" s="411"/>
      <c r="F714" s="411"/>
      <c r="G714" s="411"/>
      <c r="H714" s="411"/>
      <c r="I714" s="411"/>
      <c r="J714" s="411"/>
      <c r="K714" s="411"/>
      <c r="L714" s="411"/>
    </row>
    <row r="715" spans="5:12" x14ac:dyDescent="0.25">
      <c r="E715" s="411"/>
      <c r="F715" s="411"/>
      <c r="G715" s="411"/>
      <c r="H715" s="411"/>
      <c r="I715" s="411"/>
      <c r="J715" s="411"/>
      <c r="K715" s="411"/>
      <c r="L715" s="411"/>
    </row>
    <row r="716" spans="5:12" x14ac:dyDescent="0.25">
      <c r="E716" s="411"/>
      <c r="F716" s="411"/>
      <c r="G716" s="411"/>
      <c r="H716" s="411"/>
      <c r="I716" s="411"/>
      <c r="J716" s="411"/>
      <c r="K716" s="411"/>
      <c r="L716" s="411"/>
    </row>
    <row r="717" spans="5:12" x14ac:dyDescent="0.25">
      <c r="E717" s="411"/>
      <c r="F717" s="411"/>
      <c r="G717" s="411"/>
      <c r="H717" s="411"/>
      <c r="I717" s="411"/>
      <c r="J717" s="411"/>
      <c r="K717" s="411"/>
      <c r="L717" s="411"/>
    </row>
    <row r="718" spans="5:12" x14ac:dyDescent="0.25">
      <c r="E718" s="411"/>
      <c r="F718" s="411"/>
      <c r="G718" s="411"/>
      <c r="H718" s="411"/>
      <c r="I718" s="411"/>
      <c r="J718" s="411"/>
      <c r="K718" s="411"/>
      <c r="L718" s="411"/>
    </row>
    <row r="719" spans="5:12" x14ac:dyDescent="0.25">
      <c r="E719" s="411"/>
      <c r="F719" s="411"/>
      <c r="G719" s="411"/>
      <c r="H719" s="411"/>
      <c r="I719" s="411"/>
      <c r="J719" s="411"/>
      <c r="K719" s="411"/>
      <c r="L719" s="411"/>
    </row>
    <row r="720" spans="5:12" x14ac:dyDescent="0.25">
      <c r="E720" s="411"/>
      <c r="F720" s="411"/>
      <c r="G720" s="411"/>
      <c r="H720" s="411"/>
      <c r="I720" s="411"/>
      <c r="J720" s="411"/>
      <c r="K720" s="411"/>
      <c r="L720" s="411"/>
    </row>
    <row r="721" spans="5:12" x14ac:dyDescent="0.25">
      <c r="E721" s="411"/>
      <c r="F721" s="411"/>
      <c r="G721" s="411"/>
      <c r="H721" s="411"/>
      <c r="I721" s="411"/>
      <c r="J721" s="411"/>
      <c r="K721" s="411"/>
      <c r="L721" s="411"/>
    </row>
    <row r="722" spans="5:12" x14ac:dyDescent="0.25">
      <c r="E722" s="411"/>
      <c r="F722" s="411"/>
      <c r="G722" s="411"/>
      <c r="H722" s="411"/>
      <c r="I722" s="411"/>
      <c r="J722" s="411"/>
      <c r="K722" s="411"/>
      <c r="L722" s="411"/>
    </row>
    <row r="723" spans="5:12" x14ac:dyDescent="0.25">
      <c r="E723" s="411"/>
      <c r="F723" s="411"/>
      <c r="G723" s="411"/>
      <c r="H723" s="411"/>
      <c r="I723" s="411"/>
      <c r="J723" s="411"/>
      <c r="K723" s="411"/>
      <c r="L723" s="411"/>
    </row>
    <row r="724" spans="5:12" x14ac:dyDescent="0.25">
      <c r="E724" s="411"/>
      <c r="F724" s="411"/>
      <c r="G724" s="411"/>
      <c r="H724" s="411"/>
      <c r="I724" s="411"/>
      <c r="J724" s="411"/>
      <c r="K724" s="411"/>
      <c r="L724" s="411"/>
    </row>
    <row r="725" spans="5:12" x14ac:dyDescent="0.25">
      <c r="E725" s="411"/>
      <c r="F725" s="411"/>
      <c r="G725" s="411"/>
      <c r="H725" s="411"/>
      <c r="I725" s="411"/>
      <c r="J725" s="411"/>
      <c r="K725" s="411"/>
      <c r="L725" s="411"/>
    </row>
    <row r="726" spans="5:12" x14ac:dyDescent="0.25">
      <c r="E726" s="411"/>
      <c r="F726" s="411"/>
      <c r="G726" s="411"/>
      <c r="H726" s="411"/>
      <c r="I726" s="411"/>
      <c r="J726" s="411"/>
      <c r="K726" s="411"/>
      <c r="L726" s="411"/>
    </row>
    <row r="727" spans="5:12" x14ac:dyDescent="0.25">
      <c r="E727" s="411"/>
      <c r="F727" s="411"/>
      <c r="G727" s="411"/>
      <c r="H727" s="411"/>
      <c r="I727" s="411"/>
      <c r="J727" s="411"/>
      <c r="K727" s="411"/>
      <c r="L727" s="411"/>
    </row>
    <row r="728" spans="5:12" x14ac:dyDescent="0.25">
      <c r="E728" s="411"/>
      <c r="F728" s="411"/>
      <c r="G728" s="411"/>
      <c r="H728" s="411"/>
      <c r="I728" s="411"/>
      <c r="J728" s="411"/>
      <c r="K728" s="411"/>
      <c r="L728" s="411"/>
    </row>
    <row r="729" spans="5:12" x14ac:dyDescent="0.25">
      <c r="E729" s="411"/>
      <c r="F729" s="411"/>
      <c r="G729" s="411"/>
      <c r="H729" s="411"/>
      <c r="I729" s="411"/>
      <c r="J729" s="411"/>
      <c r="K729" s="411"/>
      <c r="L729" s="411"/>
    </row>
    <row r="730" spans="5:12" x14ac:dyDescent="0.25">
      <c r="E730" s="411"/>
      <c r="F730" s="411"/>
      <c r="G730" s="411"/>
      <c r="H730" s="411"/>
      <c r="I730" s="411"/>
      <c r="J730" s="411"/>
      <c r="K730" s="411"/>
      <c r="L730" s="411"/>
    </row>
    <row r="731" spans="5:12" x14ac:dyDescent="0.25">
      <c r="E731" s="411"/>
      <c r="F731" s="411"/>
      <c r="G731" s="411"/>
      <c r="H731" s="411"/>
      <c r="I731" s="411"/>
      <c r="J731" s="411"/>
      <c r="K731" s="411"/>
      <c r="L731" s="411"/>
    </row>
    <row r="732" spans="5:12" x14ac:dyDescent="0.25">
      <c r="E732" s="411"/>
      <c r="F732" s="411"/>
      <c r="G732" s="411"/>
      <c r="H732" s="411"/>
      <c r="I732" s="411"/>
      <c r="J732" s="411"/>
      <c r="K732" s="411"/>
      <c r="L732" s="411"/>
    </row>
    <row r="733" spans="5:12" x14ac:dyDescent="0.25">
      <c r="E733" s="411"/>
      <c r="F733" s="411"/>
      <c r="G733" s="411"/>
      <c r="H733" s="411"/>
      <c r="I733" s="411"/>
      <c r="J733" s="411"/>
      <c r="K733" s="411"/>
      <c r="L733" s="411"/>
    </row>
    <row r="734" spans="5:12" x14ac:dyDescent="0.25">
      <c r="E734" s="411"/>
      <c r="F734" s="411"/>
      <c r="G734" s="411"/>
      <c r="H734" s="411"/>
      <c r="I734" s="411"/>
      <c r="J734" s="411"/>
      <c r="K734" s="411"/>
      <c r="L734" s="411"/>
    </row>
    <row r="735" spans="5:12" x14ac:dyDescent="0.25">
      <c r="E735" s="411"/>
      <c r="F735" s="411"/>
      <c r="G735" s="411"/>
      <c r="H735" s="411"/>
      <c r="I735" s="411"/>
      <c r="J735" s="411"/>
      <c r="K735" s="411"/>
      <c r="L735" s="411"/>
    </row>
    <row r="736" spans="5:12" x14ac:dyDescent="0.25">
      <c r="E736" s="411"/>
      <c r="F736" s="411"/>
      <c r="G736" s="411"/>
      <c r="H736" s="411"/>
      <c r="I736" s="411"/>
      <c r="J736" s="411"/>
      <c r="K736" s="411"/>
      <c r="L736" s="411"/>
    </row>
    <row r="737" spans="5:12" x14ac:dyDescent="0.25">
      <c r="E737" s="411"/>
      <c r="F737" s="411"/>
      <c r="G737" s="411"/>
      <c r="H737" s="411"/>
      <c r="I737" s="411"/>
      <c r="J737" s="411"/>
      <c r="K737" s="411"/>
      <c r="L737" s="411"/>
    </row>
    <row r="738" spans="5:12" x14ac:dyDescent="0.25">
      <c r="E738" s="411"/>
      <c r="F738" s="411"/>
      <c r="G738" s="411"/>
      <c r="H738" s="411"/>
      <c r="I738" s="411"/>
      <c r="J738" s="411"/>
      <c r="K738" s="411"/>
      <c r="L738" s="411"/>
    </row>
    <row r="739" spans="5:12" x14ac:dyDescent="0.25">
      <c r="E739" s="411"/>
      <c r="F739" s="411"/>
      <c r="G739" s="411"/>
      <c r="H739" s="411"/>
      <c r="I739" s="411"/>
      <c r="J739" s="411"/>
      <c r="K739" s="411"/>
      <c r="L739" s="411"/>
    </row>
    <row r="740" spans="5:12" x14ac:dyDescent="0.25">
      <c r="E740" s="411"/>
      <c r="F740" s="411"/>
      <c r="G740" s="411"/>
      <c r="H740" s="411"/>
      <c r="I740" s="411"/>
      <c r="J740" s="411"/>
      <c r="K740" s="411"/>
      <c r="L740" s="411"/>
    </row>
    <row r="741" spans="5:12" x14ac:dyDescent="0.25">
      <c r="E741" s="411"/>
      <c r="F741" s="411"/>
      <c r="G741" s="411"/>
      <c r="H741" s="411"/>
      <c r="I741" s="411"/>
      <c r="J741" s="411"/>
      <c r="K741" s="411"/>
      <c r="L741" s="411"/>
    </row>
    <row r="742" spans="5:12" x14ac:dyDescent="0.25">
      <c r="E742" s="411"/>
      <c r="F742" s="411"/>
      <c r="G742" s="411"/>
      <c r="H742" s="411"/>
      <c r="I742" s="411"/>
      <c r="J742" s="411"/>
      <c r="K742" s="411"/>
      <c r="L742" s="411"/>
    </row>
    <row r="743" spans="5:12" x14ac:dyDescent="0.25">
      <c r="E743" s="411"/>
      <c r="F743" s="411"/>
      <c r="G743" s="411"/>
      <c r="H743" s="411"/>
      <c r="I743" s="411"/>
      <c r="J743" s="411"/>
      <c r="K743" s="411"/>
      <c r="L743" s="411"/>
    </row>
    <row r="744" spans="5:12" x14ac:dyDescent="0.25">
      <c r="E744" s="411"/>
      <c r="F744" s="411"/>
      <c r="G744" s="411"/>
      <c r="H744" s="411"/>
      <c r="I744" s="411"/>
      <c r="J744" s="411"/>
      <c r="K744" s="411"/>
      <c r="L744" s="411"/>
    </row>
    <row r="745" spans="5:12" x14ac:dyDescent="0.25">
      <c r="E745" s="411"/>
      <c r="F745" s="411"/>
      <c r="G745" s="411"/>
      <c r="H745" s="411"/>
      <c r="I745" s="411"/>
      <c r="J745" s="411"/>
      <c r="K745" s="411"/>
      <c r="L745" s="411"/>
    </row>
    <row r="746" spans="5:12" x14ac:dyDescent="0.25">
      <c r="E746" s="411"/>
      <c r="F746" s="411"/>
      <c r="G746" s="411"/>
      <c r="H746" s="411"/>
      <c r="I746" s="411"/>
      <c r="J746" s="411"/>
      <c r="K746" s="411"/>
      <c r="L746" s="411"/>
    </row>
    <row r="747" spans="5:12" x14ac:dyDescent="0.25">
      <c r="E747" s="411"/>
      <c r="F747" s="411"/>
      <c r="G747" s="411"/>
      <c r="H747" s="411"/>
      <c r="I747" s="411"/>
      <c r="J747" s="411"/>
      <c r="K747" s="411"/>
      <c r="L747" s="411"/>
    </row>
    <row r="748" spans="5:12" x14ac:dyDescent="0.25">
      <c r="E748" s="411"/>
      <c r="F748" s="411"/>
      <c r="G748" s="411"/>
      <c r="H748" s="411"/>
      <c r="I748" s="411"/>
      <c r="J748" s="411"/>
      <c r="K748" s="411"/>
      <c r="L748" s="411"/>
    </row>
    <row r="749" spans="5:12" x14ac:dyDescent="0.25">
      <c r="E749" s="411"/>
      <c r="F749" s="411"/>
      <c r="G749" s="411"/>
      <c r="H749" s="411"/>
      <c r="I749" s="411"/>
      <c r="J749" s="411"/>
      <c r="K749" s="411"/>
      <c r="L749" s="411"/>
    </row>
    <row r="750" spans="5:12" x14ac:dyDescent="0.25">
      <c r="E750" s="411"/>
      <c r="F750" s="411"/>
      <c r="G750" s="411"/>
      <c r="H750" s="411"/>
      <c r="I750" s="411"/>
      <c r="J750" s="411"/>
      <c r="K750" s="411"/>
      <c r="L750" s="411"/>
    </row>
    <row r="751" spans="5:12" x14ac:dyDescent="0.25">
      <c r="E751" s="411"/>
      <c r="F751" s="411"/>
      <c r="G751" s="411"/>
      <c r="H751" s="411"/>
      <c r="I751" s="411"/>
      <c r="J751" s="411"/>
      <c r="K751" s="411"/>
      <c r="L751" s="411"/>
    </row>
    <row r="752" spans="5:12" x14ac:dyDescent="0.25">
      <c r="E752" s="411"/>
      <c r="F752" s="411"/>
      <c r="G752" s="411"/>
      <c r="H752" s="411"/>
      <c r="I752" s="411"/>
      <c r="J752" s="411"/>
      <c r="K752" s="411"/>
      <c r="L752" s="411"/>
    </row>
    <row r="753" spans="5:12" x14ac:dyDescent="0.25">
      <c r="E753" s="411"/>
      <c r="F753" s="411"/>
      <c r="G753" s="411"/>
      <c r="H753" s="411"/>
      <c r="I753" s="411"/>
      <c r="J753" s="411"/>
      <c r="K753" s="411"/>
      <c r="L753" s="411"/>
    </row>
    <row r="754" spans="5:12" x14ac:dyDescent="0.25">
      <c r="E754" s="411"/>
      <c r="F754" s="411"/>
      <c r="G754" s="411"/>
      <c r="H754" s="411"/>
      <c r="I754" s="411"/>
      <c r="J754" s="411"/>
      <c r="K754" s="411"/>
      <c r="L754" s="411"/>
    </row>
    <row r="755" spans="5:12" x14ac:dyDescent="0.25">
      <c r="E755" s="411"/>
      <c r="F755" s="411"/>
      <c r="G755" s="411"/>
      <c r="H755" s="411"/>
      <c r="I755" s="411"/>
      <c r="J755" s="411"/>
      <c r="K755" s="411"/>
      <c r="L755" s="411"/>
    </row>
    <row r="756" spans="5:12" x14ac:dyDescent="0.25">
      <c r="E756" s="411"/>
      <c r="F756" s="411"/>
      <c r="G756" s="411"/>
      <c r="H756" s="411"/>
      <c r="I756" s="411"/>
      <c r="J756" s="411"/>
      <c r="K756" s="411"/>
      <c r="L756" s="411"/>
    </row>
    <row r="757" spans="5:12" x14ac:dyDescent="0.25">
      <c r="E757" s="411"/>
      <c r="F757" s="411"/>
      <c r="G757" s="411"/>
      <c r="H757" s="411"/>
      <c r="I757" s="411"/>
      <c r="J757" s="411"/>
      <c r="K757" s="411"/>
      <c r="L757" s="411"/>
    </row>
    <row r="758" spans="5:12" x14ac:dyDescent="0.25">
      <c r="E758" s="411"/>
      <c r="F758" s="411"/>
      <c r="G758" s="411"/>
      <c r="H758" s="411"/>
      <c r="I758" s="411"/>
      <c r="J758" s="411"/>
      <c r="K758" s="411"/>
      <c r="L758" s="411"/>
    </row>
    <row r="759" spans="5:12" x14ac:dyDescent="0.25">
      <c r="E759" s="411"/>
      <c r="F759" s="411"/>
      <c r="G759" s="411"/>
      <c r="H759" s="411"/>
      <c r="I759" s="411"/>
      <c r="J759" s="411"/>
      <c r="K759" s="411"/>
      <c r="L759" s="411"/>
    </row>
    <row r="760" spans="5:12" x14ac:dyDescent="0.25">
      <c r="E760" s="411"/>
      <c r="F760" s="411"/>
      <c r="G760" s="411"/>
      <c r="H760" s="411"/>
      <c r="I760" s="411"/>
      <c r="J760" s="411"/>
      <c r="K760" s="411"/>
      <c r="L760" s="411"/>
    </row>
    <row r="761" spans="5:12" x14ac:dyDescent="0.25">
      <c r="E761" s="411"/>
      <c r="F761" s="411"/>
      <c r="G761" s="411"/>
      <c r="H761" s="411"/>
      <c r="I761" s="411"/>
      <c r="J761" s="411"/>
      <c r="K761" s="411"/>
      <c r="L761" s="411"/>
    </row>
    <row r="762" spans="5:12" x14ac:dyDescent="0.25">
      <c r="E762" s="411"/>
      <c r="F762" s="411"/>
      <c r="G762" s="411"/>
      <c r="H762" s="411"/>
      <c r="I762" s="411"/>
      <c r="J762" s="411"/>
      <c r="K762" s="411"/>
      <c r="L762" s="411"/>
    </row>
    <row r="763" spans="5:12" x14ac:dyDescent="0.25">
      <c r="E763" s="411"/>
      <c r="F763" s="411"/>
      <c r="G763" s="411"/>
      <c r="H763" s="411"/>
      <c r="I763" s="411"/>
      <c r="J763" s="411"/>
      <c r="K763" s="411"/>
      <c r="L763" s="411"/>
    </row>
    <row r="764" spans="5:12" x14ac:dyDescent="0.25">
      <c r="E764" s="411"/>
      <c r="F764" s="411"/>
      <c r="G764" s="411"/>
      <c r="H764" s="411"/>
      <c r="I764" s="411"/>
      <c r="J764" s="411"/>
      <c r="K764" s="411"/>
      <c r="L764" s="411"/>
    </row>
    <row r="765" spans="5:12" x14ac:dyDescent="0.25">
      <c r="E765" s="411"/>
      <c r="F765" s="411"/>
      <c r="G765" s="411"/>
      <c r="H765" s="411"/>
      <c r="I765" s="411"/>
      <c r="J765" s="411"/>
      <c r="K765" s="411"/>
      <c r="L765" s="411"/>
    </row>
    <row r="766" spans="5:12" x14ac:dyDescent="0.25">
      <c r="E766" s="411"/>
      <c r="F766" s="411"/>
      <c r="G766" s="411"/>
      <c r="H766" s="411"/>
      <c r="I766" s="411"/>
      <c r="J766" s="411"/>
      <c r="K766" s="411"/>
      <c r="L766" s="411"/>
    </row>
    <row r="767" spans="5:12" x14ac:dyDescent="0.25">
      <c r="E767" s="411"/>
      <c r="F767" s="411"/>
      <c r="G767" s="411"/>
      <c r="H767" s="411"/>
      <c r="I767" s="411"/>
      <c r="J767" s="411"/>
      <c r="K767" s="411"/>
      <c r="L767" s="411"/>
    </row>
    <row r="768" spans="5:12" x14ac:dyDescent="0.25">
      <c r="E768" s="411"/>
      <c r="F768" s="411"/>
      <c r="G768" s="411"/>
      <c r="H768" s="411"/>
      <c r="I768" s="411"/>
      <c r="J768" s="411"/>
      <c r="K768" s="411"/>
      <c r="L768" s="411"/>
    </row>
    <row r="769" spans="5:12" x14ac:dyDescent="0.25">
      <c r="E769" s="411"/>
      <c r="F769" s="411"/>
      <c r="G769" s="411"/>
      <c r="H769" s="411"/>
      <c r="I769" s="411"/>
      <c r="J769" s="411"/>
      <c r="K769" s="411"/>
      <c r="L769" s="411"/>
    </row>
    <row r="770" spans="5:12" x14ac:dyDescent="0.25">
      <c r="E770" s="411"/>
      <c r="F770" s="411"/>
      <c r="G770" s="411"/>
      <c r="H770" s="411"/>
      <c r="I770" s="411"/>
      <c r="J770" s="411"/>
      <c r="K770" s="411"/>
      <c r="L770" s="411"/>
    </row>
    <row r="771" spans="5:12" x14ac:dyDescent="0.25">
      <c r="E771" s="411"/>
      <c r="F771" s="411"/>
      <c r="G771" s="411"/>
      <c r="H771" s="411"/>
      <c r="I771" s="411"/>
      <c r="J771" s="411"/>
      <c r="K771" s="411"/>
      <c r="L771" s="411"/>
    </row>
    <row r="772" spans="5:12" x14ac:dyDescent="0.25">
      <c r="E772" s="411"/>
      <c r="F772" s="411"/>
      <c r="G772" s="411"/>
      <c r="H772" s="411"/>
      <c r="I772" s="411"/>
      <c r="J772" s="411"/>
      <c r="K772" s="411"/>
      <c r="L772" s="411"/>
    </row>
    <row r="773" spans="5:12" x14ac:dyDescent="0.25">
      <c r="E773" s="411"/>
      <c r="F773" s="411"/>
      <c r="G773" s="411"/>
      <c r="H773" s="411"/>
      <c r="I773" s="411"/>
      <c r="J773" s="411"/>
      <c r="K773" s="411"/>
      <c r="L773" s="411"/>
    </row>
    <row r="774" spans="5:12" x14ac:dyDescent="0.25">
      <c r="E774" s="411"/>
      <c r="F774" s="411"/>
      <c r="G774" s="411"/>
      <c r="H774" s="411"/>
      <c r="I774" s="411"/>
      <c r="J774" s="411"/>
      <c r="K774" s="411"/>
      <c r="L774" s="411"/>
    </row>
    <row r="775" spans="5:12" x14ac:dyDescent="0.25">
      <c r="E775" s="411"/>
      <c r="F775" s="411"/>
      <c r="G775" s="411"/>
      <c r="H775" s="411"/>
      <c r="I775" s="411"/>
      <c r="J775" s="411"/>
      <c r="K775" s="411"/>
      <c r="L775" s="411"/>
    </row>
    <row r="776" spans="5:12" x14ac:dyDescent="0.25">
      <c r="E776" s="411"/>
      <c r="F776" s="411"/>
      <c r="G776" s="411"/>
      <c r="H776" s="411"/>
      <c r="I776" s="411"/>
      <c r="J776" s="411"/>
      <c r="K776" s="411"/>
      <c r="L776" s="411"/>
    </row>
    <row r="777" spans="5:12" x14ac:dyDescent="0.25">
      <c r="E777" s="411"/>
      <c r="F777" s="411"/>
      <c r="G777" s="411"/>
      <c r="H777" s="411"/>
      <c r="I777" s="411"/>
      <c r="J777" s="411"/>
      <c r="K777" s="411"/>
      <c r="L777" s="411"/>
    </row>
    <row r="778" spans="5:12" x14ac:dyDescent="0.25">
      <c r="E778" s="411"/>
      <c r="F778" s="411"/>
      <c r="G778" s="411"/>
      <c r="H778" s="411"/>
      <c r="I778" s="411"/>
      <c r="J778" s="411"/>
      <c r="K778" s="411"/>
      <c r="L778" s="411"/>
    </row>
    <row r="779" spans="5:12" x14ac:dyDescent="0.25">
      <c r="E779" s="411"/>
      <c r="F779" s="411"/>
      <c r="G779" s="411"/>
      <c r="H779" s="411"/>
      <c r="I779" s="411"/>
      <c r="J779" s="411"/>
      <c r="K779" s="411"/>
      <c r="L779" s="411"/>
    </row>
    <row r="780" spans="5:12" x14ac:dyDescent="0.25">
      <c r="E780" s="411"/>
      <c r="F780" s="411"/>
      <c r="G780" s="411"/>
      <c r="H780" s="411"/>
      <c r="I780" s="411"/>
      <c r="J780" s="411"/>
      <c r="K780" s="411"/>
      <c r="L780" s="411"/>
    </row>
    <row r="781" spans="5:12" x14ac:dyDescent="0.25">
      <c r="E781" s="411"/>
      <c r="F781" s="411"/>
      <c r="G781" s="411"/>
      <c r="H781" s="411"/>
      <c r="I781" s="411"/>
      <c r="J781" s="411"/>
      <c r="K781" s="411"/>
      <c r="L781" s="411"/>
    </row>
    <row r="782" spans="5:12" x14ac:dyDescent="0.25">
      <c r="E782" s="411"/>
      <c r="F782" s="411"/>
      <c r="G782" s="411"/>
      <c r="H782" s="411"/>
      <c r="I782" s="411"/>
      <c r="J782" s="411"/>
      <c r="K782" s="411"/>
      <c r="L782" s="411"/>
    </row>
    <row r="783" spans="5:12" x14ac:dyDescent="0.25">
      <c r="E783" s="411"/>
      <c r="F783" s="411"/>
      <c r="G783" s="411"/>
      <c r="H783" s="411"/>
      <c r="I783" s="411"/>
      <c r="J783" s="411"/>
      <c r="K783" s="411"/>
      <c r="L783" s="411"/>
    </row>
    <row r="784" spans="5:12" x14ac:dyDescent="0.25">
      <c r="E784" s="411"/>
      <c r="F784" s="411"/>
      <c r="G784" s="411"/>
      <c r="H784" s="411"/>
      <c r="I784" s="411"/>
      <c r="J784" s="411"/>
      <c r="K784" s="411"/>
      <c r="L784" s="411"/>
    </row>
    <row r="785" spans="5:12" x14ac:dyDescent="0.25">
      <c r="E785" s="411"/>
      <c r="F785" s="411"/>
      <c r="G785" s="411"/>
      <c r="H785" s="411"/>
      <c r="I785" s="411"/>
      <c r="J785" s="411"/>
      <c r="K785" s="411"/>
      <c r="L785" s="411"/>
    </row>
    <row r="786" spans="5:12" x14ac:dyDescent="0.25">
      <c r="E786" s="411"/>
      <c r="F786" s="411"/>
      <c r="G786" s="411"/>
      <c r="H786" s="411"/>
      <c r="I786" s="411"/>
      <c r="J786" s="411"/>
      <c r="K786" s="411"/>
      <c r="L786" s="411"/>
    </row>
    <row r="787" spans="5:12" x14ac:dyDescent="0.25">
      <c r="E787" s="411"/>
      <c r="F787" s="411"/>
      <c r="G787" s="411"/>
      <c r="H787" s="411"/>
      <c r="I787" s="411"/>
      <c r="J787" s="411"/>
      <c r="K787" s="411"/>
      <c r="L787" s="411"/>
    </row>
    <row r="788" spans="5:12" x14ac:dyDescent="0.25">
      <c r="E788" s="411"/>
      <c r="F788" s="411"/>
      <c r="G788" s="411"/>
      <c r="H788" s="411"/>
      <c r="I788" s="411"/>
      <c r="J788" s="411"/>
      <c r="K788" s="411"/>
      <c r="L788" s="411"/>
    </row>
    <row r="789" spans="5:12" x14ac:dyDescent="0.25">
      <c r="E789" s="411"/>
      <c r="F789" s="411"/>
      <c r="G789" s="411"/>
      <c r="H789" s="411"/>
      <c r="I789" s="411"/>
      <c r="J789" s="411"/>
      <c r="K789" s="411"/>
      <c r="L789" s="411"/>
    </row>
    <row r="790" spans="5:12" x14ac:dyDescent="0.25">
      <c r="E790" s="411"/>
      <c r="F790" s="411"/>
      <c r="G790" s="411"/>
      <c r="H790" s="411"/>
      <c r="I790" s="411"/>
      <c r="J790" s="411"/>
      <c r="K790" s="411"/>
      <c r="L790" s="411"/>
    </row>
    <row r="791" spans="5:12" x14ac:dyDescent="0.25">
      <c r="E791" s="411"/>
      <c r="F791" s="411"/>
      <c r="G791" s="411"/>
      <c r="H791" s="411"/>
      <c r="I791" s="411"/>
      <c r="J791" s="411"/>
      <c r="K791" s="411"/>
      <c r="L791" s="411"/>
    </row>
    <row r="792" spans="5:12" x14ac:dyDescent="0.25">
      <c r="E792" s="411"/>
      <c r="F792" s="411"/>
      <c r="G792" s="411"/>
      <c r="H792" s="411"/>
      <c r="I792" s="411"/>
      <c r="J792" s="411"/>
      <c r="K792" s="411"/>
      <c r="L792" s="411"/>
    </row>
    <row r="793" spans="5:12" x14ac:dyDescent="0.25">
      <c r="E793" s="411"/>
      <c r="F793" s="411"/>
      <c r="G793" s="411"/>
      <c r="H793" s="411"/>
      <c r="I793" s="411"/>
      <c r="J793" s="411"/>
      <c r="K793" s="411"/>
      <c r="L793" s="411"/>
    </row>
    <row r="794" spans="5:12" x14ac:dyDescent="0.25">
      <c r="E794" s="411"/>
      <c r="F794" s="411"/>
      <c r="G794" s="411"/>
      <c r="H794" s="411"/>
      <c r="I794" s="411"/>
      <c r="J794" s="411"/>
      <c r="K794" s="411"/>
      <c r="L794" s="411"/>
    </row>
    <row r="795" spans="5:12" x14ac:dyDescent="0.25">
      <c r="E795" s="411"/>
      <c r="F795" s="411"/>
      <c r="G795" s="411"/>
      <c r="H795" s="411"/>
      <c r="I795" s="411"/>
      <c r="J795" s="411"/>
      <c r="K795" s="411"/>
      <c r="L795" s="411"/>
    </row>
    <row r="796" spans="5:12" x14ac:dyDescent="0.25">
      <c r="E796" s="411"/>
      <c r="F796" s="411"/>
      <c r="G796" s="411"/>
      <c r="H796" s="411"/>
      <c r="I796" s="411"/>
      <c r="J796" s="411"/>
      <c r="K796" s="411"/>
      <c r="L796" s="411"/>
    </row>
    <row r="797" spans="5:12" x14ac:dyDescent="0.25">
      <c r="E797" s="411"/>
      <c r="F797" s="411"/>
      <c r="G797" s="411"/>
      <c r="H797" s="411"/>
      <c r="I797" s="411"/>
      <c r="J797" s="411"/>
      <c r="K797" s="411"/>
      <c r="L797" s="411"/>
    </row>
    <row r="798" spans="5:12" x14ac:dyDescent="0.25">
      <c r="E798" s="411"/>
      <c r="F798" s="411"/>
      <c r="G798" s="411"/>
      <c r="H798" s="411"/>
      <c r="I798" s="411"/>
      <c r="J798" s="411"/>
      <c r="K798" s="411"/>
      <c r="L798" s="411"/>
    </row>
    <row r="799" spans="5:12" x14ac:dyDescent="0.25">
      <c r="E799" s="411"/>
      <c r="F799" s="411"/>
      <c r="G799" s="411"/>
      <c r="H799" s="411"/>
      <c r="I799" s="411"/>
      <c r="J799" s="411"/>
      <c r="K799" s="411"/>
      <c r="L799" s="411"/>
    </row>
    <row r="800" spans="5:12" x14ac:dyDescent="0.25">
      <c r="E800" s="411"/>
      <c r="F800" s="411"/>
      <c r="G800" s="411"/>
      <c r="H800" s="411"/>
      <c r="I800" s="411"/>
      <c r="J800" s="411"/>
      <c r="K800" s="411"/>
      <c r="L800" s="411"/>
    </row>
    <row r="801" spans="5:12" x14ac:dyDescent="0.25">
      <c r="E801" s="411"/>
      <c r="F801" s="411"/>
      <c r="G801" s="411"/>
      <c r="H801" s="411"/>
      <c r="I801" s="411"/>
      <c r="J801" s="411"/>
      <c r="K801" s="411"/>
      <c r="L801" s="411"/>
    </row>
    <row r="802" spans="5:12" x14ac:dyDescent="0.25">
      <c r="E802" s="411"/>
      <c r="F802" s="411"/>
      <c r="G802" s="411"/>
      <c r="H802" s="411"/>
      <c r="I802" s="411"/>
      <c r="J802" s="411"/>
      <c r="K802" s="411"/>
      <c r="L802" s="411"/>
    </row>
    <row r="803" spans="5:12" x14ac:dyDescent="0.25">
      <c r="E803" s="411"/>
      <c r="F803" s="411"/>
      <c r="G803" s="411"/>
      <c r="H803" s="411"/>
      <c r="I803" s="411"/>
      <c r="J803" s="411"/>
      <c r="K803" s="411"/>
      <c r="L803" s="411"/>
    </row>
    <row r="804" spans="5:12" x14ac:dyDescent="0.25">
      <c r="E804" s="411"/>
      <c r="F804" s="411"/>
      <c r="G804" s="411"/>
      <c r="H804" s="411"/>
      <c r="I804" s="411"/>
      <c r="J804" s="411"/>
      <c r="K804" s="411"/>
      <c r="L804" s="411"/>
    </row>
    <row r="805" spans="5:12" x14ac:dyDescent="0.25">
      <c r="E805" s="411"/>
      <c r="F805" s="411"/>
      <c r="G805" s="411"/>
      <c r="H805" s="411"/>
      <c r="I805" s="411"/>
      <c r="J805" s="411"/>
      <c r="K805" s="411"/>
      <c r="L805" s="411"/>
    </row>
    <row r="806" spans="5:12" x14ac:dyDescent="0.25">
      <c r="E806" s="411"/>
      <c r="F806" s="411"/>
      <c r="G806" s="411"/>
      <c r="H806" s="411"/>
      <c r="I806" s="411"/>
      <c r="J806" s="411"/>
      <c r="K806" s="411"/>
      <c r="L806" s="411"/>
    </row>
    <row r="807" spans="5:12" x14ac:dyDescent="0.25">
      <c r="E807" s="411"/>
      <c r="F807" s="411"/>
      <c r="G807" s="411"/>
      <c r="H807" s="411"/>
      <c r="I807" s="411"/>
      <c r="J807" s="411"/>
      <c r="K807" s="411"/>
      <c r="L807" s="411"/>
    </row>
    <row r="808" spans="5:12" x14ac:dyDescent="0.25">
      <c r="E808" s="411"/>
      <c r="F808" s="411"/>
      <c r="G808" s="411"/>
      <c r="H808" s="411"/>
      <c r="I808" s="411"/>
      <c r="J808" s="411"/>
      <c r="K808" s="411"/>
      <c r="L808" s="411"/>
    </row>
    <row r="809" spans="5:12" x14ac:dyDescent="0.25">
      <c r="E809" s="411"/>
      <c r="F809" s="411"/>
      <c r="G809" s="411"/>
      <c r="H809" s="411"/>
      <c r="I809" s="411"/>
      <c r="J809" s="411"/>
      <c r="K809" s="411"/>
      <c r="L809" s="411"/>
    </row>
    <row r="810" spans="5:12" x14ac:dyDescent="0.25">
      <c r="E810" s="411"/>
      <c r="F810" s="411"/>
      <c r="G810" s="411"/>
      <c r="H810" s="411"/>
      <c r="I810" s="411"/>
      <c r="J810" s="411"/>
      <c r="K810" s="411"/>
      <c r="L810" s="411"/>
    </row>
    <row r="811" spans="5:12" x14ac:dyDescent="0.25">
      <c r="E811" s="411"/>
      <c r="F811" s="411"/>
      <c r="G811" s="411"/>
      <c r="H811" s="411"/>
      <c r="I811" s="411"/>
      <c r="J811" s="411"/>
      <c r="K811" s="411"/>
      <c r="L811" s="411"/>
    </row>
    <row r="812" spans="5:12" x14ac:dyDescent="0.25">
      <c r="E812" s="411"/>
      <c r="F812" s="411"/>
      <c r="G812" s="411"/>
      <c r="H812" s="411"/>
      <c r="I812" s="411"/>
      <c r="J812" s="411"/>
      <c r="K812" s="411"/>
      <c r="L812" s="411"/>
    </row>
    <row r="813" spans="5:12" x14ac:dyDescent="0.25">
      <c r="E813" s="411"/>
      <c r="F813" s="411"/>
      <c r="G813" s="411"/>
      <c r="H813" s="411"/>
      <c r="I813" s="411"/>
      <c r="J813" s="411"/>
      <c r="K813" s="411"/>
      <c r="L813" s="411"/>
    </row>
    <row r="814" spans="5:12" x14ac:dyDescent="0.25">
      <c r="E814" s="411"/>
      <c r="F814" s="411"/>
      <c r="G814" s="411"/>
      <c r="H814" s="411"/>
      <c r="I814" s="411"/>
      <c r="J814" s="411"/>
      <c r="K814" s="411"/>
      <c r="L814" s="411"/>
    </row>
    <row r="815" spans="5:12" x14ac:dyDescent="0.25">
      <c r="E815" s="411"/>
      <c r="F815" s="411"/>
      <c r="G815" s="411"/>
      <c r="H815" s="411"/>
      <c r="I815" s="411"/>
      <c r="J815" s="411"/>
      <c r="K815" s="411"/>
      <c r="L815" s="411"/>
    </row>
    <row r="816" spans="5:12" x14ac:dyDescent="0.25">
      <c r="E816" s="411"/>
      <c r="F816" s="411"/>
      <c r="G816" s="411"/>
      <c r="H816" s="411"/>
      <c r="I816" s="411"/>
      <c r="J816" s="411"/>
      <c r="K816" s="411"/>
      <c r="L816" s="411"/>
    </row>
    <row r="817" spans="5:12" x14ac:dyDescent="0.25">
      <c r="E817" s="411"/>
      <c r="F817" s="411"/>
      <c r="G817" s="411"/>
      <c r="H817" s="411"/>
      <c r="I817" s="411"/>
      <c r="J817" s="411"/>
      <c r="K817" s="411"/>
      <c r="L817" s="411"/>
    </row>
    <row r="818" spans="5:12" x14ac:dyDescent="0.25">
      <c r="E818" s="411"/>
      <c r="F818" s="411"/>
      <c r="G818" s="411"/>
      <c r="H818" s="411"/>
      <c r="I818" s="411"/>
      <c r="J818" s="411"/>
      <c r="K818" s="411"/>
      <c r="L818" s="411"/>
    </row>
    <row r="819" spans="5:12" x14ac:dyDescent="0.25">
      <c r="E819" s="411"/>
      <c r="F819" s="411"/>
      <c r="G819" s="411"/>
      <c r="H819" s="411"/>
      <c r="I819" s="411"/>
      <c r="J819" s="411"/>
      <c r="K819" s="411"/>
      <c r="L819" s="411"/>
    </row>
    <row r="820" spans="5:12" x14ac:dyDescent="0.25">
      <c r="E820" s="411"/>
      <c r="F820" s="411"/>
      <c r="G820" s="411"/>
      <c r="H820" s="411"/>
      <c r="I820" s="411"/>
      <c r="J820" s="411"/>
      <c r="K820" s="411"/>
      <c r="L820" s="411"/>
    </row>
    <row r="821" spans="5:12" x14ac:dyDescent="0.25">
      <c r="E821" s="411"/>
      <c r="F821" s="411"/>
      <c r="G821" s="411"/>
      <c r="H821" s="411"/>
      <c r="I821" s="411"/>
      <c r="J821" s="411"/>
      <c r="K821" s="411"/>
      <c r="L821" s="411"/>
    </row>
    <row r="822" spans="5:12" x14ac:dyDescent="0.25">
      <c r="E822" s="411"/>
      <c r="F822" s="411"/>
      <c r="G822" s="411"/>
      <c r="H822" s="411"/>
      <c r="I822" s="411"/>
      <c r="J822" s="411"/>
      <c r="K822" s="411"/>
      <c r="L822" s="411"/>
    </row>
    <row r="823" spans="5:12" x14ac:dyDescent="0.25">
      <c r="E823" s="411"/>
      <c r="F823" s="411"/>
      <c r="G823" s="411"/>
      <c r="H823" s="411"/>
      <c r="I823" s="411"/>
      <c r="J823" s="411"/>
      <c r="K823" s="411"/>
      <c r="L823" s="411"/>
    </row>
    <row r="824" spans="5:12" x14ac:dyDescent="0.25">
      <c r="E824" s="411"/>
      <c r="F824" s="411"/>
      <c r="G824" s="411"/>
      <c r="H824" s="411"/>
      <c r="I824" s="411"/>
      <c r="J824" s="411"/>
      <c r="K824" s="411"/>
      <c r="L824" s="411"/>
    </row>
    <row r="825" spans="5:12" x14ac:dyDescent="0.25">
      <c r="E825" s="411"/>
      <c r="F825" s="411"/>
      <c r="G825" s="411"/>
      <c r="H825" s="411"/>
      <c r="I825" s="411"/>
      <c r="J825" s="411"/>
      <c r="K825" s="411"/>
      <c r="L825" s="411"/>
    </row>
    <row r="1008" spans="9:11" x14ac:dyDescent="0.25">
      <c r="I1008" s="900">
        <v>45747</v>
      </c>
      <c r="J1008" s="900">
        <v>45382</v>
      </c>
      <c r="K1008" s="900"/>
    </row>
  </sheetData>
  <autoFilter ref="A2:U439" xr:uid="{00000000-0009-0000-0000-000016000000}"/>
  <mergeCells count="443">
    <mergeCell ref="E308:L308"/>
    <mergeCell ref="E313:L313"/>
    <mergeCell ref="E314:L314"/>
    <mergeCell ref="E315:L315"/>
    <mergeCell ref="E310:L310"/>
    <mergeCell ref="E206:L206"/>
    <mergeCell ref="E207:L207"/>
    <mergeCell ref="E222:L222"/>
    <mergeCell ref="E223:L223"/>
    <mergeCell ref="E236:L236"/>
    <mergeCell ref="E237:L237"/>
    <mergeCell ref="E253:L253"/>
    <mergeCell ref="E254:L254"/>
    <mergeCell ref="E255:L255"/>
    <mergeCell ref="E224:L224"/>
    <mergeCell ref="E225:L225"/>
    <mergeCell ref="E311:L311"/>
    <mergeCell ref="E312:L312"/>
    <mergeCell ref="E252:L252"/>
    <mergeCell ref="E262:L262"/>
    <mergeCell ref="E263:L263"/>
    <mergeCell ref="E264:L264"/>
    <mergeCell ref="E265:L265"/>
    <mergeCell ref="E266:L266"/>
    <mergeCell ref="E54:L54"/>
    <mergeCell ref="E147:L147"/>
    <mergeCell ref="E148:L148"/>
    <mergeCell ref="E170:L170"/>
    <mergeCell ref="E171:L171"/>
    <mergeCell ref="E172:L172"/>
    <mergeCell ref="E173:L173"/>
    <mergeCell ref="E174:L174"/>
    <mergeCell ref="E175:L175"/>
    <mergeCell ref="E169:L169"/>
    <mergeCell ref="E149:L149"/>
    <mergeCell ref="E150:L150"/>
    <mergeCell ref="E96:L96"/>
    <mergeCell ref="E86:L86"/>
    <mergeCell ref="E87:L87"/>
    <mergeCell ref="E88:L88"/>
    <mergeCell ref="E126:L126"/>
    <mergeCell ref="E127:L127"/>
    <mergeCell ref="E112:L112"/>
    <mergeCell ref="E146:L146"/>
    <mergeCell ref="E77:L77"/>
    <mergeCell ref="E78:L78"/>
    <mergeCell ref="E79:L79"/>
    <mergeCell ref="E80:L80"/>
    <mergeCell ref="D663:K663"/>
    <mergeCell ref="M32:O32"/>
    <mergeCell ref="M38:O38"/>
    <mergeCell ref="M146:O146"/>
    <mergeCell ref="M148:O148"/>
    <mergeCell ref="M318:T318"/>
    <mergeCell ref="M319:T319"/>
    <mergeCell ref="N401:U401"/>
    <mergeCell ref="N402:U402"/>
    <mergeCell ref="N405:U405"/>
    <mergeCell ref="E245:L245"/>
    <mergeCell ref="E246:L246"/>
    <mergeCell ref="E247:L247"/>
    <mergeCell ref="E248:L248"/>
    <mergeCell ref="E249:L249"/>
    <mergeCell ref="E47:L47"/>
    <mergeCell ref="E48:L48"/>
    <mergeCell ref="E49:L49"/>
    <mergeCell ref="E177:L177"/>
    <mergeCell ref="E178:L178"/>
    <mergeCell ref="E179:L179"/>
    <mergeCell ref="E180:L180"/>
    <mergeCell ref="E181:L181"/>
    <mergeCell ref="E182:L182"/>
    <mergeCell ref="E16:L16"/>
    <mergeCell ref="E17:L17"/>
    <mergeCell ref="E18:L18"/>
    <mergeCell ref="E19:L19"/>
    <mergeCell ref="E22:L22"/>
    <mergeCell ref="E23:L23"/>
    <mergeCell ref="E24:L24"/>
    <mergeCell ref="E25:L25"/>
    <mergeCell ref="E76:L76"/>
    <mergeCell ref="E33:L33"/>
    <mergeCell ref="E36:L36"/>
    <mergeCell ref="E37:L37"/>
    <mergeCell ref="E38:L38"/>
    <mergeCell ref="E39:L39"/>
    <mergeCell ref="E40:L40"/>
    <mergeCell ref="E41:L41"/>
    <mergeCell ref="E42:L42"/>
    <mergeCell ref="E43:L43"/>
    <mergeCell ref="E55:L55"/>
    <mergeCell ref="E56:L56"/>
    <mergeCell ref="E57:L57"/>
    <mergeCell ref="E58:L58"/>
    <mergeCell ref="E20:L20"/>
    <mergeCell ref="E21:L21"/>
    <mergeCell ref="E46:L46"/>
    <mergeCell ref="E89:L89"/>
    <mergeCell ref="E90:L90"/>
    <mergeCell ref="E68:L68"/>
    <mergeCell ref="E69:L69"/>
    <mergeCell ref="E70:L70"/>
    <mergeCell ref="E71:L71"/>
    <mergeCell ref="E72:L72"/>
    <mergeCell ref="E73:L73"/>
    <mergeCell ref="E74:L74"/>
    <mergeCell ref="E75:L75"/>
    <mergeCell ref="E50:L50"/>
    <mergeCell ref="E51:L51"/>
    <mergeCell ref="E52:L52"/>
    <mergeCell ref="E53:L53"/>
    <mergeCell ref="E59:L59"/>
    <mergeCell ref="E60:L60"/>
    <mergeCell ref="E61:L61"/>
    <mergeCell ref="E62:L62"/>
    <mergeCell ref="E63:L63"/>
    <mergeCell ref="E64:L64"/>
    <mergeCell ref="E65:L65"/>
    <mergeCell ref="E66:L66"/>
    <mergeCell ref="E67:L67"/>
    <mergeCell ref="E44:L44"/>
    <mergeCell ref="E26:L26"/>
    <mergeCell ref="E27:L27"/>
    <mergeCell ref="E28:L28"/>
    <mergeCell ref="E29:L29"/>
    <mergeCell ref="E30:L30"/>
    <mergeCell ref="E31:L31"/>
    <mergeCell ref="E32:L32"/>
    <mergeCell ref="E45:L45"/>
    <mergeCell ref="E34:L34"/>
    <mergeCell ref="E35:L35"/>
    <mergeCell ref="E440:L440"/>
    <mergeCell ref="E437:K437"/>
    <mergeCell ref="E438:K438"/>
    <mergeCell ref="E439:K439"/>
    <mergeCell ref="E91:L91"/>
    <mergeCell ref="E99:L99"/>
    <mergeCell ref="E100:L100"/>
    <mergeCell ref="E130:L130"/>
    <mergeCell ref="E131:L131"/>
    <mergeCell ref="E132:L132"/>
    <mergeCell ref="E133:L133"/>
    <mergeCell ref="E134:L134"/>
    <mergeCell ref="E176:L176"/>
    <mergeCell ref="E320:L320"/>
    <mergeCell ref="E321:L321"/>
    <mergeCell ref="E322:L322"/>
    <mergeCell ref="E323:L323"/>
    <mergeCell ref="E115:L115"/>
    <mergeCell ref="E116:L116"/>
    <mergeCell ref="E117:L117"/>
    <mergeCell ref="E118:L118"/>
    <mergeCell ref="E119:L119"/>
    <mergeCell ref="E120:L120"/>
    <mergeCell ref="E128:L128"/>
    <mergeCell ref="E81:L81"/>
    <mergeCell ref="E82:L82"/>
    <mergeCell ref="E83:L83"/>
    <mergeCell ref="E84:L84"/>
    <mergeCell ref="E85:L85"/>
    <mergeCell ref="E135:L135"/>
    <mergeCell ref="E136:L136"/>
    <mergeCell ref="E137:L137"/>
    <mergeCell ref="E138:L138"/>
    <mergeCell ref="E103:L103"/>
    <mergeCell ref="E104:L104"/>
    <mergeCell ref="E105:L105"/>
    <mergeCell ref="E106:L106"/>
    <mergeCell ref="E107:L107"/>
    <mergeCell ref="E108:L108"/>
    <mergeCell ref="E109:L109"/>
    <mergeCell ref="E97:L97"/>
    <mergeCell ref="E98:L98"/>
    <mergeCell ref="E121:L121"/>
    <mergeCell ref="E113:L113"/>
    <mergeCell ref="E114:L114"/>
    <mergeCell ref="E123:L123"/>
    <mergeCell ref="E124:L124"/>
    <mergeCell ref="E110:L110"/>
    <mergeCell ref="E139:L139"/>
    <mergeCell ref="E140:L140"/>
    <mergeCell ref="E141:L141"/>
    <mergeCell ref="E129:L129"/>
    <mergeCell ref="E142:L142"/>
    <mergeCell ref="E143:L143"/>
    <mergeCell ref="E144:L144"/>
    <mergeCell ref="E145:L145"/>
    <mergeCell ref="E168:L168"/>
    <mergeCell ref="E151:L151"/>
    <mergeCell ref="E152:L152"/>
    <mergeCell ref="E153:L153"/>
    <mergeCell ref="E154:L154"/>
    <mergeCell ref="E155:L155"/>
    <mergeCell ref="E156:L156"/>
    <mergeCell ref="E157:L157"/>
    <mergeCell ref="E158:L158"/>
    <mergeCell ref="E159:L159"/>
    <mergeCell ref="E160:L160"/>
    <mergeCell ref="E161:L161"/>
    <mergeCell ref="E162:L162"/>
    <mergeCell ref="E163:L163"/>
    <mergeCell ref="E164:L164"/>
    <mergeCell ref="E165:L165"/>
    <mergeCell ref="E202:L202"/>
    <mergeCell ref="E203:L203"/>
    <mergeCell ref="E166:L166"/>
    <mergeCell ref="E167:L167"/>
    <mergeCell ref="E183:L183"/>
    <mergeCell ref="E184:L184"/>
    <mergeCell ref="E185:L185"/>
    <mergeCell ref="E186:L186"/>
    <mergeCell ref="E191:L191"/>
    <mergeCell ref="E192:L192"/>
    <mergeCell ref="E193:L193"/>
    <mergeCell ref="E200:L200"/>
    <mergeCell ref="E201:L201"/>
    <mergeCell ref="E194:L194"/>
    <mergeCell ref="E195:L195"/>
    <mergeCell ref="E188:L188"/>
    <mergeCell ref="E189:L189"/>
    <mergeCell ref="E190:L190"/>
    <mergeCell ref="E187:L187"/>
    <mergeCell ref="E196:L196"/>
    <mergeCell ref="E316:L316"/>
    <mergeCell ref="E347:L347"/>
    <mergeCell ref="E204:L204"/>
    <mergeCell ref="E197:L197"/>
    <mergeCell ref="E198:L198"/>
    <mergeCell ref="E205:L205"/>
    <mergeCell ref="E242:L242"/>
    <mergeCell ref="E243:L243"/>
    <mergeCell ref="E239:L239"/>
    <mergeCell ref="E240:L240"/>
    <mergeCell ref="E241:L241"/>
    <mergeCell ref="E217:L217"/>
    <mergeCell ref="E218:L218"/>
    <mergeCell ref="E219:L219"/>
    <mergeCell ref="E220:L220"/>
    <mergeCell ref="E208:L208"/>
    <mergeCell ref="E209:L209"/>
    <mergeCell ref="E210:L210"/>
    <mergeCell ref="E211:L211"/>
    <mergeCell ref="E212:L212"/>
    <mergeCell ref="E213:L213"/>
    <mergeCell ref="E214:L214"/>
    <mergeCell ref="E215:L215"/>
    <mergeCell ref="E199:L199"/>
    <mergeCell ref="E349:L349"/>
    <mergeCell ref="E350:L350"/>
    <mergeCell ref="E351:L351"/>
    <mergeCell ref="E352:L352"/>
    <mergeCell ref="E317:L317"/>
    <mergeCell ref="E334:L334"/>
    <mergeCell ref="E335:L335"/>
    <mergeCell ref="E332:L332"/>
    <mergeCell ref="E333:L333"/>
    <mergeCell ref="E318:L318"/>
    <mergeCell ref="E319:L319"/>
    <mergeCell ref="E370:L370"/>
    <mergeCell ref="E353:L353"/>
    <mergeCell ref="E324:L324"/>
    <mergeCell ref="E355:L355"/>
    <mergeCell ref="E325:L325"/>
    <mergeCell ref="E326:L326"/>
    <mergeCell ref="E327:L327"/>
    <mergeCell ref="E328:L328"/>
    <mergeCell ref="E329:L329"/>
    <mergeCell ref="E330:L330"/>
    <mergeCell ref="E331:L331"/>
    <mergeCell ref="E338:L338"/>
    <mergeCell ref="E339:L339"/>
    <mergeCell ref="E340:L340"/>
    <mergeCell ref="E341:L341"/>
    <mergeCell ref="E342:L342"/>
    <mergeCell ref="E343:L343"/>
    <mergeCell ref="E344:L344"/>
    <mergeCell ref="E345:L345"/>
    <mergeCell ref="E354:L354"/>
    <mergeCell ref="E348:L348"/>
    <mergeCell ref="E336:L336"/>
    <mergeCell ref="E337:L337"/>
    <mergeCell ref="E346:L346"/>
    <mergeCell ref="E430:K430"/>
    <mergeCell ref="E431:K431"/>
    <mergeCell ref="E432:K432"/>
    <mergeCell ref="E433:K433"/>
    <mergeCell ref="E405:L405"/>
    <mergeCell ref="E375:L375"/>
    <mergeCell ref="E416:L416"/>
    <mergeCell ref="E421:L421"/>
    <mergeCell ref="E422:L422"/>
    <mergeCell ref="E423:L423"/>
    <mergeCell ref="E424:L424"/>
    <mergeCell ref="E425:L425"/>
    <mergeCell ref="E415:L415"/>
    <mergeCell ref="E420:L420"/>
    <mergeCell ref="E413:L413"/>
    <mergeCell ref="E414:L414"/>
    <mergeCell ref="E417:L417"/>
    <mergeCell ref="E418:L418"/>
    <mergeCell ref="E419:L419"/>
    <mergeCell ref="E380:L380"/>
    <mergeCell ref="E381:L381"/>
    <mergeCell ref="E382:L382"/>
    <mergeCell ref="E383:L383"/>
    <mergeCell ref="E376:L376"/>
    <mergeCell ref="E111:L111"/>
    <mergeCell ref="E371:L371"/>
    <mergeCell ref="E372:L372"/>
    <mergeCell ref="E373:L373"/>
    <mergeCell ref="E428:K428"/>
    <mergeCell ref="E429:K429"/>
    <mergeCell ref="E356:L356"/>
    <mergeCell ref="E357:L357"/>
    <mergeCell ref="E358:L358"/>
    <mergeCell ref="E359:L359"/>
    <mergeCell ref="E360:L360"/>
    <mergeCell ref="E361:L361"/>
    <mergeCell ref="E362:L362"/>
    <mergeCell ref="E363:L363"/>
    <mergeCell ref="E374:L374"/>
    <mergeCell ref="E364:L364"/>
    <mergeCell ref="E365:L365"/>
    <mergeCell ref="E366:L366"/>
    <mergeCell ref="E367:L367"/>
    <mergeCell ref="E368:L368"/>
    <mergeCell ref="E369:L369"/>
    <mergeCell ref="E244:L244"/>
    <mergeCell ref="E250:L250"/>
    <mergeCell ref="E251:L251"/>
    <mergeCell ref="E434:K434"/>
    <mergeCell ref="E435:K435"/>
    <mergeCell ref="E436:K436"/>
    <mergeCell ref="E7:L7"/>
    <mergeCell ref="E8:L8"/>
    <mergeCell ref="E9:L9"/>
    <mergeCell ref="E10:L10"/>
    <mergeCell ref="E11:L11"/>
    <mergeCell ref="E12:L12"/>
    <mergeCell ref="E13:L13"/>
    <mergeCell ref="E14:L14"/>
    <mergeCell ref="E15:L15"/>
    <mergeCell ref="E101:L101"/>
    <mergeCell ref="E102:L102"/>
    <mergeCell ref="E92:L92"/>
    <mergeCell ref="E93:L93"/>
    <mergeCell ref="E94:L94"/>
    <mergeCell ref="E95:L95"/>
    <mergeCell ref="E125:L125"/>
    <mergeCell ref="E122:L122"/>
    <mergeCell ref="E216:L216"/>
    <mergeCell ref="E221:L221"/>
    <mergeCell ref="E260:L260"/>
    <mergeCell ref="E261:L261"/>
    <mergeCell ref="E256:L256"/>
    <mergeCell ref="E257:L257"/>
    <mergeCell ref="E258:L258"/>
    <mergeCell ref="E259:L259"/>
    <mergeCell ref="E238:L238"/>
    <mergeCell ref="E226:L226"/>
    <mergeCell ref="E227:L227"/>
    <mergeCell ref="E228:L228"/>
    <mergeCell ref="E229:L229"/>
    <mergeCell ref="E230:L230"/>
    <mergeCell ref="E231:L231"/>
    <mergeCell ref="E232:L232"/>
    <mergeCell ref="E233:L233"/>
    <mergeCell ref="E234:L234"/>
    <mergeCell ref="E235:L235"/>
    <mergeCell ref="E267:L267"/>
    <mergeCell ref="E268:L268"/>
    <mergeCell ref="E269:L269"/>
    <mergeCell ref="E270:L270"/>
    <mergeCell ref="E271:L271"/>
    <mergeCell ref="E272:L272"/>
    <mergeCell ref="E273:L273"/>
    <mergeCell ref="E274:L274"/>
    <mergeCell ref="E275:L275"/>
    <mergeCell ref="E304:L304"/>
    <mergeCell ref="E300:L300"/>
    <mergeCell ref="E301:L301"/>
    <mergeCell ref="E302:L302"/>
    <mergeCell ref="E303:L303"/>
    <mergeCell ref="E305:L305"/>
    <mergeCell ref="E306:L306"/>
    <mergeCell ref="E307:L307"/>
    <mergeCell ref="E276:L276"/>
    <mergeCell ref="E277:L277"/>
    <mergeCell ref="E278:L278"/>
    <mergeCell ref="E279:L279"/>
    <mergeCell ref="E280:L280"/>
    <mergeCell ref="E281:L281"/>
    <mergeCell ref="E282:L282"/>
    <mergeCell ref="E283:L283"/>
    <mergeCell ref="E284:L284"/>
    <mergeCell ref="E412:L412"/>
    <mergeCell ref="E398:L398"/>
    <mergeCell ref="E399:L399"/>
    <mergeCell ref="E400:L400"/>
    <mergeCell ref="E401:L401"/>
    <mergeCell ref="E402:L402"/>
    <mergeCell ref="E403:L403"/>
    <mergeCell ref="E404:L404"/>
    <mergeCell ref="E285:L285"/>
    <mergeCell ref="E309:L309"/>
    <mergeCell ref="E286:L286"/>
    <mergeCell ref="E287:L287"/>
    <mergeCell ref="E288:L288"/>
    <mergeCell ref="E289:L289"/>
    <mergeCell ref="E290:L290"/>
    <mergeCell ref="E291:L291"/>
    <mergeCell ref="E292:L292"/>
    <mergeCell ref="E293:L293"/>
    <mergeCell ref="E294:L294"/>
    <mergeCell ref="E295:L295"/>
    <mergeCell ref="E296:L296"/>
    <mergeCell ref="E297:L297"/>
    <mergeCell ref="E298:L298"/>
    <mergeCell ref="E299:L299"/>
    <mergeCell ref="E377:L377"/>
    <mergeCell ref="E386:L386"/>
    <mergeCell ref="E387:L387"/>
    <mergeCell ref="E388:L388"/>
    <mergeCell ref="E384:L384"/>
    <mergeCell ref="E385:L385"/>
    <mergeCell ref="E378:L378"/>
    <mergeCell ref="E379:L379"/>
    <mergeCell ref="E426:L426"/>
    <mergeCell ref="E389:L389"/>
    <mergeCell ref="E390:L390"/>
    <mergeCell ref="E391:L391"/>
    <mergeCell ref="E392:L392"/>
    <mergeCell ref="E393:L393"/>
    <mergeCell ref="E394:L394"/>
    <mergeCell ref="E395:L395"/>
    <mergeCell ref="E396:L396"/>
    <mergeCell ref="E397:L397"/>
    <mergeCell ref="E406:L406"/>
    <mergeCell ref="E407:L407"/>
    <mergeCell ref="E408:L408"/>
    <mergeCell ref="E409:L409"/>
    <mergeCell ref="E410:L410"/>
    <mergeCell ref="E411:L411"/>
  </mergeCells>
  <phoneticPr fontId="9" type="noConversion"/>
  <pageMargins left="0.70866141732283472" right="0.70866141732283472" top="0.74803149606299213" bottom="0.74803149606299213" header="0.31496062992125984" footer="0.31496062992125984"/>
  <pageSetup paperSize="9" scale="94" fitToHeight="0" orientation="portrait" r:id="rId1"/>
  <headerFooter>
    <oddFooter>&amp;R&amp;P</oddFooter>
  </headerFooter>
  <rowBreaks count="21" manualBreakCount="21">
    <brk id="26" min="1" max="11" man="1"/>
    <brk id="38" min="1" max="11" man="1"/>
    <brk id="67" min="1" max="11" man="1"/>
    <brk id="80" min="1" max="11" man="1"/>
    <brk id="88" min="1" max="11" man="1"/>
    <brk id="104" min="1" max="11" man="1"/>
    <brk id="120" min="1" max="11" man="1"/>
    <brk id="144" min="1" max="11" man="1"/>
    <brk id="155" min="1" max="11" man="1"/>
    <brk id="165" min="1" max="11" man="1"/>
    <brk id="180" min="1" max="11" man="1"/>
    <brk id="222" min="1" max="11" man="1"/>
    <brk id="240" min="1" max="11" man="1"/>
    <brk id="254" min="1" max="11" man="1"/>
    <brk id="272" min="1" max="11" man="1"/>
    <brk id="290" min="1" max="11" man="1"/>
    <brk id="306" min="1" max="11" man="1"/>
    <brk id="346" min="1" max="11" man="1"/>
    <brk id="364" min="1" max="11" man="1"/>
    <brk id="385" min="1" max="11" man="1"/>
    <brk id="394" min="1" max="11" man="1"/>
  </rowBreaks>
  <ignoredErrors>
    <ignoredError sqref="A57:A97 A440 A14:A17 A36:A55 A22:A31 A99 A142:A143 A101:A125 A127 A169 A149 A151 A153 A155 A157 A159 A161 A163 A165 A167 A171:A203 A208:A314 A316 A318:A331 A336:A369 A371:A376 A420:A435 A386:A411 A413:A414"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X178"/>
  <sheetViews>
    <sheetView topLeftCell="A10" zoomScaleNormal="100" workbookViewId="0">
      <selection activeCell="D12" sqref="D12:K12"/>
    </sheetView>
  </sheetViews>
  <sheetFormatPr defaultColWidth="9.109375" defaultRowHeight="13.8" x14ac:dyDescent="0.3"/>
  <cols>
    <col min="1" max="1" width="12.44140625" style="23" customWidth="1"/>
    <col min="2" max="2" width="5.33203125" style="467" customWidth="1"/>
    <col min="3" max="3" width="3" style="467" customWidth="1"/>
    <col min="4" max="4" width="29.109375" style="401" customWidth="1"/>
    <col min="5" max="5" width="18.5546875" style="401" customWidth="1"/>
    <col min="6" max="6" width="15.44140625" style="401" customWidth="1"/>
    <col min="7" max="7" width="18.33203125" style="401" customWidth="1"/>
    <col min="8" max="8" width="20.5546875" style="401" customWidth="1"/>
    <col min="9" max="9" width="15.88671875" style="401" customWidth="1"/>
    <col min="10" max="10" width="17.6640625" style="401" customWidth="1"/>
    <col min="11" max="11" width="13.6640625" style="23" customWidth="1"/>
    <col min="12" max="12" width="9.88671875" style="23" customWidth="1"/>
    <col min="13" max="14" width="14" style="23" customWidth="1"/>
    <col min="15" max="15" width="11.33203125" style="23" customWidth="1"/>
    <col min="16" max="16" width="13.88671875" style="23" bestFit="1" customWidth="1"/>
    <col min="17" max="17" width="14.109375" style="23" customWidth="1"/>
    <col min="18" max="18" width="13.6640625" style="23" bestFit="1" customWidth="1"/>
    <col min="19" max="19" width="14.44140625" style="23" bestFit="1" customWidth="1"/>
    <col min="20" max="20" width="12.6640625" style="23" bestFit="1" customWidth="1"/>
    <col min="21" max="21" width="9.109375" style="23"/>
    <col min="22" max="22" width="14.109375" style="23" bestFit="1" customWidth="1"/>
    <col min="23" max="23" width="15.44140625" style="23" customWidth="1"/>
    <col min="24" max="16384" width="9.109375" style="23"/>
  </cols>
  <sheetData>
    <row r="3" spans="1:24" x14ac:dyDescent="0.3">
      <c r="B3" s="467">
        <v>1.43</v>
      </c>
      <c r="C3" s="467">
        <v>1.29</v>
      </c>
      <c r="D3" s="401">
        <v>28.29</v>
      </c>
      <c r="E3" s="401">
        <v>9.86</v>
      </c>
      <c r="F3" s="401">
        <v>9.14</v>
      </c>
      <c r="G3" s="401">
        <v>10.14</v>
      </c>
      <c r="H3" s="401">
        <v>9.86</v>
      </c>
      <c r="I3" s="401">
        <v>9.2899999999999991</v>
      </c>
      <c r="J3" s="401">
        <v>9.86</v>
      </c>
      <c r="M3" s="23" t="s">
        <v>854</v>
      </c>
    </row>
    <row r="4" spans="1:24" x14ac:dyDescent="0.3">
      <c r="A4" s="23" t="s">
        <v>448</v>
      </c>
      <c r="B4" s="467" t="str">
        <f>'Standing Data'!$D$4</f>
        <v>NAME OF COUNCIL</v>
      </c>
    </row>
    <row r="5" spans="1:24" x14ac:dyDescent="0.3">
      <c r="A5" s="3" t="s">
        <v>448</v>
      </c>
      <c r="B5" s="467" t="str">
        <f>'Standing Data'!$D$28</f>
        <v>Notes to the Financial Statements</v>
      </c>
    </row>
    <row r="6" spans="1:24" x14ac:dyDescent="0.3">
      <c r="A6" s="3" t="s">
        <v>448</v>
      </c>
      <c r="B6" s="467" t="str">
        <f>'Standing Data'!$D$32</f>
        <v>FOR THE YEAR ENDED 31 March 2026</v>
      </c>
    </row>
    <row r="7" spans="1:24" x14ac:dyDescent="0.3">
      <c r="A7" s="3" t="s">
        <v>448</v>
      </c>
    </row>
    <row r="8" spans="1:24" x14ac:dyDescent="0.3">
      <c r="A8" s="3" t="s">
        <v>448</v>
      </c>
    </row>
    <row r="9" spans="1:24" x14ac:dyDescent="0.3">
      <c r="A9" s="3" t="s">
        <v>448</v>
      </c>
      <c r="B9" s="467">
        <f>+Checklist!E50</f>
        <v>2</v>
      </c>
      <c r="D9" s="405"/>
    </row>
    <row r="10" spans="1:24" x14ac:dyDescent="0.3">
      <c r="A10" s="3" t="s">
        <v>448</v>
      </c>
      <c r="C10" s="467" t="str">
        <f>Checklist!E51</f>
        <v>a</v>
      </c>
      <c r="D10" s="474" t="str">
        <f>Checklist!C51</f>
        <v>Expenditure and Funding Analysis</v>
      </c>
      <c r="E10" s="480"/>
      <c r="F10" s="480"/>
      <c r="G10" s="480"/>
      <c r="H10" s="480"/>
      <c r="I10" s="481"/>
      <c r="J10" s="481"/>
      <c r="K10" s="481"/>
    </row>
    <row r="11" spans="1:24" x14ac:dyDescent="0.3">
      <c r="A11" s="3" t="s">
        <v>448</v>
      </c>
      <c r="D11" s="1726"/>
      <c r="E11" s="1726"/>
      <c r="F11" s="1726"/>
      <c r="G11" s="1726"/>
      <c r="H11" s="1726"/>
      <c r="I11" s="1726"/>
      <c r="J11" s="1726"/>
      <c r="K11" s="1726"/>
    </row>
    <row r="12" spans="1:24" ht="94.5" customHeight="1" x14ac:dyDescent="0.3">
      <c r="A12" s="3" t="str">
        <f>IF('Non TB - Note 2'!F2=1,"Print","Do Not Print")</f>
        <v>Print</v>
      </c>
      <c r="D12" s="1727" t="str">
        <f>IF('Non TB - Note 2'!F2=1,'Non TB - Note 2'!H2,"")</f>
        <v>The Expenditure and Funding Analysis shows how annual expenditure is used and funded from resources (government grants, rents, council tax and business rates) by local authorities in comparison with those resources consumed or earned by authorities in accordance with generally accepted accounting practices. It also shows how this expenditure is allocated for decision making purposes between the council's [directorates/services/departments].  Income and expenditure accounted for under generally accepted accounting practices is presented more fully in the Comprehensive Income and Expenditure Statement.</v>
      </c>
      <c r="E12" s="1727"/>
      <c r="F12" s="1727"/>
      <c r="G12" s="1727"/>
      <c r="H12" s="1727"/>
      <c r="I12" s="1727"/>
      <c r="J12" s="1727"/>
      <c r="K12" s="1727"/>
    </row>
    <row r="13" spans="1:24" x14ac:dyDescent="0.3">
      <c r="A13" s="3" t="str">
        <f>IF(A12="Print","Print", "Do Not Print")</f>
        <v>Print</v>
      </c>
      <c r="D13" s="1506"/>
      <c r="E13" s="1506"/>
      <c r="F13" s="1506"/>
      <c r="G13" s="1506"/>
      <c r="H13" s="1506"/>
      <c r="I13" s="1506"/>
      <c r="J13" s="1506"/>
      <c r="K13" s="1506"/>
    </row>
    <row r="14" spans="1:24" x14ac:dyDescent="0.3">
      <c r="A14" s="3" t="s">
        <v>448</v>
      </c>
      <c r="D14" s="1208"/>
      <c r="E14" s="1728" t="str">
        <f>'Standing Data'!D34</f>
        <v>2025/26</v>
      </c>
      <c r="F14" s="1728"/>
      <c r="G14" s="1728"/>
      <c r="H14" s="1728" t="str">
        <f>'Standing Data'!D52</f>
        <v>2024/25</v>
      </c>
      <c r="I14" s="1728"/>
      <c r="J14" s="1728"/>
      <c r="M14" s="1057" t="s">
        <v>1102</v>
      </c>
      <c r="N14" s="15"/>
      <c r="O14" s="15"/>
      <c r="P14" s="28"/>
      <c r="Q14" s="28"/>
      <c r="R14" s="28"/>
      <c r="S14" s="28"/>
    </row>
    <row r="15" spans="1:24" ht="93" customHeight="1" x14ac:dyDescent="0.3">
      <c r="A15" s="23" t="s">
        <v>448</v>
      </c>
      <c r="D15" s="1209"/>
      <c r="E15" s="1210" t="s">
        <v>1985</v>
      </c>
      <c r="F15" s="1210" t="s">
        <v>2250</v>
      </c>
      <c r="G15" s="1210" t="s">
        <v>1986</v>
      </c>
      <c r="H15" s="1210" t="s">
        <v>1985</v>
      </c>
      <c r="I15" s="1210" t="s">
        <v>2251</v>
      </c>
      <c r="J15" s="1210" t="s">
        <v>1986</v>
      </c>
      <c r="M15" s="1061" t="s">
        <v>2193</v>
      </c>
      <c r="N15" s="1061" t="s">
        <v>1608</v>
      </c>
      <c r="O15" s="1061"/>
      <c r="P15" s="1061" t="s">
        <v>2194</v>
      </c>
      <c r="Q15" s="1061" t="s">
        <v>1608</v>
      </c>
      <c r="R15" s="1061"/>
      <c r="S15" s="1061" t="s">
        <v>2193</v>
      </c>
      <c r="T15" s="1061" t="s">
        <v>1608</v>
      </c>
      <c r="U15" s="1061"/>
      <c r="V15" s="1061" t="s">
        <v>2194</v>
      </c>
      <c r="W15" s="1061" t="s">
        <v>1608</v>
      </c>
      <c r="X15" s="1061"/>
    </row>
    <row r="16" spans="1:24" x14ac:dyDescent="0.3">
      <c r="A16" s="23" t="s">
        <v>448</v>
      </c>
      <c r="D16" s="1211"/>
      <c r="E16" s="1212" t="s">
        <v>450</v>
      </c>
      <c r="F16" s="1212" t="s">
        <v>450</v>
      </c>
      <c r="G16" s="1212" t="s">
        <v>450</v>
      </c>
      <c r="H16" s="1212" t="s">
        <v>450</v>
      </c>
      <c r="I16" s="1212" t="s">
        <v>450</v>
      </c>
      <c r="J16" s="1212" t="s">
        <v>450</v>
      </c>
      <c r="M16" s="1725" t="str">
        <f>'Standing Data'!D34</f>
        <v>2025/26</v>
      </c>
      <c r="N16" s="1725"/>
      <c r="O16" s="1725"/>
      <c r="P16" s="1725"/>
      <c r="Q16" s="1725"/>
      <c r="R16" s="1725"/>
      <c r="S16" s="1725" t="str">
        <f>H14</f>
        <v>2024/25</v>
      </c>
      <c r="T16" s="1725"/>
      <c r="U16" s="1725"/>
      <c r="V16" s="1725"/>
      <c r="W16" s="1725"/>
      <c r="X16" s="1725"/>
    </row>
    <row r="17" spans="1:24" x14ac:dyDescent="0.3">
      <c r="A17" s="3" t="s">
        <v>448</v>
      </c>
      <c r="D17" s="1213"/>
      <c r="E17" s="1214"/>
      <c r="F17" s="1214"/>
      <c r="G17" s="1214"/>
      <c r="H17" s="1214"/>
      <c r="I17" s="1214"/>
      <c r="J17" s="1214"/>
      <c r="M17" s="1058"/>
      <c r="N17" s="1058"/>
      <c r="O17" s="1058"/>
      <c r="P17" s="1058"/>
      <c r="Q17" s="1058"/>
      <c r="R17" s="1058"/>
      <c r="S17" s="1058"/>
      <c r="T17" s="868"/>
      <c r="U17" s="868"/>
      <c r="V17" s="868"/>
      <c r="W17" s="868"/>
      <c r="X17" s="868"/>
    </row>
    <row r="18" spans="1:24" ht="22.5" customHeight="1" x14ac:dyDescent="0.3">
      <c r="A18" s="23" t="str">
        <f>IF(AND(E18=0,F18=0,G18=0,H18=0,I18=0,J18=0),"Do Not Print","Print")</f>
        <v>Do Not Print</v>
      </c>
      <c r="D18" s="1215" t="str">
        <f>'Input -CIES'!E7</f>
        <v>CIES Line 1</v>
      </c>
      <c r="E18" s="1216">
        <f>G18-F18</f>
        <v>0</v>
      </c>
      <c r="F18" s="1216">
        <f>'Note 2b'!J17</f>
        <v>0</v>
      </c>
      <c r="G18" s="1216">
        <f>'Det CIES'!P7</f>
        <v>0</v>
      </c>
      <c r="H18" s="1216">
        <f>J18-I18</f>
        <v>0</v>
      </c>
      <c r="I18" s="1216">
        <f>'Note 2b'!J62</f>
        <v>0</v>
      </c>
      <c r="J18" s="1216">
        <f>'Det CIES'!S7</f>
        <v>0</v>
      </c>
      <c r="K18" s="3"/>
      <c r="L18" s="26"/>
      <c r="M18" s="1058">
        <f>'Note 2b'!J17</f>
        <v>0</v>
      </c>
      <c r="N18" s="1058">
        <f>F18-M18</f>
        <v>0</v>
      </c>
      <c r="O18" s="1058" t="b">
        <f>F18='Note 2b'!J17</f>
        <v>1</v>
      </c>
      <c r="P18" s="1058">
        <f>Prime!F12</f>
        <v>0</v>
      </c>
      <c r="Q18" s="1058">
        <f>G18-P18</f>
        <v>0</v>
      </c>
      <c r="R18" s="1058" t="b">
        <f>G18=P18</f>
        <v>1</v>
      </c>
      <c r="S18" s="1058">
        <f>'Note 2b'!J62</f>
        <v>0</v>
      </c>
      <c r="T18" s="1058">
        <f>I18-S18</f>
        <v>0</v>
      </c>
      <c r="U18" s="868" t="b">
        <f>I18=S18</f>
        <v>1</v>
      </c>
      <c r="V18" s="1073">
        <f>Prime!I12</f>
        <v>0</v>
      </c>
      <c r="W18" s="1062">
        <f>J18-V18</f>
        <v>0</v>
      </c>
      <c r="X18" s="868" t="b">
        <f>J18=V18</f>
        <v>1</v>
      </c>
    </row>
    <row r="19" spans="1:24" ht="23.25" customHeight="1" x14ac:dyDescent="0.3">
      <c r="A19" s="23" t="str">
        <f t="shared" ref="A19:A52" si="0">IF(AND(E19=0,F19=0,G19=0,H19=0,I19=0,J19=0),"Do Not Print","Print")</f>
        <v>Do Not Print</v>
      </c>
      <c r="D19" s="1215" t="str">
        <f>'Input -CIES'!E8</f>
        <v>CIES Line 2</v>
      </c>
      <c r="E19" s="1216">
        <f t="shared" ref="E19:E52" si="1">G19-F19</f>
        <v>0</v>
      </c>
      <c r="F19" s="1216">
        <f>'Note 2b'!J18</f>
        <v>0</v>
      </c>
      <c r="G19" s="1216">
        <f>'Det CIES'!P8</f>
        <v>0</v>
      </c>
      <c r="H19" s="1216">
        <f t="shared" ref="H19:H52" si="2">J19-I19</f>
        <v>0</v>
      </c>
      <c r="I19" s="1216">
        <f>'Note 2b'!J63</f>
        <v>0</v>
      </c>
      <c r="J19" s="1216">
        <f>'Det CIES'!S8</f>
        <v>0</v>
      </c>
      <c r="K19" s="3"/>
      <c r="L19" s="26"/>
      <c r="M19" s="1058">
        <f>'Note 2b'!J18</f>
        <v>0</v>
      </c>
      <c r="N19" s="1058">
        <f t="shared" ref="N19:N54" si="3">F19-M19</f>
        <v>0</v>
      </c>
      <c r="O19" s="1058" t="b">
        <f>F19='Note 2b'!J18</f>
        <v>1</v>
      </c>
      <c r="P19" s="1058">
        <f>Prime!F13</f>
        <v>0</v>
      </c>
      <c r="Q19" s="1058">
        <f t="shared" ref="Q19:Q58" si="4">G19-P19</f>
        <v>0</v>
      </c>
      <c r="R19" s="1058" t="b">
        <f t="shared" ref="R19:R58" si="5">G19=P19</f>
        <v>1</v>
      </c>
      <c r="S19" s="1058">
        <f>'Note 2b'!J63</f>
        <v>0</v>
      </c>
      <c r="T19" s="1058">
        <f t="shared" ref="T19:T58" si="6">I19-S19</f>
        <v>0</v>
      </c>
      <c r="U19" s="868" t="b">
        <f t="shared" ref="U19:U58" si="7">I19=S19</f>
        <v>1</v>
      </c>
      <c r="V19" s="1073">
        <f>Prime!I13</f>
        <v>0</v>
      </c>
      <c r="W19" s="1062">
        <f t="shared" ref="W19:W58" si="8">J19-V19</f>
        <v>0</v>
      </c>
      <c r="X19" s="868" t="b">
        <f t="shared" ref="X19:X58" si="9">J19=V19</f>
        <v>1</v>
      </c>
    </row>
    <row r="20" spans="1:24" ht="20.25" customHeight="1" x14ac:dyDescent="0.3">
      <c r="A20" s="23" t="str">
        <f t="shared" si="0"/>
        <v>Do Not Print</v>
      </c>
      <c r="C20" s="799"/>
      <c r="D20" s="1215" t="str">
        <f>'Input -CIES'!E9</f>
        <v>CIES Line 3</v>
      </c>
      <c r="E20" s="1216">
        <f t="shared" si="1"/>
        <v>0</v>
      </c>
      <c r="F20" s="1216">
        <f>'Note 2b'!J19</f>
        <v>0</v>
      </c>
      <c r="G20" s="1216">
        <f>'Det CIES'!P9</f>
        <v>0</v>
      </c>
      <c r="H20" s="1216">
        <f t="shared" si="2"/>
        <v>0</v>
      </c>
      <c r="I20" s="1216">
        <f>'Note 2b'!J64</f>
        <v>0</v>
      </c>
      <c r="J20" s="1216">
        <f>'Det CIES'!S9</f>
        <v>0</v>
      </c>
      <c r="K20" s="3"/>
      <c r="L20" s="26"/>
      <c r="M20" s="1058">
        <f>'Note 2b'!J19</f>
        <v>0</v>
      </c>
      <c r="N20" s="1058">
        <f t="shared" si="3"/>
        <v>0</v>
      </c>
      <c r="O20" s="1058" t="b">
        <f>F20='Note 2b'!J19</f>
        <v>1</v>
      </c>
      <c r="P20" s="1058">
        <f>Prime!F14</f>
        <v>0</v>
      </c>
      <c r="Q20" s="1058">
        <f t="shared" si="4"/>
        <v>0</v>
      </c>
      <c r="R20" s="1058" t="b">
        <f t="shared" si="5"/>
        <v>1</v>
      </c>
      <c r="S20" s="1058">
        <f>'Note 2b'!J64</f>
        <v>0</v>
      </c>
      <c r="T20" s="1058">
        <f t="shared" si="6"/>
        <v>0</v>
      </c>
      <c r="U20" s="868" t="b">
        <f t="shared" si="7"/>
        <v>1</v>
      </c>
      <c r="V20" s="1073">
        <f>Prime!I14</f>
        <v>0</v>
      </c>
      <c r="W20" s="1062">
        <f t="shared" si="8"/>
        <v>0</v>
      </c>
      <c r="X20" s="868" t="b">
        <f t="shared" si="9"/>
        <v>1</v>
      </c>
    </row>
    <row r="21" spans="1:24" ht="23.25" customHeight="1" x14ac:dyDescent="0.3">
      <c r="A21" s="23" t="str">
        <f t="shared" si="0"/>
        <v>Do Not Print</v>
      </c>
      <c r="D21" s="1215" t="str">
        <f>'Input -CIES'!E10</f>
        <v>CIES Line 4</v>
      </c>
      <c r="E21" s="1216">
        <f t="shared" si="1"/>
        <v>0</v>
      </c>
      <c r="F21" s="1216">
        <f>'Note 2b'!J20</f>
        <v>0</v>
      </c>
      <c r="G21" s="1216">
        <f>'Det CIES'!P10</f>
        <v>0</v>
      </c>
      <c r="H21" s="1216">
        <f t="shared" si="2"/>
        <v>0</v>
      </c>
      <c r="I21" s="1216">
        <f>'Note 2b'!J65</f>
        <v>0</v>
      </c>
      <c r="J21" s="1216">
        <f>'Det CIES'!S10</f>
        <v>0</v>
      </c>
      <c r="K21" s="3"/>
      <c r="L21" s="26"/>
      <c r="M21" s="1058">
        <f>'Note 2b'!J20</f>
        <v>0</v>
      </c>
      <c r="N21" s="1058">
        <f t="shared" si="3"/>
        <v>0</v>
      </c>
      <c r="O21" s="1058" t="b">
        <f>F21='Note 2b'!J20</f>
        <v>1</v>
      </c>
      <c r="P21" s="1058">
        <f>Prime!F15</f>
        <v>0</v>
      </c>
      <c r="Q21" s="1058">
        <f t="shared" si="4"/>
        <v>0</v>
      </c>
      <c r="R21" s="1058" t="b">
        <f t="shared" si="5"/>
        <v>1</v>
      </c>
      <c r="S21" s="1058">
        <f>'Note 2b'!J65</f>
        <v>0</v>
      </c>
      <c r="T21" s="1058">
        <f t="shared" si="6"/>
        <v>0</v>
      </c>
      <c r="U21" s="868" t="b">
        <f t="shared" si="7"/>
        <v>1</v>
      </c>
      <c r="V21" s="1073">
        <f>Prime!I15</f>
        <v>0</v>
      </c>
      <c r="W21" s="1062">
        <f t="shared" si="8"/>
        <v>0</v>
      </c>
      <c r="X21" s="868" t="b">
        <f t="shared" si="9"/>
        <v>1</v>
      </c>
    </row>
    <row r="22" spans="1:24" ht="36.75" customHeight="1" x14ac:dyDescent="0.3">
      <c r="A22" s="23" t="str">
        <f t="shared" si="0"/>
        <v>Do Not Print</v>
      </c>
      <c r="D22" s="1215" t="str">
        <f>'Input -CIES'!E11</f>
        <v>CIES Line 5</v>
      </c>
      <c r="E22" s="1216">
        <f t="shared" si="1"/>
        <v>0</v>
      </c>
      <c r="F22" s="1216">
        <f>'Note 2b'!J21</f>
        <v>0</v>
      </c>
      <c r="G22" s="1216">
        <f>'Det CIES'!P11</f>
        <v>0</v>
      </c>
      <c r="H22" s="1216">
        <f t="shared" si="2"/>
        <v>0</v>
      </c>
      <c r="I22" s="1216">
        <f>'Note 2b'!J66</f>
        <v>0</v>
      </c>
      <c r="J22" s="1216">
        <f>'Det CIES'!S11</f>
        <v>0</v>
      </c>
      <c r="L22" s="26"/>
      <c r="M22" s="1058">
        <f>'Note 2b'!J21</f>
        <v>0</v>
      </c>
      <c r="N22" s="1058">
        <f t="shared" si="3"/>
        <v>0</v>
      </c>
      <c r="O22" s="1058" t="b">
        <f>F22='Note 2b'!J21</f>
        <v>1</v>
      </c>
      <c r="P22" s="1058">
        <f>Prime!F16</f>
        <v>0</v>
      </c>
      <c r="Q22" s="1058">
        <f t="shared" si="4"/>
        <v>0</v>
      </c>
      <c r="R22" s="1058" t="b">
        <f t="shared" si="5"/>
        <v>1</v>
      </c>
      <c r="S22" s="1058">
        <f>'Note 2b'!J66</f>
        <v>0</v>
      </c>
      <c r="T22" s="1058">
        <f t="shared" si="6"/>
        <v>0</v>
      </c>
      <c r="U22" s="868" t="b">
        <f t="shared" si="7"/>
        <v>1</v>
      </c>
      <c r="V22" s="1073">
        <f>Prime!I16</f>
        <v>0</v>
      </c>
      <c r="W22" s="1062">
        <f t="shared" si="8"/>
        <v>0</v>
      </c>
      <c r="X22" s="868" t="b">
        <f t="shared" si="9"/>
        <v>1</v>
      </c>
    </row>
    <row r="23" spans="1:24" ht="36" customHeight="1" x14ac:dyDescent="0.3">
      <c r="A23" s="23" t="str">
        <f t="shared" si="0"/>
        <v>Do Not Print</v>
      </c>
      <c r="D23" s="1215" t="str">
        <f>'Input -CIES'!E12</f>
        <v>CIES Line 6</v>
      </c>
      <c r="E23" s="1216">
        <f t="shared" si="1"/>
        <v>0</v>
      </c>
      <c r="F23" s="1216">
        <f>'Note 2b'!J22</f>
        <v>0</v>
      </c>
      <c r="G23" s="1216">
        <f>'Det CIES'!P12</f>
        <v>0</v>
      </c>
      <c r="H23" s="1216">
        <f t="shared" si="2"/>
        <v>0</v>
      </c>
      <c r="I23" s="1216">
        <f>'Note 2b'!J67</f>
        <v>0</v>
      </c>
      <c r="J23" s="1216">
        <f>'Det CIES'!S12</f>
        <v>0</v>
      </c>
      <c r="K23" s="3"/>
      <c r="L23" s="26"/>
      <c r="M23" s="1058">
        <f>'Note 2b'!J22</f>
        <v>0</v>
      </c>
      <c r="N23" s="1058">
        <f t="shared" si="3"/>
        <v>0</v>
      </c>
      <c r="O23" s="1058" t="b">
        <f>F23='Note 2b'!J22</f>
        <v>1</v>
      </c>
      <c r="P23" s="1058">
        <f>Prime!F17</f>
        <v>0</v>
      </c>
      <c r="Q23" s="1058">
        <f t="shared" si="4"/>
        <v>0</v>
      </c>
      <c r="R23" s="1058" t="b">
        <f t="shared" si="5"/>
        <v>1</v>
      </c>
      <c r="S23" s="1058">
        <f>'Note 2b'!J67</f>
        <v>0</v>
      </c>
      <c r="T23" s="1058">
        <f t="shared" si="6"/>
        <v>0</v>
      </c>
      <c r="U23" s="868" t="b">
        <f t="shared" si="7"/>
        <v>1</v>
      </c>
      <c r="V23" s="1073">
        <f>Prime!I17</f>
        <v>0</v>
      </c>
      <c r="W23" s="1062">
        <f t="shared" si="8"/>
        <v>0</v>
      </c>
      <c r="X23" s="868" t="b">
        <f t="shared" si="9"/>
        <v>1</v>
      </c>
    </row>
    <row r="24" spans="1:24" ht="37.5" customHeight="1" x14ac:dyDescent="0.3">
      <c r="A24" s="23" t="str">
        <f t="shared" si="0"/>
        <v>Do Not Print</v>
      </c>
      <c r="D24" s="1215" t="str">
        <f>'Input -CIES'!E13</f>
        <v>CIES Line 7</v>
      </c>
      <c r="E24" s="1216">
        <f t="shared" si="1"/>
        <v>0</v>
      </c>
      <c r="F24" s="1216">
        <f>'Note 2b'!J23</f>
        <v>0</v>
      </c>
      <c r="G24" s="1216">
        <f>'Det CIES'!P13</f>
        <v>0</v>
      </c>
      <c r="H24" s="1216">
        <f t="shared" si="2"/>
        <v>0</v>
      </c>
      <c r="I24" s="1216">
        <f>'Note 2b'!J68</f>
        <v>0</v>
      </c>
      <c r="J24" s="1216">
        <f>'Det CIES'!S13</f>
        <v>0</v>
      </c>
      <c r="L24" s="26"/>
      <c r="M24" s="1058">
        <f>'Note 2b'!J23</f>
        <v>0</v>
      </c>
      <c r="N24" s="1058">
        <f t="shared" si="3"/>
        <v>0</v>
      </c>
      <c r="O24" s="1058" t="b">
        <f>F24='Note 2b'!J23</f>
        <v>1</v>
      </c>
      <c r="P24" s="1058">
        <f>Prime!F18</f>
        <v>0</v>
      </c>
      <c r="Q24" s="1058">
        <f t="shared" si="4"/>
        <v>0</v>
      </c>
      <c r="R24" s="1058" t="b">
        <f t="shared" si="5"/>
        <v>1</v>
      </c>
      <c r="S24" s="1058">
        <f>'Note 2b'!J68</f>
        <v>0</v>
      </c>
      <c r="T24" s="1058">
        <f t="shared" si="6"/>
        <v>0</v>
      </c>
      <c r="U24" s="868" t="b">
        <f t="shared" si="7"/>
        <v>1</v>
      </c>
      <c r="V24" s="1073">
        <f>Prime!I18</f>
        <v>0</v>
      </c>
      <c r="W24" s="1062">
        <f t="shared" si="8"/>
        <v>0</v>
      </c>
      <c r="X24" s="868" t="b">
        <f t="shared" si="9"/>
        <v>1</v>
      </c>
    </row>
    <row r="25" spans="1:24" x14ac:dyDescent="0.3">
      <c r="A25" s="23" t="str">
        <f t="shared" si="0"/>
        <v>Do Not Print</v>
      </c>
      <c r="D25" s="1217" t="str">
        <f>'Input -CIES'!E14</f>
        <v>CIES Line 8</v>
      </c>
      <c r="E25" s="1216">
        <f t="shared" si="1"/>
        <v>0</v>
      </c>
      <c r="F25" s="1216">
        <f>'Input - EFA'!G480</f>
        <v>0</v>
      </c>
      <c r="G25" s="1216">
        <f>'Det CIES'!P14</f>
        <v>0</v>
      </c>
      <c r="H25" s="1216">
        <f t="shared" si="2"/>
        <v>0</v>
      </c>
      <c r="I25" s="1216">
        <f>'Input - EFA'!L480</f>
        <v>0</v>
      </c>
      <c r="J25" s="1216">
        <f>'Det CIES'!S14</f>
        <v>0</v>
      </c>
      <c r="K25" s="3"/>
      <c r="L25" s="26"/>
      <c r="M25" s="1058">
        <f>'Note 2b'!J24</f>
        <v>0</v>
      </c>
      <c r="N25" s="1058">
        <f t="shared" si="3"/>
        <v>0</v>
      </c>
      <c r="O25" s="1058" t="b">
        <f>F25='Note 2b'!J24</f>
        <v>1</v>
      </c>
      <c r="P25" s="1058">
        <f>Prime!F19</f>
        <v>0</v>
      </c>
      <c r="Q25" s="1058">
        <f t="shared" si="4"/>
        <v>0</v>
      </c>
      <c r="R25" s="1058" t="b">
        <f t="shared" si="5"/>
        <v>1</v>
      </c>
      <c r="S25" s="1058">
        <f>'Note 2b'!J69</f>
        <v>0</v>
      </c>
      <c r="T25" s="1058">
        <f t="shared" si="6"/>
        <v>0</v>
      </c>
      <c r="U25" s="868" t="b">
        <f t="shared" si="7"/>
        <v>1</v>
      </c>
      <c r="V25" s="868">
        <f>Prime!I19</f>
        <v>0</v>
      </c>
      <c r="W25" s="1062">
        <f t="shared" si="8"/>
        <v>0</v>
      </c>
      <c r="X25" s="868" t="b">
        <f t="shared" si="9"/>
        <v>1</v>
      </c>
    </row>
    <row r="26" spans="1:24" x14ac:dyDescent="0.3">
      <c r="A26" s="23" t="str">
        <f t="shared" si="0"/>
        <v>Do Not Print</v>
      </c>
      <c r="D26" s="1217" t="str">
        <f>'Input -CIES'!E15</f>
        <v>CIES Line 9</v>
      </c>
      <c r="E26" s="1216">
        <f t="shared" si="1"/>
        <v>0</v>
      </c>
      <c r="F26" s="1216">
        <f>'Input - EFA'!G481</f>
        <v>0</v>
      </c>
      <c r="G26" s="1216">
        <f>'Det CIES'!P15</f>
        <v>0</v>
      </c>
      <c r="H26" s="1216">
        <f t="shared" si="2"/>
        <v>0</v>
      </c>
      <c r="I26" s="1216">
        <f>'Input - EFA'!L481</f>
        <v>0</v>
      </c>
      <c r="J26" s="1216">
        <f>'Det CIES'!S15</f>
        <v>0</v>
      </c>
      <c r="L26" s="26"/>
      <c r="M26" s="1058">
        <f>'Note 2b'!J25</f>
        <v>0</v>
      </c>
      <c r="N26" s="1058">
        <f t="shared" si="3"/>
        <v>0</v>
      </c>
      <c r="O26" s="1058" t="b">
        <f>F26='Note 2b'!J25</f>
        <v>1</v>
      </c>
      <c r="P26" s="1058">
        <f>Prime!F20</f>
        <v>0</v>
      </c>
      <c r="Q26" s="1058">
        <f t="shared" si="4"/>
        <v>0</v>
      </c>
      <c r="R26" s="1058" t="b">
        <f t="shared" si="5"/>
        <v>1</v>
      </c>
      <c r="S26" s="1058">
        <f>'Note 2b'!J70</f>
        <v>0</v>
      </c>
      <c r="T26" s="1058">
        <f t="shared" si="6"/>
        <v>0</v>
      </c>
      <c r="U26" s="868" t="b">
        <f t="shared" si="7"/>
        <v>1</v>
      </c>
      <c r="V26" s="868">
        <f>Prime!I20</f>
        <v>0</v>
      </c>
      <c r="W26" s="1062">
        <f t="shared" si="8"/>
        <v>0</v>
      </c>
      <c r="X26" s="868" t="b">
        <f t="shared" si="9"/>
        <v>1</v>
      </c>
    </row>
    <row r="27" spans="1:24" x14ac:dyDescent="0.3">
      <c r="A27" s="23" t="str">
        <f t="shared" si="0"/>
        <v>Do Not Print</v>
      </c>
      <c r="D27" s="1217" t="str">
        <f>'Input -CIES'!E16</f>
        <v>CIES Line 10</v>
      </c>
      <c r="E27" s="1216">
        <f t="shared" si="1"/>
        <v>0</v>
      </c>
      <c r="F27" s="1216">
        <f>'Input - EFA'!G482</f>
        <v>0</v>
      </c>
      <c r="G27" s="1216">
        <f>'Det CIES'!P16</f>
        <v>0</v>
      </c>
      <c r="H27" s="1216">
        <f t="shared" si="2"/>
        <v>0</v>
      </c>
      <c r="I27" s="1216">
        <f>'Input - EFA'!L482</f>
        <v>0</v>
      </c>
      <c r="J27" s="1216">
        <f>'Det CIES'!S16</f>
        <v>0</v>
      </c>
      <c r="L27" s="26"/>
      <c r="M27" s="1058">
        <f>'Note 2b'!J26</f>
        <v>0</v>
      </c>
      <c r="N27" s="1058">
        <f t="shared" si="3"/>
        <v>0</v>
      </c>
      <c r="O27" s="1058" t="b">
        <f>F27='Note 2b'!J26</f>
        <v>1</v>
      </c>
      <c r="P27" s="1058">
        <f>Prime!F21</f>
        <v>0</v>
      </c>
      <c r="Q27" s="1058">
        <f t="shared" si="4"/>
        <v>0</v>
      </c>
      <c r="R27" s="1058" t="b">
        <f t="shared" si="5"/>
        <v>1</v>
      </c>
      <c r="S27" s="1058">
        <f>'Note 2b'!J71</f>
        <v>0</v>
      </c>
      <c r="T27" s="1058">
        <f t="shared" si="6"/>
        <v>0</v>
      </c>
      <c r="U27" s="868" t="b">
        <f t="shared" si="7"/>
        <v>1</v>
      </c>
      <c r="V27" s="868">
        <f>Prime!I21</f>
        <v>0</v>
      </c>
      <c r="W27" s="1062">
        <f t="shared" si="8"/>
        <v>0</v>
      </c>
      <c r="X27" s="868" t="b">
        <f t="shared" si="9"/>
        <v>1</v>
      </c>
    </row>
    <row r="28" spans="1:24" ht="19.5" customHeight="1" x14ac:dyDescent="0.3">
      <c r="A28" s="23" t="str">
        <f t="shared" si="0"/>
        <v>Do Not Print</v>
      </c>
      <c r="C28" s="799"/>
      <c r="D28" s="1217" t="str">
        <f>'Input -CIES'!E17</f>
        <v>CIES Line 11</v>
      </c>
      <c r="E28" s="1216">
        <f t="shared" si="1"/>
        <v>0</v>
      </c>
      <c r="F28" s="1216">
        <f>'Input - EFA'!G483</f>
        <v>0</v>
      </c>
      <c r="G28" s="1216">
        <f>'Det CIES'!P17</f>
        <v>0</v>
      </c>
      <c r="H28" s="1216">
        <f t="shared" si="2"/>
        <v>0</v>
      </c>
      <c r="I28" s="1216">
        <f>'Input - EFA'!L483</f>
        <v>0</v>
      </c>
      <c r="J28" s="1216">
        <f>'Det CIES'!S17</f>
        <v>0</v>
      </c>
      <c r="L28" s="26"/>
      <c r="M28" s="1058">
        <f>'Note 2b'!J27</f>
        <v>0</v>
      </c>
      <c r="N28" s="1058">
        <f t="shared" si="3"/>
        <v>0</v>
      </c>
      <c r="O28" s="1058" t="b">
        <f>F28='Note 2b'!J27</f>
        <v>1</v>
      </c>
      <c r="P28" s="1058">
        <f>Prime!F22</f>
        <v>0</v>
      </c>
      <c r="Q28" s="1058">
        <f t="shared" si="4"/>
        <v>0</v>
      </c>
      <c r="R28" s="1058" t="b">
        <f t="shared" si="5"/>
        <v>1</v>
      </c>
      <c r="S28" s="1058">
        <f>'Note 2b'!J72</f>
        <v>0</v>
      </c>
      <c r="T28" s="1058">
        <f t="shared" si="6"/>
        <v>0</v>
      </c>
      <c r="U28" s="868" t="b">
        <f t="shared" si="7"/>
        <v>1</v>
      </c>
      <c r="V28" s="868">
        <f>Prime!I22</f>
        <v>0</v>
      </c>
      <c r="W28" s="1062">
        <f t="shared" si="8"/>
        <v>0</v>
      </c>
      <c r="X28" s="868" t="b">
        <f t="shared" si="9"/>
        <v>1</v>
      </c>
    </row>
    <row r="29" spans="1:24" x14ac:dyDescent="0.3">
      <c r="A29" s="23" t="str">
        <f t="shared" si="0"/>
        <v>Do Not Print</v>
      </c>
      <c r="D29" s="1217" t="str">
        <f>'Input -CIES'!E18</f>
        <v>CIES Line 12</v>
      </c>
      <c r="E29" s="1216">
        <f t="shared" si="1"/>
        <v>0</v>
      </c>
      <c r="F29" s="1216">
        <f>'Input - EFA'!G484</f>
        <v>0</v>
      </c>
      <c r="G29" s="1216">
        <f>'Det CIES'!P18</f>
        <v>0</v>
      </c>
      <c r="H29" s="1216">
        <f t="shared" si="2"/>
        <v>0</v>
      </c>
      <c r="I29" s="1216">
        <f>'Input - EFA'!L484</f>
        <v>0</v>
      </c>
      <c r="J29" s="1216">
        <f>'Det CIES'!S18</f>
        <v>0</v>
      </c>
      <c r="L29" s="26"/>
      <c r="M29" s="1058">
        <f>'Note 2b'!J28</f>
        <v>0</v>
      </c>
      <c r="N29" s="1058">
        <f t="shared" si="3"/>
        <v>0</v>
      </c>
      <c r="O29" s="1058" t="b">
        <f>F29='Note 2b'!J28</f>
        <v>1</v>
      </c>
      <c r="P29" s="1058">
        <f>Prime!F23</f>
        <v>0</v>
      </c>
      <c r="Q29" s="1058">
        <f t="shared" si="4"/>
        <v>0</v>
      </c>
      <c r="R29" s="1058" t="b">
        <f t="shared" si="5"/>
        <v>1</v>
      </c>
      <c r="S29" s="1058">
        <f>'Note 2b'!J73</f>
        <v>0</v>
      </c>
      <c r="T29" s="1058">
        <f t="shared" si="6"/>
        <v>0</v>
      </c>
      <c r="U29" s="868" t="b">
        <f t="shared" si="7"/>
        <v>1</v>
      </c>
      <c r="V29" s="868">
        <f>Prime!I23</f>
        <v>0</v>
      </c>
      <c r="W29" s="1062">
        <f t="shared" si="8"/>
        <v>0</v>
      </c>
      <c r="X29" s="868" t="b">
        <f t="shared" si="9"/>
        <v>1</v>
      </c>
    </row>
    <row r="30" spans="1:24" x14ac:dyDescent="0.3">
      <c r="A30" s="23" t="str">
        <f t="shared" si="0"/>
        <v>Do Not Print</v>
      </c>
      <c r="D30" s="1217" t="str">
        <f>'Input -CIES'!E19</f>
        <v>CIES Line 13</v>
      </c>
      <c r="E30" s="1216">
        <f t="shared" si="1"/>
        <v>0</v>
      </c>
      <c r="F30" s="1216">
        <f>'Input - EFA'!G485</f>
        <v>0</v>
      </c>
      <c r="G30" s="1216">
        <f>'Det CIES'!P19</f>
        <v>0</v>
      </c>
      <c r="H30" s="1216">
        <f t="shared" si="2"/>
        <v>0</v>
      </c>
      <c r="I30" s="1216">
        <f>'Input - EFA'!L485</f>
        <v>0</v>
      </c>
      <c r="J30" s="1216">
        <f>'Det CIES'!S19</f>
        <v>0</v>
      </c>
      <c r="L30" s="26"/>
      <c r="M30" s="1058">
        <f>'Note 2b'!J29</f>
        <v>0</v>
      </c>
      <c r="N30" s="1058">
        <f t="shared" si="3"/>
        <v>0</v>
      </c>
      <c r="O30" s="1058" t="b">
        <f>F30='Note 2b'!J29</f>
        <v>1</v>
      </c>
      <c r="P30" s="1058">
        <f>Prime!F24</f>
        <v>0</v>
      </c>
      <c r="Q30" s="1058">
        <f t="shared" si="4"/>
        <v>0</v>
      </c>
      <c r="R30" s="1058" t="b">
        <f t="shared" si="5"/>
        <v>1</v>
      </c>
      <c r="S30" s="1058">
        <f>'Note 2b'!J74</f>
        <v>0</v>
      </c>
      <c r="T30" s="1058">
        <f t="shared" si="6"/>
        <v>0</v>
      </c>
      <c r="U30" s="868" t="b">
        <f t="shared" si="7"/>
        <v>1</v>
      </c>
      <c r="V30" s="868">
        <f>Prime!I24</f>
        <v>0</v>
      </c>
      <c r="W30" s="1062">
        <f t="shared" si="8"/>
        <v>0</v>
      </c>
      <c r="X30" s="868" t="b">
        <f t="shared" si="9"/>
        <v>1</v>
      </c>
    </row>
    <row r="31" spans="1:24" x14ac:dyDescent="0.3">
      <c r="A31" s="23" t="str">
        <f t="shared" si="0"/>
        <v>Do Not Print</v>
      </c>
      <c r="D31" s="1217" t="str">
        <f>'Input -CIES'!E20</f>
        <v>CIES Line 14</v>
      </c>
      <c r="E31" s="1216">
        <f t="shared" si="1"/>
        <v>0</v>
      </c>
      <c r="F31" s="1216">
        <f>'Input - EFA'!G486</f>
        <v>0</v>
      </c>
      <c r="G31" s="1216">
        <f>'Det CIES'!P20</f>
        <v>0</v>
      </c>
      <c r="H31" s="1216">
        <f t="shared" si="2"/>
        <v>0</v>
      </c>
      <c r="I31" s="1216">
        <f>'Input - EFA'!L486</f>
        <v>0</v>
      </c>
      <c r="J31" s="1216">
        <f>'Det CIES'!S20</f>
        <v>0</v>
      </c>
      <c r="L31" s="26"/>
      <c r="M31" s="1058">
        <f>'Note 2b'!J30</f>
        <v>0</v>
      </c>
      <c r="N31" s="1058">
        <f t="shared" si="3"/>
        <v>0</v>
      </c>
      <c r="O31" s="1058" t="b">
        <f>F31='Note 2b'!J30</f>
        <v>1</v>
      </c>
      <c r="P31" s="1058">
        <f>Prime!F25</f>
        <v>0</v>
      </c>
      <c r="Q31" s="1058">
        <f t="shared" si="4"/>
        <v>0</v>
      </c>
      <c r="R31" s="1058" t="b">
        <f t="shared" si="5"/>
        <v>1</v>
      </c>
      <c r="S31" s="1058">
        <f>'Note 2b'!J75</f>
        <v>0</v>
      </c>
      <c r="T31" s="1058">
        <f t="shared" si="6"/>
        <v>0</v>
      </c>
      <c r="U31" s="868" t="b">
        <f t="shared" si="7"/>
        <v>1</v>
      </c>
      <c r="V31" s="868">
        <f>Prime!I25</f>
        <v>0</v>
      </c>
      <c r="W31" s="1062">
        <f t="shared" si="8"/>
        <v>0</v>
      </c>
      <c r="X31" s="868" t="b">
        <f t="shared" si="9"/>
        <v>1</v>
      </c>
    </row>
    <row r="32" spans="1:24" x14ac:dyDescent="0.3">
      <c r="A32" s="23" t="str">
        <f t="shared" si="0"/>
        <v>Do Not Print</v>
      </c>
      <c r="D32" s="1217" t="str">
        <f>'Input -CIES'!E21</f>
        <v>CIES Line 15</v>
      </c>
      <c r="E32" s="1216">
        <f t="shared" si="1"/>
        <v>0</v>
      </c>
      <c r="F32" s="1216">
        <f>'Input - EFA'!G487</f>
        <v>0</v>
      </c>
      <c r="G32" s="1216">
        <f>'Det CIES'!P21</f>
        <v>0</v>
      </c>
      <c r="H32" s="1216">
        <f t="shared" si="2"/>
        <v>0</v>
      </c>
      <c r="I32" s="1216">
        <f>'Input - EFA'!L487</f>
        <v>0</v>
      </c>
      <c r="J32" s="1216">
        <f>'Det CIES'!S21</f>
        <v>0</v>
      </c>
      <c r="L32" s="26"/>
      <c r="M32" s="1058">
        <f>'Note 2b'!J31</f>
        <v>0</v>
      </c>
      <c r="N32" s="1058">
        <f t="shared" si="3"/>
        <v>0</v>
      </c>
      <c r="O32" s="1058" t="b">
        <f>F32='Note 2b'!J31</f>
        <v>1</v>
      </c>
      <c r="P32" s="1058">
        <f>Prime!F26</f>
        <v>0</v>
      </c>
      <c r="Q32" s="1058">
        <f t="shared" si="4"/>
        <v>0</v>
      </c>
      <c r="R32" s="1058" t="b">
        <f t="shared" si="5"/>
        <v>1</v>
      </c>
      <c r="S32" s="1058">
        <f>'Note 2b'!J76</f>
        <v>0</v>
      </c>
      <c r="T32" s="1058">
        <f t="shared" si="6"/>
        <v>0</v>
      </c>
      <c r="U32" s="868" t="b">
        <f t="shared" si="7"/>
        <v>1</v>
      </c>
      <c r="V32" s="868">
        <f>Prime!I26</f>
        <v>0</v>
      </c>
      <c r="W32" s="1062">
        <f t="shared" si="8"/>
        <v>0</v>
      </c>
      <c r="X32" s="868" t="b">
        <f t="shared" si="9"/>
        <v>1</v>
      </c>
    </row>
    <row r="33" spans="1:24" x14ac:dyDescent="0.3">
      <c r="A33" s="23" t="str">
        <f t="shared" si="0"/>
        <v>Do Not Print</v>
      </c>
      <c r="D33" s="1217" t="str">
        <f>'Input -CIES'!E22</f>
        <v>CIES Line 16</v>
      </c>
      <c r="E33" s="1216">
        <f t="shared" si="1"/>
        <v>0</v>
      </c>
      <c r="F33" s="1216">
        <f>'Input - EFA'!G488</f>
        <v>0</v>
      </c>
      <c r="G33" s="1216">
        <f>'Det CIES'!P22</f>
        <v>0</v>
      </c>
      <c r="H33" s="1216">
        <f t="shared" si="2"/>
        <v>0</v>
      </c>
      <c r="I33" s="1216">
        <f>'Input - EFA'!L488</f>
        <v>0</v>
      </c>
      <c r="J33" s="1216">
        <f>'Det CIES'!S22</f>
        <v>0</v>
      </c>
      <c r="L33" s="26"/>
      <c r="M33" s="1058">
        <f>'Note 2b'!J32</f>
        <v>0</v>
      </c>
      <c r="N33" s="1058">
        <f t="shared" si="3"/>
        <v>0</v>
      </c>
      <c r="O33" s="1058" t="b">
        <f>F33='Note 2b'!J32</f>
        <v>1</v>
      </c>
      <c r="P33" s="1058">
        <f>Prime!F27</f>
        <v>0</v>
      </c>
      <c r="Q33" s="1058">
        <f t="shared" si="4"/>
        <v>0</v>
      </c>
      <c r="R33" s="1058" t="b">
        <f t="shared" si="5"/>
        <v>1</v>
      </c>
      <c r="S33" s="1058">
        <f>'Note 2b'!J77</f>
        <v>0</v>
      </c>
      <c r="T33" s="1058">
        <f t="shared" si="6"/>
        <v>0</v>
      </c>
      <c r="U33" s="868" t="b">
        <f t="shared" si="7"/>
        <v>1</v>
      </c>
      <c r="V33" s="868">
        <f>Prime!I27</f>
        <v>0</v>
      </c>
      <c r="W33" s="1062">
        <f t="shared" si="8"/>
        <v>0</v>
      </c>
      <c r="X33" s="868" t="b">
        <f t="shared" si="9"/>
        <v>1</v>
      </c>
    </row>
    <row r="34" spans="1:24" x14ac:dyDescent="0.3">
      <c r="A34" s="23" t="str">
        <f t="shared" si="0"/>
        <v>Do Not Print</v>
      </c>
      <c r="D34" s="1217" t="str">
        <f>'Input -CIES'!E23</f>
        <v>CIES Line 17</v>
      </c>
      <c r="E34" s="1216">
        <f t="shared" si="1"/>
        <v>0</v>
      </c>
      <c r="F34" s="1216">
        <f>'Input - EFA'!G489</f>
        <v>0</v>
      </c>
      <c r="G34" s="1216">
        <f>'Det CIES'!P23</f>
        <v>0</v>
      </c>
      <c r="H34" s="1216">
        <f t="shared" si="2"/>
        <v>0</v>
      </c>
      <c r="I34" s="1216">
        <f>'Input - EFA'!L489</f>
        <v>0</v>
      </c>
      <c r="J34" s="1216">
        <f>'Det CIES'!S23</f>
        <v>0</v>
      </c>
      <c r="K34" s="3"/>
      <c r="M34" s="1058">
        <f>'Note 2b'!J33</f>
        <v>0</v>
      </c>
      <c r="N34" s="1058">
        <f t="shared" si="3"/>
        <v>0</v>
      </c>
      <c r="O34" s="1058" t="b">
        <f>F34='Note 2b'!J33</f>
        <v>1</v>
      </c>
      <c r="P34" s="1058">
        <f>Prime!F28</f>
        <v>0</v>
      </c>
      <c r="Q34" s="1058">
        <f t="shared" si="4"/>
        <v>0</v>
      </c>
      <c r="R34" s="1058" t="b">
        <f t="shared" si="5"/>
        <v>1</v>
      </c>
      <c r="S34" s="1058">
        <f>'Note 2b'!J78</f>
        <v>0</v>
      </c>
      <c r="T34" s="1058">
        <f t="shared" si="6"/>
        <v>0</v>
      </c>
      <c r="U34" s="868" t="b">
        <f t="shared" si="7"/>
        <v>1</v>
      </c>
      <c r="V34" s="868">
        <f>Prime!I28</f>
        <v>0</v>
      </c>
      <c r="W34" s="1062">
        <f t="shared" si="8"/>
        <v>0</v>
      </c>
      <c r="X34" s="868" t="b">
        <f t="shared" si="9"/>
        <v>1</v>
      </c>
    </row>
    <row r="35" spans="1:24" x14ac:dyDescent="0.3">
      <c r="A35" s="23" t="str">
        <f t="shared" si="0"/>
        <v>Do Not Print</v>
      </c>
      <c r="D35" s="1217" t="str">
        <f>'Input -CIES'!E24</f>
        <v>CIES Line 18</v>
      </c>
      <c r="E35" s="1216">
        <f t="shared" si="1"/>
        <v>0</v>
      </c>
      <c r="F35" s="1216">
        <f>'Input - EFA'!G490</f>
        <v>0</v>
      </c>
      <c r="G35" s="1216">
        <f>'Det CIES'!P24</f>
        <v>0</v>
      </c>
      <c r="H35" s="1216">
        <f t="shared" si="2"/>
        <v>0</v>
      </c>
      <c r="I35" s="1216">
        <f>'Input - EFA'!L490</f>
        <v>0</v>
      </c>
      <c r="J35" s="1216">
        <f>'Det CIES'!S24</f>
        <v>0</v>
      </c>
      <c r="K35" s="3"/>
      <c r="M35" s="1058">
        <f>'Note 2b'!J34</f>
        <v>0</v>
      </c>
      <c r="N35" s="1058">
        <f t="shared" si="3"/>
        <v>0</v>
      </c>
      <c r="O35" s="1058" t="b">
        <f>F35='Note 2b'!J34</f>
        <v>1</v>
      </c>
      <c r="P35" s="1058">
        <f>Prime!F29</f>
        <v>0</v>
      </c>
      <c r="Q35" s="1058">
        <f t="shared" si="4"/>
        <v>0</v>
      </c>
      <c r="R35" s="1058" t="b">
        <f t="shared" si="5"/>
        <v>1</v>
      </c>
      <c r="S35" s="1058">
        <f>'Note 2b'!J79</f>
        <v>0</v>
      </c>
      <c r="T35" s="1058">
        <f t="shared" si="6"/>
        <v>0</v>
      </c>
      <c r="U35" s="868" t="b">
        <f t="shared" si="7"/>
        <v>1</v>
      </c>
      <c r="V35" s="868">
        <f>Prime!I29</f>
        <v>0</v>
      </c>
      <c r="W35" s="1062">
        <f t="shared" si="8"/>
        <v>0</v>
      </c>
      <c r="X35" s="868" t="b">
        <f t="shared" si="9"/>
        <v>1</v>
      </c>
    </row>
    <row r="36" spans="1:24" x14ac:dyDescent="0.3">
      <c r="A36" s="23" t="str">
        <f t="shared" si="0"/>
        <v>Do Not Print</v>
      </c>
      <c r="D36" s="1217" t="str">
        <f>'Input -CIES'!E25</f>
        <v>CIES Line 19</v>
      </c>
      <c r="E36" s="1216">
        <f t="shared" si="1"/>
        <v>0</v>
      </c>
      <c r="F36" s="1216">
        <f>'Input - EFA'!G491</f>
        <v>0</v>
      </c>
      <c r="G36" s="1216">
        <f>'Det CIES'!P25</f>
        <v>0</v>
      </c>
      <c r="H36" s="1216">
        <f t="shared" si="2"/>
        <v>0</v>
      </c>
      <c r="I36" s="1216">
        <f>'Input - EFA'!L491</f>
        <v>0</v>
      </c>
      <c r="J36" s="1216">
        <f>'Det CIES'!S25</f>
        <v>0</v>
      </c>
      <c r="K36" s="3"/>
      <c r="M36" s="1058">
        <f>'Note 2b'!J35</f>
        <v>0</v>
      </c>
      <c r="N36" s="1058">
        <f t="shared" si="3"/>
        <v>0</v>
      </c>
      <c r="O36" s="1058" t="b">
        <f>F36='Note 2b'!J35</f>
        <v>1</v>
      </c>
      <c r="P36" s="1058">
        <f>Prime!F30</f>
        <v>0</v>
      </c>
      <c r="Q36" s="1058">
        <f t="shared" si="4"/>
        <v>0</v>
      </c>
      <c r="R36" s="1058" t="b">
        <f t="shared" si="5"/>
        <v>1</v>
      </c>
      <c r="S36" s="1058">
        <f>'Note 2b'!J80</f>
        <v>0</v>
      </c>
      <c r="T36" s="1058">
        <f t="shared" si="6"/>
        <v>0</v>
      </c>
      <c r="U36" s="868" t="b">
        <f t="shared" si="7"/>
        <v>1</v>
      </c>
      <c r="V36" s="868">
        <f>Prime!I30</f>
        <v>0</v>
      </c>
      <c r="W36" s="1062">
        <f t="shared" si="8"/>
        <v>0</v>
      </c>
      <c r="X36" s="868" t="b">
        <f t="shared" si="9"/>
        <v>1</v>
      </c>
    </row>
    <row r="37" spans="1:24" x14ac:dyDescent="0.3">
      <c r="A37" s="23" t="str">
        <f t="shared" si="0"/>
        <v>Do Not Print</v>
      </c>
      <c r="D37" s="1217" t="str">
        <f>'Input -CIES'!E26</f>
        <v>CIES Line 20</v>
      </c>
      <c r="E37" s="1216">
        <f t="shared" si="1"/>
        <v>0</v>
      </c>
      <c r="F37" s="1216">
        <f>'Input - EFA'!G492</f>
        <v>0</v>
      </c>
      <c r="G37" s="1216">
        <f>'Det CIES'!P26</f>
        <v>0</v>
      </c>
      <c r="H37" s="1216">
        <f t="shared" si="2"/>
        <v>0</v>
      </c>
      <c r="I37" s="1216">
        <f>'Input - EFA'!L492</f>
        <v>0</v>
      </c>
      <c r="J37" s="1216">
        <f>'Det CIES'!S26</f>
        <v>0</v>
      </c>
      <c r="K37" s="3"/>
      <c r="M37" s="1058">
        <f>'Note 2b'!J36</f>
        <v>0</v>
      </c>
      <c r="N37" s="1058">
        <f t="shared" si="3"/>
        <v>0</v>
      </c>
      <c r="O37" s="1058" t="b">
        <f>F37='Note 2b'!J36</f>
        <v>1</v>
      </c>
      <c r="P37" s="1058">
        <f>Prime!F31</f>
        <v>0</v>
      </c>
      <c r="Q37" s="1058">
        <f t="shared" si="4"/>
        <v>0</v>
      </c>
      <c r="R37" s="1058" t="b">
        <f t="shared" si="5"/>
        <v>1</v>
      </c>
      <c r="S37" s="1058">
        <f>'Note 2b'!J81</f>
        <v>0</v>
      </c>
      <c r="T37" s="1058">
        <f t="shared" si="6"/>
        <v>0</v>
      </c>
      <c r="U37" s="868" t="b">
        <f t="shared" si="7"/>
        <v>1</v>
      </c>
      <c r="V37" s="868">
        <f>Prime!I31</f>
        <v>0</v>
      </c>
      <c r="W37" s="1062">
        <f t="shared" si="8"/>
        <v>0</v>
      </c>
      <c r="X37" s="868" t="b">
        <f t="shared" si="9"/>
        <v>1</v>
      </c>
    </row>
    <row r="38" spans="1:24" x14ac:dyDescent="0.3">
      <c r="A38" s="23" t="str">
        <f t="shared" si="0"/>
        <v>Do Not Print</v>
      </c>
      <c r="D38" s="1217" t="str">
        <f>'Input -CIES'!E27</f>
        <v>CIES Line 21</v>
      </c>
      <c r="E38" s="1216">
        <f t="shared" si="1"/>
        <v>0</v>
      </c>
      <c r="F38" s="1216">
        <f>'Input - EFA'!G493</f>
        <v>0</v>
      </c>
      <c r="G38" s="1216">
        <f>'Det CIES'!P27</f>
        <v>0</v>
      </c>
      <c r="H38" s="1216">
        <f t="shared" si="2"/>
        <v>0</v>
      </c>
      <c r="I38" s="1216">
        <f>'Input - EFA'!L493</f>
        <v>0</v>
      </c>
      <c r="J38" s="1216">
        <f>'Det CIES'!S27</f>
        <v>0</v>
      </c>
      <c r="K38" s="3"/>
      <c r="M38" s="1058">
        <f>'Note 2b'!J37</f>
        <v>0</v>
      </c>
      <c r="N38" s="1058">
        <f t="shared" si="3"/>
        <v>0</v>
      </c>
      <c r="O38" s="1058" t="b">
        <f>F38='Note 2b'!J37</f>
        <v>1</v>
      </c>
      <c r="P38" s="1058">
        <f>Prime!F32</f>
        <v>0</v>
      </c>
      <c r="Q38" s="1058">
        <f t="shared" si="4"/>
        <v>0</v>
      </c>
      <c r="R38" s="1058" t="b">
        <f t="shared" si="5"/>
        <v>1</v>
      </c>
      <c r="S38" s="1058">
        <f>'Note 2b'!J82</f>
        <v>0</v>
      </c>
      <c r="T38" s="1058">
        <f t="shared" si="6"/>
        <v>0</v>
      </c>
      <c r="U38" s="868" t="b">
        <f t="shared" si="7"/>
        <v>1</v>
      </c>
      <c r="V38" s="868">
        <f>Prime!I32</f>
        <v>0</v>
      </c>
      <c r="W38" s="1062">
        <f t="shared" si="8"/>
        <v>0</v>
      </c>
      <c r="X38" s="868" t="b">
        <f t="shared" si="9"/>
        <v>1</v>
      </c>
    </row>
    <row r="39" spans="1:24" x14ac:dyDescent="0.3">
      <c r="A39" s="23" t="str">
        <f t="shared" si="0"/>
        <v>Do Not Print</v>
      </c>
      <c r="D39" s="1217" t="str">
        <f>'Input -CIES'!E28</f>
        <v>CIES Line 22</v>
      </c>
      <c r="E39" s="1216">
        <f t="shared" si="1"/>
        <v>0</v>
      </c>
      <c r="F39" s="1216">
        <f>'Input - EFA'!G494</f>
        <v>0</v>
      </c>
      <c r="G39" s="1216">
        <f>'Det CIES'!P28</f>
        <v>0</v>
      </c>
      <c r="H39" s="1216">
        <f t="shared" si="2"/>
        <v>0</v>
      </c>
      <c r="I39" s="1216">
        <f>'Input - EFA'!L494</f>
        <v>0</v>
      </c>
      <c r="J39" s="1216">
        <f>'Det CIES'!S28</f>
        <v>0</v>
      </c>
      <c r="K39" s="3"/>
      <c r="M39" s="1058">
        <f>'Note 2b'!J38</f>
        <v>0</v>
      </c>
      <c r="N39" s="1058">
        <f t="shared" si="3"/>
        <v>0</v>
      </c>
      <c r="O39" s="1058" t="b">
        <f>F39='Note 2b'!J38</f>
        <v>1</v>
      </c>
      <c r="P39" s="1058">
        <f>Prime!F33</f>
        <v>0</v>
      </c>
      <c r="Q39" s="1058">
        <f t="shared" si="4"/>
        <v>0</v>
      </c>
      <c r="R39" s="1058" t="b">
        <f t="shared" si="5"/>
        <v>1</v>
      </c>
      <c r="S39" s="1058">
        <f>'Note 2b'!J83</f>
        <v>0</v>
      </c>
      <c r="T39" s="1058">
        <f t="shared" si="6"/>
        <v>0</v>
      </c>
      <c r="U39" s="868" t="b">
        <f t="shared" si="7"/>
        <v>1</v>
      </c>
      <c r="V39" s="868">
        <f>Prime!I33</f>
        <v>0</v>
      </c>
      <c r="W39" s="1062">
        <f t="shared" si="8"/>
        <v>0</v>
      </c>
      <c r="X39" s="868" t="b">
        <f t="shared" si="9"/>
        <v>1</v>
      </c>
    </row>
    <row r="40" spans="1:24" x14ac:dyDescent="0.3">
      <c r="A40" s="23" t="str">
        <f t="shared" si="0"/>
        <v>Do Not Print</v>
      </c>
      <c r="D40" s="1217" t="str">
        <f>'Input -CIES'!E29</f>
        <v>CIES Line 23</v>
      </c>
      <c r="E40" s="1216">
        <f t="shared" si="1"/>
        <v>0</v>
      </c>
      <c r="F40" s="1216">
        <f>'Input - EFA'!G495</f>
        <v>0</v>
      </c>
      <c r="G40" s="1216">
        <f>'Det CIES'!P29</f>
        <v>0</v>
      </c>
      <c r="H40" s="1216">
        <f t="shared" si="2"/>
        <v>0</v>
      </c>
      <c r="I40" s="1216">
        <f>'Input - EFA'!L495</f>
        <v>0</v>
      </c>
      <c r="J40" s="1216">
        <f>'Det CIES'!S29</f>
        <v>0</v>
      </c>
      <c r="K40" s="3"/>
      <c r="M40" s="1058">
        <f>'Note 2b'!J39</f>
        <v>0</v>
      </c>
      <c r="N40" s="1058">
        <f t="shared" si="3"/>
        <v>0</v>
      </c>
      <c r="O40" s="1058" t="b">
        <f>F40='Note 2b'!J39</f>
        <v>1</v>
      </c>
      <c r="P40" s="1058">
        <f>Prime!F34</f>
        <v>0</v>
      </c>
      <c r="Q40" s="1058">
        <f t="shared" si="4"/>
        <v>0</v>
      </c>
      <c r="R40" s="1058" t="b">
        <f t="shared" si="5"/>
        <v>1</v>
      </c>
      <c r="S40" s="1058">
        <f>'Note 2b'!J84</f>
        <v>0</v>
      </c>
      <c r="T40" s="1058">
        <f t="shared" si="6"/>
        <v>0</v>
      </c>
      <c r="U40" s="868" t="b">
        <f t="shared" si="7"/>
        <v>1</v>
      </c>
      <c r="V40" s="868">
        <f>Prime!I34</f>
        <v>0</v>
      </c>
      <c r="W40" s="1062">
        <f t="shared" si="8"/>
        <v>0</v>
      </c>
      <c r="X40" s="868" t="b">
        <f t="shared" si="9"/>
        <v>1</v>
      </c>
    </row>
    <row r="41" spans="1:24" x14ac:dyDescent="0.3">
      <c r="A41" s="23" t="str">
        <f t="shared" si="0"/>
        <v>Do Not Print</v>
      </c>
      <c r="D41" s="1217" t="str">
        <f>'Input -CIES'!E30</f>
        <v>CIES Line 24</v>
      </c>
      <c r="E41" s="1216">
        <f t="shared" si="1"/>
        <v>0</v>
      </c>
      <c r="F41" s="1216">
        <f>'Input - EFA'!G496</f>
        <v>0</v>
      </c>
      <c r="G41" s="1216">
        <f>'Det CIES'!P30</f>
        <v>0</v>
      </c>
      <c r="H41" s="1216">
        <f t="shared" si="2"/>
        <v>0</v>
      </c>
      <c r="I41" s="1216">
        <f>'Input - EFA'!L496</f>
        <v>0</v>
      </c>
      <c r="J41" s="1216">
        <f>'Det CIES'!S30</f>
        <v>0</v>
      </c>
      <c r="K41" s="3"/>
      <c r="M41" s="1058">
        <f>'Note 2b'!J40</f>
        <v>0</v>
      </c>
      <c r="N41" s="1058">
        <f t="shared" si="3"/>
        <v>0</v>
      </c>
      <c r="O41" s="1058" t="b">
        <f>F41='Note 2b'!J40</f>
        <v>1</v>
      </c>
      <c r="P41" s="1058">
        <f>Prime!F35</f>
        <v>0</v>
      </c>
      <c r="Q41" s="1058">
        <f t="shared" si="4"/>
        <v>0</v>
      </c>
      <c r="R41" s="1058" t="b">
        <f t="shared" si="5"/>
        <v>1</v>
      </c>
      <c r="S41" s="1058">
        <f>'Note 2b'!J85</f>
        <v>0</v>
      </c>
      <c r="T41" s="1058">
        <f t="shared" si="6"/>
        <v>0</v>
      </c>
      <c r="U41" s="868" t="b">
        <f t="shared" si="7"/>
        <v>1</v>
      </c>
      <c r="V41" s="868">
        <f>Prime!I35</f>
        <v>0</v>
      </c>
      <c r="W41" s="1062">
        <f t="shared" si="8"/>
        <v>0</v>
      </c>
      <c r="X41" s="868" t="b">
        <f t="shared" si="9"/>
        <v>1</v>
      </c>
    </row>
    <row r="42" spans="1:24" x14ac:dyDescent="0.3">
      <c r="A42" s="23" t="str">
        <f t="shared" si="0"/>
        <v>Do Not Print</v>
      </c>
      <c r="D42" s="1217" t="str">
        <f>'Input -CIES'!E31</f>
        <v>CIES Line 25</v>
      </c>
      <c r="E42" s="1216">
        <f t="shared" si="1"/>
        <v>0</v>
      </c>
      <c r="F42" s="1216">
        <f>'Input - EFA'!G497</f>
        <v>0</v>
      </c>
      <c r="G42" s="1216">
        <f>'Det CIES'!P31</f>
        <v>0</v>
      </c>
      <c r="H42" s="1216">
        <f t="shared" si="2"/>
        <v>0</v>
      </c>
      <c r="I42" s="1216">
        <f>'Input - EFA'!L497</f>
        <v>0</v>
      </c>
      <c r="J42" s="1216">
        <f>'Det CIES'!S31</f>
        <v>0</v>
      </c>
      <c r="K42" s="3"/>
      <c r="M42" s="1058">
        <f>'Note 2b'!J41</f>
        <v>0</v>
      </c>
      <c r="N42" s="1058">
        <f t="shared" si="3"/>
        <v>0</v>
      </c>
      <c r="O42" s="1058" t="b">
        <f>F42='Note 2b'!J41</f>
        <v>1</v>
      </c>
      <c r="P42" s="1058">
        <f>Prime!F36</f>
        <v>0</v>
      </c>
      <c r="Q42" s="1058">
        <f t="shared" si="4"/>
        <v>0</v>
      </c>
      <c r="R42" s="1058" t="b">
        <f t="shared" si="5"/>
        <v>1</v>
      </c>
      <c r="S42" s="1058">
        <f>'Note 2b'!J86</f>
        <v>0</v>
      </c>
      <c r="T42" s="1058">
        <f t="shared" si="6"/>
        <v>0</v>
      </c>
      <c r="U42" s="868" t="b">
        <f t="shared" si="7"/>
        <v>1</v>
      </c>
      <c r="V42" s="868">
        <f>Prime!I36</f>
        <v>0</v>
      </c>
      <c r="W42" s="1062">
        <f t="shared" si="8"/>
        <v>0</v>
      </c>
      <c r="X42" s="868" t="b">
        <f t="shared" si="9"/>
        <v>1</v>
      </c>
    </row>
    <row r="43" spans="1:24" x14ac:dyDescent="0.3">
      <c r="A43" s="23" t="str">
        <f t="shared" si="0"/>
        <v>Do Not Print</v>
      </c>
      <c r="D43" s="1217" t="str">
        <f>'Input -CIES'!E32</f>
        <v>CIES Line 26</v>
      </c>
      <c r="E43" s="1216">
        <f t="shared" si="1"/>
        <v>0</v>
      </c>
      <c r="F43" s="1216">
        <f>'Input - EFA'!G498</f>
        <v>0</v>
      </c>
      <c r="G43" s="1216">
        <f>'Det CIES'!P32</f>
        <v>0</v>
      </c>
      <c r="H43" s="1216">
        <f t="shared" si="2"/>
        <v>0</v>
      </c>
      <c r="I43" s="1216">
        <f>'Input - EFA'!L498</f>
        <v>0</v>
      </c>
      <c r="J43" s="1216">
        <f>'Det CIES'!S32</f>
        <v>0</v>
      </c>
      <c r="K43" s="3"/>
      <c r="M43" s="1058">
        <f>'Note 2b'!J42</f>
        <v>0</v>
      </c>
      <c r="N43" s="1058">
        <f t="shared" si="3"/>
        <v>0</v>
      </c>
      <c r="O43" s="1058" t="b">
        <f>F43='Note 2b'!J42</f>
        <v>1</v>
      </c>
      <c r="P43" s="1058">
        <f>Prime!F37</f>
        <v>0</v>
      </c>
      <c r="Q43" s="1058">
        <f t="shared" si="4"/>
        <v>0</v>
      </c>
      <c r="R43" s="1058" t="b">
        <f t="shared" si="5"/>
        <v>1</v>
      </c>
      <c r="S43" s="1058">
        <f>'Note 2b'!J87</f>
        <v>0</v>
      </c>
      <c r="T43" s="1058">
        <f t="shared" si="6"/>
        <v>0</v>
      </c>
      <c r="U43" s="868" t="b">
        <f t="shared" si="7"/>
        <v>1</v>
      </c>
      <c r="V43" s="868">
        <f>Prime!I37</f>
        <v>0</v>
      </c>
      <c r="W43" s="1062">
        <f t="shared" si="8"/>
        <v>0</v>
      </c>
      <c r="X43" s="868" t="b">
        <f t="shared" si="9"/>
        <v>1</v>
      </c>
    </row>
    <row r="44" spans="1:24" x14ac:dyDescent="0.3">
      <c r="A44" s="23" t="str">
        <f t="shared" si="0"/>
        <v>Do Not Print</v>
      </c>
      <c r="D44" s="1217" t="str">
        <f>'Input -CIES'!E33</f>
        <v>CIES Line 27</v>
      </c>
      <c r="E44" s="1216">
        <f t="shared" si="1"/>
        <v>0</v>
      </c>
      <c r="F44" s="1216">
        <f>'Input - EFA'!G499</f>
        <v>0</v>
      </c>
      <c r="G44" s="1216">
        <f>'Det CIES'!P33</f>
        <v>0</v>
      </c>
      <c r="H44" s="1216">
        <f t="shared" si="2"/>
        <v>0</v>
      </c>
      <c r="I44" s="1216">
        <f>'Input - EFA'!L499</f>
        <v>0</v>
      </c>
      <c r="J44" s="1216">
        <f>'Det CIES'!S33</f>
        <v>0</v>
      </c>
      <c r="K44" s="3"/>
      <c r="M44" s="1058">
        <f>'Note 2b'!J43</f>
        <v>0</v>
      </c>
      <c r="N44" s="1058">
        <f t="shared" si="3"/>
        <v>0</v>
      </c>
      <c r="O44" s="1058" t="b">
        <f>F44='Note 2b'!J43</f>
        <v>1</v>
      </c>
      <c r="P44" s="1058">
        <f>Prime!F38</f>
        <v>0</v>
      </c>
      <c r="Q44" s="1058">
        <f t="shared" si="4"/>
        <v>0</v>
      </c>
      <c r="R44" s="1058" t="b">
        <f t="shared" si="5"/>
        <v>1</v>
      </c>
      <c r="S44" s="1058">
        <f>'Note 2b'!J88</f>
        <v>0</v>
      </c>
      <c r="T44" s="1058">
        <f t="shared" si="6"/>
        <v>0</v>
      </c>
      <c r="U44" s="868" t="b">
        <f t="shared" si="7"/>
        <v>1</v>
      </c>
      <c r="V44" s="868">
        <f>Prime!I38</f>
        <v>0</v>
      </c>
      <c r="W44" s="1062">
        <f t="shared" si="8"/>
        <v>0</v>
      </c>
      <c r="X44" s="868" t="b">
        <f t="shared" si="9"/>
        <v>1</v>
      </c>
    </row>
    <row r="45" spans="1:24" x14ac:dyDescent="0.3">
      <c r="A45" s="23" t="str">
        <f t="shared" si="0"/>
        <v>Do Not Print</v>
      </c>
      <c r="D45" s="1217" t="str">
        <f>'Input -CIES'!E34</f>
        <v>CIES Line 28</v>
      </c>
      <c r="E45" s="1216">
        <f t="shared" si="1"/>
        <v>0</v>
      </c>
      <c r="F45" s="1216">
        <f>'Input - EFA'!G500</f>
        <v>0</v>
      </c>
      <c r="G45" s="1216">
        <f>'Det CIES'!P34</f>
        <v>0</v>
      </c>
      <c r="H45" s="1216">
        <f t="shared" si="2"/>
        <v>0</v>
      </c>
      <c r="I45" s="1216">
        <f>'Input - EFA'!L500</f>
        <v>0</v>
      </c>
      <c r="J45" s="1216">
        <f>'Det CIES'!S34</f>
        <v>0</v>
      </c>
      <c r="K45" s="3"/>
      <c r="M45" s="1058">
        <f>'Note 2b'!J44</f>
        <v>0</v>
      </c>
      <c r="N45" s="1058">
        <f t="shared" si="3"/>
        <v>0</v>
      </c>
      <c r="O45" s="1058" t="b">
        <f>F45='Note 2b'!J44</f>
        <v>1</v>
      </c>
      <c r="P45" s="1058">
        <f>Prime!F39</f>
        <v>0</v>
      </c>
      <c r="Q45" s="1058">
        <f t="shared" si="4"/>
        <v>0</v>
      </c>
      <c r="R45" s="1058" t="b">
        <f t="shared" si="5"/>
        <v>1</v>
      </c>
      <c r="S45" s="1058">
        <f>'Note 2b'!J89</f>
        <v>0</v>
      </c>
      <c r="T45" s="1058">
        <f t="shared" si="6"/>
        <v>0</v>
      </c>
      <c r="U45" s="868" t="b">
        <f t="shared" si="7"/>
        <v>1</v>
      </c>
      <c r="V45" s="868">
        <f>Prime!I39</f>
        <v>0</v>
      </c>
      <c r="W45" s="1062">
        <f t="shared" si="8"/>
        <v>0</v>
      </c>
      <c r="X45" s="868" t="b">
        <f t="shared" si="9"/>
        <v>1</v>
      </c>
    </row>
    <row r="46" spans="1:24" x14ac:dyDescent="0.3">
      <c r="A46" s="23" t="str">
        <f t="shared" si="0"/>
        <v>Do Not Print</v>
      </c>
      <c r="D46" s="1217" t="str">
        <f>'Input -CIES'!E35</f>
        <v>CIES Line 29</v>
      </c>
      <c r="E46" s="1216">
        <f t="shared" si="1"/>
        <v>0</v>
      </c>
      <c r="F46" s="1216">
        <f>'Input - EFA'!G501</f>
        <v>0</v>
      </c>
      <c r="G46" s="1216">
        <f>'Det CIES'!P35</f>
        <v>0</v>
      </c>
      <c r="H46" s="1216">
        <f t="shared" si="2"/>
        <v>0</v>
      </c>
      <c r="I46" s="1216">
        <f>'Input - EFA'!L501</f>
        <v>0</v>
      </c>
      <c r="J46" s="1216">
        <f>'Det CIES'!S35</f>
        <v>0</v>
      </c>
      <c r="K46" s="3"/>
      <c r="M46" s="1058">
        <f>'Note 2b'!J45</f>
        <v>0</v>
      </c>
      <c r="N46" s="1058">
        <f t="shared" si="3"/>
        <v>0</v>
      </c>
      <c r="O46" s="1058" t="b">
        <f>F46='Note 2b'!J45</f>
        <v>1</v>
      </c>
      <c r="P46" s="1058">
        <f>Prime!F40</f>
        <v>0</v>
      </c>
      <c r="Q46" s="1058">
        <f t="shared" si="4"/>
        <v>0</v>
      </c>
      <c r="R46" s="1058" t="b">
        <f t="shared" si="5"/>
        <v>1</v>
      </c>
      <c r="S46" s="1058">
        <f>'Note 2b'!J90</f>
        <v>0</v>
      </c>
      <c r="T46" s="1058">
        <f t="shared" si="6"/>
        <v>0</v>
      </c>
      <c r="U46" s="868" t="b">
        <f t="shared" si="7"/>
        <v>1</v>
      </c>
      <c r="V46" s="868">
        <f>Prime!I40</f>
        <v>0</v>
      </c>
      <c r="W46" s="1062">
        <f t="shared" si="8"/>
        <v>0</v>
      </c>
      <c r="X46" s="868" t="b">
        <f t="shared" si="9"/>
        <v>1</v>
      </c>
    </row>
    <row r="47" spans="1:24" x14ac:dyDescent="0.3">
      <c r="A47" s="23" t="str">
        <f t="shared" si="0"/>
        <v>Do Not Print</v>
      </c>
      <c r="D47" s="1217" t="str">
        <f>'Input -CIES'!E36</f>
        <v>CIES Line 30</v>
      </c>
      <c r="E47" s="1216">
        <f t="shared" si="1"/>
        <v>0</v>
      </c>
      <c r="F47" s="1216">
        <f>'Input - EFA'!G502</f>
        <v>0</v>
      </c>
      <c r="G47" s="1216">
        <f>'Det CIES'!P36</f>
        <v>0</v>
      </c>
      <c r="H47" s="1216">
        <f t="shared" si="2"/>
        <v>0</v>
      </c>
      <c r="I47" s="1216">
        <f>'Input - EFA'!L502</f>
        <v>0</v>
      </c>
      <c r="J47" s="1216">
        <f>'Det CIES'!S36</f>
        <v>0</v>
      </c>
      <c r="K47" s="3"/>
      <c r="M47" s="1058">
        <f>'Note 2b'!J46</f>
        <v>0</v>
      </c>
      <c r="N47" s="1058">
        <f t="shared" si="3"/>
        <v>0</v>
      </c>
      <c r="O47" s="1058" t="b">
        <f>F47='Note 2b'!J46</f>
        <v>1</v>
      </c>
      <c r="P47" s="1058">
        <f>Prime!F41</f>
        <v>0</v>
      </c>
      <c r="Q47" s="1058">
        <f t="shared" si="4"/>
        <v>0</v>
      </c>
      <c r="R47" s="1058" t="b">
        <f t="shared" si="5"/>
        <v>1</v>
      </c>
      <c r="S47" s="1058">
        <f>'Note 2b'!J91</f>
        <v>0</v>
      </c>
      <c r="T47" s="1058">
        <f t="shared" si="6"/>
        <v>0</v>
      </c>
      <c r="U47" s="868" t="b">
        <f t="shared" si="7"/>
        <v>1</v>
      </c>
      <c r="V47" s="868">
        <f>Prime!I41</f>
        <v>0</v>
      </c>
      <c r="W47" s="1062">
        <f t="shared" si="8"/>
        <v>0</v>
      </c>
      <c r="X47" s="868" t="b">
        <f t="shared" si="9"/>
        <v>1</v>
      </c>
    </row>
    <row r="48" spans="1:24" x14ac:dyDescent="0.3">
      <c r="A48" s="23" t="str">
        <f t="shared" si="0"/>
        <v>Do Not Print</v>
      </c>
      <c r="D48" s="1217" t="str">
        <f>'Input -CIES'!E37</f>
        <v>CIES Line 31</v>
      </c>
      <c r="E48" s="1216">
        <f t="shared" si="1"/>
        <v>0</v>
      </c>
      <c r="F48" s="1216">
        <f>'Input - EFA'!G503</f>
        <v>0</v>
      </c>
      <c r="G48" s="1216">
        <f>'Det CIES'!P37</f>
        <v>0</v>
      </c>
      <c r="H48" s="1216">
        <f t="shared" si="2"/>
        <v>0</v>
      </c>
      <c r="I48" s="1216">
        <f>'Input - EFA'!L503</f>
        <v>0</v>
      </c>
      <c r="J48" s="1216">
        <f>'Det CIES'!S37</f>
        <v>0</v>
      </c>
      <c r="K48" s="3"/>
      <c r="M48" s="1058">
        <f>'Note 2b'!J47</f>
        <v>0</v>
      </c>
      <c r="N48" s="1058">
        <f t="shared" si="3"/>
        <v>0</v>
      </c>
      <c r="O48" s="1058" t="b">
        <f>F48='Note 2b'!J47</f>
        <v>1</v>
      </c>
      <c r="P48" s="1058">
        <f>Prime!F42</f>
        <v>0</v>
      </c>
      <c r="Q48" s="1058">
        <f t="shared" si="4"/>
        <v>0</v>
      </c>
      <c r="R48" s="1058" t="b">
        <f t="shared" si="5"/>
        <v>1</v>
      </c>
      <c r="S48" s="1058">
        <f>'Note 2b'!J92</f>
        <v>0</v>
      </c>
      <c r="T48" s="1058">
        <f t="shared" si="6"/>
        <v>0</v>
      </c>
      <c r="U48" s="868" t="b">
        <f t="shared" si="7"/>
        <v>1</v>
      </c>
      <c r="V48" s="868">
        <f>Prime!I42</f>
        <v>0</v>
      </c>
      <c r="W48" s="1062">
        <f t="shared" si="8"/>
        <v>0</v>
      </c>
      <c r="X48" s="868" t="b">
        <f t="shared" si="9"/>
        <v>1</v>
      </c>
    </row>
    <row r="49" spans="1:24" x14ac:dyDescent="0.3">
      <c r="A49" s="23" t="str">
        <f t="shared" si="0"/>
        <v>Do Not Print</v>
      </c>
      <c r="D49" s="1217" t="str">
        <f>'Input -CIES'!E38</f>
        <v>CIES Line 32</v>
      </c>
      <c r="E49" s="1216">
        <f t="shared" si="1"/>
        <v>0</v>
      </c>
      <c r="F49" s="1216">
        <f>'Input - EFA'!G504</f>
        <v>0</v>
      </c>
      <c r="G49" s="1216">
        <f>'Det CIES'!P38</f>
        <v>0</v>
      </c>
      <c r="H49" s="1216">
        <f t="shared" si="2"/>
        <v>0</v>
      </c>
      <c r="I49" s="1216">
        <f>'Input - EFA'!L504</f>
        <v>0</v>
      </c>
      <c r="J49" s="1216">
        <f>'Det CIES'!S38</f>
        <v>0</v>
      </c>
      <c r="K49" s="3"/>
      <c r="M49" s="1058">
        <f>'Note 2b'!J48</f>
        <v>0</v>
      </c>
      <c r="N49" s="1058">
        <f t="shared" si="3"/>
        <v>0</v>
      </c>
      <c r="O49" s="1058" t="b">
        <f>F49='Note 2b'!J48</f>
        <v>1</v>
      </c>
      <c r="P49" s="1058">
        <f>Prime!F43</f>
        <v>0</v>
      </c>
      <c r="Q49" s="1058">
        <f t="shared" si="4"/>
        <v>0</v>
      </c>
      <c r="R49" s="1058" t="b">
        <f t="shared" si="5"/>
        <v>1</v>
      </c>
      <c r="S49" s="1058">
        <f>'Note 2b'!J93</f>
        <v>0</v>
      </c>
      <c r="T49" s="1058">
        <f t="shared" si="6"/>
        <v>0</v>
      </c>
      <c r="U49" s="868" t="b">
        <f t="shared" si="7"/>
        <v>1</v>
      </c>
      <c r="V49" s="868">
        <f>Prime!I43</f>
        <v>0</v>
      </c>
      <c r="W49" s="1062">
        <f t="shared" si="8"/>
        <v>0</v>
      </c>
      <c r="X49" s="868" t="b">
        <f t="shared" si="9"/>
        <v>1</v>
      </c>
    </row>
    <row r="50" spans="1:24" x14ac:dyDescent="0.3">
      <c r="A50" s="23" t="str">
        <f t="shared" si="0"/>
        <v>Do Not Print</v>
      </c>
      <c r="D50" s="1217" t="str">
        <f>'Input -CIES'!E39</f>
        <v>CIES Line 33</v>
      </c>
      <c r="E50" s="1216">
        <f t="shared" si="1"/>
        <v>0</v>
      </c>
      <c r="F50" s="1216">
        <f>'Input - EFA'!G505</f>
        <v>0</v>
      </c>
      <c r="G50" s="1216">
        <f>'Det CIES'!P39</f>
        <v>0</v>
      </c>
      <c r="H50" s="1216">
        <f t="shared" si="2"/>
        <v>0</v>
      </c>
      <c r="I50" s="1216">
        <f>'Input - EFA'!L505</f>
        <v>0</v>
      </c>
      <c r="J50" s="1216">
        <f>'Det CIES'!S39</f>
        <v>0</v>
      </c>
      <c r="K50" s="3"/>
      <c r="M50" s="1058">
        <f>'Note 2b'!J49</f>
        <v>0</v>
      </c>
      <c r="N50" s="1058">
        <f t="shared" si="3"/>
        <v>0</v>
      </c>
      <c r="O50" s="1058" t="b">
        <f>F50='Note 2b'!J49</f>
        <v>1</v>
      </c>
      <c r="P50" s="1058">
        <f>Prime!F44</f>
        <v>0</v>
      </c>
      <c r="Q50" s="1058">
        <f t="shared" si="4"/>
        <v>0</v>
      </c>
      <c r="R50" s="1058" t="b">
        <f t="shared" si="5"/>
        <v>1</v>
      </c>
      <c r="S50" s="1058">
        <f>'Note 2b'!J94</f>
        <v>0</v>
      </c>
      <c r="T50" s="1058">
        <f t="shared" si="6"/>
        <v>0</v>
      </c>
      <c r="U50" s="868" t="b">
        <f t="shared" si="7"/>
        <v>1</v>
      </c>
      <c r="V50" s="868">
        <f>Prime!I44</f>
        <v>0</v>
      </c>
      <c r="W50" s="1062">
        <f t="shared" si="8"/>
        <v>0</v>
      </c>
      <c r="X50" s="868" t="b">
        <f t="shared" si="9"/>
        <v>1</v>
      </c>
    </row>
    <row r="51" spans="1:24" x14ac:dyDescent="0.3">
      <c r="A51" s="23" t="str">
        <f t="shared" si="0"/>
        <v>Do Not Print</v>
      </c>
      <c r="D51" s="1217" t="str">
        <f>'Input -CIES'!E40</f>
        <v>CIES Line 34</v>
      </c>
      <c r="E51" s="1216">
        <f t="shared" si="1"/>
        <v>0</v>
      </c>
      <c r="F51" s="1216">
        <f>'Input - EFA'!G506</f>
        <v>0</v>
      </c>
      <c r="G51" s="1216">
        <f>'Det CIES'!P40</f>
        <v>0</v>
      </c>
      <c r="H51" s="1216">
        <f t="shared" si="2"/>
        <v>0</v>
      </c>
      <c r="I51" s="1216">
        <f>'Input - EFA'!L506</f>
        <v>0</v>
      </c>
      <c r="J51" s="1216">
        <f>'Det CIES'!S40</f>
        <v>0</v>
      </c>
      <c r="K51" s="3"/>
      <c r="M51" s="1058">
        <f>'Note 2b'!J50</f>
        <v>0</v>
      </c>
      <c r="N51" s="1058">
        <f t="shared" si="3"/>
        <v>0</v>
      </c>
      <c r="O51" s="1058" t="b">
        <f>F51='Note 2b'!J50</f>
        <v>1</v>
      </c>
      <c r="P51" s="1058">
        <f>Prime!F45</f>
        <v>0</v>
      </c>
      <c r="Q51" s="1058">
        <f t="shared" si="4"/>
        <v>0</v>
      </c>
      <c r="R51" s="1058" t="b">
        <f t="shared" si="5"/>
        <v>1</v>
      </c>
      <c r="S51" s="1058">
        <f>'Note 2b'!J95</f>
        <v>0</v>
      </c>
      <c r="T51" s="1058">
        <f t="shared" si="6"/>
        <v>0</v>
      </c>
      <c r="U51" s="868" t="b">
        <f t="shared" si="7"/>
        <v>1</v>
      </c>
      <c r="V51" s="868">
        <f>Prime!I45</f>
        <v>0</v>
      </c>
      <c r="W51" s="1062">
        <f t="shared" si="8"/>
        <v>0</v>
      </c>
      <c r="X51" s="868" t="b">
        <f t="shared" si="9"/>
        <v>1</v>
      </c>
    </row>
    <row r="52" spans="1:24" x14ac:dyDescent="0.3">
      <c r="A52" s="23" t="str">
        <f t="shared" si="0"/>
        <v>Do Not Print</v>
      </c>
      <c r="D52" s="1217" t="str">
        <f>'Input -CIES'!E41</f>
        <v>CIES Line 35</v>
      </c>
      <c r="E52" s="1216">
        <f t="shared" si="1"/>
        <v>0</v>
      </c>
      <c r="F52" s="1216">
        <f>'Input - EFA'!G507</f>
        <v>0</v>
      </c>
      <c r="G52" s="1216">
        <f>'Det CIES'!P41</f>
        <v>0</v>
      </c>
      <c r="H52" s="1216">
        <f t="shared" si="2"/>
        <v>0</v>
      </c>
      <c r="I52" s="1216">
        <f>'Input - EFA'!L507</f>
        <v>0</v>
      </c>
      <c r="J52" s="1216">
        <f>'Det CIES'!S41</f>
        <v>0</v>
      </c>
      <c r="K52" s="3"/>
      <c r="M52" s="1058">
        <f>'Note 2b'!J51</f>
        <v>0</v>
      </c>
      <c r="N52" s="1058">
        <f t="shared" si="3"/>
        <v>0</v>
      </c>
      <c r="O52" s="1058" t="e">
        <f>F52='Note 2b'!#REF!</f>
        <v>#REF!</v>
      </c>
      <c r="P52" s="1058">
        <f>Prime!F46</f>
        <v>0</v>
      </c>
      <c r="Q52" s="1058">
        <f t="shared" si="4"/>
        <v>0</v>
      </c>
      <c r="R52" s="1058" t="b">
        <f t="shared" si="5"/>
        <v>1</v>
      </c>
      <c r="S52" s="1058">
        <f>'Note 2b'!J96</f>
        <v>0</v>
      </c>
      <c r="T52" s="1058">
        <f t="shared" si="6"/>
        <v>0</v>
      </c>
      <c r="U52" s="868" t="b">
        <f t="shared" si="7"/>
        <v>1</v>
      </c>
      <c r="V52" s="868">
        <f>Prime!I46</f>
        <v>0</v>
      </c>
      <c r="W52" s="1062">
        <f t="shared" si="8"/>
        <v>0</v>
      </c>
      <c r="X52" s="868" t="b">
        <f t="shared" si="9"/>
        <v>1</v>
      </c>
    </row>
    <row r="53" spans="1:24" x14ac:dyDescent="0.3">
      <c r="A53" s="23" t="str">
        <f>IF(A37="Do Not Print","Do Not Print","Print")</f>
        <v>Do Not Print</v>
      </c>
      <c r="D53" s="1217"/>
      <c r="E53" s="1216"/>
      <c r="F53" s="1216"/>
      <c r="G53" s="1216"/>
      <c r="H53" s="1216"/>
      <c r="I53" s="1216"/>
      <c r="J53" s="1216"/>
      <c r="K53" s="3"/>
      <c r="M53" s="868"/>
      <c r="N53" s="1058"/>
      <c r="O53" s="868"/>
      <c r="P53" s="868"/>
      <c r="Q53" s="1058"/>
      <c r="R53" s="1058"/>
      <c r="S53" s="1058"/>
      <c r="T53" s="1058"/>
      <c r="U53" s="868"/>
      <c r="V53" s="868"/>
      <c r="W53" s="1062"/>
      <c r="X53" s="868"/>
    </row>
    <row r="54" spans="1:24" ht="24.75" customHeight="1" x14ac:dyDescent="0.3">
      <c r="A54" s="23" t="str">
        <f>IF(AND(E54=0,F54=0,G54=0,H54=0,I54=0,J54=0),"Do Not Print","Print")</f>
        <v>Do Not Print</v>
      </c>
      <c r="D54" s="1218" t="s">
        <v>864</v>
      </c>
      <c r="E54" s="1219">
        <f t="shared" ref="E54:J54" si="10">SUM(E18:E52)</f>
        <v>0</v>
      </c>
      <c r="F54" s="1219">
        <f t="shared" si="10"/>
        <v>0</v>
      </c>
      <c r="G54" s="1219">
        <f t="shared" si="10"/>
        <v>0</v>
      </c>
      <c r="H54" s="1219">
        <f t="shared" si="10"/>
        <v>0</v>
      </c>
      <c r="I54" s="1219">
        <f t="shared" si="10"/>
        <v>0</v>
      </c>
      <c r="J54" s="1219">
        <f t="shared" si="10"/>
        <v>0</v>
      </c>
      <c r="M54" s="1074">
        <f>'Note 2b'!J52</f>
        <v>0</v>
      </c>
      <c r="N54" s="1058">
        <f t="shared" si="3"/>
        <v>0</v>
      </c>
      <c r="O54" s="868" t="b">
        <f>F54='Note 2b'!J52</f>
        <v>1</v>
      </c>
      <c r="P54" s="868">
        <f>Prime!F48</f>
        <v>0</v>
      </c>
      <c r="Q54" s="1058">
        <f t="shared" si="4"/>
        <v>0</v>
      </c>
      <c r="R54" s="1058" t="b">
        <f t="shared" si="5"/>
        <v>1</v>
      </c>
      <c r="S54" s="1058">
        <f>'Note 2b'!J98</f>
        <v>0</v>
      </c>
      <c r="T54" s="1058">
        <f t="shared" si="6"/>
        <v>0</v>
      </c>
      <c r="U54" s="868" t="b">
        <f t="shared" si="7"/>
        <v>1</v>
      </c>
      <c r="V54" s="1073">
        <f>Prime!I48</f>
        <v>0</v>
      </c>
      <c r="W54" s="1062">
        <f t="shared" si="8"/>
        <v>0</v>
      </c>
      <c r="X54" s="868" t="b">
        <f t="shared" si="9"/>
        <v>1</v>
      </c>
    </row>
    <row r="55" spans="1:24" ht="15" customHeight="1" x14ac:dyDescent="0.3">
      <c r="A55" s="3" t="s">
        <v>448</v>
      </c>
      <c r="D55" s="1220"/>
      <c r="E55" s="1221"/>
      <c r="F55" s="1221"/>
      <c r="G55" s="1221"/>
      <c r="H55" s="1221"/>
      <c r="I55" s="1221"/>
      <c r="J55" s="1221"/>
      <c r="M55" s="868"/>
      <c r="N55" s="1058"/>
      <c r="O55" s="868"/>
      <c r="P55" s="868"/>
      <c r="Q55" s="1058"/>
      <c r="R55" s="1058"/>
      <c r="S55" s="1058"/>
      <c r="T55" s="1058"/>
      <c r="U55" s="868"/>
      <c r="V55" s="868"/>
      <c r="W55" s="1062"/>
      <c r="X55" s="868"/>
    </row>
    <row r="56" spans="1:24" ht="22.5" customHeight="1" x14ac:dyDescent="0.3">
      <c r="A56" s="3" t="s">
        <v>448</v>
      </c>
      <c r="D56" s="1220" t="s">
        <v>1989</v>
      </c>
      <c r="E56" s="1221">
        <f>G56-F56</f>
        <v>0</v>
      </c>
      <c r="F56" s="1221">
        <f>'Note 2b'!J54</f>
        <v>0</v>
      </c>
      <c r="G56" s="1221">
        <f>'Det CIES'!P51+'Det CIES'!P134+'Det CIES'!P108+'Det CIES'!P97+'Det CIES'!P95</f>
        <v>0</v>
      </c>
      <c r="H56" s="1221">
        <f>J56-I56</f>
        <v>0</v>
      </c>
      <c r="I56" s="1221">
        <f>'Note 2b'!J100</f>
        <v>0</v>
      </c>
      <c r="J56" s="1221">
        <f>'Det CIES'!S51+'Det CIES'!S95+'Det CIES'!S97+'Det CIES'!S108+'Det CIES'!S134</f>
        <v>0</v>
      </c>
      <c r="M56" s="868">
        <f>'Note 2b'!J54</f>
        <v>0</v>
      </c>
      <c r="N56" s="1058">
        <f>F56+M56</f>
        <v>0</v>
      </c>
      <c r="O56" s="868" t="b">
        <f>F56=-'Note 2b'!J54</f>
        <v>1</v>
      </c>
      <c r="P56" s="868">
        <f>Prime!F50+Prime!F52+Prime!F54+Prime!F56+Prime!F60</f>
        <v>0</v>
      </c>
      <c r="Q56" s="1058">
        <f t="shared" si="4"/>
        <v>0</v>
      </c>
      <c r="R56" s="1058" t="b">
        <f t="shared" si="5"/>
        <v>1</v>
      </c>
      <c r="S56" s="1058">
        <f>'Note 2b'!J100</f>
        <v>0</v>
      </c>
      <c r="T56" s="1058">
        <f t="shared" si="6"/>
        <v>0</v>
      </c>
      <c r="U56" s="868" t="b">
        <f t="shared" si="7"/>
        <v>1</v>
      </c>
      <c r="V56" s="1074">
        <f>Prime!I50+Prime!I52+Prime!I54+Prime!I56+Prime!I60</f>
        <v>0</v>
      </c>
      <c r="W56" s="1074">
        <f t="shared" si="8"/>
        <v>0</v>
      </c>
      <c r="X56" s="1074" t="b">
        <f t="shared" si="9"/>
        <v>1</v>
      </c>
    </row>
    <row r="57" spans="1:24" ht="15" customHeight="1" x14ac:dyDescent="0.3">
      <c r="A57" s="23" t="str">
        <f>IF(A56="Do Not Print","Do Not Print","Print")</f>
        <v>Print</v>
      </c>
      <c r="D57" s="1220"/>
      <c r="E57" s="1221"/>
      <c r="F57" s="1221"/>
      <c r="G57" s="1221"/>
      <c r="H57" s="1221"/>
      <c r="I57" s="1221"/>
      <c r="J57" s="1221"/>
      <c r="M57" s="868"/>
      <c r="N57" s="1058"/>
      <c r="O57" s="868"/>
      <c r="P57" s="868"/>
      <c r="Q57" s="1058"/>
      <c r="R57" s="1058"/>
      <c r="S57" s="1058"/>
      <c r="T57" s="1058"/>
      <c r="U57" s="868"/>
      <c r="V57" s="1074"/>
      <c r="W57" s="1074"/>
      <c r="X57" s="1074"/>
    </row>
    <row r="58" spans="1:24" ht="21" customHeight="1" x14ac:dyDescent="0.3">
      <c r="A58" s="3" t="s">
        <v>448</v>
      </c>
      <c r="D58" s="1218" t="s">
        <v>1990</v>
      </c>
      <c r="E58" s="1219">
        <f>E54+E56</f>
        <v>0</v>
      </c>
      <c r="F58" s="1219">
        <f t="shared" ref="F58:J58" si="11">F54+F56</f>
        <v>0</v>
      </c>
      <c r="G58" s="1219">
        <f>G54+G56</f>
        <v>0</v>
      </c>
      <c r="H58" s="1219">
        <f t="shared" si="11"/>
        <v>0</v>
      </c>
      <c r="I58" s="1219">
        <f t="shared" si="11"/>
        <v>0</v>
      </c>
      <c r="J58" s="1219">
        <f t="shared" si="11"/>
        <v>0</v>
      </c>
      <c r="M58" s="868">
        <f>'Note 2b'!J56</f>
        <v>0</v>
      </c>
      <c r="N58" s="1058">
        <f>F58+M58</f>
        <v>0</v>
      </c>
      <c r="O58" s="868" t="b">
        <f>F58='Note 2b'!J56</f>
        <v>1</v>
      </c>
      <c r="P58" s="868">
        <f>Prime!F62</f>
        <v>0</v>
      </c>
      <c r="Q58" s="1058">
        <f t="shared" si="4"/>
        <v>0</v>
      </c>
      <c r="R58" s="1058" t="b">
        <f t="shared" si="5"/>
        <v>1</v>
      </c>
      <c r="S58" s="1058">
        <f>'Note 2b'!J102</f>
        <v>0</v>
      </c>
      <c r="T58" s="1058">
        <f t="shared" si="6"/>
        <v>0</v>
      </c>
      <c r="U58" s="868" t="b">
        <f t="shared" si="7"/>
        <v>1</v>
      </c>
      <c r="V58" s="1075">
        <f>Prime!I62</f>
        <v>0</v>
      </c>
      <c r="W58" s="1074">
        <f t="shared" si="8"/>
        <v>0</v>
      </c>
      <c r="X58" s="1074" t="b">
        <f t="shared" si="9"/>
        <v>1</v>
      </c>
    </row>
    <row r="59" spans="1:24" ht="15" customHeight="1" x14ac:dyDescent="0.3">
      <c r="A59" s="3" t="s">
        <v>448</v>
      </c>
      <c r="D59" s="1220"/>
      <c r="E59" s="1221"/>
      <c r="F59" s="1221"/>
      <c r="G59" s="1221"/>
      <c r="H59" s="1221"/>
      <c r="I59" s="1221"/>
      <c r="J59" s="1221"/>
      <c r="M59" s="868" t="str">
        <f>'Standing Data'!D34</f>
        <v>2025/26</v>
      </c>
      <c r="N59" s="868" t="str">
        <f>'Standing Data'!D52</f>
        <v>2024/25</v>
      </c>
      <c r="O59" s="868" t="s">
        <v>2195</v>
      </c>
      <c r="S59" s="28"/>
      <c r="T59" s="28"/>
      <c r="V59" s="28"/>
      <c r="W59" s="28"/>
    </row>
    <row r="60" spans="1:24" ht="21.75" customHeight="1" x14ac:dyDescent="0.3">
      <c r="A60" s="3" t="s">
        <v>448</v>
      </c>
      <c r="D60" s="1218" t="s">
        <v>1991</v>
      </c>
      <c r="E60" s="1219"/>
      <c r="F60" s="1219"/>
      <c r="G60" s="1219">
        <f>'Note 25 to end'!J184</f>
        <v>0</v>
      </c>
      <c r="H60" s="1219"/>
      <c r="I60" s="1219"/>
      <c r="J60" s="1219">
        <f>'Note 25 to end'!K184</f>
        <v>0</v>
      </c>
      <c r="M60" s="1074">
        <f>'Note 25 to end'!J184</f>
        <v>0</v>
      </c>
      <c r="N60" s="1074">
        <f>'Note 25 to end'!K184</f>
        <v>0</v>
      </c>
      <c r="S60" s="28"/>
      <c r="T60" s="28"/>
      <c r="V60" s="28"/>
      <c r="W60" s="28"/>
    </row>
    <row r="61" spans="1:24" ht="15" customHeight="1" x14ac:dyDescent="0.3">
      <c r="A61" s="3" t="s">
        <v>448</v>
      </c>
      <c r="D61" s="1220"/>
      <c r="E61" s="1221"/>
      <c r="F61" s="1221"/>
      <c r="G61" s="1221"/>
      <c r="H61" s="1221"/>
      <c r="I61" s="1221"/>
      <c r="J61" s="1221"/>
      <c r="M61" s="1074"/>
      <c r="N61" s="1074"/>
      <c r="S61" s="28"/>
      <c r="T61" s="28"/>
      <c r="V61" s="28"/>
      <c r="W61" s="28"/>
    </row>
    <row r="62" spans="1:24" ht="37.5" customHeight="1" x14ac:dyDescent="0.3">
      <c r="A62" s="3" t="s">
        <v>448</v>
      </c>
      <c r="D62" s="1222" t="s">
        <v>2994</v>
      </c>
      <c r="E62" s="1221"/>
      <c r="F62" s="1221"/>
      <c r="G62" s="1221">
        <f>Prime!D104</f>
        <v>0</v>
      </c>
      <c r="H62" s="1221"/>
      <c r="I62" s="1221"/>
      <c r="J62" s="1221">
        <f>Prime!D94</f>
        <v>0</v>
      </c>
      <c r="M62" s="1074">
        <f>Prime!F62</f>
        <v>0</v>
      </c>
      <c r="N62" s="1074">
        <f>Prime!I62</f>
        <v>0</v>
      </c>
      <c r="S62" s="28"/>
      <c r="T62" s="28"/>
      <c r="V62" s="28"/>
      <c r="W62" s="28"/>
    </row>
    <row r="63" spans="1:24" ht="15" customHeight="1" x14ac:dyDescent="0.3">
      <c r="A63" s="3" t="s">
        <v>448</v>
      </c>
      <c r="D63" s="1220"/>
      <c r="E63" s="1221"/>
      <c r="F63" s="1221"/>
      <c r="G63" s="1221"/>
      <c r="H63" s="1221"/>
      <c r="I63" s="1221"/>
      <c r="J63" s="1221"/>
      <c r="M63" s="1074"/>
      <c r="N63" s="1074"/>
      <c r="S63" s="28"/>
      <c r="T63" s="28"/>
      <c r="V63" s="28"/>
      <c r="W63" s="28"/>
    </row>
    <row r="64" spans="1:24" ht="26.25" customHeight="1" x14ac:dyDescent="0.3">
      <c r="A64" s="3" t="s">
        <v>448</v>
      </c>
      <c r="D64" s="1218" t="s">
        <v>1992</v>
      </c>
      <c r="E64" s="1219"/>
      <c r="F64" s="1219"/>
      <c r="G64" s="1219">
        <f>G60+G62</f>
        <v>0</v>
      </c>
      <c r="H64" s="1219"/>
      <c r="I64" s="1219"/>
      <c r="J64" s="1219">
        <f>J60+J62</f>
        <v>0</v>
      </c>
      <c r="M64" s="1074">
        <f>'Note 25 to end'!J198</f>
        <v>0</v>
      </c>
      <c r="N64" s="1074">
        <f>'Note 25 to end'!K198</f>
        <v>0</v>
      </c>
      <c r="S64" s="28"/>
      <c r="T64" s="28"/>
      <c r="V64" s="28"/>
      <c r="W64" s="28"/>
    </row>
    <row r="65" spans="1:19" x14ac:dyDescent="0.3">
      <c r="A65" s="23" t="s">
        <v>448</v>
      </c>
      <c r="D65" s="1500"/>
      <c r="E65" s="1500"/>
      <c r="F65" s="1500"/>
      <c r="G65" s="1500"/>
      <c r="H65" s="1500"/>
      <c r="I65" s="1500"/>
      <c r="J65" s="1500"/>
      <c r="M65" s="1082">
        <f>G64-M64</f>
        <v>0</v>
      </c>
      <c r="N65" s="26">
        <f>J64-N64</f>
        <v>0</v>
      </c>
      <c r="O65" s="28"/>
      <c r="P65" s="28"/>
      <c r="Q65" s="28"/>
      <c r="R65" s="28"/>
      <c r="S65" s="28"/>
    </row>
    <row r="66" spans="1:19" ht="34.5" customHeight="1" x14ac:dyDescent="0.3">
      <c r="A66" s="23" t="str">
        <f>IF('Non TB - Note 2'!F3=1,"Print","Do Not Print")</f>
        <v>Print</v>
      </c>
      <c r="D66" s="1506" t="str">
        <f>IF('Non TB - Note 2'!F3=1,'Non TB - Note 2'!H3,"")</f>
        <v>Council own narrative</v>
      </c>
      <c r="E66" s="1506"/>
      <c r="F66" s="1506"/>
      <c r="G66" s="1506"/>
      <c r="H66" s="1506"/>
      <c r="I66" s="1506"/>
      <c r="J66" s="1506"/>
      <c r="K66" s="1506"/>
      <c r="M66" s="28"/>
      <c r="N66" s="28"/>
      <c r="O66" s="28"/>
      <c r="P66" s="28"/>
      <c r="Q66" s="28"/>
      <c r="R66" s="28"/>
      <c r="S66" s="28"/>
    </row>
    <row r="67" spans="1:19" x14ac:dyDescent="0.3">
      <c r="A67" s="23" t="s">
        <v>448</v>
      </c>
      <c r="D67" s="1500"/>
      <c r="E67" s="1500"/>
      <c r="F67" s="1500"/>
      <c r="G67" s="1500"/>
      <c r="H67" s="1500"/>
      <c r="I67" s="1500"/>
      <c r="J67" s="1500"/>
      <c r="M67" s="28"/>
      <c r="N67" s="28"/>
      <c r="O67" s="28"/>
      <c r="P67" s="28"/>
      <c r="Q67" s="28"/>
      <c r="R67" s="28"/>
      <c r="S67" s="28"/>
    </row>
    <row r="178" spans="9:11" x14ac:dyDescent="0.3">
      <c r="I178" s="900"/>
      <c r="J178" s="900"/>
      <c r="K178" s="904"/>
    </row>
  </sheetData>
  <autoFilter ref="A3:X67" xr:uid="{00000000-0009-0000-0000-000017000000}"/>
  <mergeCells count="10">
    <mergeCell ref="M16:R16"/>
    <mergeCell ref="S16:X16"/>
    <mergeCell ref="D67:J67"/>
    <mergeCell ref="D11:K11"/>
    <mergeCell ref="D12:K12"/>
    <mergeCell ref="D13:K13"/>
    <mergeCell ref="E14:G14"/>
    <mergeCell ref="H14:J14"/>
    <mergeCell ref="D65:J65"/>
    <mergeCell ref="D66:K66"/>
  </mergeCells>
  <pageMargins left="0.23622047244094491" right="0.23622047244094491" top="0.74803149606299213" bottom="0.74803149606299213" header="0.31496062992125984" footer="0.31496062992125984"/>
  <pageSetup paperSize="9" scale="63" orientation="portrait" r:id="rId1"/>
  <headerFooter>
    <oddFooter>&amp;R&amp;P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3:S352"/>
  <sheetViews>
    <sheetView topLeftCell="A130" zoomScale="85" zoomScaleNormal="85" zoomScaleSheetLayoutView="90" workbookViewId="0">
      <selection activeCell="D60" sqref="D60:E60"/>
    </sheetView>
  </sheetViews>
  <sheetFormatPr defaultColWidth="9.109375" defaultRowHeight="13.8" x14ac:dyDescent="0.3"/>
  <cols>
    <col min="1" max="1" width="12.44140625" style="23" customWidth="1"/>
    <col min="2" max="2" width="5.6640625" style="467" customWidth="1"/>
    <col min="3" max="3" width="9.5546875" style="467" customWidth="1"/>
    <col min="4" max="4" width="34" style="401" customWidth="1"/>
    <col min="5" max="5" width="16.5546875" style="401" customWidth="1"/>
    <col min="6" max="6" width="16.33203125" style="401" customWidth="1"/>
    <col min="7" max="7" width="17.33203125" style="401" customWidth="1"/>
    <col min="8" max="8" width="19.5546875" style="401" customWidth="1"/>
    <col min="9" max="9" width="16.5546875" style="401" customWidth="1"/>
    <col min="10" max="10" width="14.109375" style="401" customWidth="1"/>
    <col min="11" max="11" width="13.6640625" style="23" customWidth="1"/>
    <col min="12" max="12" width="9.88671875" style="23" customWidth="1"/>
    <col min="13" max="13" width="13.6640625" style="23" customWidth="1"/>
    <col min="14" max="14" width="32.33203125" style="23" customWidth="1"/>
    <col min="15" max="15" width="15.44140625" style="23" customWidth="1"/>
    <col min="16" max="16" width="13.6640625" style="23" bestFit="1" customWidth="1"/>
    <col min="17" max="17" width="14.44140625" style="23" bestFit="1" customWidth="1"/>
    <col min="18" max="18" width="12.6640625" style="23" bestFit="1" customWidth="1"/>
    <col min="19" max="19" width="9.109375" style="23"/>
    <col min="20" max="20" width="12.33203125" style="23" bestFit="1" customWidth="1"/>
    <col min="21" max="21" width="11.33203125" style="23" bestFit="1" customWidth="1"/>
    <col min="22" max="16384" width="9.109375" style="23"/>
  </cols>
  <sheetData>
    <row r="3" spans="1:18" x14ac:dyDescent="0.3">
      <c r="B3" s="467">
        <v>1.43</v>
      </c>
      <c r="C3" s="467">
        <v>1.29</v>
      </c>
      <c r="D3" s="401">
        <v>28.29</v>
      </c>
      <c r="E3" s="401">
        <v>9.86</v>
      </c>
      <c r="F3" s="401">
        <v>9.14</v>
      </c>
      <c r="G3" s="401">
        <v>10.14</v>
      </c>
      <c r="H3" s="401">
        <v>9.86</v>
      </c>
      <c r="I3" s="401">
        <v>9.2899999999999991</v>
      </c>
      <c r="J3" s="401">
        <v>9.86</v>
      </c>
      <c r="M3" s="23" t="s">
        <v>854</v>
      </c>
    </row>
    <row r="4" spans="1:18" x14ac:dyDescent="0.3">
      <c r="A4" s="23" t="s">
        <v>448</v>
      </c>
      <c r="B4" s="467" t="str">
        <f>'Standing Data'!$D$4</f>
        <v>NAME OF COUNCIL</v>
      </c>
    </row>
    <row r="5" spans="1:18" x14ac:dyDescent="0.3">
      <c r="A5" s="3" t="s">
        <v>448</v>
      </c>
      <c r="B5" s="467" t="str">
        <f>'Standing Data'!$D$28</f>
        <v>Notes to the Financial Statements</v>
      </c>
    </row>
    <row r="6" spans="1:18" x14ac:dyDescent="0.3">
      <c r="A6" s="3" t="s">
        <v>448</v>
      </c>
      <c r="B6" s="467" t="str">
        <f>'Standing Data'!$D$32</f>
        <v>FOR THE YEAR ENDED 31 March 2026</v>
      </c>
    </row>
    <row r="7" spans="1:18" x14ac:dyDescent="0.3">
      <c r="A7" s="3" t="s">
        <v>448</v>
      </c>
    </row>
    <row r="8" spans="1:18" x14ac:dyDescent="0.3">
      <c r="A8" s="3" t="s">
        <v>448</v>
      </c>
    </row>
    <row r="9" spans="1:18" x14ac:dyDescent="0.3">
      <c r="A9" s="3" t="s">
        <v>448</v>
      </c>
      <c r="B9" s="467">
        <f>+Checklist!E50</f>
        <v>2</v>
      </c>
      <c r="D9" s="405"/>
    </row>
    <row r="10" spans="1:18" ht="22.5" customHeight="1" x14ac:dyDescent="0.3">
      <c r="A10" s="23" t="s">
        <v>448</v>
      </c>
      <c r="C10" s="467" t="str">
        <f>+Checklist!E52</f>
        <v>b</v>
      </c>
      <c r="D10" s="474" t="s">
        <v>1993</v>
      </c>
      <c r="E10" s="480"/>
      <c r="F10" s="480"/>
      <c r="G10" s="480"/>
      <c r="H10" s="480"/>
      <c r="I10" s="481"/>
      <c r="J10" s="481"/>
      <c r="K10" s="481"/>
      <c r="L10" s="481"/>
      <c r="M10" s="28"/>
      <c r="N10" s="28"/>
      <c r="O10" s="28"/>
      <c r="P10" s="28"/>
      <c r="Q10" s="28"/>
    </row>
    <row r="11" spans="1:18" x14ac:dyDescent="0.3">
      <c r="A11" s="23" t="s">
        <v>448</v>
      </c>
      <c r="K11" s="401"/>
      <c r="M11" s="28"/>
      <c r="N11" s="28"/>
      <c r="O11" s="28"/>
      <c r="P11" s="28"/>
      <c r="Q11" s="28"/>
    </row>
    <row r="12" spans="1:18" ht="43.5" customHeight="1" x14ac:dyDescent="0.3">
      <c r="A12" s="23" t="str">
        <f>IF('Non TB - Note 2'!F4=1,"Print","Do Not Print")</f>
        <v>Print</v>
      </c>
      <c r="D12" s="1741" t="str">
        <f>IF('Non TB - Note 2'!F4=1,'Non TB - Note 2'!H4,"")</f>
        <v>This note provides a reconciliation of the main adjustments to Net Expenditure Chargeable to the General Fund to arrive at the amounts in the Comprehensive Income and  Expenditure Statement. The relevant transfers between reserves are explained in the Movement in Reserves Statement</v>
      </c>
      <c r="E12" s="1741"/>
      <c r="F12" s="1741"/>
      <c r="G12" s="1741"/>
      <c r="H12" s="1741"/>
      <c r="I12" s="1741"/>
      <c r="J12" s="1741"/>
      <c r="K12" s="1741"/>
      <c r="L12" s="1741"/>
      <c r="M12" s="28"/>
      <c r="N12" s="28"/>
      <c r="O12" s="28"/>
      <c r="P12" s="28"/>
      <c r="Q12" s="28"/>
    </row>
    <row r="13" spans="1:18" x14ac:dyDescent="0.3">
      <c r="A13" s="23" t="str">
        <f>IF(A12="Print","Print", "Do Not Print")</f>
        <v>Print</v>
      </c>
      <c r="K13" s="401"/>
      <c r="M13" s="28"/>
      <c r="N13" s="28"/>
      <c r="O13" s="28"/>
      <c r="P13" s="28"/>
      <c r="Q13" s="28"/>
    </row>
    <row r="14" spans="1:18" ht="29.25" customHeight="1" x14ac:dyDescent="0.3">
      <c r="A14" s="3" t="s">
        <v>448</v>
      </c>
      <c r="D14" s="1731" t="s">
        <v>3172</v>
      </c>
      <c r="E14" s="1732"/>
      <c r="F14" s="1732"/>
      <c r="G14" s="1732"/>
      <c r="H14" s="1732"/>
      <c r="I14" s="1732"/>
      <c r="J14" s="1732"/>
      <c r="K14" s="401"/>
      <c r="M14" s="28"/>
      <c r="N14" s="28"/>
      <c r="O14" s="28"/>
      <c r="P14" s="28"/>
      <c r="Q14" s="28"/>
    </row>
    <row r="15" spans="1:18" ht="54" customHeight="1" x14ac:dyDescent="0.3">
      <c r="A15" s="23" t="s">
        <v>448</v>
      </c>
      <c r="D15" s="1733" t="s">
        <v>1995</v>
      </c>
      <c r="E15" s="1733"/>
      <c r="F15" s="955" t="s">
        <v>1996</v>
      </c>
      <c r="G15" s="955" t="s">
        <v>1997</v>
      </c>
      <c r="H15" s="955" t="s">
        <v>1969</v>
      </c>
      <c r="I15" s="955" t="s">
        <v>2354</v>
      </c>
      <c r="J15" s="1076" t="s">
        <v>2576</v>
      </c>
      <c r="K15" s="3"/>
      <c r="M15" s="1059" t="s">
        <v>2187</v>
      </c>
      <c r="N15" s="1058" t="s">
        <v>2188</v>
      </c>
      <c r="O15" s="28"/>
      <c r="P15" s="28"/>
      <c r="Q15" s="28"/>
    </row>
    <row r="16" spans="1:18" x14ac:dyDescent="0.3">
      <c r="A16" s="23" t="s">
        <v>448</v>
      </c>
      <c r="D16" s="1734"/>
      <c r="E16" s="1735"/>
      <c r="F16" s="956" t="s">
        <v>450</v>
      </c>
      <c r="G16" s="956" t="s">
        <v>450</v>
      </c>
      <c r="H16" s="956" t="s">
        <v>450</v>
      </c>
      <c r="I16" s="956" t="s">
        <v>450</v>
      </c>
      <c r="J16" s="1077" t="s">
        <v>450</v>
      </c>
      <c r="K16" s="3"/>
      <c r="M16" s="1058"/>
      <c r="N16" s="1057"/>
      <c r="O16" s="1058" t="s">
        <v>2191</v>
      </c>
      <c r="P16" s="1058" t="s">
        <v>2192</v>
      </c>
      <c r="Q16" s="1058" t="s">
        <v>1608</v>
      </c>
      <c r="R16" s="1060"/>
    </row>
    <row r="17" spans="1:19" ht="24.75" customHeight="1" x14ac:dyDescent="0.3">
      <c r="A17" s="23" t="str">
        <f>IF(AND(F17=0,G17=0,H17=0,I17=0),"Do Not Print","Print")</f>
        <v>Do Not Print</v>
      </c>
      <c r="D17" s="1730" t="str">
        <f>'Input -CIES'!E7</f>
        <v>CIES Line 1</v>
      </c>
      <c r="E17" s="1730"/>
      <c r="F17" s="962">
        <f>'Input - EFA'!C473</f>
        <v>0</v>
      </c>
      <c r="G17" s="962">
        <f>'Input - EFA'!D473</f>
        <v>0</v>
      </c>
      <c r="H17" s="962">
        <f>'Input - EFA'!E473</f>
        <v>0</v>
      </c>
      <c r="I17" s="962">
        <f>'Input - EFA'!F473</f>
        <v>0</v>
      </c>
      <c r="J17" s="1089">
        <f t="shared" ref="J17:J50" si="0">SUM(F17:I17)</f>
        <v>0</v>
      </c>
      <c r="K17" s="3"/>
      <c r="M17" s="1058" t="b">
        <f>J17='Input - EFA'!G473</f>
        <v>1</v>
      </c>
      <c r="N17" s="1058" t="s">
        <v>2189</v>
      </c>
      <c r="O17" s="1057">
        <f>F56</f>
        <v>0</v>
      </c>
      <c r="P17" s="1057">
        <f>'Notes 3 to 10'!H96+'Notes 3 to 10'!H97+'Notes 3 to 10'!H99+'Notes 3 to 10'!H112+'Notes 3 to 10'!H103+'Notes 3 to 10'!H104</f>
        <v>0</v>
      </c>
      <c r="Q17" s="1057">
        <f>O17-P17</f>
        <v>0</v>
      </c>
      <c r="R17" s="1060" t="b">
        <f>O17=P17</f>
        <v>1</v>
      </c>
      <c r="S17" s="3" t="s">
        <v>2229</v>
      </c>
    </row>
    <row r="18" spans="1:19" ht="27.75" customHeight="1" x14ac:dyDescent="0.3">
      <c r="A18" s="23" t="str">
        <f t="shared" ref="A18:A23" si="1">IF(AND(F18=0,G18=0,H18=0,I18=0),"Do Not Print","Print")</f>
        <v>Do Not Print</v>
      </c>
      <c r="D18" s="1730" t="str">
        <f>'Input -CIES'!E8</f>
        <v>CIES Line 2</v>
      </c>
      <c r="E18" s="1730"/>
      <c r="F18" s="962">
        <f>'Input - EFA'!C474</f>
        <v>0</v>
      </c>
      <c r="G18" s="962">
        <f>'Input - EFA'!D474</f>
        <v>0</v>
      </c>
      <c r="H18" s="962">
        <f>'Input - EFA'!E474</f>
        <v>0</v>
      </c>
      <c r="I18" s="962">
        <f>'Input - EFA'!F474</f>
        <v>0</v>
      </c>
      <c r="J18" s="1089">
        <f t="shared" si="0"/>
        <v>0</v>
      </c>
      <c r="M18" s="1058" t="b">
        <f>J18='Input - EFA'!G474</f>
        <v>1</v>
      </c>
      <c r="N18" s="1058"/>
      <c r="O18" s="1057"/>
      <c r="P18" s="1057"/>
      <c r="Q18" s="1057"/>
      <c r="R18" s="1060"/>
    </row>
    <row r="19" spans="1:19" ht="24" customHeight="1" x14ac:dyDescent="0.3">
      <c r="A19" s="23" t="str">
        <f t="shared" si="1"/>
        <v>Do Not Print</v>
      </c>
      <c r="D19" s="1730" t="str">
        <f>'Input -CIES'!E9</f>
        <v>CIES Line 3</v>
      </c>
      <c r="E19" s="1730"/>
      <c r="F19" s="962">
        <f>'Input - EFA'!C475</f>
        <v>0</v>
      </c>
      <c r="G19" s="962">
        <f>'Input - EFA'!D475</f>
        <v>0</v>
      </c>
      <c r="H19" s="962">
        <f>'Input - EFA'!E475</f>
        <v>0</v>
      </c>
      <c r="I19" s="962">
        <f>'Input - EFA'!F475</f>
        <v>0</v>
      </c>
      <c r="J19" s="1089">
        <f t="shared" si="0"/>
        <v>0</v>
      </c>
      <c r="M19" s="1058" t="b">
        <f>J19='Input - EFA'!G475</f>
        <v>1</v>
      </c>
      <c r="N19" s="1058" t="s">
        <v>2190</v>
      </c>
      <c r="O19" s="1057">
        <f>G56</f>
        <v>0</v>
      </c>
      <c r="P19" s="1057">
        <f>'Notes 3 to 10'!H101+'Notes 3 to 10'!H102</f>
        <v>0</v>
      </c>
      <c r="Q19" s="1057">
        <f>O19-P19</f>
        <v>0</v>
      </c>
      <c r="R19" s="1060" t="b">
        <f>O19=P19</f>
        <v>1</v>
      </c>
    </row>
    <row r="20" spans="1:19" ht="24" customHeight="1" x14ac:dyDescent="0.3">
      <c r="A20" s="23" t="str">
        <f t="shared" si="1"/>
        <v>Do Not Print</v>
      </c>
      <c r="D20" s="1730" t="str">
        <f>'Input -CIES'!E10</f>
        <v>CIES Line 4</v>
      </c>
      <c r="E20" s="1730"/>
      <c r="F20" s="962">
        <f>'Input - EFA'!C476</f>
        <v>0</v>
      </c>
      <c r="G20" s="962">
        <f>'Input - EFA'!D476</f>
        <v>0</v>
      </c>
      <c r="H20" s="962">
        <f>'Input - EFA'!E476</f>
        <v>0</v>
      </c>
      <c r="I20" s="962">
        <f>'Input - EFA'!F476</f>
        <v>0</v>
      </c>
      <c r="J20" s="1089">
        <f t="shared" si="0"/>
        <v>0</v>
      </c>
      <c r="K20" s="3"/>
      <c r="M20" s="1058" t="b">
        <f>J20='Input - EFA'!G476</f>
        <v>1</v>
      </c>
      <c r="N20" s="1058"/>
      <c r="O20" s="1057"/>
      <c r="P20" s="1057"/>
      <c r="Q20" s="1057"/>
      <c r="R20" s="1060"/>
    </row>
    <row r="21" spans="1:19" ht="18.75" customHeight="1" x14ac:dyDescent="0.3">
      <c r="A21" s="23" t="str">
        <f t="shared" si="1"/>
        <v>Do Not Print</v>
      </c>
      <c r="D21" s="1730" t="str">
        <f>'Input -CIES'!E11</f>
        <v>CIES Line 5</v>
      </c>
      <c r="E21" s="1730"/>
      <c r="F21" s="962">
        <f>'Input - EFA'!C477</f>
        <v>0</v>
      </c>
      <c r="G21" s="962">
        <f>'Input - EFA'!D477</f>
        <v>0</v>
      </c>
      <c r="H21" s="962">
        <f>'Input - EFA'!E477</f>
        <v>0</v>
      </c>
      <c r="I21" s="962">
        <f>'Input - EFA'!F477</f>
        <v>0</v>
      </c>
      <c r="J21" s="1089">
        <f t="shared" si="0"/>
        <v>0</v>
      </c>
      <c r="K21" s="3"/>
      <c r="M21" s="1058" t="b">
        <f>J21='Input - EFA'!G477</f>
        <v>1</v>
      </c>
      <c r="N21" s="1058" t="s">
        <v>1969</v>
      </c>
      <c r="O21" s="1057">
        <f>H56</f>
        <v>0</v>
      </c>
      <c r="P21" s="1057">
        <f>'Notes 3 to 10'!H100+'Notes 3 to 10'!H105+'Notes 3 to 10'!H106+'Notes 3 to 10'!H107+'Notes 3 to 10'!H108+'Notes 3 to 10'!H109-'Notes 3 to 10'!H111</f>
        <v>0</v>
      </c>
      <c r="Q21" s="1057">
        <f>O21-P21</f>
        <v>0</v>
      </c>
      <c r="R21" s="1060" t="b">
        <f>O21=P21</f>
        <v>1</v>
      </c>
      <c r="S21" s="3" t="s">
        <v>2229</v>
      </c>
    </row>
    <row r="22" spans="1:19" ht="23.25" customHeight="1" x14ac:dyDescent="0.3">
      <c r="A22" s="23" t="str">
        <f t="shared" si="1"/>
        <v>Do Not Print</v>
      </c>
      <c r="D22" s="1730" t="str">
        <f>'Input -CIES'!E12</f>
        <v>CIES Line 6</v>
      </c>
      <c r="E22" s="1730"/>
      <c r="F22" s="962">
        <f>'Input - EFA'!C478</f>
        <v>0</v>
      </c>
      <c r="G22" s="962">
        <f>'Input - EFA'!D478</f>
        <v>0</v>
      </c>
      <c r="H22" s="962">
        <f>'Input - EFA'!E478</f>
        <v>0</v>
      </c>
      <c r="I22" s="962">
        <f>'Input - EFA'!F478</f>
        <v>0</v>
      </c>
      <c r="J22" s="1089">
        <f t="shared" si="0"/>
        <v>0</v>
      </c>
      <c r="M22" s="1058" t="b">
        <f>J22='Input - EFA'!G478</f>
        <v>1</v>
      </c>
      <c r="N22" s="28"/>
      <c r="O22" s="28"/>
      <c r="P22" s="28"/>
      <c r="Q22" s="28"/>
    </row>
    <row r="23" spans="1:19" ht="21.75" customHeight="1" x14ac:dyDescent="0.3">
      <c r="A23" s="23" t="str">
        <f t="shared" si="1"/>
        <v>Do Not Print</v>
      </c>
      <c r="D23" s="1730" t="str">
        <f>'Input -CIES'!E13</f>
        <v>CIES Line 7</v>
      </c>
      <c r="E23" s="1730"/>
      <c r="F23" s="962">
        <f>'Input - EFA'!C479</f>
        <v>0</v>
      </c>
      <c r="G23" s="962">
        <f>'Input - EFA'!D479</f>
        <v>0</v>
      </c>
      <c r="H23" s="962">
        <f>'Input - EFA'!E479</f>
        <v>0</v>
      </c>
      <c r="I23" s="962">
        <f>'Input - EFA'!F479</f>
        <v>0</v>
      </c>
      <c r="J23" s="1089">
        <f t="shared" si="0"/>
        <v>0</v>
      </c>
      <c r="M23" s="1058" t="b">
        <f>J23='Input - EFA'!G479</f>
        <v>1</v>
      </c>
      <c r="N23" s="15"/>
      <c r="O23" s="28"/>
      <c r="P23" s="28"/>
      <c r="Q23" s="28"/>
    </row>
    <row r="24" spans="1:19" ht="42.75" customHeight="1" x14ac:dyDescent="0.3">
      <c r="A24" s="23" t="str">
        <f>IF(AND(F24=0,G24=0,H24=0,I24=0),"Do Not Print","Print")</f>
        <v>Do Not Print</v>
      </c>
      <c r="D24" s="1730" t="str">
        <f>'Input -CIES'!E14</f>
        <v>CIES Line 8</v>
      </c>
      <c r="E24" s="1730"/>
      <c r="F24" s="962">
        <f>'Input - EFA'!C480</f>
        <v>0</v>
      </c>
      <c r="G24" s="962">
        <f>'Input - EFA'!D480</f>
        <v>0</v>
      </c>
      <c r="H24" s="962">
        <f>'Input - EFA'!E480</f>
        <v>0</v>
      </c>
      <c r="I24" s="962">
        <f>'Input - EFA'!F480</f>
        <v>0</v>
      </c>
      <c r="J24" s="1089">
        <f t="shared" si="0"/>
        <v>0</v>
      </c>
      <c r="M24" s="1058" t="b">
        <f>J24='Input - EFA'!G480</f>
        <v>1</v>
      </c>
      <c r="N24" s="28"/>
      <c r="O24" s="28"/>
      <c r="P24" s="28"/>
      <c r="Q24" s="28"/>
    </row>
    <row r="25" spans="1:19" x14ac:dyDescent="0.3">
      <c r="A25" s="23" t="str">
        <f t="shared" ref="A25:A34" si="2">IF(AND(F25=0,G25=0,H25=0,I25=0),"Do Not Print","Print")</f>
        <v>Do Not Print</v>
      </c>
      <c r="D25" s="1730" t="str">
        <f>'Input -CIES'!E15</f>
        <v>CIES Line 9</v>
      </c>
      <c r="E25" s="1730"/>
      <c r="F25" s="962">
        <f>'Input - EFA'!C481</f>
        <v>0</v>
      </c>
      <c r="G25" s="962">
        <f>'Input - EFA'!D481</f>
        <v>0</v>
      </c>
      <c r="H25" s="962">
        <f>'Input - EFA'!E481</f>
        <v>0</v>
      </c>
      <c r="I25" s="962">
        <f>'Input - EFA'!F481</f>
        <v>0</v>
      </c>
      <c r="J25" s="1089">
        <f t="shared" si="0"/>
        <v>0</v>
      </c>
      <c r="M25" s="1058" t="b">
        <f>J25='Input - EFA'!G481</f>
        <v>1</v>
      </c>
      <c r="N25" s="28"/>
      <c r="O25" s="28"/>
      <c r="P25" s="28"/>
      <c r="Q25" s="28"/>
    </row>
    <row r="26" spans="1:19" ht="27" customHeight="1" x14ac:dyDescent="0.3">
      <c r="A26" s="23" t="str">
        <f t="shared" si="2"/>
        <v>Do Not Print</v>
      </c>
      <c r="D26" s="1730" t="str">
        <f>'Input -CIES'!E16</f>
        <v>CIES Line 10</v>
      </c>
      <c r="E26" s="1730"/>
      <c r="F26" s="962">
        <f>'Input - EFA'!C482</f>
        <v>0</v>
      </c>
      <c r="G26" s="962">
        <f>'Input - EFA'!D482</f>
        <v>0</v>
      </c>
      <c r="H26" s="962">
        <f>'Input - EFA'!E482</f>
        <v>0</v>
      </c>
      <c r="I26" s="962">
        <f>'Input - EFA'!F482</f>
        <v>0</v>
      </c>
      <c r="J26" s="1089">
        <f t="shared" si="0"/>
        <v>0</v>
      </c>
      <c r="K26" s="3"/>
      <c r="M26" s="1058" t="b">
        <f>J26='Input - EFA'!G482</f>
        <v>1</v>
      </c>
      <c r="N26" s="28"/>
      <c r="O26" s="28"/>
      <c r="P26" s="28"/>
      <c r="Q26" s="28"/>
    </row>
    <row r="27" spans="1:19" ht="17.25" customHeight="1" x14ac:dyDescent="0.3">
      <c r="A27" s="23" t="str">
        <f t="shared" si="2"/>
        <v>Do Not Print</v>
      </c>
      <c r="D27" s="1730" t="str">
        <f>'Input -CIES'!E17</f>
        <v>CIES Line 11</v>
      </c>
      <c r="E27" s="1730"/>
      <c r="F27" s="962">
        <f>'Input - EFA'!C483</f>
        <v>0</v>
      </c>
      <c r="G27" s="962">
        <f>'Input - EFA'!D483</f>
        <v>0</v>
      </c>
      <c r="H27" s="962">
        <f>'Input - EFA'!E483</f>
        <v>0</v>
      </c>
      <c r="I27" s="962">
        <f>'Input - EFA'!F483</f>
        <v>0</v>
      </c>
      <c r="J27" s="1089">
        <f t="shared" si="0"/>
        <v>0</v>
      </c>
      <c r="K27" s="3"/>
      <c r="M27" s="1058" t="b">
        <f>J27='Input - EFA'!G483</f>
        <v>1</v>
      </c>
      <c r="N27" s="28"/>
      <c r="O27" s="28"/>
      <c r="P27" s="28"/>
      <c r="Q27" s="28"/>
      <c r="R27" s="28"/>
    </row>
    <row r="28" spans="1:19" x14ac:dyDescent="0.3">
      <c r="A28" s="23" t="str">
        <f t="shared" si="2"/>
        <v>Do Not Print</v>
      </c>
      <c r="D28" s="1730" t="str">
        <f>'Input -CIES'!E18</f>
        <v>CIES Line 12</v>
      </c>
      <c r="E28" s="1730"/>
      <c r="F28" s="962">
        <f>'Input - EFA'!C484</f>
        <v>0</v>
      </c>
      <c r="G28" s="962">
        <f>'Input - EFA'!D484</f>
        <v>0</v>
      </c>
      <c r="H28" s="962">
        <f>'Input - EFA'!E484</f>
        <v>0</v>
      </c>
      <c r="I28" s="962">
        <f>'Input - EFA'!F484</f>
        <v>0</v>
      </c>
      <c r="J28" s="1089">
        <f t="shared" si="0"/>
        <v>0</v>
      </c>
      <c r="K28" s="3"/>
      <c r="M28" s="1058" t="b">
        <f>J28='Input - EFA'!G484</f>
        <v>1</v>
      </c>
      <c r="N28" s="28"/>
      <c r="O28" s="28"/>
      <c r="P28" s="28"/>
      <c r="Q28" s="28"/>
    </row>
    <row r="29" spans="1:19" ht="18.75" customHeight="1" x14ac:dyDescent="0.3">
      <c r="A29" s="23" t="str">
        <f t="shared" si="2"/>
        <v>Do Not Print</v>
      </c>
      <c r="D29" s="1730" t="str">
        <f>'Input -CIES'!E19</f>
        <v>CIES Line 13</v>
      </c>
      <c r="E29" s="1730"/>
      <c r="F29" s="962">
        <f>'Input - EFA'!C485</f>
        <v>0</v>
      </c>
      <c r="G29" s="962">
        <f>'Input - EFA'!D485</f>
        <v>0</v>
      </c>
      <c r="H29" s="962">
        <f>'Input - EFA'!E485</f>
        <v>0</v>
      </c>
      <c r="I29" s="962">
        <f>'Input - EFA'!F485</f>
        <v>0</v>
      </c>
      <c r="J29" s="1089">
        <f t="shared" si="0"/>
        <v>0</v>
      </c>
      <c r="K29" s="3"/>
      <c r="M29" s="1058" t="b">
        <f>J29='Input - EFA'!G485</f>
        <v>1</v>
      </c>
      <c r="N29" s="28"/>
      <c r="O29" s="28"/>
      <c r="P29" s="28"/>
      <c r="Q29" s="28"/>
      <c r="R29" s="28"/>
    </row>
    <row r="30" spans="1:19" x14ac:dyDescent="0.3">
      <c r="A30" s="23" t="str">
        <f t="shared" si="2"/>
        <v>Do Not Print</v>
      </c>
      <c r="D30" s="1730" t="str">
        <f>'Input -CIES'!E20</f>
        <v>CIES Line 14</v>
      </c>
      <c r="E30" s="1730"/>
      <c r="F30" s="962">
        <f>'Input - EFA'!C486</f>
        <v>0</v>
      </c>
      <c r="G30" s="962">
        <f>'Input - EFA'!D486</f>
        <v>0</v>
      </c>
      <c r="H30" s="962">
        <f>'Input - EFA'!E486</f>
        <v>0</v>
      </c>
      <c r="I30" s="962">
        <f>'Input - EFA'!F486</f>
        <v>0</v>
      </c>
      <c r="J30" s="1089">
        <f t="shared" si="0"/>
        <v>0</v>
      </c>
      <c r="K30" s="3"/>
      <c r="M30" s="1058" t="b">
        <f>J30='Input - EFA'!G486</f>
        <v>1</v>
      </c>
      <c r="N30" s="28"/>
      <c r="O30" s="28"/>
      <c r="P30" s="28"/>
      <c r="Q30" s="28"/>
    </row>
    <row r="31" spans="1:19" x14ac:dyDescent="0.3">
      <c r="A31" s="23" t="str">
        <f t="shared" si="2"/>
        <v>Do Not Print</v>
      </c>
      <c r="D31" s="1730" t="str">
        <f>'Input -CIES'!E22</f>
        <v>CIES Line 16</v>
      </c>
      <c r="E31" s="1730"/>
      <c r="F31" s="962">
        <f>'Input - EFA'!C488</f>
        <v>0</v>
      </c>
      <c r="G31" s="962">
        <f>'Input - EFA'!D488</f>
        <v>0</v>
      </c>
      <c r="H31" s="962">
        <f>'Input - EFA'!E488</f>
        <v>0</v>
      </c>
      <c r="I31" s="962">
        <f>'Input - EFA'!F488</f>
        <v>0</v>
      </c>
      <c r="J31" s="1089">
        <f t="shared" si="0"/>
        <v>0</v>
      </c>
      <c r="K31" s="3"/>
      <c r="M31" s="1058" t="b">
        <f>J31='Input - EFA'!G488</f>
        <v>1</v>
      </c>
      <c r="N31" s="28"/>
      <c r="O31" s="28"/>
      <c r="P31" s="28"/>
      <c r="Q31" s="28"/>
    </row>
    <row r="32" spans="1:19" x14ac:dyDescent="0.3">
      <c r="A32" s="23" t="str">
        <f t="shared" si="2"/>
        <v>Do Not Print</v>
      </c>
      <c r="D32" s="1730" t="str">
        <f>'Input -CIES'!E23</f>
        <v>CIES Line 17</v>
      </c>
      <c r="E32" s="1730"/>
      <c r="F32" s="962">
        <f>'Input - EFA'!C489</f>
        <v>0</v>
      </c>
      <c r="G32" s="962">
        <f>'Input - EFA'!D489</f>
        <v>0</v>
      </c>
      <c r="H32" s="962">
        <f>'Input - EFA'!E489</f>
        <v>0</v>
      </c>
      <c r="I32" s="962">
        <f>'Input - EFA'!F489</f>
        <v>0</v>
      </c>
      <c r="J32" s="1089">
        <f t="shared" si="0"/>
        <v>0</v>
      </c>
      <c r="M32" s="1058" t="b">
        <f>J32='Input - EFA'!G489</f>
        <v>1</v>
      </c>
      <c r="N32" s="28"/>
      <c r="O32" s="28"/>
      <c r="P32" s="28"/>
      <c r="Q32" s="28"/>
    </row>
    <row r="33" spans="1:17" ht="40.5" customHeight="1" x14ac:dyDescent="0.3">
      <c r="A33" s="23" t="str">
        <f t="shared" si="2"/>
        <v>Do Not Print</v>
      </c>
      <c r="D33" s="1730" t="str">
        <f>'Input -CIES'!E24</f>
        <v>CIES Line 18</v>
      </c>
      <c r="E33" s="1730"/>
      <c r="F33" s="962">
        <f>'Input - EFA'!C490</f>
        <v>0</v>
      </c>
      <c r="G33" s="962">
        <f>'Input - EFA'!D490</f>
        <v>0</v>
      </c>
      <c r="H33" s="962">
        <f>'Input - EFA'!E490</f>
        <v>0</v>
      </c>
      <c r="I33" s="962">
        <f>'Input - EFA'!F490</f>
        <v>0</v>
      </c>
      <c r="J33" s="1089">
        <f t="shared" si="0"/>
        <v>0</v>
      </c>
      <c r="M33" s="1058" t="b">
        <f>J33='Input - EFA'!G490</f>
        <v>1</v>
      </c>
      <c r="N33" s="28"/>
      <c r="O33" s="28"/>
      <c r="P33" s="28"/>
      <c r="Q33" s="28"/>
    </row>
    <row r="34" spans="1:17" x14ac:dyDescent="0.3">
      <c r="A34" s="23" t="str">
        <f t="shared" si="2"/>
        <v>Do Not Print</v>
      </c>
      <c r="D34" s="1730" t="str">
        <f>'Input -CIES'!E25</f>
        <v>CIES Line 19</v>
      </c>
      <c r="E34" s="1730"/>
      <c r="F34" s="962">
        <f>'Input - EFA'!C491</f>
        <v>0</v>
      </c>
      <c r="G34" s="962">
        <f>'Input - EFA'!D491</f>
        <v>0</v>
      </c>
      <c r="H34" s="962">
        <f>'Input - EFA'!E491</f>
        <v>0</v>
      </c>
      <c r="I34" s="962">
        <f>'Input - EFA'!F491</f>
        <v>0</v>
      </c>
      <c r="J34" s="1089">
        <f t="shared" si="0"/>
        <v>0</v>
      </c>
      <c r="M34" s="1058" t="b">
        <f>J34='Input - EFA'!G491</f>
        <v>1</v>
      </c>
      <c r="N34" s="28"/>
      <c r="O34" s="28"/>
      <c r="P34" s="28"/>
      <c r="Q34" s="28"/>
    </row>
    <row r="35" spans="1:17" x14ac:dyDescent="0.3">
      <c r="A35" s="23" t="str">
        <f>IF(AND(F35=0,G35=0,H35=0,I35=0),"Do Not Print","Print")</f>
        <v>Do Not Print</v>
      </c>
      <c r="D35" s="1730" t="str">
        <f>'Input -CIES'!E26</f>
        <v>CIES Line 20</v>
      </c>
      <c r="E35" s="1730"/>
      <c r="F35" s="962">
        <f>'Input - EFA'!C492</f>
        <v>0</v>
      </c>
      <c r="G35" s="962">
        <f>'Input - EFA'!D492</f>
        <v>0</v>
      </c>
      <c r="H35" s="962">
        <f>'Input - EFA'!E492</f>
        <v>0</v>
      </c>
      <c r="I35" s="962">
        <f>'Input - EFA'!F492</f>
        <v>0</v>
      </c>
      <c r="J35" s="1089">
        <f t="shared" si="0"/>
        <v>0</v>
      </c>
      <c r="M35" s="1058" t="b">
        <f>J35='Input - EFA'!G492</f>
        <v>1</v>
      </c>
      <c r="N35" s="28"/>
      <c r="O35" s="28"/>
      <c r="P35" s="28"/>
      <c r="Q35" s="28"/>
    </row>
    <row r="36" spans="1:17" x14ac:dyDescent="0.3">
      <c r="A36" s="23" t="str">
        <f t="shared" ref="A36:A50" si="3">IF(AND(F36=0,G36=0,H36=0,I36=0),"Do Not Print","Print")</f>
        <v>Do Not Print</v>
      </c>
      <c r="D36" s="1730" t="str">
        <f>'Input -CIES'!E27</f>
        <v>CIES Line 21</v>
      </c>
      <c r="E36" s="1730"/>
      <c r="F36" s="962">
        <f>'Input - EFA'!C493</f>
        <v>0</v>
      </c>
      <c r="G36" s="962">
        <f>'Input - EFA'!D493</f>
        <v>0</v>
      </c>
      <c r="H36" s="962">
        <f>'Input - EFA'!E493</f>
        <v>0</v>
      </c>
      <c r="I36" s="962">
        <f>'Input - EFA'!F493</f>
        <v>0</v>
      </c>
      <c r="J36" s="1089">
        <f t="shared" si="0"/>
        <v>0</v>
      </c>
      <c r="M36" s="1058" t="b">
        <f>J36='Input - EFA'!G493</f>
        <v>1</v>
      </c>
      <c r="N36" s="28"/>
      <c r="O36" s="28"/>
      <c r="P36" s="28"/>
      <c r="Q36" s="28"/>
    </row>
    <row r="37" spans="1:17" x14ac:dyDescent="0.3">
      <c r="A37" s="23" t="str">
        <f t="shared" si="3"/>
        <v>Do Not Print</v>
      </c>
      <c r="D37" s="1730" t="str">
        <f>'Input -CIES'!E28</f>
        <v>CIES Line 22</v>
      </c>
      <c r="E37" s="1730"/>
      <c r="F37" s="962">
        <f>'Input - EFA'!C494</f>
        <v>0</v>
      </c>
      <c r="G37" s="962">
        <f>'Input - EFA'!D494</f>
        <v>0</v>
      </c>
      <c r="H37" s="962">
        <f>'Input - EFA'!E494</f>
        <v>0</v>
      </c>
      <c r="I37" s="962">
        <f>'Input - EFA'!F494</f>
        <v>0</v>
      </c>
      <c r="J37" s="1089">
        <f t="shared" si="0"/>
        <v>0</v>
      </c>
      <c r="M37" s="1058" t="b">
        <f>J37='Input - EFA'!G494</f>
        <v>1</v>
      </c>
      <c r="N37" s="28"/>
      <c r="O37" s="28"/>
      <c r="P37" s="28"/>
      <c r="Q37" s="28"/>
    </row>
    <row r="38" spans="1:17" x14ac:dyDescent="0.3">
      <c r="A38" s="23" t="str">
        <f t="shared" si="3"/>
        <v>Do Not Print</v>
      </c>
      <c r="D38" s="1730" t="str">
        <f>'Input -CIES'!E29</f>
        <v>CIES Line 23</v>
      </c>
      <c r="E38" s="1730"/>
      <c r="F38" s="962">
        <f>'Input - EFA'!C495</f>
        <v>0</v>
      </c>
      <c r="G38" s="962">
        <f>'Input - EFA'!D495</f>
        <v>0</v>
      </c>
      <c r="H38" s="962">
        <f>'Input - EFA'!E495</f>
        <v>0</v>
      </c>
      <c r="I38" s="962">
        <f>'Input - EFA'!F495</f>
        <v>0</v>
      </c>
      <c r="J38" s="1089">
        <f t="shared" si="0"/>
        <v>0</v>
      </c>
      <c r="M38" s="1058" t="b">
        <f>J38='Input - EFA'!G495</f>
        <v>1</v>
      </c>
      <c r="N38" s="28"/>
      <c r="O38" s="28"/>
      <c r="P38" s="28"/>
      <c r="Q38" s="28"/>
    </row>
    <row r="39" spans="1:17" x14ac:dyDescent="0.3">
      <c r="A39" s="23" t="str">
        <f t="shared" si="3"/>
        <v>Do Not Print</v>
      </c>
      <c r="D39" s="1730" t="str">
        <f>'Input -CIES'!E30</f>
        <v>CIES Line 24</v>
      </c>
      <c r="E39" s="1730"/>
      <c r="F39" s="962">
        <f>'Input - EFA'!C496</f>
        <v>0</v>
      </c>
      <c r="G39" s="962">
        <f>'Input - EFA'!D496</f>
        <v>0</v>
      </c>
      <c r="H39" s="962">
        <f>'Input - EFA'!E496</f>
        <v>0</v>
      </c>
      <c r="I39" s="962">
        <f>'Input - EFA'!F496</f>
        <v>0</v>
      </c>
      <c r="J39" s="1089">
        <f t="shared" si="0"/>
        <v>0</v>
      </c>
      <c r="M39" s="1058" t="b">
        <f>J39='Input - EFA'!G496</f>
        <v>1</v>
      </c>
      <c r="N39" s="28"/>
      <c r="O39" s="28"/>
      <c r="P39" s="28"/>
      <c r="Q39" s="28"/>
    </row>
    <row r="40" spans="1:17" x14ac:dyDescent="0.3">
      <c r="A40" s="23" t="str">
        <f t="shared" si="3"/>
        <v>Do Not Print</v>
      </c>
      <c r="D40" s="1730" t="str">
        <f>'Input -CIES'!E31</f>
        <v>CIES Line 25</v>
      </c>
      <c r="E40" s="1730"/>
      <c r="F40" s="962">
        <f>'Input - EFA'!C497</f>
        <v>0</v>
      </c>
      <c r="G40" s="962">
        <f>'Input - EFA'!D497</f>
        <v>0</v>
      </c>
      <c r="H40" s="962">
        <f>'Input - EFA'!E497</f>
        <v>0</v>
      </c>
      <c r="I40" s="962">
        <f>'Input - EFA'!F497</f>
        <v>0</v>
      </c>
      <c r="J40" s="1089">
        <f t="shared" si="0"/>
        <v>0</v>
      </c>
      <c r="M40" s="1058" t="b">
        <f>J40='Input - EFA'!G497</f>
        <v>1</v>
      </c>
      <c r="N40" s="28"/>
      <c r="O40" s="28"/>
      <c r="P40" s="28"/>
      <c r="Q40" s="28"/>
    </row>
    <row r="41" spans="1:17" x14ac:dyDescent="0.3">
      <c r="A41" s="23" t="str">
        <f t="shared" si="3"/>
        <v>Do Not Print</v>
      </c>
      <c r="D41" s="1730" t="str">
        <f>'Input -CIES'!E32</f>
        <v>CIES Line 26</v>
      </c>
      <c r="E41" s="1730"/>
      <c r="F41" s="962">
        <f>'Input - EFA'!C498</f>
        <v>0</v>
      </c>
      <c r="G41" s="962">
        <f>'Input - EFA'!D498</f>
        <v>0</v>
      </c>
      <c r="H41" s="962">
        <f>'Input - EFA'!E498</f>
        <v>0</v>
      </c>
      <c r="I41" s="962">
        <f>'Input - EFA'!F498</f>
        <v>0</v>
      </c>
      <c r="J41" s="1089">
        <f t="shared" si="0"/>
        <v>0</v>
      </c>
      <c r="M41" s="1058" t="b">
        <f>J41='Input - EFA'!G498</f>
        <v>1</v>
      </c>
      <c r="N41" s="28"/>
      <c r="O41" s="28"/>
      <c r="P41" s="28"/>
      <c r="Q41" s="28"/>
    </row>
    <row r="42" spans="1:17" x14ac:dyDescent="0.3">
      <c r="A42" s="23" t="str">
        <f>IF(AND(F42=0,G42=0,H42=0,I42=0),"Do Not Print","Print")</f>
        <v>Do Not Print</v>
      </c>
      <c r="D42" s="1730" t="str">
        <f>'Input -CIES'!E33</f>
        <v>CIES Line 27</v>
      </c>
      <c r="E42" s="1730"/>
      <c r="F42" s="962">
        <f>'Input - EFA'!C499</f>
        <v>0</v>
      </c>
      <c r="G42" s="962">
        <f>'Input - EFA'!D499</f>
        <v>0</v>
      </c>
      <c r="H42" s="962">
        <f>'Input - EFA'!E499</f>
        <v>0</v>
      </c>
      <c r="I42" s="962">
        <f>'Input - EFA'!F499</f>
        <v>0</v>
      </c>
      <c r="J42" s="1089">
        <f t="shared" si="0"/>
        <v>0</v>
      </c>
      <c r="M42" s="1058" t="b">
        <f>J42='Input - EFA'!G499</f>
        <v>1</v>
      </c>
      <c r="N42" s="28"/>
      <c r="O42" s="28"/>
      <c r="P42" s="28"/>
      <c r="Q42" s="28"/>
    </row>
    <row r="43" spans="1:17" x14ac:dyDescent="0.3">
      <c r="A43" s="23" t="str">
        <f t="shared" si="3"/>
        <v>Do Not Print</v>
      </c>
      <c r="D43" s="1730" t="str">
        <f>'Input -CIES'!E34</f>
        <v>CIES Line 28</v>
      </c>
      <c r="E43" s="1730"/>
      <c r="F43" s="962">
        <f>'Input - EFA'!C500</f>
        <v>0</v>
      </c>
      <c r="G43" s="962">
        <f>'Input - EFA'!D500</f>
        <v>0</v>
      </c>
      <c r="H43" s="962">
        <f>'Input - EFA'!E500</f>
        <v>0</v>
      </c>
      <c r="I43" s="962">
        <f>'Input - EFA'!F500</f>
        <v>0</v>
      </c>
      <c r="J43" s="1089">
        <f t="shared" si="0"/>
        <v>0</v>
      </c>
      <c r="M43" s="1058" t="b">
        <f>J43='Input - EFA'!G500</f>
        <v>1</v>
      </c>
      <c r="N43" s="28"/>
      <c r="O43" s="28"/>
      <c r="P43" s="28"/>
      <c r="Q43" s="28"/>
    </row>
    <row r="44" spans="1:17" x14ac:dyDescent="0.3">
      <c r="A44" s="23" t="str">
        <f t="shared" si="3"/>
        <v>Do Not Print</v>
      </c>
      <c r="D44" s="1730" t="str">
        <f>'Input -CIES'!E35</f>
        <v>CIES Line 29</v>
      </c>
      <c r="E44" s="1730"/>
      <c r="F44" s="962">
        <f>'Input - EFA'!C501</f>
        <v>0</v>
      </c>
      <c r="G44" s="962">
        <f>'Input - EFA'!D501</f>
        <v>0</v>
      </c>
      <c r="H44" s="962">
        <f>'Input - EFA'!E501</f>
        <v>0</v>
      </c>
      <c r="I44" s="962">
        <f>'Input - EFA'!F501</f>
        <v>0</v>
      </c>
      <c r="J44" s="1089">
        <f t="shared" si="0"/>
        <v>0</v>
      </c>
      <c r="M44" s="1058" t="b">
        <f>J44='Input - EFA'!G501</f>
        <v>1</v>
      </c>
      <c r="N44" s="28"/>
      <c r="O44" s="28"/>
      <c r="P44" s="28"/>
      <c r="Q44" s="28"/>
    </row>
    <row r="45" spans="1:17" x14ac:dyDescent="0.3">
      <c r="A45" s="23" t="str">
        <f t="shared" si="3"/>
        <v>Do Not Print</v>
      </c>
      <c r="D45" s="1730" t="str">
        <f>'Input -CIES'!E36</f>
        <v>CIES Line 30</v>
      </c>
      <c r="E45" s="1730"/>
      <c r="F45" s="962">
        <f>'Input - EFA'!C502</f>
        <v>0</v>
      </c>
      <c r="G45" s="962">
        <f>'Input - EFA'!D502</f>
        <v>0</v>
      </c>
      <c r="H45" s="962">
        <f>'Input - EFA'!E502</f>
        <v>0</v>
      </c>
      <c r="I45" s="962">
        <f>'Input - EFA'!F502</f>
        <v>0</v>
      </c>
      <c r="J45" s="1089">
        <f t="shared" si="0"/>
        <v>0</v>
      </c>
      <c r="M45" s="1058" t="b">
        <f>J45='Input - EFA'!G502</f>
        <v>1</v>
      </c>
      <c r="N45" s="28"/>
      <c r="O45" s="28"/>
      <c r="P45" s="28"/>
      <c r="Q45" s="28"/>
    </row>
    <row r="46" spans="1:17" x14ac:dyDescent="0.3">
      <c r="A46" s="23" t="str">
        <f t="shared" si="3"/>
        <v>Do Not Print</v>
      </c>
      <c r="D46" s="1730" t="str">
        <f>'Input -CIES'!E37</f>
        <v>CIES Line 31</v>
      </c>
      <c r="E46" s="1730"/>
      <c r="F46" s="962">
        <f>'Input - EFA'!C503</f>
        <v>0</v>
      </c>
      <c r="G46" s="962">
        <f>'Input - EFA'!D503</f>
        <v>0</v>
      </c>
      <c r="H46" s="962">
        <f>'Input - EFA'!E503</f>
        <v>0</v>
      </c>
      <c r="I46" s="962">
        <f>'Input - EFA'!F503</f>
        <v>0</v>
      </c>
      <c r="J46" s="1089">
        <f t="shared" si="0"/>
        <v>0</v>
      </c>
      <c r="M46" s="1058" t="b">
        <f>J46='Input - EFA'!G503</f>
        <v>1</v>
      </c>
      <c r="N46" s="28"/>
      <c r="O46" s="28"/>
      <c r="P46" s="28"/>
      <c r="Q46" s="28"/>
    </row>
    <row r="47" spans="1:17" x14ac:dyDescent="0.3">
      <c r="A47" s="23" t="str">
        <f t="shared" si="3"/>
        <v>Do Not Print</v>
      </c>
      <c r="D47" s="1730" t="str">
        <f>'Input -CIES'!E38</f>
        <v>CIES Line 32</v>
      </c>
      <c r="E47" s="1730"/>
      <c r="F47" s="962">
        <f>'Input - EFA'!C504</f>
        <v>0</v>
      </c>
      <c r="G47" s="962">
        <f>'Input - EFA'!D504</f>
        <v>0</v>
      </c>
      <c r="H47" s="962">
        <f>'Input - EFA'!E504</f>
        <v>0</v>
      </c>
      <c r="I47" s="962">
        <f>'Input - EFA'!F504</f>
        <v>0</v>
      </c>
      <c r="J47" s="1089">
        <f t="shared" si="0"/>
        <v>0</v>
      </c>
      <c r="M47" s="1058" t="b">
        <f>J47='Input - EFA'!G504</f>
        <v>1</v>
      </c>
      <c r="N47" s="28"/>
      <c r="O47" s="28"/>
      <c r="P47" s="28"/>
      <c r="Q47" s="28"/>
    </row>
    <row r="48" spans="1:17" x14ac:dyDescent="0.3">
      <c r="A48" s="23" t="str">
        <f t="shared" si="3"/>
        <v>Do Not Print</v>
      </c>
      <c r="D48" s="1730" t="str">
        <f>'Input -CIES'!E39</f>
        <v>CIES Line 33</v>
      </c>
      <c r="E48" s="1730"/>
      <c r="F48" s="962">
        <f>'Input - EFA'!C505</f>
        <v>0</v>
      </c>
      <c r="G48" s="962">
        <f>'Input - EFA'!D505</f>
        <v>0</v>
      </c>
      <c r="H48" s="962">
        <f>'Input - EFA'!E505</f>
        <v>0</v>
      </c>
      <c r="I48" s="962">
        <f>'Input - EFA'!F505</f>
        <v>0</v>
      </c>
      <c r="J48" s="1089">
        <f t="shared" si="0"/>
        <v>0</v>
      </c>
      <c r="M48" s="1058" t="b">
        <f>J48='Input - EFA'!G505</f>
        <v>1</v>
      </c>
      <c r="N48" s="28"/>
      <c r="O48" s="28"/>
      <c r="P48" s="28"/>
      <c r="Q48" s="28"/>
    </row>
    <row r="49" spans="1:19" x14ac:dyDescent="0.3">
      <c r="A49" s="23" t="str">
        <f t="shared" si="3"/>
        <v>Do Not Print</v>
      </c>
      <c r="D49" s="1730" t="str">
        <f>'Input -CIES'!E40</f>
        <v>CIES Line 34</v>
      </c>
      <c r="E49" s="1730"/>
      <c r="F49" s="962">
        <f>'Input - EFA'!C506</f>
        <v>0</v>
      </c>
      <c r="G49" s="962">
        <f>'Input - EFA'!D506</f>
        <v>0</v>
      </c>
      <c r="H49" s="962">
        <f>'Input - EFA'!E506</f>
        <v>0</v>
      </c>
      <c r="I49" s="962">
        <f>'Input - EFA'!F506</f>
        <v>0</v>
      </c>
      <c r="J49" s="1089">
        <f t="shared" si="0"/>
        <v>0</v>
      </c>
      <c r="M49" s="1058" t="b">
        <f>J49='Input - EFA'!G506</f>
        <v>1</v>
      </c>
      <c r="N49" s="28"/>
      <c r="O49" s="28"/>
      <c r="P49" s="28"/>
      <c r="Q49" s="28"/>
    </row>
    <row r="50" spans="1:19" x14ac:dyDescent="0.3">
      <c r="A50" s="23" t="str">
        <f t="shared" si="3"/>
        <v>Do Not Print</v>
      </c>
      <c r="D50" s="1730" t="str">
        <f>'Input -CIES'!E41</f>
        <v>CIES Line 35</v>
      </c>
      <c r="E50" s="1730"/>
      <c r="F50" s="962">
        <f>'Input - EFA'!C507</f>
        <v>0</v>
      </c>
      <c r="G50" s="962">
        <f>'Input - EFA'!D507</f>
        <v>0</v>
      </c>
      <c r="H50" s="962">
        <f>'Input - EFA'!E507</f>
        <v>0</v>
      </c>
      <c r="I50" s="962">
        <f>'Input - EFA'!F507</f>
        <v>0</v>
      </c>
      <c r="J50" s="1089">
        <f t="shared" si="0"/>
        <v>0</v>
      </c>
      <c r="M50" s="1058" t="b">
        <f>J50='Input - EFA'!G507</f>
        <v>1</v>
      </c>
      <c r="N50" s="28"/>
      <c r="O50" s="28"/>
      <c r="P50" s="28"/>
      <c r="Q50" s="28"/>
    </row>
    <row r="51" spans="1:19" x14ac:dyDescent="0.3">
      <c r="A51" s="3" t="s">
        <v>448</v>
      </c>
      <c r="D51" s="1730"/>
      <c r="E51" s="1730"/>
      <c r="F51" s="957"/>
      <c r="G51" s="957"/>
      <c r="H51" s="957"/>
      <c r="I51" s="957"/>
      <c r="J51" s="1089"/>
      <c r="M51" s="28"/>
      <c r="N51" s="28"/>
      <c r="O51" s="28"/>
      <c r="P51" s="28"/>
      <c r="Q51" s="28"/>
    </row>
    <row r="52" spans="1:19" x14ac:dyDescent="0.3">
      <c r="A52" s="3" t="str">
        <f>IF(AND(F52=0,G52=0,H52=0,I52=0),"Do Not Print","Print")</f>
        <v>Do Not Print</v>
      </c>
      <c r="D52" s="1730" t="s">
        <v>864</v>
      </c>
      <c r="E52" s="1730"/>
      <c r="F52" s="957">
        <f>SUM(F17:F50)</f>
        <v>0</v>
      </c>
      <c r="G52" s="957">
        <f>SUM(G17:G50)</f>
        <v>0</v>
      </c>
      <c r="H52" s="957">
        <f>SUM(H17:H50)</f>
        <v>0</v>
      </c>
      <c r="I52" s="957">
        <f>SUM(I17:I50)</f>
        <v>0</v>
      </c>
      <c r="J52" s="957">
        <f>SUM(J17:J50)</f>
        <v>0</v>
      </c>
      <c r="M52" s="28"/>
      <c r="N52" s="28"/>
      <c r="O52" s="28"/>
      <c r="P52" s="28"/>
      <c r="Q52" s="28"/>
    </row>
    <row r="53" spans="1:19" x14ac:dyDescent="0.3">
      <c r="A53" s="3" t="s">
        <v>448</v>
      </c>
      <c r="D53" s="1730"/>
      <c r="E53" s="1730"/>
      <c r="F53" s="957"/>
      <c r="G53" s="957"/>
      <c r="H53" s="957"/>
      <c r="I53" s="957"/>
      <c r="J53" s="1089"/>
      <c r="M53" s="28"/>
      <c r="N53" s="28"/>
      <c r="O53" s="28"/>
      <c r="P53" s="28"/>
      <c r="Q53" s="28"/>
    </row>
    <row r="54" spans="1:19" ht="42.75" customHeight="1" x14ac:dyDescent="0.3">
      <c r="A54" s="23" t="str">
        <f>IF(AND(F54=0,G54=0,H54=0,I54=0),"Do Not Print","Print")</f>
        <v>Do Not Print</v>
      </c>
      <c r="D54" s="1736" t="s">
        <v>1998</v>
      </c>
      <c r="E54" s="1736"/>
      <c r="F54" s="1098">
        <f>-'Input - EFA'!L147</f>
        <v>0</v>
      </c>
      <c r="G54" s="1098">
        <f>-'Input - EFA'!L148</f>
        <v>0</v>
      </c>
      <c r="H54" s="1098">
        <f>-'Input - EFA'!L149</f>
        <v>0</v>
      </c>
      <c r="I54" s="1098">
        <f>'Input - EFA'!L150</f>
        <v>0</v>
      </c>
      <c r="J54" s="1099">
        <f>SUM(F54:I54)</f>
        <v>0</v>
      </c>
      <c r="M54" s="28"/>
      <c r="N54" s="28"/>
      <c r="O54" s="28"/>
      <c r="P54" s="28"/>
      <c r="Q54" s="28"/>
    </row>
    <row r="55" spans="1:19" ht="22.5" customHeight="1" x14ac:dyDescent="0.3">
      <c r="A55" s="3" t="s">
        <v>448</v>
      </c>
      <c r="D55" s="1730"/>
      <c r="E55" s="1730"/>
      <c r="F55" s="1098"/>
      <c r="G55" s="1098"/>
      <c r="H55" s="1098"/>
      <c r="I55" s="1098"/>
      <c r="J55" s="1099"/>
      <c r="M55" s="28"/>
      <c r="N55" s="28"/>
      <c r="O55" s="28"/>
      <c r="P55" s="28"/>
      <c r="Q55" s="28"/>
    </row>
    <row r="56" spans="1:19" ht="63.75" customHeight="1" x14ac:dyDescent="0.3">
      <c r="A56" s="23" t="str">
        <f>IF(AND(F56=0,G56=0,H56=0,I56=0),"Do Not Print","Print")</f>
        <v>Do Not Print</v>
      </c>
      <c r="D56" s="1736" t="s">
        <v>1999</v>
      </c>
      <c r="E56" s="1736"/>
      <c r="F56" s="1098">
        <f>F52+F54</f>
        <v>0</v>
      </c>
      <c r="G56" s="1098">
        <f t="shared" ref="G56:H56" si="4">G52+G54</f>
        <v>0</v>
      </c>
      <c r="H56" s="1098">
        <f t="shared" si="4"/>
        <v>0</v>
      </c>
      <c r="I56" s="1098">
        <f>I52+I54</f>
        <v>0</v>
      </c>
      <c r="J56" s="1099">
        <f>SUM(F56:I56)</f>
        <v>0</v>
      </c>
      <c r="M56" s="28"/>
      <c r="N56" s="28"/>
      <c r="O56" s="28"/>
      <c r="P56" s="28"/>
      <c r="Q56" s="28"/>
    </row>
    <row r="57" spans="1:19" x14ac:dyDescent="0.3">
      <c r="A57" s="3" t="s">
        <v>448</v>
      </c>
      <c r="D57" s="1500"/>
      <c r="E57" s="1500"/>
      <c r="F57" s="485"/>
      <c r="G57" s="485"/>
      <c r="H57" s="485"/>
      <c r="I57" s="485"/>
      <c r="J57" s="485"/>
      <c r="M57" s="28"/>
      <c r="N57" s="28"/>
      <c r="O57" s="28"/>
      <c r="P57" s="28"/>
      <c r="Q57" s="28"/>
    </row>
    <row r="58" spans="1:19" x14ac:dyDescent="0.3">
      <c r="A58" s="3" t="s">
        <v>448</v>
      </c>
      <c r="M58" s="28"/>
      <c r="N58" s="28"/>
      <c r="O58" s="28"/>
      <c r="P58" s="28"/>
      <c r="Q58" s="28"/>
    </row>
    <row r="59" spans="1:19" ht="43.5" customHeight="1" x14ac:dyDescent="0.3">
      <c r="A59" s="3" t="s">
        <v>448</v>
      </c>
      <c r="D59" s="1731" t="s">
        <v>3029</v>
      </c>
      <c r="E59" s="1732"/>
      <c r="F59" s="1732"/>
      <c r="G59" s="1732"/>
      <c r="H59" s="1732"/>
      <c r="I59" s="1732"/>
      <c r="J59" s="1732"/>
      <c r="M59" s="28"/>
      <c r="N59" s="28"/>
      <c r="O59" s="28"/>
      <c r="P59" s="28"/>
      <c r="Q59" s="28"/>
    </row>
    <row r="60" spans="1:19" ht="37.799999999999997" x14ac:dyDescent="0.3">
      <c r="A60" s="3" t="s">
        <v>448</v>
      </c>
      <c r="D60" s="1733" t="s">
        <v>1995</v>
      </c>
      <c r="E60" s="1733"/>
      <c r="F60" s="955" t="s">
        <v>1996</v>
      </c>
      <c r="G60" s="955" t="s">
        <v>1997</v>
      </c>
      <c r="H60" s="955" t="s">
        <v>1969</v>
      </c>
      <c r="I60" s="955" t="s">
        <v>2354</v>
      </c>
      <c r="J60" s="955" t="s">
        <v>2576</v>
      </c>
      <c r="M60" s="1059" t="s">
        <v>2187</v>
      </c>
      <c r="N60" s="1058" t="s">
        <v>2188</v>
      </c>
      <c r="O60" s="28"/>
      <c r="P60" s="28"/>
      <c r="Q60" s="28"/>
    </row>
    <row r="61" spans="1:19" x14ac:dyDescent="0.3">
      <c r="A61" s="3" t="s">
        <v>448</v>
      </c>
      <c r="D61" s="1734"/>
      <c r="E61" s="1735"/>
      <c r="F61" s="956" t="s">
        <v>450</v>
      </c>
      <c r="G61" s="956" t="s">
        <v>450</v>
      </c>
      <c r="H61" s="956" t="s">
        <v>450</v>
      </c>
      <c r="I61" s="956" t="s">
        <v>450</v>
      </c>
      <c r="J61" s="956" t="s">
        <v>450</v>
      </c>
      <c r="M61" s="28"/>
      <c r="N61" s="28"/>
      <c r="O61" s="1058" t="s">
        <v>2191</v>
      </c>
      <c r="P61" s="1058" t="s">
        <v>2192</v>
      </c>
      <c r="Q61" s="1058" t="s">
        <v>1608</v>
      </c>
    </row>
    <row r="62" spans="1:19" ht="21" customHeight="1" x14ac:dyDescent="0.3">
      <c r="A62" s="23" t="str">
        <f>IF(AND(F62=0,G62=0,H62=0,I62=0),"Do Not Print","Print")</f>
        <v>Do Not Print</v>
      </c>
      <c r="D62" s="1730" t="str">
        <f>'Input -CIES'!E7</f>
        <v>CIES Line 1</v>
      </c>
      <c r="E62" s="1730"/>
      <c r="F62" s="962">
        <f>'Input - EFA'!H473</f>
        <v>0</v>
      </c>
      <c r="G62" s="962">
        <f>'Input - EFA'!I473</f>
        <v>0</v>
      </c>
      <c r="H62" s="962">
        <f>'Input - EFA'!J473</f>
        <v>0</v>
      </c>
      <c r="I62" s="962">
        <f>'Input - EFA'!K473</f>
        <v>0</v>
      </c>
      <c r="J62" s="957">
        <f t="shared" ref="J62:J83" si="5">SUM(F62:I62)</f>
        <v>0</v>
      </c>
      <c r="M62" s="28" t="b">
        <f>'Input - EFA'!L473=J62</f>
        <v>1</v>
      </c>
      <c r="N62" s="1058" t="s">
        <v>2189</v>
      </c>
      <c r="O62" s="28">
        <f>F102</f>
        <v>0</v>
      </c>
      <c r="P62" s="28">
        <f>'Notes 3 to 10'!J96+'Notes 3 to 10'!J97+'Notes 3 to 10'!J99+'Notes 3 to 10'!J112+'Notes 3 to 10'!J103+'Notes 3 to 10'!J104</f>
        <v>0</v>
      </c>
      <c r="Q62" s="28">
        <f>O62-P62</f>
        <v>0</v>
      </c>
      <c r="R62" s="23" t="b">
        <f>O62=P62</f>
        <v>1</v>
      </c>
      <c r="S62" s="3" t="s">
        <v>2787</v>
      </c>
    </row>
    <row r="63" spans="1:19" ht="21.75" customHeight="1" x14ac:dyDescent="0.3">
      <c r="A63" s="23" t="str">
        <f t="shared" ref="A63:A80" si="6">IF(AND(F63=0,G63=0,H63=0,I63=0),"Do Not Print","Print")</f>
        <v>Do Not Print</v>
      </c>
      <c r="D63" s="1730" t="str">
        <f>'Input -CIES'!E8</f>
        <v>CIES Line 2</v>
      </c>
      <c r="E63" s="1730"/>
      <c r="F63" s="962">
        <f>'Input - EFA'!H474</f>
        <v>0</v>
      </c>
      <c r="G63" s="962">
        <f>'Input - EFA'!I474</f>
        <v>0</v>
      </c>
      <c r="H63" s="962">
        <f>'Input - EFA'!J474</f>
        <v>0</v>
      </c>
      <c r="I63" s="962">
        <f>'Input - EFA'!K474</f>
        <v>0</v>
      </c>
      <c r="J63" s="957">
        <f t="shared" si="5"/>
        <v>0</v>
      </c>
      <c r="M63" s="28" t="b">
        <f>'Input - EFA'!L474=J63</f>
        <v>1</v>
      </c>
      <c r="N63" s="1058"/>
      <c r="O63" s="28"/>
      <c r="P63" s="28"/>
      <c r="Q63" s="28"/>
    </row>
    <row r="64" spans="1:19" ht="21" customHeight="1" x14ac:dyDescent="0.3">
      <c r="A64" s="23" t="str">
        <f t="shared" si="6"/>
        <v>Do Not Print</v>
      </c>
      <c r="D64" s="1730" t="str">
        <f>'Input -CIES'!E9</f>
        <v>CIES Line 3</v>
      </c>
      <c r="E64" s="1730"/>
      <c r="F64" s="962">
        <f>'Input - EFA'!H475</f>
        <v>0</v>
      </c>
      <c r="G64" s="962">
        <f>'Input - EFA'!I475</f>
        <v>0</v>
      </c>
      <c r="H64" s="962">
        <f>'Input - EFA'!J475</f>
        <v>0</v>
      </c>
      <c r="I64" s="962">
        <f>'Input - EFA'!K475</f>
        <v>0</v>
      </c>
      <c r="J64" s="957">
        <f t="shared" si="5"/>
        <v>0</v>
      </c>
      <c r="M64" s="28" t="b">
        <f>'Input - EFA'!L475=J64</f>
        <v>1</v>
      </c>
      <c r="N64" s="1058" t="s">
        <v>2190</v>
      </c>
      <c r="O64" s="28">
        <f>G102</f>
        <v>0</v>
      </c>
      <c r="P64" s="28">
        <f>'Notes 3 to 10'!J101+'Notes 3 to 10'!J102</f>
        <v>0</v>
      </c>
      <c r="Q64" s="28">
        <f>O64-P64</f>
        <v>0</v>
      </c>
      <c r="R64" s="23" t="b">
        <f>O64=P64</f>
        <v>1</v>
      </c>
    </row>
    <row r="65" spans="1:18" ht="26.25" customHeight="1" x14ac:dyDescent="0.3">
      <c r="A65" s="23" t="str">
        <f t="shared" si="6"/>
        <v>Do Not Print</v>
      </c>
      <c r="D65" s="1730" t="str">
        <f>'Input -CIES'!E10</f>
        <v>CIES Line 4</v>
      </c>
      <c r="E65" s="1730"/>
      <c r="F65" s="962">
        <f>'Input - EFA'!H476</f>
        <v>0</v>
      </c>
      <c r="G65" s="962">
        <f>'Input - EFA'!I476</f>
        <v>0</v>
      </c>
      <c r="H65" s="962">
        <f>'Input - EFA'!J476</f>
        <v>0</v>
      </c>
      <c r="I65" s="962">
        <f>'Input - EFA'!K476</f>
        <v>0</v>
      </c>
      <c r="J65" s="957">
        <f t="shared" si="5"/>
        <v>0</v>
      </c>
      <c r="M65" s="28" t="b">
        <f>'Input - EFA'!L476=J65</f>
        <v>1</v>
      </c>
      <c r="N65" s="1058"/>
      <c r="O65" s="28"/>
      <c r="P65" s="28"/>
      <c r="Q65" s="28"/>
    </row>
    <row r="66" spans="1:18" ht="24" customHeight="1" x14ac:dyDescent="0.3">
      <c r="A66" s="23" t="str">
        <f t="shared" si="6"/>
        <v>Do Not Print</v>
      </c>
      <c r="D66" s="1730" t="str">
        <f>'Input -CIES'!E11</f>
        <v>CIES Line 5</v>
      </c>
      <c r="E66" s="1730"/>
      <c r="F66" s="962">
        <f>'Input - EFA'!H477</f>
        <v>0</v>
      </c>
      <c r="G66" s="962">
        <f>'Input - EFA'!I477</f>
        <v>0</v>
      </c>
      <c r="H66" s="962">
        <f>'Input - EFA'!J477</f>
        <v>0</v>
      </c>
      <c r="I66" s="962">
        <f>'Input - EFA'!K477</f>
        <v>0</v>
      </c>
      <c r="J66" s="957">
        <f t="shared" si="5"/>
        <v>0</v>
      </c>
      <c r="M66" s="28" t="b">
        <f>'Input - EFA'!L477=J66</f>
        <v>1</v>
      </c>
      <c r="N66" s="1058" t="s">
        <v>1969</v>
      </c>
      <c r="O66" s="28">
        <f>H102</f>
        <v>0</v>
      </c>
      <c r="P66" s="28">
        <f>'Notes 3 to 10'!J100+'Notes 3 to 10'!J105+'Notes 3 to 10'!J106+'Notes 3 to 10'!J107+'Notes 3 to 10'!J108+'Notes 3 to 10'!J109-'Notes 3 to 10'!J111</f>
        <v>0</v>
      </c>
      <c r="Q66" s="28">
        <f>O66-P66</f>
        <v>0</v>
      </c>
      <c r="R66" s="23" t="b">
        <f>O66=P66</f>
        <v>1</v>
      </c>
    </row>
    <row r="67" spans="1:18" ht="24" customHeight="1" x14ac:dyDescent="0.3">
      <c r="A67" s="23" t="str">
        <f t="shared" si="6"/>
        <v>Do Not Print</v>
      </c>
      <c r="D67" s="1730" t="str">
        <f>'Input -CIES'!E12</f>
        <v>CIES Line 6</v>
      </c>
      <c r="E67" s="1730"/>
      <c r="F67" s="962">
        <f>'Input - EFA'!H478</f>
        <v>0</v>
      </c>
      <c r="G67" s="962">
        <f>'Input - EFA'!I478</f>
        <v>0</v>
      </c>
      <c r="H67" s="962">
        <f>'Input - EFA'!J478</f>
        <v>0</v>
      </c>
      <c r="I67" s="962">
        <f>'Input - EFA'!K478</f>
        <v>0</v>
      </c>
      <c r="J67" s="957">
        <f t="shared" si="5"/>
        <v>0</v>
      </c>
      <c r="M67" s="28" t="b">
        <f>'Input - EFA'!L478=J67</f>
        <v>1</v>
      </c>
      <c r="N67" s="28"/>
      <c r="O67" s="28"/>
      <c r="P67" s="28"/>
      <c r="Q67" s="28"/>
    </row>
    <row r="68" spans="1:18" ht="25.5" customHeight="1" x14ac:dyDescent="0.3">
      <c r="A68" s="23" t="str">
        <f t="shared" si="6"/>
        <v>Do Not Print</v>
      </c>
      <c r="D68" s="1730" t="str">
        <f>'Input -CIES'!E13</f>
        <v>CIES Line 7</v>
      </c>
      <c r="E68" s="1730"/>
      <c r="F68" s="962">
        <f>'Input - EFA'!H479</f>
        <v>0</v>
      </c>
      <c r="G68" s="962">
        <f>'Input - EFA'!I479</f>
        <v>0</v>
      </c>
      <c r="H68" s="962">
        <f>'Input - EFA'!J479</f>
        <v>0</v>
      </c>
      <c r="I68" s="962">
        <f>'Input - EFA'!K479</f>
        <v>0</v>
      </c>
      <c r="J68" s="957">
        <f t="shared" si="5"/>
        <v>0</v>
      </c>
      <c r="M68" s="28" t="b">
        <f>'Input - EFA'!L479=J68</f>
        <v>1</v>
      </c>
      <c r="N68" s="28"/>
      <c r="O68" s="28"/>
      <c r="P68" s="28"/>
      <c r="Q68" s="28"/>
    </row>
    <row r="69" spans="1:18" x14ac:dyDescent="0.3">
      <c r="A69" s="23" t="str">
        <f t="shared" si="6"/>
        <v>Do Not Print</v>
      </c>
      <c r="D69" s="1730" t="str">
        <f>'Input -CIES'!E14</f>
        <v>CIES Line 8</v>
      </c>
      <c r="E69" s="1730"/>
      <c r="F69" s="962">
        <f>'Input - EFA'!H480</f>
        <v>0</v>
      </c>
      <c r="G69" s="962">
        <f>'Input - EFA'!I480</f>
        <v>0</v>
      </c>
      <c r="H69" s="962">
        <f>'Input - EFA'!J480</f>
        <v>0</v>
      </c>
      <c r="I69" s="962">
        <f>'Input - EFA'!K480</f>
        <v>0</v>
      </c>
      <c r="J69" s="957">
        <f t="shared" si="5"/>
        <v>0</v>
      </c>
      <c r="M69" s="28" t="b">
        <f>'Input - EFA'!L480=J69</f>
        <v>1</v>
      </c>
      <c r="N69" s="28"/>
      <c r="O69" s="28"/>
      <c r="P69" s="28"/>
      <c r="Q69" s="28"/>
    </row>
    <row r="70" spans="1:18" x14ac:dyDescent="0.3">
      <c r="A70" s="23" t="str">
        <f t="shared" si="6"/>
        <v>Do Not Print</v>
      </c>
      <c r="D70" s="1730" t="str">
        <f>'Input -CIES'!E15</f>
        <v>CIES Line 9</v>
      </c>
      <c r="E70" s="1730"/>
      <c r="F70" s="962">
        <f>'Input - EFA'!H481</f>
        <v>0</v>
      </c>
      <c r="G70" s="962">
        <f>'Input - EFA'!I481</f>
        <v>0</v>
      </c>
      <c r="H70" s="962">
        <f>'Input - EFA'!J481</f>
        <v>0</v>
      </c>
      <c r="I70" s="962">
        <f>'Input - EFA'!K481</f>
        <v>0</v>
      </c>
      <c r="J70" s="957">
        <f t="shared" si="5"/>
        <v>0</v>
      </c>
      <c r="M70" s="28" t="b">
        <f>'Input - EFA'!L481=J70</f>
        <v>1</v>
      </c>
      <c r="N70" s="28"/>
      <c r="O70" s="28"/>
      <c r="P70" s="28"/>
      <c r="Q70" s="28"/>
    </row>
    <row r="71" spans="1:18" x14ac:dyDescent="0.3">
      <c r="A71" s="23" t="str">
        <f t="shared" si="6"/>
        <v>Do Not Print</v>
      </c>
      <c r="D71" s="1730" t="str">
        <f>'Input -CIES'!E16</f>
        <v>CIES Line 10</v>
      </c>
      <c r="E71" s="1730"/>
      <c r="F71" s="962">
        <f>'Input - EFA'!H482</f>
        <v>0</v>
      </c>
      <c r="G71" s="962">
        <f>'Input - EFA'!I482</f>
        <v>0</v>
      </c>
      <c r="H71" s="962">
        <f>'Input - EFA'!J482</f>
        <v>0</v>
      </c>
      <c r="I71" s="962">
        <f>'Input - EFA'!K482</f>
        <v>0</v>
      </c>
      <c r="J71" s="957">
        <f t="shared" si="5"/>
        <v>0</v>
      </c>
      <c r="M71" s="28" t="b">
        <f>'Input - EFA'!L482=J71</f>
        <v>1</v>
      </c>
      <c r="N71" s="28"/>
      <c r="O71" s="28"/>
      <c r="P71" s="28"/>
      <c r="Q71" s="28"/>
    </row>
    <row r="72" spans="1:18" x14ac:dyDescent="0.3">
      <c r="A72" s="23" t="str">
        <f t="shared" si="6"/>
        <v>Do Not Print</v>
      </c>
      <c r="D72" s="1730" t="str">
        <f>'Input -CIES'!E17</f>
        <v>CIES Line 11</v>
      </c>
      <c r="E72" s="1730"/>
      <c r="F72" s="962">
        <f>'Input - EFA'!H483</f>
        <v>0</v>
      </c>
      <c r="G72" s="962">
        <f>'Input - EFA'!I483</f>
        <v>0</v>
      </c>
      <c r="H72" s="962">
        <f>'Input - EFA'!J483</f>
        <v>0</v>
      </c>
      <c r="I72" s="962">
        <f>'Input - EFA'!K483</f>
        <v>0</v>
      </c>
      <c r="J72" s="957">
        <f t="shared" si="5"/>
        <v>0</v>
      </c>
      <c r="M72" s="28" t="b">
        <f>'Input - EFA'!L483=J72</f>
        <v>1</v>
      </c>
      <c r="N72" s="28"/>
      <c r="O72" s="28"/>
      <c r="P72" s="28"/>
      <c r="Q72" s="28"/>
    </row>
    <row r="73" spans="1:18" x14ac:dyDescent="0.3">
      <c r="A73" s="23" t="str">
        <f t="shared" si="6"/>
        <v>Do Not Print</v>
      </c>
      <c r="D73" s="1730" t="str">
        <f>'Input -CIES'!E18</f>
        <v>CIES Line 12</v>
      </c>
      <c r="E73" s="1730"/>
      <c r="F73" s="962">
        <f>'Input - EFA'!H484</f>
        <v>0</v>
      </c>
      <c r="G73" s="962">
        <f>'Input - EFA'!I484</f>
        <v>0</v>
      </c>
      <c r="H73" s="962">
        <f>'Input - EFA'!J484</f>
        <v>0</v>
      </c>
      <c r="I73" s="962">
        <f>'Input - EFA'!K484</f>
        <v>0</v>
      </c>
      <c r="J73" s="957">
        <f t="shared" si="5"/>
        <v>0</v>
      </c>
      <c r="M73" s="28" t="b">
        <f>'Input - EFA'!L484=J73</f>
        <v>1</v>
      </c>
      <c r="N73" s="28"/>
      <c r="O73" s="28"/>
      <c r="P73" s="28"/>
      <c r="Q73" s="28"/>
    </row>
    <row r="74" spans="1:18" x14ac:dyDescent="0.3">
      <c r="A74" s="23" t="str">
        <f t="shared" si="6"/>
        <v>Do Not Print</v>
      </c>
      <c r="D74" s="1730" t="str">
        <f>'Input -CIES'!E19</f>
        <v>CIES Line 13</v>
      </c>
      <c r="E74" s="1730"/>
      <c r="F74" s="962">
        <f>'Input - EFA'!H485</f>
        <v>0</v>
      </c>
      <c r="G74" s="962">
        <f>'Input - EFA'!I485</f>
        <v>0</v>
      </c>
      <c r="H74" s="962">
        <f>'Input - EFA'!J485</f>
        <v>0</v>
      </c>
      <c r="I74" s="962">
        <f>'Input - EFA'!K485</f>
        <v>0</v>
      </c>
      <c r="J74" s="957">
        <f t="shared" si="5"/>
        <v>0</v>
      </c>
      <c r="M74" s="28" t="b">
        <f>'Input - EFA'!L485=J74</f>
        <v>1</v>
      </c>
      <c r="N74" s="28"/>
      <c r="O74" s="28"/>
      <c r="P74" s="28"/>
      <c r="Q74" s="28"/>
    </row>
    <row r="75" spans="1:18" x14ac:dyDescent="0.3">
      <c r="A75" s="23" t="str">
        <f t="shared" si="6"/>
        <v>Do Not Print</v>
      </c>
      <c r="D75" s="1730" t="str">
        <f>'Input -CIES'!E20</f>
        <v>CIES Line 14</v>
      </c>
      <c r="E75" s="1730"/>
      <c r="F75" s="962">
        <f>'Input - EFA'!H486</f>
        <v>0</v>
      </c>
      <c r="G75" s="962">
        <f>'Input - EFA'!I486</f>
        <v>0</v>
      </c>
      <c r="H75" s="962">
        <f>'Input - EFA'!J486</f>
        <v>0</v>
      </c>
      <c r="I75" s="962">
        <f>'Input - EFA'!K486</f>
        <v>0</v>
      </c>
      <c r="J75" s="957">
        <f t="shared" si="5"/>
        <v>0</v>
      </c>
      <c r="M75" s="28" t="b">
        <f>'Input - EFA'!L486=J75</f>
        <v>1</v>
      </c>
      <c r="N75" s="28"/>
      <c r="O75" s="28"/>
      <c r="P75" s="28"/>
      <c r="Q75" s="28"/>
    </row>
    <row r="76" spans="1:18" x14ac:dyDescent="0.3">
      <c r="A76" s="23" t="str">
        <f t="shared" si="6"/>
        <v>Do Not Print</v>
      </c>
      <c r="D76" s="1730" t="str">
        <f>'Input -CIES'!E21</f>
        <v>CIES Line 15</v>
      </c>
      <c r="E76" s="1730"/>
      <c r="F76" s="962">
        <f>'Input - EFA'!H487</f>
        <v>0</v>
      </c>
      <c r="G76" s="962">
        <f>'Input - EFA'!I487</f>
        <v>0</v>
      </c>
      <c r="H76" s="962">
        <f>'Input - EFA'!J487</f>
        <v>0</v>
      </c>
      <c r="I76" s="962">
        <f>'Input - EFA'!K487</f>
        <v>0</v>
      </c>
      <c r="J76" s="957">
        <f t="shared" si="5"/>
        <v>0</v>
      </c>
      <c r="M76" s="28" t="b">
        <f>'Input - EFA'!L487=J76</f>
        <v>1</v>
      </c>
      <c r="N76" s="28"/>
      <c r="O76" s="28"/>
      <c r="P76" s="28"/>
      <c r="Q76" s="28"/>
    </row>
    <row r="77" spans="1:18" x14ac:dyDescent="0.3">
      <c r="A77" s="23" t="str">
        <f t="shared" si="6"/>
        <v>Do Not Print</v>
      </c>
      <c r="D77" s="1730" t="str">
        <f>'Input -CIES'!E22</f>
        <v>CIES Line 16</v>
      </c>
      <c r="E77" s="1730"/>
      <c r="F77" s="962">
        <f>'Input - EFA'!H488</f>
        <v>0</v>
      </c>
      <c r="G77" s="962">
        <f>'Input - EFA'!I488</f>
        <v>0</v>
      </c>
      <c r="H77" s="962">
        <f>'Input - EFA'!J488</f>
        <v>0</v>
      </c>
      <c r="I77" s="962">
        <f>'Input - EFA'!K488</f>
        <v>0</v>
      </c>
      <c r="J77" s="957">
        <f t="shared" si="5"/>
        <v>0</v>
      </c>
      <c r="M77" s="28" t="b">
        <f>'Input - EFA'!L488=J77</f>
        <v>1</v>
      </c>
      <c r="N77" s="28"/>
      <c r="O77" s="28"/>
      <c r="P77" s="28"/>
      <c r="Q77" s="28"/>
    </row>
    <row r="78" spans="1:18" x14ac:dyDescent="0.3">
      <c r="A78" s="23" t="str">
        <f t="shared" si="6"/>
        <v>Do Not Print</v>
      </c>
      <c r="D78" s="1730" t="str">
        <f>'Input -CIES'!E23</f>
        <v>CIES Line 17</v>
      </c>
      <c r="E78" s="1730"/>
      <c r="F78" s="962">
        <f>'Input - EFA'!H489</f>
        <v>0</v>
      </c>
      <c r="G78" s="962">
        <f>'Input - EFA'!I489</f>
        <v>0</v>
      </c>
      <c r="H78" s="962">
        <f>'Input - EFA'!J489</f>
        <v>0</v>
      </c>
      <c r="I78" s="962">
        <f>'Input - EFA'!K489</f>
        <v>0</v>
      </c>
      <c r="J78" s="957">
        <f t="shared" si="5"/>
        <v>0</v>
      </c>
      <c r="M78" s="28" t="b">
        <f>'Input - EFA'!L489=J78</f>
        <v>1</v>
      </c>
      <c r="N78" s="28"/>
      <c r="O78" s="28"/>
      <c r="P78" s="28"/>
      <c r="Q78" s="28"/>
    </row>
    <row r="79" spans="1:18" x14ac:dyDescent="0.3">
      <c r="A79" s="23" t="str">
        <f t="shared" si="6"/>
        <v>Do Not Print</v>
      </c>
      <c r="D79" s="1730" t="str">
        <f>'Input -CIES'!E24</f>
        <v>CIES Line 18</v>
      </c>
      <c r="E79" s="1730"/>
      <c r="F79" s="962">
        <f>'Input - EFA'!H490</f>
        <v>0</v>
      </c>
      <c r="G79" s="962">
        <f>'Input - EFA'!I490</f>
        <v>0</v>
      </c>
      <c r="H79" s="962">
        <f>'Input - EFA'!J490</f>
        <v>0</v>
      </c>
      <c r="I79" s="962">
        <f>'Input - EFA'!K490</f>
        <v>0</v>
      </c>
      <c r="J79" s="957">
        <f t="shared" si="5"/>
        <v>0</v>
      </c>
      <c r="M79" s="28" t="b">
        <f>'Input - EFA'!L490=J79</f>
        <v>1</v>
      </c>
      <c r="N79" s="28"/>
      <c r="O79" s="28"/>
      <c r="P79" s="28"/>
      <c r="Q79" s="28"/>
    </row>
    <row r="80" spans="1:18" x14ac:dyDescent="0.3">
      <c r="A80" s="23" t="str">
        <f t="shared" si="6"/>
        <v>Do Not Print</v>
      </c>
      <c r="D80" s="1730" t="str">
        <f>'Input -CIES'!E25</f>
        <v>CIES Line 19</v>
      </c>
      <c r="E80" s="1730"/>
      <c r="F80" s="962">
        <f>'Input - EFA'!H491</f>
        <v>0</v>
      </c>
      <c r="G80" s="962">
        <f>'Input - EFA'!I491</f>
        <v>0</v>
      </c>
      <c r="H80" s="962">
        <f>'Input - EFA'!J491</f>
        <v>0</v>
      </c>
      <c r="I80" s="962">
        <f>'Input - EFA'!K491</f>
        <v>0</v>
      </c>
      <c r="J80" s="957">
        <f t="shared" si="5"/>
        <v>0</v>
      </c>
      <c r="M80" s="28" t="b">
        <f>'Input - EFA'!L491=J80</f>
        <v>1</v>
      </c>
      <c r="N80" s="28"/>
      <c r="O80" s="28"/>
      <c r="P80" s="28"/>
      <c r="Q80" s="28"/>
    </row>
    <row r="81" spans="1:17" x14ac:dyDescent="0.3">
      <c r="A81" s="23" t="str">
        <f>IF(AND(F81=0,G81=0,H81=0,I81=0),"Do Not Print","Print")</f>
        <v>Do Not Print</v>
      </c>
      <c r="D81" s="1730" t="str">
        <f>'Input -CIES'!E26</f>
        <v>CIES Line 20</v>
      </c>
      <c r="E81" s="1730"/>
      <c r="F81" s="962">
        <f>'Input - EFA'!H492</f>
        <v>0</v>
      </c>
      <c r="G81" s="962">
        <f>'Input - EFA'!I492</f>
        <v>0</v>
      </c>
      <c r="H81" s="962">
        <f>'Input - EFA'!J492</f>
        <v>0</v>
      </c>
      <c r="I81" s="962">
        <f>'Input - EFA'!K492</f>
        <v>0</v>
      </c>
      <c r="J81" s="957">
        <f t="shared" si="5"/>
        <v>0</v>
      </c>
      <c r="M81" s="28" t="b">
        <f>'Input - EFA'!L492=J81</f>
        <v>1</v>
      </c>
      <c r="N81" s="28"/>
      <c r="O81" s="28"/>
      <c r="P81" s="28"/>
      <c r="Q81" s="28"/>
    </row>
    <row r="82" spans="1:17" x14ac:dyDescent="0.3">
      <c r="A82" s="23" t="str">
        <f t="shared" ref="A82:A96" si="7">IF(AND(F82=0,G82=0,H82=0,I82=0),"Do Not Print","Print")</f>
        <v>Do Not Print</v>
      </c>
      <c r="D82" s="1730" t="str">
        <f>'Input -CIES'!E27</f>
        <v>CIES Line 21</v>
      </c>
      <c r="E82" s="1730"/>
      <c r="F82" s="962">
        <f>'Input - EFA'!H493</f>
        <v>0</v>
      </c>
      <c r="G82" s="962">
        <f>'Input - EFA'!I493</f>
        <v>0</v>
      </c>
      <c r="H82" s="962">
        <f>'Input - EFA'!J493</f>
        <v>0</v>
      </c>
      <c r="I82" s="962">
        <f>'Input - EFA'!K493</f>
        <v>0</v>
      </c>
      <c r="J82" s="957">
        <f t="shared" si="5"/>
        <v>0</v>
      </c>
      <c r="M82" s="28" t="b">
        <f>'Input - EFA'!L493=J82</f>
        <v>1</v>
      </c>
      <c r="N82" s="28"/>
      <c r="O82" s="28"/>
      <c r="P82" s="28"/>
      <c r="Q82" s="28"/>
    </row>
    <row r="83" spans="1:17" x14ac:dyDescent="0.3">
      <c r="A83" s="23" t="str">
        <f t="shared" si="7"/>
        <v>Do Not Print</v>
      </c>
      <c r="D83" s="1730" t="str">
        <f>'Input -CIES'!E28</f>
        <v>CIES Line 22</v>
      </c>
      <c r="E83" s="1730"/>
      <c r="F83" s="962">
        <f>'Input - EFA'!H494</f>
        <v>0</v>
      </c>
      <c r="G83" s="962">
        <f>'Input - EFA'!I494</f>
        <v>0</v>
      </c>
      <c r="H83" s="962">
        <f>'Input - EFA'!J494</f>
        <v>0</v>
      </c>
      <c r="I83" s="962">
        <f>'Input - EFA'!K494</f>
        <v>0</v>
      </c>
      <c r="J83" s="957">
        <f t="shared" si="5"/>
        <v>0</v>
      </c>
      <c r="M83" s="28" t="b">
        <f>'Input - EFA'!L494=J83</f>
        <v>1</v>
      </c>
      <c r="N83" s="28"/>
      <c r="O83" s="28"/>
      <c r="P83" s="28"/>
      <c r="Q83" s="28"/>
    </row>
    <row r="84" spans="1:17" x14ac:dyDescent="0.3">
      <c r="A84" s="23" t="str">
        <f t="shared" si="7"/>
        <v>Do Not Print</v>
      </c>
      <c r="D84" s="1730" t="str">
        <f>'Input -CIES'!E29</f>
        <v>CIES Line 23</v>
      </c>
      <c r="E84" s="1730"/>
      <c r="F84" s="962">
        <f>'Input - EFA'!H495</f>
        <v>0</v>
      </c>
      <c r="G84" s="962">
        <f>'Input - EFA'!I495</f>
        <v>0</v>
      </c>
      <c r="H84" s="962">
        <f>'Input - EFA'!J495</f>
        <v>0</v>
      </c>
      <c r="I84" s="962">
        <f>'Input - EFA'!K495</f>
        <v>0</v>
      </c>
      <c r="J84" s="957">
        <f t="shared" ref="J84:J85" si="8">SUM(F84:I84)</f>
        <v>0</v>
      </c>
      <c r="M84" s="28" t="b">
        <f>'Input - EFA'!L495=J84</f>
        <v>1</v>
      </c>
      <c r="N84" s="28"/>
      <c r="O84" s="28"/>
      <c r="P84" s="28"/>
      <c r="Q84" s="28"/>
    </row>
    <row r="85" spans="1:17" x14ac:dyDescent="0.3">
      <c r="A85" s="23" t="str">
        <f t="shared" si="7"/>
        <v>Do Not Print</v>
      </c>
      <c r="D85" s="1730" t="str">
        <f>'Input -CIES'!E30</f>
        <v>CIES Line 24</v>
      </c>
      <c r="E85" s="1730"/>
      <c r="F85" s="962">
        <f>'Input - EFA'!H496</f>
        <v>0</v>
      </c>
      <c r="G85" s="962">
        <f>'Input - EFA'!I496</f>
        <v>0</v>
      </c>
      <c r="H85" s="962">
        <f>'Input - EFA'!J496</f>
        <v>0</v>
      </c>
      <c r="I85" s="962">
        <f>'Input - EFA'!K496</f>
        <v>0</v>
      </c>
      <c r="J85" s="957">
        <f t="shared" si="8"/>
        <v>0</v>
      </c>
      <c r="M85" s="28" t="b">
        <f>'Input - EFA'!L496=J85</f>
        <v>1</v>
      </c>
      <c r="N85" s="28"/>
      <c r="O85" s="28"/>
      <c r="P85" s="28"/>
      <c r="Q85" s="28"/>
    </row>
    <row r="86" spans="1:17" x14ac:dyDescent="0.3">
      <c r="A86" s="23" t="str">
        <f t="shared" si="7"/>
        <v>Do Not Print</v>
      </c>
      <c r="D86" s="1730" t="str">
        <f>'Input -CIES'!E31</f>
        <v>CIES Line 25</v>
      </c>
      <c r="E86" s="1730"/>
      <c r="F86" s="962">
        <f>'Input - EFA'!H497</f>
        <v>0</v>
      </c>
      <c r="G86" s="962">
        <f>'Input - EFA'!I497</f>
        <v>0</v>
      </c>
      <c r="H86" s="962">
        <f>'Input - EFA'!J497</f>
        <v>0</v>
      </c>
      <c r="I86" s="962">
        <f>'Input - EFA'!K497</f>
        <v>0</v>
      </c>
      <c r="J86" s="957">
        <f t="shared" ref="J86:J97" si="9">SUM(F86:I86)</f>
        <v>0</v>
      </c>
      <c r="M86" s="28" t="b">
        <f>'Input - EFA'!L497=J86</f>
        <v>1</v>
      </c>
      <c r="N86" s="28"/>
      <c r="O86" s="28"/>
      <c r="P86" s="28"/>
      <c r="Q86" s="28"/>
    </row>
    <row r="87" spans="1:17" x14ac:dyDescent="0.3">
      <c r="A87" s="23" t="str">
        <f t="shared" si="7"/>
        <v>Do Not Print</v>
      </c>
      <c r="D87" s="1730" t="str">
        <f>'Input -CIES'!E32</f>
        <v>CIES Line 26</v>
      </c>
      <c r="E87" s="1730"/>
      <c r="F87" s="962">
        <f>'Input - EFA'!H498</f>
        <v>0</v>
      </c>
      <c r="G87" s="962">
        <f>'Input - EFA'!I498</f>
        <v>0</v>
      </c>
      <c r="H87" s="962">
        <f>'Input - EFA'!J498</f>
        <v>0</v>
      </c>
      <c r="I87" s="962">
        <f>'Input - EFA'!K498</f>
        <v>0</v>
      </c>
      <c r="J87" s="957">
        <f t="shared" si="9"/>
        <v>0</v>
      </c>
      <c r="M87" s="28" t="b">
        <f>'Input - EFA'!L498=J87</f>
        <v>1</v>
      </c>
      <c r="N87" s="28"/>
      <c r="O87" s="28"/>
      <c r="P87" s="28"/>
      <c r="Q87" s="28"/>
    </row>
    <row r="88" spans="1:17" x14ac:dyDescent="0.3">
      <c r="A88" s="23" t="str">
        <f t="shared" si="7"/>
        <v>Do Not Print</v>
      </c>
      <c r="D88" s="1730" t="str">
        <f>'Input -CIES'!E33</f>
        <v>CIES Line 27</v>
      </c>
      <c r="E88" s="1730"/>
      <c r="F88" s="962">
        <f>'Input - EFA'!H499</f>
        <v>0</v>
      </c>
      <c r="G88" s="962">
        <f>'Input - EFA'!I499</f>
        <v>0</v>
      </c>
      <c r="H88" s="962">
        <f>'Input - EFA'!J499</f>
        <v>0</v>
      </c>
      <c r="I88" s="962">
        <f>'Input - EFA'!K499</f>
        <v>0</v>
      </c>
      <c r="J88" s="957">
        <f t="shared" si="9"/>
        <v>0</v>
      </c>
      <c r="M88" s="28" t="b">
        <f>'Input - EFA'!L499=J88</f>
        <v>1</v>
      </c>
      <c r="N88" s="28"/>
      <c r="O88" s="28"/>
      <c r="P88" s="28"/>
      <c r="Q88" s="28"/>
    </row>
    <row r="89" spans="1:17" x14ac:dyDescent="0.3">
      <c r="A89" s="23" t="str">
        <f t="shared" si="7"/>
        <v>Do Not Print</v>
      </c>
      <c r="D89" s="1730" t="str">
        <f>'Input -CIES'!E34</f>
        <v>CIES Line 28</v>
      </c>
      <c r="E89" s="1730"/>
      <c r="F89" s="962">
        <f>'Input - EFA'!H500</f>
        <v>0</v>
      </c>
      <c r="G89" s="962">
        <f>'Input - EFA'!I500</f>
        <v>0</v>
      </c>
      <c r="H89" s="962">
        <f>'Input - EFA'!J500</f>
        <v>0</v>
      </c>
      <c r="I89" s="962">
        <f>'Input - EFA'!K500</f>
        <v>0</v>
      </c>
      <c r="J89" s="957">
        <f t="shared" si="9"/>
        <v>0</v>
      </c>
      <c r="M89" s="28" t="b">
        <f>'Input - EFA'!L500=J89</f>
        <v>1</v>
      </c>
      <c r="N89" s="28"/>
      <c r="O89" s="28"/>
      <c r="P89" s="28"/>
      <c r="Q89" s="28"/>
    </row>
    <row r="90" spans="1:17" x14ac:dyDescent="0.3">
      <c r="A90" s="23" t="str">
        <f t="shared" si="7"/>
        <v>Do Not Print</v>
      </c>
      <c r="D90" s="1730" t="str">
        <f>'Input -CIES'!E35</f>
        <v>CIES Line 29</v>
      </c>
      <c r="E90" s="1730"/>
      <c r="F90" s="962">
        <f>'Input - EFA'!H501</f>
        <v>0</v>
      </c>
      <c r="G90" s="962">
        <f>'Input - EFA'!I501</f>
        <v>0</v>
      </c>
      <c r="H90" s="962">
        <f>'Input - EFA'!J501</f>
        <v>0</v>
      </c>
      <c r="I90" s="962">
        <f>'Input - EFA'!K501</f>
        <v>0</v>
      </c>
      <c r="J90" s="957">
        <f t="shared" si="9"/>
        <v>0</v>
      </c>
      <c r="M90" s="28" t="b">
        <f>'Input - EFA'!L501=J90</f>
        <v>1</v>
      </c>
      <c r="N90" s="28"/>
      <c r="O90" s="28"/>
      <c r="P90" s="28"/>
      <c r="Q90" s="28"/>
    </row>
    <row r="91" spans="1:17" x14ac:dyDescent="0.3">
      <c r="A91" s="23" t="str">
        <f t="shared" si="7"/>
        <v>Do Not Print</v>
      </c>
      <c r="D91" s="1730" t="str">
        <f>'Input -CIES'!E36</f>
        <v>CIES Line 30</v>
      </c>
      <c r="E91" s="1730"/>
      <c r="F91" s="962">
        <f>'Input - EFA'!H502</f>
        <v>0</v>
      </c>
      <c r="G91" s="962">
        <f>'Input - EFA'!I502</f>
        <v>0</v>
      </c>
      <c r="H91" s="962">
        <f>'Input - EFA'!J502</f>
        <v>0</v>
      </c>
      <c r="I91" s="962">
        <f>'Input - EFA'!K502</f>
        <v>0</v>
      </c>
      <c r="J91" s="957">
        <f t="shared" si="9"/>
        <v>0</v>
      </c>
      <c r="M91" s="28" t="b">
        <f>'Input - EFA'!L502=J91</f>
        <v>1</v>
      </c>
      <c r="N91" s="28"/>
      <c r="O91" s="28"/>
      <c r="P91" s="28"/>
      <c r="Q91" s="28"/>
    </row>
    <row r="92" spans="1:17" x14ac:dyDescent="0.3">
      <c r="A92" s="23" t="str">
        <f t="shared" si="7"/>
        <v>Do Not Print</v>
      </c>
      <c r="D92" s="1730" t="str">
        <f>'Input -CIES'!E37</f>
        <v>CIES Line 31</v>
      </c>
      <c r="E92" s="1730"/>
      <c r="F92" s="962">
        <f>'Input - EFA'!H503</f>
        <v>0</v>
      </c>
      <c r="G92" s="962">
        <f>'Input - EFA'!I503</f>
        <v>0</v>
      </c>
      <c r="H92" s="962">
        <f>'Input - EFA'!J503</f>
        <v>0</v>
      </c>
      <c r="I92" s="962">
        <f>'Input - EFA'!K503</f>
        <v>0</v>
      </c>
      <c r="J92" s="957">
        <f t="shared" si="9"/>
        <v>0</v>
      </c>
      <c r="M92" s="28" t="b">
        <f>'Input - EFA'!L503=J92</f>
        <v>1</v>
      </c>
      <c r="N92" s="28"/>
      <c r="O92" s="28"/>
      <c r="P92" s="28"/>
      <c r="Q92" s="28"/>
    </row>
    <row r="93" spans="1:17" x14ac:dyDescent="0.3">
      <c r="A93" s="23" t="str">
        <f t="shared" si="7"/>
        <v>Do Not Print</v>
      </c>
      <c r="D93" s="1730" t="str">
        <f>'Input -CIES'!E38</f>
        <v>CIES Line 32</v>
      </c>
      <c r="E93" s="1730"/>
      <c r="F93" s="962">
        <f>'Input - EFA'!H504</f>
        <v>0</v>
      </c>
      <c r="G93" s="962">
        <f>'Input - EFA'!I504</f>
        <v>0</v>
      </c>
      <c r="H93" s="962">
        <f>'Input - EFA'!J504</f>
        <v>0</v>
      </c>
      <c r="I93" s="962">
        <f>'Input - EFA'!K504</f>
        <v>0</v>
      </c>
      <c r="J93" s="957">
        <f t="shared" si="9"/>
        <v>0</v>
      </c>
      <c r="M93" s="28" t="b">
        <f>'Input - EFA'!L504=J93</f>
        <v>1</v>
      </c>
      <c r="N93" s="28"/>
      <c r="O93" s="28"/>
      <c r="P93" s="28"/>
      <c r="Q93" s="28"/>
    </row>
    <row r="94" spans="1:17" x14ac:dyDescent="0.3">
      <c r="A94" s="23" t="str">
        <f t="shared" si="7"/>
        <v>Do Not Print</v>
      </c>
      <c r="D94" s="1730" t="str">
        <f>'Input -CIES'!E39</f>
        <v>CIES Line 33</v>
      </c>
      <c r="E94" s="1730"/>
      <c r="F94" s="962">
        <f>'Input - EFA'!H505</f>
        <v>0</v>
      </c>
      <c r="G94" s="962">
        <f>'Input - EFA'!I505</f>
        <v>0</v>
      </c>
      <c r="H94" s="962">
        <f>'Input - EFA'!J505</f>
        <v>0</v>
      </c>
      <c r="I94" s="962">
        <f>'Input - EFA'!K505</f>
        <v>0</v>
      </c>
      <c r="J94" s="957">
        <f t="shared" si="9"/>
        <v>0</v>
      </c>
      <c r="M94" s="28" t="b">
        <f>'Input - EFA'!L505=J94</f>
        <v>1</v>
      </c>
      <c r="N94" s="28"/>
      <c r="O94" s="28"/>
      <c r="P94" s="28"/>
      <c r="Q94" s="28"/>
    </row>
    <row r="95" spans="1:17" x14ac:dyDescent="0.3">
      <c r="A95" s="23" t="str">
        <f t="shared" si="7"/>
        <v>Do Not Print</v>
      </c>
      <c r="D95" s="1730" t="str">
        <f>'Input -CIES'!E40</f>
        <v>CIES Line 34</v>
      </c>
      <c r="E95" s="1730"/>
      <c r="F95" s="962">
        <f>'Input - EFA'!H506</f>
        <v>0</v>
      </c>
      <c r="G95" s="962">
        <f>'Input - EFA'!I506</f>
        <v>0</v>
      </c>
      <c r="H95" s="962">
        <f>'Input - EFA'!J506</f>
        <v>0</v>
      </c>
      <c r="I95" s="962">
        <f>'Input - EFA'!K506</f>
        <v>0</v>
      </c>
      <c r="J95" s="957">
        <f t="shared" si="9"/>
        <v>0</v>
      </c>
      <c r="M95" s="28" t="b">
        <f>'Input - EFA'!L506=J95</f>
        <v>1</v>
      </c>
      <c r="N95" s="28"/>
      <c r="O95" s="28"/>
      <c r="P95" s="28"/>
      <c r="Q95" s="28"/>
    </row>
    <row r="96" spans="1:17" x14ac:dyDescent="0.3">
      <c r="A96" s="23" t="str">
        <f t="shared" si="7"/>
        <v>Do Not Print</v>
      </c>
      <c r="D96" s="1730" t="str">
        <f>'Input -CIES'!E41</f>
        <v>CIES Line 35</v>
      </c>
      <c r="E96" s="1730"/>
      <c r="F96" s="962">
        <f>'Input - EFA'!H507</f>
        <v>0</v>
      </c>
      <c r="G96" s="962">
        <f>'Input - EFA'!I507</f>
        <v>0</v>
      </c>
      <c r="H96" s="962">
        <f>'Input - EFA'!J507</f>
        <v>0</v>
      </c>
      <c r="I96" s="962">
        <f>'Input - EFA'!K507</f>
        <v>0</v>
      </c>
      <c r="J96" s="957">
        <f t="shared" si="9"/>
        <v>0</v>
      </c>
      <c r="M96" s="28" t="b">
        <f>'Input - EFA'!L507=J96</f>
        <v>1</v>
      </c>
      <c r="N96" s="28"/>
      <c r="O96" s="28"/>
      <c r="P96" s="28"/>
      <c r="Q96" s="28"/>
    </row>
    <row r="97" spans="1:17" x14ac:dyDescent="0.3">
      <c r="A97" s="3" t="s">
        <v>448</v>
      </c>
      <c r="D97" s="1738"/>
      <c r="E97" s="1739"/>
      <c r="F97" s="957"/>
      <c r="G97" s="957"/>
      <c r="H97" s="957"/>
      <c r="I97" s="957"/>
      <c r="J97" s="957">
        <f t="shared" si="9"/>
        <v>0</v>
      </c>
      <c r="M97" s="28"/>
      <c r="N97" s="28"/>
      <c r="O97" s="28"/>
      <c r="P97" s="28"/>
      <c r="Q97" s="28"/>
    </row>
    <row r="98" spans="1:17" ht="24" customHeight="1" x14ac:dyDescent="0.3">
      <c r="A98" s="3" t="str">
        <f>IF(AND(F98=0,G98=0,H98=0,I98=0),"Do Not Print","Print")</f>
        <v>Do Not Print</v>
      </c>
      <c r="D98" s="1740" t="s">
        <v>864</v>
      </c>
      <c r="E98" s="1740"/>
      <c r="F98" s="1066">
        <f>SUM(F62:F96)</f>
        <v>0</v>
      </c>
      <c r="G98" s="1066">
        <f>SUM(G62:G96)</f>
        <v>0</v>
      </c>
      <c r="H98" s="1066">
        <f>SUM(H62:H96)</f>
        <v>0</v>
      </c>
      <c r="I98" s="1066">
        <f>SUM(I62:I96)</f>
        <v>0</v>
      </c>
      <c r="J98" s="1066">
        <f>SUM(J62:J96)</f>
        <v>0</v>
      </c>
      <c r="M98" s="28"/>
      <c r="N98" s="28"/>
      <c r="O98" s="28"/>
      <c r="P98" s="28"/>
      <c r="Q98" s="28"/>
    </row>
    <row r="99" spans="1:17" x14ac:dyDescent="0.3">
      <c r="A99" s="3" t="s">
        <v>448</v>
      </c>
      <c r="D99" s="1730"/>
      <c r="E99" s="1730"/>
      <c r="F99" s="957"/>
      <c r="G99" s="957"/>
      <c r="H99" s="957"/>
      <c r="I99" s="957"/>
      <c r="J99" s="957"/>
      <c r="M99" s="28"/>
      <c r="N99" s="28"/>
      <c r="O99" s="28"/>
      <c r="P99" s="28"/>
      <c r="Q99" s="28"/>
    </row>
    <row r="100" spans="1:17" ht="46.5" customHeight="1" x14ac:dyDescent="0.3">
      <c r="A100" s="23" t="str">
        <f>IF(AND(F100=0,G100=0,H100=0,I100=0),"Do Not Print","Print")</f>
        <v>Do Not Print</v>
      </c>
      <c r="D100" s="1737" t="s">
        <v>1998</v>
      </c>
      <c r="E100" s="1737"/>
      <c r="F100" s="957">
        <f>'Input - EFA'!O147</f>
        <v>0</v>
      </c>
      <c r="G100" s="957">
        <f>'Input - EFA'!O148</f>
        <v>0</v>
      </c>
      <c r="H100" s="957">
        <f>'Input - EFA'!O149</f>
        <v>0</v>
      </c>
      <c r="I100" s="957">
        <f>'Input - EFA'!O150</f>
        <v>0</v>
      </c>
      <c r="J100" s="957">
        <f>SUM(F100:I100)</f>
        <v>0</v>
      </c>
      <c r="M100" s="28"/>
      <c r="N100" s="28"/>
      <c r="O100" s="28"/>
      <c r="P100" s="28"/>
      <c r="Q100" s="28"/>
    </row>
    <row r="101" spans="1:17" x14ac:dyDescent="0.3">
      <c r="A101" s="3" t="s">
        <v>448</v>
      </c>
      <c r="D101" s="1730"/>
      <c r="E101" s="1730"/>
      <c r="F101" s="957"/>
      <c r="G101" s="957"/>
      <c r="H101" s="957"/>
      <c r="I101" s="957"/>
      <c r="J101" s="957"/>
      <c r="M101" s="28"/>
      <c r="N101" s="28"/>
      <c r="O101" s="28"/>
      <c r="P101" s="28"/>
      <c r="Q101" s="28"/>
    </row>
    <row r="102" spans="1:17" ht="75.75" customHeight="1" x14ac:dyDescent="0.3">
      <c r="A102" s="23" t="str">
        <f>IF(AND(F102=0,G102=0,H102=0,I102=0),"Do Not Print","Print")</f>
        <v>Do Not Print</v>
      </c>
      <c r="D102" s="1737" t="s">
        <v>1999</v>
      </c>
      <c r="E102" s="1737"/>
      <c r="F102" s="957">
        <f>F98+F100</f>
        <v>0</v>
      </c>
      <c r="G102" s="957">
        <f t="shared" ref="G102:I102" si="10">G98+G100</f>
        <v>0</v>
      </c>
      <c r="H102" s="957">
        <f t="shared" si="10"/>
        <v>0</v>
      </c>
      <c r="I102" s="957">
        <f t="shared" si="10"/>
        <v>0</v>
      </c>
      <c r="J102" s="957">
        <f>J98+J100</f>
        <v>0</v>
      </c>
      <c r="M102" s="28"/>
      <c r="N102" s="28"/>
      <c r="O102" s="28"/>
      <c r="P102" s="28"/>
      <c r="Q102" s="28"/>
    </row>
    <row r="103" spans="1:17" x14ac:dyDescent="0.3">
      <c r="A103" s="3" t="s">
        <v>448</v>
      </c>
      <c r="D103" s="1729"/>
      <c r="E103" s="1729"/>
      <c r="F103" s="1729"/>
      <c r="G103" s="1729"/>
      <c r="H103" s="1729"/>
      <c r="I103" s="1729"/>
      <c r="J103" s="1729"/>
      <c r="M103" s="28"/>
      <c r="N103" s="28"/>
      <c r="O103" s="28"/>
      <c r="P103" s="28"/>
      <c r="Q103" s="28"/>
    </row>
    <row r="104" spans="1:17" x14ac:dyDescent="0.3">
      <c r="A104" s="3" t="s">
        <v>448</v>
      </c>
      <c r="D104" s="1506"/>
      <c r="E104" s="1506"/>
      <c r="F104" s="1506"/>
      <c r="G104" s="1506"/>
      <c r="H104" s="1506"/>
      <c r="I104" s="1506"/>
      <c r="J104" s="1506"/>
      <c r="K104" s="1506"/>
      <c r="L104" s="1506"/>
      <c r="M104" s="28"/>
      <c r="N104" s="28"/>
      <c r="O104" s="28"/>
      <c r="P104" s="28"/>
      <c r="Q104" s="28"/>
    </row>
    <row r="105" spans="1:17" x14ac:dyDescent="0.3">
      <c r="A105" s="3" t="str">
        <f>IF('Non TB - Note 2'!F5=1,"Print","Do Not Print")</f>
        <v>Print</v>
      </c>
      <c r="D105" s="1507" t="str">
        <f>IF('Non TB - Note 2'!F5=1,'Non TB - Note 2'!E5,"")</f>
        <v>Adjustments for Capital Purposes</v>
      </c>
      <c r="E105" s="1507"/>
      <c r="F105" s="1507"/>
      <c r="G105" s="1507"/>
      <c r="H105" s="1507"/>
      <c r="I105" s="1507"/>
      <c r="J105" s="1507"/>
      <c r="K105" s="1507"/>
      <c r="L105" s="1507"/>
      <c r="M105" s="28"/>
      <c r="N105" s="28"/>
      <c r="O105" s="28"/>
      <c r="P105" s="28"/>
      <c r="Q105" s="28"/>
    </row>
    <row r="106" spans="1:17" x14ac:dyDescent="0.3">
      <c r="A106" s="3" t="str">
        <f>IF(A105="Print","Print", "Do Not Print")</f>
        <v>Print</v>
      </c>
      <c r="D106" s="1506"/>
      <c r="E106" s="1506"/>
      <c r="F106" s="1506"/>
      <c r="G106" s="1506"/>
      <c r="H106" s="1506"/>
      <c r="I106" s="1506"/>
      <c r="J106" s="1506"/>
      <c r="K106" s="1506"/>
      <c r="L106" s="1506"/>
      <c r="M106" s="28"/>
      <c r="N106" s="28"/>
      <c r="O106" s="28"/>
      <c r="P106" s="28"/>
      <c r="Q106" s="28"/>
    </row>
    <row r="107" spans="1:17" ht="27" customHeight="1" x14ac:dyDescent="0.3">
      <c r="A107" s="3" t="str">
        <f>IF('Non TB - Note 2'!F5=1,"Print","Do Not Print")</f>
        <v>Print</v>
      </c>
      <c r="D107" s="1506" t="str">
        <f>IF('Non TB - Note 2'!F5=1,'Non TB - Note 2'!H5,"")</f>
        <v xml:space="preserve">Adjustments to General Fund Balances to meet the requirements of generally accepted accounting practices, this column adds in depreciation and impairment and revaluation gains and losses in the services line and for:
</v>
      </c>
      <c r="E107" s="1506"/>
      <c r="F107" s="1506"/>
      <c r="G107" s="1506"/>
      <c r="H107" s="1506"/>
      <c r="I107" s="1506"/>
      <c r="J107" s="1506"/>
      <c r="K107" s="1506"/>
      <c r="L107" s="1506"/>
      <c r="M107" s="28"/>
      <c r="N107" s="28"/>
      <c r="O107" s="28"/>
      <c r="P107" s="28"/>
      <c r="Q107" s="28"/>
    </row>
    <row r="108" spans="1:17" x14ac:dyDescent="0.3">
      <c r="A108" s="23" t="str">
        <f>IF(A107="Print","Print", "Do Not Print")</f>
        <v>Print</v>
      </c>
      <c r="D108" s="1506"/>
      <c r="E108" s="1506"/>
      <c r="F108" s="1506"/>
      <c r="G108" s="1506"/>
      <c r="H108" s="1506"/>
      <c r="I108" s="1506"/>
      <c r="J108" s="1506"/>
      <c r="K108" s="1506"/>
      <c r="L108" s="1506"/>
    </row>
    <row r="109" spans="1:17" ht="16.05" customHeight="1" x14ac:dyDescent="0.3">
      <c r="A109" s="23" t="str">
        <f>IF('Non TB - Note 2'!F6=1,"Print","Do Not Print")</f>
        <v>Print</v>
      </c>
      <c r="D109" s="1506" t="str">
        <f>IF('Non TB - Note 2'!F6=1,'Non TB - Note 2'!H6,"")</f>
        <v>i) Other operating expenditure – adjusts for capital disposals with a transfer of income on disposal of assets and the amounts written off for those assets.</v>
      </c>
      <c r="E109" s="1506"/>
      <c r="F109" s="1506"/>
      <c r="G109" s="1506"/>
      <c r="H109" s="1506"/>
      <c r="I109" s="1506"/>
      <c r="J109" s="1506"/>
      <c r="K109" s="1506"/>
      <c r="L109" s="1506"/>
    </row>
    <row r="110" spans="1:17" x14ac:dyDescent="0.3">
      <c r="A110" s="23" t="str">
        <f>IF(A109="Print","Print", "Do Not Print")</f>
        <v>Print</v>
      </c>
      <c r="D110" s="1506"/>
      <c r="E110" s="1506"/>
      <c r="F110" s="1506"/>
      <c r="G110" s="1506"/>
      <c r="H110" s="1506"/>
      <c r="I110" s="1506"/>
      <c r="J110" s="1506"/>
      <c r="K110" s="1506"/>
      <c r="L110" s="1506"/>
    </row>
    <row r="111" spans="1:17" ht="27.6" customHeight="1" x14ac:dyDescent="0.3">
      <c r="A111" s="23" t="str">
        <f>IF('Non TB - Note 2'!F7=1,"Print","Do Not Print")</f>
        <v>Print</v>
      </c>
      <c r="D111" s="1506" t="str">
        <f>IF('Non TB - Note 2'!F7=1,'Non TB - Note 2'!H7,"")</f>
        <v>ii) Financing and investment income and expenditure - the statutory charges for capital financing, i.e. Minimum Revenue Provision and other revenue contributions are deducted from financing and investment income and expenditure as these are not chargeable under generally accepted accounting practices.</v>
      </c>
      <c r="E111" s="1506"/>
      <c r="F111" s="1506"/>
      <c r="G111" s="1506"/>
      <c r="H111" s="1506"/>
      <c r="I111" s="1506"/>
      <c r="J111" s="1506"/>
      <c r="K111" s="1506"/>
      <c r="L111" s="1506"/>
    </row>
    <row r="112" spans="1:17" x14ac:dyDescent="0.3">
      <c r="A112" s="23" t="str">
        <f>IF(A111="Print","Print", "Do Not Print")</f>
        <v>Print</v>
      </c>
      <c r="D112" s="1506"/>
      <c r="E112" s="1506"/>
      <c r="F112" s="1506"/>
      <c r="G112" s="1506"/>
      <c r="H112" s="1506"/>
      <c r="I112" s="1506"/>
      <c r="J112" s="1506"/>
      <c r="K112" s="1506"/>
      <c r="L112" s="1506"/>
    </row>
    <row r="113" spans="1:13" ht="54.6" customHeight="1" x14ac:dyDescent="0.3">
      <c r="A113" s="23" t="str">
        <f>IF('Non TB - Note 2'!F8=1,"Print","Do Not Print")</f>
        <v>Print</v>
      </c>
      <c r="D113" s="1506" t="str">
        <f>IF('Non TB - Note 2'!F8=1,'Non TB - Note 2'!H8,"")</f>
        <v>iii) Taxation and Non Specific Grant Income and Expenditure – Capital grants are adjusted for income not chargeable under generally accepted accounting practices. Revenue grants are adjusted from those receivable in the year to those receivable without conditions or for which conditions were satisfied throughout the year. The Taxation and Non Specific Grant Income and Expenditure line is credited with capital grants receivable in the year without conditions or for which conditions were satisfied in the year.</v>
      </c>
      <c r="E113" s="1506"/>
      <c r="F113" s="1506"/>
      <c r="G113" s="1506"/>
      <c r="H113" s="1506"/>
      <c r="I113" s="1506"/>
      <c r="J113" s="1506"/>
      <c r="K113" s="1506"/>
      <c r="L113" s="1506"/>
    </row>
    <row r="114" spans="1:13" x14ac:dyDescent="0.3">
      <c r="A114" s="23" t="str">
        <f>IF(A113="Print","Print", "Do Not Print")</f>
        <v>Print</v>
      </c>
      <c r="D114" s="1506"/>
      <c r="E114" s="1506"/>
      <c r="F114" s="1506"/>
      <c r="G114" s="1506"/>
      <c r="H114" s="1506"/>
      <c r="I114" s="1506"/>
      <c r="J114" s="1506"/>
      <c r="K114" s="1506"/>
      <c r="L114" s="1506"/>
    </row>
    <row r="115" spans="1:13" x14ac:dyDescent="0.3">
      <c r="A115" s="23" t="str">
        <f>IF('Non TB - Note 2'!F9=1,"Print","Do Not Print")</f>
        <v>Print</v>
      </c>
      <c r="D115" s="1507" t="str">
        <f>IF('Non TB - Note 2'!F9=1,'Non TB - Note 2'!E9,"")</f>
        <v>Net change for the Pensions Adjustments</v>
      </c>
      <c r="E115" s="1507"/>
      <c r="F115" s="1507"/>
      <c r="G115" s="1507"/>
      <c r="H115" s="1507"/>
      <c r="I115" s="1507"/>
      <c r="J115" s="1507"/>
      <c r="K115" s="1507"/>
      <c r="L115" s="1507"/>
    </row>
    <row r="116" spans="1:13" x14ac:dyDescent="0.3">
      <c r="A116" s="23" t="str">
        <f>IF(A115="Print","Print", "Do Not Print")</f>
        <v>Print</v>
      </c>
      <c r="D116" s="1506"/>
      <c r="E116" s="1506"/>
      <c r="F116" s="1506"/>
      <c r="G116" s="1506"/>
      <c r="H116" s="1506"/>
      <c r="I116" s="1506"/>
      <c r="J116" s="1506"/>
      <c r="K116" s="1506"/>
      <c r="L116" s="1506"/>
    </row>
    <row r="117" spans="1:13" ht="15.6" customHeight="1" x14ac:dyDescent="0.3">
      <c r="A117" s="23" t="str">
        <f>IF('Non TB - Note 2'!F9=1,"Print","Do Not Print")</f>
        <v>Print</v>
      </c>
      <c r="D117" s="1506" t="str">
        <f>IF('Non TB - Note 2'!F9=1,'Non TB - Note 2'!H9,"")</f>
        <v xml:space="preserve">Net change for the removal of pension contributions and the addition of IAS 19 Employee Benefits pension related expenditure and income:
</v>
      </c>
      <c r="E117" s="1506"/>
      <c r="F117" s="1506"/>
      <c r="G117" s="1506"/>
      <c r="H117" s="1506"/>
      <c r="I117" s="1506"/>
      <c r="J117" s="1506"/>
      <c r="K117" s="1506"/>
      <c r="L117" s="1506"/>
    </row>
    <row r="118" spans="1:13" x14ac:dyDescent="0.3">
      <c r="A118" s="23" t="str">
        <f>IF(A117="Print","Print", "Do Not Print")</f>
        <v>Print</v>
      </c>
      <c r="D118" s="1506"/>
      <c r="E118" s="1506"/>
      <c r="F118" s="1506"/>
      <c r="G118" s="1506"/>
      <c r="H118" s="1506"/>
      <c r="I118" s="1506"/>
      <c r="J118" s="1506"/>
      <c r="K118" s="1506"/>
      <c r="L118" s="1506"/>
    </row>
    <row r="119" spans="1:13" ht="29.55" customHeight="1" x14ac:dyDescent="0.3">
      <c r="A119" s="23" t="str">
        <f>IF('Non TB - Note 2'!F10=1,"Print","Do Not Print")</f>
        <v>Print</v>
      </c>
      <c r="D119" s="1506" t="str">
        <f>IF('Non TB - Note 2'!F10=1,'Non TB - Note 2'!H10,"")</f>
        <v>For Services: this represents the removal of the employer pension contributions made by the authority as allowed by statute and the replacement with current service costs and past service costs.</v>
      </c>
      <c r="E119" s="1506"/>
      <c r="F119" s="1506"/>
      <c r="G119" s="1506"/>
      <c r="H119" s="1506"/>
      <c r="I119" s="1506"/>
      <c r="J119" s="1506"/>
      <c r="K119" s="1506"/>
      <c r="L119" s="1506"/>
    </row>
    <row r="120" spans="1:13" x14ac:dyDescent="0.3">
      <c r="A120" s="23" t="str">
        <f>IF(A119="Print","Print", "Do Not Print")</f>
        <v>Print</v>
      </c>
      <c r="D120" s="1506"/>
      <c r="E120" s="1506"/>
      <c r="F120" s="1506"/>
      <c r="G120" s="1506"/>
      <c r="H120" s="1506"/>
      <c r="I120" s="1506"/>
      <c r="J120" s="1506"/>
      <c r="K120" s="1506"/>
      <c r="L120" s="1506"/>
    </row>
    <row r="121" spans="1:13" ht="15" customHeight="1" x14ac:dyDescent="0.3">
      <c r="A121" s="23" t="str">
        <f>IF('Non TB - Note 2'!F11=1,"Print","Do Not Print")</f>
        <v>Print</v>
      </c>
      <c r="D121" s="1506" t="str">
        <f>IF('Non TB - Note 2'!F11=1,'Non TB - Note 2'!H11,"")</f>
        <v>For Financing and investment income and expenditure: the net interest on the defined benefit liability is charged to the CIES.</v>
      </c>
      <c r="E121" s="1506"/>
      <c r="F121" s="1506"/>
      <c r="G121" s="1506"/>
      <c r="H121" s="1506"/>
      <c r="I121" s="1506"/>
      <c r="J121" s="1506"/>
      <c r="K121" s="1506"/>
      <c r="L121" s="1506"/>
    </row>
    <row r="122" spans="1:13" x14ac:dyDescent="0.3">
      <c r="A122" s="23" t="str">
        <f>IF(A121="Print","Print", "Do Not Print")</f>
        <v>Print</v>
      </c>
      <c r="D122" s="1506"/>
      <c r="E122" s="1506"/>
      <c r="F122" s="1506"/>
      <c r="G122" s="1506"/>
      <c r="H122" s="1506"/>
      <c r="I122" s="1506"/>
      <c r="J122" s="1506"/>
      <c r="K122" s="1506"/>
      <c r="L122" s="1506"/>
    </row>
    <row r="123" spans="1:13" x14ac:dyDescent="0.3">
      <c r="A123" s="23" t="str">
        <f>IF('Non TB - Note 2'!F12=1,"Print","Do Not Print")</f>
        <v>Print</v>
      </c>
      <c r="D123" s="1507" t="str">
        <f>IF('Non TB - Note 2'!F12=1,'Non TB - Note 2'!E12,"")</f>
        <v>Other statutory differences</v>
      </c>
      <c r="E123" s="1507"/>
      <c r="F123" s="1507"/>
      <c r="G123" s="1507"/>
      <c r="H123" s="1507"/>
      <c r="I123" s="1507"/>
      <c r="J123" s="1507"/>
      <c r="K123" s="1507"/>
      <c r="L123" s="1507"/>
    </row>
    <row r="124" spans="1:13" x14ac:dyDescent="0.3">
      <c r="A124" s="23" t="str">
        <f>IF(A123="Print","Print", "Do Not Print")</f>
        <v>Print</v>
      </c>
      <c r="D124" s="1506"/>
      <c r="E124" s="1506"/>
      <c r="F124" s="1506"/>
      <c r="G124" s="1506"/>
      <c r="H124" s="1506"/>
      <c r="I124" s="1506"/>
      <c r="J124" s="1506"/>
      <c r="K124" s="1506"/>
      <c r="L124" s="1506"/>
    </row>
    <row r="125" spans="1:13" ht="28.5" customHeight="1" x14ac:dyDescent="0.3">
      <c r="A125" s="23" t="str">
        <f>IF('Non TB - Note 2'!F12=1,"Print","Do Not Print")</f>
        <v>Print</v>
      </c>
      <c r="D125" s="1506" t="str">
        <f>IF('Non TB - Note 2'!F12=1,'Non TB - Note 2'!H12,"")</f>
        <v xml:space="preserve">Other statutory adjustments between amounts debited/credited to the Comprehensive Income and Expenditure Statement and amounts payable/receivable to be recognised under statute:
</v>
      </c>
      <c r="E125" s="1506"/>
      <c r="F125" s="1506"/>
      <c r="G125" s="1506"/>
      <c r="H125" s="1506"/>
      <c r="I125" s="1506"/>
      <c r="J125" s="1506"/>
      <c r="K125" s="1506"/>
      <c r="L125" s="1506"/>
    </row>
    <row r="126" spans="1:13" x14ac:dyDescent="0.3">
      <c r="A126" s="23" t="str">
        <f>IF(A125="Print","Print", "Do Not Print")</f>
        <v>Print</v>
      </c>
      <c r="D126" s="1506"/>
      <c r="E126" s="1506"/>
      <c r="F126" s="1506"/>
      <c r="G126" s="1506"/>
      <c r="H126" s="1506"/>
      <c r="I126" s="1506"/>
      <c r="J126" s="1506"/>
      <c r="K126" s="1506"/>
      <c r="L126" s="1506"/>
      <c r="M126" s="1506"/>
    </row>
    <row r="127" spans="1:13" ht="27" customHeight="1" x14ac:dyDescent="0.3">
      <c r="A127" s="23" t="str">
        <f>IF('Non TB - Note 2'!F13=1,"Print","Do Not Print")</f>
        <v>Print</v>
      </c>
      <c r="D127" s="1506" t="str">
        <f>IF('Non TB - Note 2'!F13=1,'Non TB - Note 2'!H13,"")</f>
        <v>For Financing and investment income and expenditure the other statutory adjustments column recognises adjustments to General Fund for the timing differences for premiums and discounts.</v>
      </c>
      <c r="E127" s="1506"/>
      <c r="F127" s="1506"/>
      <c r="G127" s="1506"/>
      <c r="H127" s="1506"/>
      <c r="I127" s="1506"/>
      <c r="J127" s="1506"/>
      <c r="K127" s="1506"/>
      <c r="L127" s="1506"/>
      <c r="M127" s="768"/>
    </row>
    <row r="128" spans="1:13" x14ac:dyDescent="0.3">
      <c r="A128" s="23" t="str">
        <f>IF(A127="Print","Print", "Do Not Print")</f>
        <v>Print</v>
      </c>
      <c r="D128" s="1506"/>
      <c r="E128" s="1506"/>
      <c r="F128" s="1506"/>
      <c r="G128" s="1506"/>
      <c r="H128" s="1506"/>
      <c r="I128" s="1506"/>
      <c r="J128" s="1506"/>
      <c r="K128" s="1506"/>
      <c r="L128" s="1506"/>
      <c r="M128" s="768"/>
    </row>
    <row r="129" spans="1:13" ht="42.6" customHeight="1" x14ac:dyDescent="0.3">
      <c r="A129" s="23" t="str">
        <f>IF('Non TB - Note 2'!F14=1,"Print","Do Not Print")</f>
        <v>Print</v>
      </c>
      <c r="D129" s="1506" t="str">
        <f>IF('Non TB - Note 2'!F14=1,'Non TB - Note 2'!H14,"")</f>
        <v xml:space="preserve">The charge under Taxation and non-specific grant income and expenditure represents the difference between what is chargeable under statutory regulations for district rates and NDR that was projected to be received at the start of the year and the income recognised under generally accepted accounting practices in the Code. </v>
      </c>
      <c r="E129" s="1506"/>
      <c r="F129" s="1506"/>
      <c r="G129" s="1506"/>
      <c r="H129" s="1506"/>
      <c r="I129" s="1506"/>
      <c r="J129" s="1506"/>
      <c r="K129" s="1506"/>
      <c r="L129" s="1506"/>
      <c r="M129" s="768"/>
    </row>
    <row r="130" spans="1:13" x14ac:dyDescent="0.3">
      <c r="A130" s="23" t="str">
        <f>IF(A129="Print","Print", "Do Not Print")</f>
        <v>Print</v>
      </c>
      <c r="D130" s="1506"/>
      <c r="E130" s="1506"/>
      <c r="F130" s="1506"/>
      <c r="G130" s="1506"/>
      <c r="H130" s="1506"/>
      <c r="I130" s="1506"/>
      <c r="J130" s="1506"/>
      <c r="K130" s="1506"/>
      <c r="L130" s="1506"/>
      <c r="M130" s="768"/>
    </row>
    <row r="131" spans="1:13" x14ac:dyDescent="0.3">
      <c r="A131" s="23" t="str">
        <f>IF('Non TB - Note 2'!F15=1,"Print","Do Not Print")</f>
        <v>Print</v>
      </c>
      <c r="D131" s="1507" t="str">
        <f>IF('Non TB - Note 2'!F15=1,'Non TB - Note 2'!E15,"")</f>
        <v>Other non-statutory adjustments</v>
      </c>
      <c r="E131" s="1507"/>
      <c r="F131" s="1507"/>
      <c r="G131" s="1507"/>
      <c r="H131" s="1507"/>
      <c r="I131" s="1507"/>
      <c r="J131" s="1507"/>
      <c r="K131" s="1507"/>
      <c r="L131" s="1507"/>
      <c r="M131" s="768"/>
    </row>
    <row r="132" spans="1:13" x14ac:dyDescent="0.3">
      <c r="A132" s="23" t="str">
        <f>IF(A131="Print","Print", "Do Not Print")</f>
        <v>Print</v>
      </c>
      <c r="D132" s="1506"/>
      <c r="E132" s="1506"/>
      <c r="F132" s="1506"/>
      <c r="G132" s="1506"/>
      <c r="H132" s="1506"/>
      <c r="I132" s="1506"/>
      <c r="J132" s="1506"/>
      <c r="K132" s="1506"/>
      <c r="L132" s="1506"/>
      <c r="M132" s="768"/>
    </row>
    <row r="133" spans="1:13" ht="43.5" customHeight="1" x14ac:dyDescent="0.3">
      <c r="A133" s="23" t="str">
        <f>IF('Non TB - Note 2'!F15=1,"Print","Do Not Print")</f>
        <v>Print</v>
      </c>
      <c r="D133" s="1506" t="str">
        <f>IF('Non TB - Note 2'!F15=1,'Non TB - Note 2'!H15,"")</f>
        <v>Other non-statutory adjustments represent amounts debited/credited to service segments which need to be adjusted against the 'Other income and expenditure from the Expenditure and Funding Analysis' line to comply with the presentational requirements in the Comprehensive Income and Expenditure Statement:</v>
      </c>
      <c r="E133" s="1506"/>
      <c r="F133" s="1506"/>
      <c r="G133" s="1506"/>
      <c r="H133" s="1506"/>
      <c r="I133" s="1506"/>
      <c r="J133" s="1506"/>
      <c r="K133" s="1506"/>
      <c r="L133" s="1506"/>
      <c r="M133" s="768"/>
    </row>
    <row r="134" spans="1:13" x14ac:dyDescent="0.3">
      <c r="A134" s="23" t="str">
        <f>IF(A133="Print","Print", "Do Not Print")</f>
        <v>Print</v>
      </c>
      <c r="D134" s="1506"/>
      <c r="E134" s="1506"/>
      <c r="F134" s="1506"/>
      <c r="G134" s="1506"/>
      <c r="H134" s="1506"/>
      <c r="I134" s="1506"/>
      <c r="J134" s="1506"/>
      <c r="K134" s="1506"/>
      <c r="L134" s="1506"/>
      <c r="M134" s="768"/>
    </row>
    <row r="135" spans="1:13" ht="30" customHeight="1" x14ac:dyDescent="0.3">
      <c r="A135" s="23" t="str">
        <f>IF('Non TB - Note 2'!F16=1,"Print","Do Not Print")</f>
        <v>Print</v>
      </c>
      <c r="D135" s="1506" t="str">
        <f>IF('Non TB - Note 2'!F16=1,'Non TB - Note 2'!H16,"")</f>
        <v>For financing and investment income and expenditure the other non-statutory adjustments column recognises adjustments to service segments, e.g. for interest income and expenditure and changes in the fair values of investment propertis.</v>
      </c>
      <c r="E135" s="1506"/>
      <c r="F135" s="1506"/>
      <c r="G135" s="1506"/>
      <c r="H135" s="1506"/>
      <c r="I135" s="1506"/>
      <c r="J135" s="1506"/>
      <c r="K135" s="1506"/>
      <c r="L135" s="1506"/>
      <c r="M135" s="768"/>
    </row>
    <row r="136" spans="1:13" x14ac:dyDescent="0.3">
      <c r="A136" s="23" t="str">
        <f>IF(A135="Print","Print", "Do Not Print")</f>
        <v>Print</v>
      </c>
      <c r="D136" s="1506"/>
      <c r="E136" s="1506"/>
      <c r="F136" s="1506"/>
      <c r="G136" s="1506"/>
      <c r="H136" s="1506"/>
      <c r="I136" s="1506"/>
      <c r="J136" s="1506"/>
      <c r="K136" s="1506"/>
      <c r="L136" s="1506"/>
      <c r="M136" s="768"/>
    </row>
    <row r="137" spans="1:13" ht="27" customHeight="1" x14ac:dyDescent="0.3">
      <c r="A137" s="23" t="str">
        <f>IF('Non TB - Note 2'!F17=1,"Print","Do Not Print")</f>
        <v>Print</v>
      </c>
      <c r="D137" s="1506" t="str">
        <f>IF('Non TB - Note 2'!F17=1,'Non TB - Note 2'!H17,"")</f>
        <v>For taxation and non-specific grant income and expenditure the other non-statuory adjustments column recognised adjustments to service segments, e.g. for unringfenced government grants.</v>
      </c>
      <c r="E137" s="1506"/>
      <c r="F137" s="1506"/>
      <c r="G137" s="1506"/>
      <c r="H137" s="1506"/>
      <c r="I137" s="1506"/>
      <c r="J137" s="1506"/>
      <c r="K137" s="1506"/>
      <c r="L137" s="1506"/>
      <c r="M137" s="768"/>
    </row>
    <row r="138" spans="1:13" x14ac:dyDescent="0.3">
      <c r="A138" s="23" t="str">
        <f>IF(A137="Print","Print", "Do Not Print")</f>
        <v>Print</v>
      </c>
      <c r="D138" s="1506"/>
      <c r="E138" s="1506"/>
      <c r="F138" s="1506"/>
      <c r="G138" s="1506"/>
      <c r="H138" s="1506"/>
      <c r="I138" s="1506"/>
      <c r="J138" s="1506"/>
      <c r="K138" s="1506"/>
      <c r="L138" s="1506"/>
      <c r="M138" s="768"/>
    </row>
    <row r="139" spans="1:13" x14ac:dyDescent="0.3">
      <c r="A139" s="23" t="str">
        <f>IF('Non TB - Note 2'!F18=1,"Print","Do Not Print")</f>
        <v>Print</v>
      </c>
      <c r="D139" s="1506" t="str">
        <f>IF('Non TB - Note 2'!F18=1,'Non TB - Note 2'!H18,"")</f>
        <v>[Paragraph 3.4.2.100 of the Code requires disclosure of the factors used to identify the Council's reportable segments, including the basis of organisation.]</v>
      </c>
      <c r="E139" s="1506"/>
      <c r="F139" s="1506"/>
      <c r="G139" s="1506"/>
      <c r="H139" s="1506"/>
      <c r="I139" s="1506"/>
      <c r="J139" s="1506"/>
      <c r="K139" s="1506"/>
      <c r="L139" s="1506"/>
      <c r="M139" s="768"/>
    </row>
    <row r="140" spans="1:13" x14ac:dyDescent="0.3">
      <c r="A140" s="23" t="str">
        <f>IF(A139="Print","Print", "Do Not Print")</f>
        <v>Print</v>
      </c>
      <c r="D140" s="1506"/>
      <c r="E140" s="1506"/>
      <c r="F140" s="1506"/>
      <c r="G140" s="1506"/>
      <c r="H140" s="1506"/>
      <c r="I140" s="1506"/>
      <c r="J140" s="1506"/>
      <c r="K140" s="1506"/>
      <c r="L140" s="1506"/>
      <c r="M140" s="768"/>
    </row>
    <row r="141" spans="1:13" x14ac:dyDescent="0.3">
      <c r="A141" s="23" t="str">
        <f>IF('Non TB - Note 2'!F19=1,"Print","Do Not Print")</f>
        <v>Print</v>
      </c>
      <c r="D141" s="1506" t="str">
        <f>IF('Non TB - Note 2'!F19=1,'Non TB - Note 2'!H19,"")</f>
        <v>Council own narrative</v>
      </c>
      <c r="E141" s="1506"/>
      <c r="F141" s="1506"/>
      <c r="G141" s="1506"/>
      <c r="H141" s="1506"/>
      <c r="I141" s="1506"/>
      <c r="J141" s="1506"/>
      <c r="K141" s="1506"/>
      <c r="L141" s="1506"/>
      <c r="M141" s="1506"/>
    </row>
    <row r="142" spans="1:13" x14ac:dyDescent="0.3">
      <c r="A142" s="23" t="str">
        <f>IF(A141="Print","Print", "Do Not Print")</f>
        <v>Print</v>
      </c>
      <c r="D142" s="1506"/>
      <c r="E142" s="1506"/>
      <c r="F142" s="1506"/>
      <c r="G142" s="1506"/>
      <c r="H142" s="1506"/>
      <c r="I142" s="1506"/>
      <c r="J142" s="1506"/>
      <c r="K142" s="1506"/>
      <c r="L142" s="1506"/>
      <c r="M142" s="1506"/>
    </row>
    <row r="257" spans="11:11" x14ac:dyDescent="0.3">
      <c r="K257" s="23">
        <f>J237</f>
        <v>0</v>
      </c>
    </row>
    <row r="352" spans="9:11" x14ac:dyDescent="0.3">
      <c r="I352" s="900">
        <v>42825</v>
      </c>
      <c r="J352" s="900">
        <v>42460</v>
      </c>
      <c r="K352" s="904"/>
    </row>
  </sheetData>
  <autoFilter ref="A3:J142" xr:uid="{00000000-0009-0000-0000-000018000000}"/>
  <mergeCells count="129">
    <mergeCell ref="D139:L139"/>
    <mergeCell ref="D140:L140"/>
    <mergeCell ref="D117:L117"/>
    <mergeCell ref="D118:L118"/>
    <mergeCell ref="D125:L125"/>
    <mergeCell ref="D126:M126"/>
    <mergeCell ref="D141:M141"/>
    <mergeCell ref="D142:M142"/>
    <mergeCell ref="D119:L119"/>
    <mergeCell ref="D120:L120"/>
    <mergeCell ref="D121:L121"/>
    <mergeCell ref="D122:L122"/>
    <mergeCell ref="D123:L123"/>
    <mergeCell ref="D124:L124"/>
    <mergeCell ref="D127:L127"/>
    <mergeCell ref="D128:L128"/>
    <mergeCell ref="D129:L129"/>
    <mergeCell ref="D130:L130"/>
    <mergeCell ref="D131:L131"/>
    <mergeCell ref="D132:L132"/>
    <mergeCell ref="D133:L133"/>
    <mergeCell ref="D134:L134"/>
    <mergeCell ref="D135:L135"/>
    <mergeCell ref="D136:L136"/>
    <mergeCell ref="D137:L137"/>
    <mergeCell ref="D138:L138"/>
    <mergeCell ref="D12:L12"/>
    <mergeCell ref="D104:L104"/>
    <mergeCell ref="D105:L105"/>
    <mergeCell ref="D106:L106"/>
    <mergeCell ref="D107:L107"/>
    <mergeCell ref="D108:L108"/>
    <mergeCell ref="D109:L109"/>
    <mergeCell ref="D110:L110"/>
    <mergeCell ref="D111:L111"/>
    <mergeCell ref="D112:L112"/>
    <mergeCell ref="D113:L113"/>
    <mergeCell ref="D114:L114"/>
    <mergeCell ref="D115:L115"/>
    <mergeCell ref="D116:L116"/>
    <mergeCell ref="D87:E87"/>
    <mergeCell ref="D88:E88"/>
    <mergeCell ref="D89:E89"/>
    <mergeCell ref="D90:E90"/>
    <mergeCell ref="D101:E101"/>
    <mergeCell ref="D102:E102"/>
    <mergeCell ref="D95:E95"/>
    <mergeCell ref="D96:E96"/>
    <mergeCell ref="D99:E99"/>
    <mergeCell ref="D100:E100"/>
    <mergeCell ref="D97:E97"/>
    <mergeCell ref="D98:E98"/>
    <mergeCell ref="D46:E46"/>
    <mergeCell ref="D27:E27"/>
    <mergeCell ref="D28:E28"/>
    <mergeCell ref="D29:E29"/>
    <mergeCell ref="D30:E30"/>
    <mergeCell ref="D31:E31"/>
    <mergeCell ref="D91:E91"/>
    <mergeCell ref="D32:E32"/>
    <mergeCell ref="D33:E33"/>
    <mergeCell ref="D34:E34"/>
    <mergeCell ref="D35:E35"/>
    <mergeCell ref="D51:E51"/>
    <mergeCell ref="D36:E36"/>
    <mergeCell ref="D37:E37"/>
    <mergeCell ref="D38:E38"/>
    <mergeCell ref="D39:E39"/>
    <mergeCell ref="D40:E40"/>
    <mergeCell ref="D41:E41"/>
    <mergeCell ref="D42:E42"/>
    <mergeCell ref="D43:E43"/>
    <mergeCell ref="D44:E44"/>
    <mergeCell ref="D45:E45"/>
    <mergeCell ref="D86:E86"/>
    <mergeCell ref="D14:J14"/>
    <mergeCell ref="D26:E26"/>
    <mergeCell ref="D15:E15"/>
    <mergeCell ref="D16:E16"/>
    <mergeCell ref="D17:E17"/>
    <mergeCell ref="D18:E18"/>
    <mergeCell ref="D19:E19"/>
    <mergeCell ref="D20:E20"/>
    <mergeCell ref="D21:E21"/>
    <mergeCell ref="D22:E22"/>
    <mergeCell ref="D23:E23"/>
    <mergeCell ref="D24:E24"/>
    <mergeCell ref="D25:E25"/>
    <mergeCell ref="D82:E82"/>
    <mergeCell ref="D63:E63"/>
    <mergeCell ref="D64:E64"/>
    <mergeCell ref="D65:E65"/>
    <mergeCell ref="D78:E78"/>
    <mergeCell ref="D67:E67"/>
    <mergeCell ref="D68:E68"/>
    <mergeCell ref="D69:E69"/>
    <mergeCell ref="D47:E47"/>
    <mergeCell ref="D48:E48"/>
    <mergeCell ref="D49:E49"/>
    <mergeCell ref="D50:E50"/>
    <mergeCell ref="D53:E53"/>
    <mergeCell ref="D52:E52"/>
    <mergeCell ref="D54:E54"/>
    <mergeCell ref="D55:E55"/>
    <mergeCell ref="D56:E56"/>
    <mergeCell ref="D57:E57"/>
    <mergeCell ref="D103:J103"/>
    <mergeCell ref="D74:E74"/>
    <mergeCell ref="D75:E75"/>
    <mergeCell ref="D92:E92"/>
    <mergeCell ref="D93:E93"/>
    <mergeCell ref="D94:E94"/>
    <mergeCell ref="D76:E76"/>
    <mergeCell ref="D77:E77"/>
    <mergeCell ref="D83:E83"/>
    <mergeCell ref="D84:E84"/>
    <mergeCell ref="D85:E85"/>
    <mergeCell ref="D79:E79"/>
    <mergeCell ref="D80:E80"/>
    <mergeCell ref="D70:E70"/>
    <mergeCell ref="D71:E71"/>
    <mergeCell ref="D72:E72"/>
    <mergeCell ref="D73:E73"/>
    <mergeCell ref="D81:E81"/>
    <mergeCell ref="D66:E66"/>
    <mergeCell ref="D59:J59"/>
    <mergeCell ref="D60:E60"/>
    <mergeCell ref="D61:E61"/>
    <mergeCell ref="D62:E62"/>
  </mergeCells>
  <pageMargins left="0.62992125984251968" right="0.23622047244094491" top="0.74803149606299213" bottom="0.74803149606299213" header="0.31496062992125984" footer="0.31496062992125984"/>
  <pageSetup paperSize="9" scale="43" orientation="portrait" r:id="rId1"/>
  <headerFooter>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3:U487"/>
  <sheetViews>
    <sheetView topLeftCell="A50" zoomScaleNormal="100" workbookViewId="0">
      <selection activeCell="M76" sqref="M76"/>
    </sheetView>
  </sheetViews>
  <sheetFormatPr defaultColWidth="9.109375" defaultRowHeight="13.8" x14ac:dyDescent="0.3"/>
  <cols>
    <col min="1" max="1" width="12.44140625" style="23" customWidth="1"/>
    <col min="2" max="2" width="2.88671875" style="467" customWidth="1"/>
    <col min="3" max="3" width="2" style="467" customWidth="1"/>
    <col min="4" max="4" width="28" style="401" customWidth="1"/>
    <col min="5" max="5" width="16.5546875" style="401" customWidth="1"/>
    <col min="6" max="6" width="16.109375" style="401" customWidth="1"/>
    <col min="7" max="7" width="10.88671875" style="401" customWidth="1"/>
    <col min="8" max="8" width="12" style="401" customWidth="1"/>
    <col min="9" max="9" width="14" style="401" customWidth="1"/>
    <col min="10" max="10" width="15" style="401" customWidth="1"/>
    <col min="11" max="11" width="15" style="23" customWidth="1"/>
    <col min="12" max="12" width="12.33203125" style="23" customWidth="1"/>
    <col min="13" max="13" width="13.5546875" style="23" customWidth="1"/>
    <col min="14" max="14" width="13.88671875" style="23" bestFit="1" customWidth="1"/>
    <col min="15" max="15" width="12.5546875" style="23" bestFit="1" customWidth="1"/>
    <col min="16" max="16" width="13.6640625" style="23" bestFit="1" customWidth="1"/>
    <col min="17" max="17" width="14.44140625" style="23" bestFit="1" customWidth="1"/>
    <col min="18" max="18" width="12.6640625" style="23" bestFit="1" customWidth="1"/>
    <col min="19" max="19" width="9.109375" style="23"/>
    <col min="20" max="20" width="12.33203125" style="23" bestFit="1" customWidth="1"/>
    <col min="21" max="21" width="11.33203125" style="23" bestFit="1" customWidth="1"/>
    <col min="22" max="16384" width="9.109375" style="23"/>
  </cols>
  <sheetData>
    <row r="3" spans="1:17" x14ac:dyDescent="0.3">
      <c r="B3" s="467">
        <v>1.43</v>
      </c>
      <c r="C3" s="467">
        <v>1.29</v>
      </c>
      <c r="D3" s="401">
        <v>28.29</v>
      </c>
      <c r="E3" s="401">
        <v>9.86</v>
      </c>
      <c r="F3" s="401">
        <v>9.14</v>
      </c>
      <c r="G3" s="401">
        <v>10.14</v>
      </c>
      <c r="H3" s="401">
        <v>9.86</v>
      </c>
      <c r="I3" s="401">
        <v>9.2899999999999991</v>
      </c>
      <c r="J3" s="401">
        <v>9.86</v>
      </c>
      <c r="M3" s="23" t="s">
        <v>854</v>
      </c>
    </row>
    <row r="4" spans="1:17" x14ac:dyDescent="0.3">
      <c r="A4" s="23" t="s">
        <v>448</v>
      </c>
      <c r="B4" s="467" t="str">
        <f>'Standing Data'!$D$4</f>
        <v>NAME OF COUNCIL</v>
      </c>
    </row>
    <row r="5" spans="1:17" x14ac:dyDescent="0.3">
      <c r="A5" s="3" t="s">
        <v>448</v>
      </c>
      <c r="B5" s="467" t="str">
        <f>'Standing Data'!$D$28</f>
        <v>Notes to the Financial Statements</v>
      </c>
    </row>
    <row r="6" spans="1:17" x14ac:dyDescent="0.3">
      <c r="A6" s="3" t="s">
        <v>448</v>
      </c>
      <c r="B6" s="467" t="str">
        <f>'Standing Data'!$D$32</f>
        <v>FOR THE YEAR ENDED 31 March 2026</v>
      </c>
    </row>
    <row r="7" spans="1:17" x14ac:dyDescent="0.3">
      <c r="A7" s="3" t="s">
        <v>448</v>
      </c>
    </row>
    <row r="8" spans="1:17" x14ac:dyDescent="0.3">
      <c r="A8" s="3" t="s">
        <v>448</v>
      </c>
    </row>
    <row r="9" spans="1:17" x14ac:dyDescent="0.3">
      <c r="A9" s="3" t="s">
        <v>448</v>
      </c>
      <c r="B9" s="467">
        <f>+Checklist!E50</f>
        <v>2</v>
      </c>
    </row>
    <row r="10" spans="1:17" x14ac:dyDescent="0.3">
      <c r="A10" s="3" t="s">
        <v>448</v>
      </c>
      <c r="C10" s="467" t="str">
        <f>+Checklist!E53</f>
        <v>c</v>
      </c>
      <c r="D10" s="474" t="s">
        <v>1973</v>
      </c>
      <c r="E10" s="480"/>
      <c r="F10" s="480"/>
      <c r="G10" s="480"/>
      <c r="H10" s="480"/>
      <c r="I10" s="481"/>
      <c r="J10" s="481"/>
      <c r="K10" s="481"/>
      <c r="L10" s="481"/>
      <c r="M10" s="481"/>
      <c r="N10" s="28"/>
      <c r="O10" s="28"/>
      <c r="P10" s="28"/>
      <c r="Q10" s="28"/>
    </row>
    <row r="11" spans="1:17" x14ac:dyDescent="0.3">
      <c r="A11" s="3" t="s">
        <v>448</v>
      </c>
      <c r="D11" s="1500"/>
      <c r="E11" s="1500"/>
      <c r="F11" s="1500"/>
      <c r="G11" s="1500"/>
      <c r="H11" s="1500"/>
      <c r="I11" s="1500"/>
      <c r="J11" s="1500"/>
      <c r="K11" s="1500"/>
      <c r="L11" s="1500"/>
      <c r="M11" s="1500"/>
      <c r="N11" s="28"/>
      <c r="O11" s="28"/>
      <c r="P11" s="28"/>
      <c r="Q11" s="28"/>
    </row>
    <row r="12" spans="1:17" x14ac:dyDescent="0.3">
      <c r="A12" s="3" t="str">
        <f>IF('Non TB - Note 2'!F20=1,"Print","Do Not Print")</f>
        <v>Print</v>
      </c>
      <c r="D12" s="1500" t="str">
        <f>IF('Non TB - Note 2'!F20=1,'Non TB - Note 2'!H20,"")</f>
        <v>Income and expenditure on a segmental basis are analysed below:</v>
      </c>
      <c r="E12" s="1500"/>
      <c r="F12" s="1500"/>
      <c r="G12" s="1500"/>
      <c r="H12" s="1500"/>
      <c r="I12" s="1500"/>
      <c r="J12" s="1500"/>
      <c r="K12" s="1500"/>
      <c r="L12" s="1500"/>
      <c r="M12" s="1500"/>
      <c r="N12" s="28"/>
      <c r="O12" s="28"/>
      <c r="P12" s="28"/>
      <c r="Q12" s="28"/>
    </row>
    <row r="13" spans="1:17" x14ac:dyDescent="0.3">
      <c r="A13" s="3" t="s">
        <v>448</v>
      </c>
      <c r="D13" s="1500"/>
      <c r="E13" s="1500"/>
      <c r="F13" s="1500"/>
      <c r="G13" s="1500"/>
      <c r="H13" s="1500"/>
      <c r="I13" s="1500"/>
      <c r="J13" s="1500"/>
      <c r="K13" s="1500"/>
      <c r="L13" s="1500"/>
      <c r="M13" s="1500"/>
      <c r="N13" s="28"/>
      <c r="O13" s="28"/>
      <c r="P13" s="28"/>
      <c r="Q13" s="28"/>
    </row>
    <row r="14" spans="1:17" x14ac:dyDescent="0.3">
      <c r="A14" s="3" t="s">
        <v>448</v>
      </c>
      <c r="D14" s="959"/>
      <c r="E14" s="1743" t="str">
        <f>'Standing Data'!D34</f>
        <v>2025/26</v>
      </c>
      <c r="F14" s="1743"/>
      <c r="G14" s="1743"/>
      <c r="H14" s="1743"/>
      <c r="I14" s="1743"/>
      <c r="J14" s="1743"/>
      <c r="K14" s="1743"/>
      <c r="L14" s="1743"/>
      <c r="M14" s="1743"/>
      <c r="N14" s="28"/>
      <c r="O14" s="28"/>
      <c r="P14" s="28"/>
      <c r="Q14" s="28"/>
    </row>
    <row r="15" spans="1:17" ht="104.55" customHeight="1" x14ac:dyDescent="0.3">
      <c r="A15" s="3" t="s">
        <v>448</v>
      </c>
      <c r="D15" s="1744"/>
      <c r="E15" s="960" t="s">
        <v>1974</v>
      </c>
      <c r="F15" s="960" t="s">
        <v>1975</v>
      </c>
      <c r="G15" s="960" t="s">
        <v>1976</v>
      </c>
      <c r="H15" s="960" t="s">
        <v>1977</v>
      </c>
      <c r="I15" s="960" t="s">
        <v>1978</v>
      </c>
      <c r="J15" s="960" t="s">
        <v>2001</v>
      </c>
      <c r="K15" s="960" t="s">
        <v>1980</v>
      </c>
      <c r="L15" s="960" t="s">
        <v>1981</v>
      </c>
      <c r="M15" s="960" t="s">
        <v>1982</v>
      </c>
      <c r="N15" s="28"/>
      <c r="O15" s="28"/>
      <c r="P15" s="28"/>
      <c r="Q15" s="28"/>
    </row>
    <row r="16" spans="1:17" ht="13.5" customHeight="1" x14ac:dyDescent="0.3">
      <c r="A16" s="3" t="s">
        <v>448</v>
      </c>
      <c r="D16" s="1745"/>
      <c r="E16" s="961" t="s">
        <v>450</v>
      </c>
      <c r="F16" s="961" t="s">
        <v>450</v>
      </c>
      <c r="G16" s="961" t="s">
        <v>450</v>
      </c>
      <c r="H16" s="961" t="s">
        <v>450</v>
      </c>
      <c r="I16" s="961" t="s">
        <v>450</v>
      </c>
      <c r="J16" s="961" t="s">
        <v>450</v>
      </c>
      <c r="K16" s="961" t="s">
        <v>450</v>
      </c>
      <c r="L16" s="961" t="s">
        <v>450</v>
      </c>
      <c r="M16" s="961" t="s">
        <v>450</v>
      </c>
      <c r="N16" s="28"/>
      <c r="O16" s="28"/>
      <c r="P16" s="28"/>
      <c r="Q16" s="28"/>
    </row>
    <row r="17" spans="1:17" x14ac:dyDescent="0.3">
      <c r="A17" s="3" t="str">
        <f>IF(AND(E17=0,F17=0,G17=0,H17=0,I17=0,J17=0,K17=0,L17=0,M17=0),"Do Not Print","Print")</f>
        <v>Do Not Print</v>
      </c>
      <c r="D17" s="958" t="str">
        <f>'Input -CIES'!E7</f>
        <v>CIES Line 1</v>
      </c>
      <c r="E17" s="962">
        <f>SUMPRODUCT(($D17='Input - EFA'!$E$151:$E$465)*(E$15='Input - EFA'!$H$151:$H$465)*'Input - EFA'!$L$151:$L$465)</f>
        <v>0</v>
      </c>
      <c r="F17" s="962">
        <f>SUMPRODUCT(($D17='Input - EFA'!$E$151:$E$465)*(F$15='Input - EFA'!$H$151:$H$465)*'Input - EFA'!$L$151:$L$465)</f>
        <v>0</v>
      </c>
      <c r="G17" s="962">
        <f>SUMPRODUCT(($D17='Input - EFA'!$E$151:$E$465)*(G$15='Input - EFA'!$H$151:$H$465)*'Input - EFA'!$L$151:$L$465)</f>
        <v>0</v>
      </c>
      <c r="H17" s="962">
        <f>SUMPRODUCT(($D17='Input - EFA'!$E$151:$E$465)*(H$15='Input - EFA'!$H$151:$H$465)*'Input - EFA'!$L$151:$L$465)</f>
        <v>0</v>
      </c>
      <c r="I17" s="962">
        <f>SUMPRODUCT(($D17='Input - EFA'!$E$151:$E$465)*(I$15='Input - EFA'!$H$151:$H$465)*'Input - EFA'!$L$151:$L$465)</f>
        <v>0</v>
      </c>
      <c r="J17" s="962">
        <f>SUMPRODUCT(($D17='Input - EFA'!$E$151:$E$465)*(J$15='Input - EFA'!$H$151:$H$465)*'Input - EFA'!$L$151:$L$465)</f>
        <v>0</v>
      </c>
      <c r="K17" s="962">
        <f>SUMPRODUCT(($D17='Input - EFA'!$E$151:$E$465)*(K$15='Input - EFA'!$H$151:$H$465)*'Input - EFA'!$L$151:$L$465)</f>
        <v>0</v>
      </c>
      <c r="L17" s="962">
        <f>SUMPRODUCT(($D17='Input - EFA'!$E$151:$E$465)*(L$15='Input - EFA'!$H$151:$H$465)*'Input - EFA'!$L$151:$L$465)</f>
        <v>0</v>
      </c>
      <c r="M17" s="962">
        <f>SUMPRODUCT(($D17='Input - EFA'!$E$151:$E$465)*(M$15='Input - EFA'!$H$151:$H$465)*'Input - EFA'!$L$151:$L$465)</f>
        <v>0</v>
      </c>
      <c r="N17" s="28"/>
      <c r="O17" s="28"/>
      <c r="P17" s="28"/>
      <c r="Q17" s="28"/>
    </row>
    <row r="18" spans="1:17" x14ac:dyDescent="0.3">
      <c r="A18" s="3" t="str">
        <f t="shared" ref="A18:A35" si="0">IF(AND(E18=0,F18=0,G18=0,H18=0,I18=0,J18=0,K18=0,L18=0,M18=0),"Do Not Print","Print")</f>
        <v>Do Not Print</v>
      </c>
      <c r="D18" s="958" t="str">
        <f>'Input -CIES'!E8</f>
        <v>CIES Line 2</v>
      </c>
      <c r="E18" s="962">
        <f>SUMPRODUCT(($D18='Input - EFA'!$E$151:$E$465)*(E$15='Input - EFA'!$H$151:$H$465)*'Input - EFA'!$L$151:$L$465)</f>
        <v>0</v>
      </c>
      <c r="F18" s="962">
        <f>SUMPRODUCT(($D18='Input - EFA'!$E$151:$E$465)*(F$15='Input - EFA'!$H$151:$H$465)*'Input - EFA'!$L$151:$L$465)</f>
        <v>0</v>
      </c>
      <c r="G18" s="962">
        <f>SUMPRODUCT(($D18='Input - EFA'!$E$151:$E$465)*(G$15='Input - EFA'!$H$151:$H$465)*'Input - EFA'!$L$151:$L$465)</f>
        <v>0</v>
      </c>
      <c r="H18" s="962">
        <f>SUMPRODUCT(($D18='Input - EFA'!$E$151:$E$465)*(H$15='Input - EFA'!$H$151:$H$465)*'Input - EFA'!$L$151:$L$465)</f>
        <v>0</v>
      </c>
      <c r="I18" s="962">
        <f>SUMPRODUCT(($D18='Input - EFA'!$E$151:$E$465)*(I$15='Input - EFA'!$H$151:$H$465)*'Input - EFA'!$L$151:$L$465)</f>
        <v>0</v>
      </c>
      <c r="J18" s="962">
        <f>SUMPRODUCT(($D18='Input - EFA'!$E$151:$E$465)*(J$15='Input - EFA'!$H$151:$H$465)*'Input - EFA'!$L$151:$L$465)</f>
        <v>0</v>
      </c>
      <c r="K18" s="962">
        <f>SUMPRODUCT(($D18='Input - EFA'!$E$151:$E$465)*(K$15='Input - EFA'!$H$151:$H$465)*'Input - EFA'!$L$151:$L$465)</f>
        <v>0</v>
      </c>
      <c r="L18" s="962">
        <f>SUMPRODUCT(($D18='Input - EFA'!$E$151:$E$465)*(L$15='Input - EFA'!$H$151:$H$465)*'Input - EFA'!$L$151:$L$465)</f>
        <v>0</v>
      </c>
      <c r="M18" s="962">
        <f>SUMPRODUCT(($D18='Input - EFA'!$E$151:$E$465)*(M$15='Input - EFA'!$H$151:$H$465)*'Input - EFA'!$L$151:$L$465)</f>
        <v>0</v>
      </c>
      <c r="N18" s="28"/>
      <c r="O18" s="28"/>
      <c r="P18" s="28"/>
      <c r="Q18" s="28"/>
    </row>
    <row r="19" spans="1:17" x14ac:dyDescent="0.3">
      <c r="A19" s="3" t="str">
        <f t="shared" si="0"/>
        <v>Do Not Print</v>
      </c>
      <c r="D19" s="958" t="str">
        <f>'Input -CIES'!E9</f>
        <v>CIES Line 3</v>
      </c>
      <c r="E19" s="962">
        <f>SUMPRODUCT(($D19='Input - EFA'!$E$151:$E$465)*(E$15='Input - EFA'!$H$151:$H$465)*'Input - EFA'!$L$151:$L$465)</f>
        <v>0</v>
      </c>
      <c r="F19" s="962">
        <f>SUMPRODUCT(($D19='Input - EFA'!$E$151:$E$465)*(F$15='Input - EFA'!$H$151:$H$465)*'Input - EFA'!$L$151:$L$465)</f>
        <v>0</v>
      </c>
      <c r="G19" s="962">
        <f>SUMPRODUCT(($D19='Input - EFA'!$E$151:$E$465)*(G$15='Input - EFA'!$H$151:$H$465)*'Input - EFA'!$L$151:$L$465)</f>
        <v>0</v>
      </c>
      <c r="H19" s="962">
        <f>SUMPRODUCT(($D19='Input - EFA'!$E$151:$E$465)*(H$15='Input - EFA'!$H$151:$H$465)*'Input - EFA'!$L$151:$L$465)</f>
        <v>0</v>
      </c>
      <c r="I19" s="962">
        <f>SUMPRODUCT(($D19='Input - EFA'!$E$151:$E$465)*(I$15='Input - EFA'!$H$151:$H$465)*'Input - EFA'!$L$151:$L$465)</f>
        <v>0</v>
      </c>
      <c r="J19" s="962">
        <f>SUMPRODUCT(($D19='Input - EFA'!$E$151:$E$465)*(J$15='Input - EFA'!$H$151:$H$465)*'Input - EFA'!$L$151:$L$465)</f>
        <v>0</v>
      </c>
      <c r="K19" s="962">
        <f>SUMPRODUCT(($D19='Input - EFA'!$E$151:$E$465)*(K$15='Input - EFA'!$H$151:$H$465)*'Input - EFA'!$L$151:$L$465)</f>
        <v>0</v>
      </c>
      <c r="L19" s="962">
        <f>SUMPRODUCT(($D19='Input - EFA'!$E$151:$E$465)*(L$15='Input - EFA'!$H$151:$H$465)*'Input - EFA'!$L$151:$L$465)</f>
        <v>0</v>
      </c>
      <c r="M19" s="962">
        <f>SUMPRODUCT(($D19='Input - EFA'!$E$151:$E$465)*(M$15='Input - EFA'!$H$151:$H$465)*'Input - EFA'!$L$151:$L$465)</f>
        <v>0</v>
      </c>
      <c r="N19" s="28"/>
      <c r="O19" s="28"/>
      <c r="P19" s="28"/>
      <c r="Q19" s="28"/>
    </row>
    <row r="20" spans="1:17" x14ac:dyDescent="0.3">
      <c r="A20" s="3" t="str">
        <f t="shared" si="0"/>
        <v>Do Not Print</v>
      </c>
      <c r="D20" s="958" t="str">
        <f>'Input -CIES'!E10</f>
        <v>CIES Line 4</v>
      </c>
      <c r="E20" s="962">
        <f>SUMPRODUCT(($D20='Input - EFA'!$E$151:$E$465)*(E$15='Input - EFA'!$H$151:$H$465)*'Input - EFA'!$L$151:$L$465)</f>
        <v>0</v>
      </c>
      <c r="F20" s="962">
        <f>SUMPRODUCT(($D20='Input - EFA'!$E$151:$E$465)*(F$15='Input - EFA'!$H$151:$H$465)*'Input - EFA'!$L$151:$L$465)</f>
        <v>0</v>
      </c>
      <c r="G20" s="962">
        <f>SUMPRODUCT(($D20='Input - EFA'!$E$151:$E$465)*(G$15='Input - EFA'!$H$151:$H$465)*'Input - EFA'!$L$151:$L$465)</f>
        <v>0</v>
      </c>
      <c r="H20" s="962">
        <f>SUMPRODUCT(($D20='Input - EFA'!$E$151:$E$465)*(H$15='Input - EFA'!$H$151:$H$465)*'Input - EFA'!$L$151:$L$465)</f>
        <v>0</v>
      </c>
      <c r="I20" s="962">
        <f>SUMPRODUCT(($D20='Input - EFA'!$E$151:$E$465)*(I$15='Input - EFA'!$H$151:$H$465)*'Input - EFA'!$L$151:$L$465)</f>
        <v>0</v>
      </c>
      <c r="J20" s="962">
        <f>SUMPRODUCT(($D20='Input - EFA'!$E$151:$E$465)*(J$15='Input - EFA'!$H$151:$H$465)*'Input - EFA'!$L$151:$L$465)</f>
        <v>0</v>
      </c>
      <c r="K20" s="962">
        <f>SUMPRODUCT(($D20='Input - EFA'!$E$151:$E$465)*(K$15='Input - EFA'!$H$151:$H$465)*'Input - EFA'!$L$151:$L$465)</f>
        <v>0</v>
      </c>
      <c r="L20" s="962">
        <f>SUMPRODUCT(($D20='Input - EFA'!$E$151:$E$465)*(L$15='Input - EFA'!$H$151:$H$465)*'Input - EFA'!$L$151:$L$465)</f>
        <v>0</v>
      </c>
      <c r="M20" s="962">
        <f>SUMPRODUCT(($D20='Input - EFA'!$E$151:$E$465)*(M$15='Input - EFA'!$H$151:$H$465)*'Input - EFA'!$L$151:$L$465)</f>
        <v>0</v>
      </c>
      <c r="N20" s="28"/>
      <c r="O20" s="28"/>
      <c r="P20" s="28"/>
      <c r="Q20" s="28"/>
    </row>
    <row r="21" spans="1:17" x14ac:dyDescent="0.3">
      <c r="A21" s="3" t="str">
        <f t="shared" si="0"/>
        <v>Do Not Print</v>
      </c>
      <c r="D21" s="958" t="str">
        <f>'Input -CIES'!E11</f>
        <v>CIES Line 5</v>
      </c>
      <c r="E21" s="962">
        <f>SUMPRODUCT(($D21='Input - EFA'!$E$151:$E$465)*(E$15='Input - EFA'!$H$151:$H$465)*'Input - EFA'!$L$151:$L$465)</f>
        <v>0</v>
      </c>
      <c r="F21" s="962">
        <f>SUMPRODUCT(($D21='Input - EFA'!$E$151:$E$465)*(F$15='Input - EFA'!$H$151:$H$465)*'Input - EFA'!$L$151:$L$465)</f>
        <v>0</v>
      </c>
      <c r="G21" s="962">
        <f>SUMPRODUCT(($D21='Input - EFA'!$E$151:$E$465)*(G$15='Input - EFA'!$H$151:$H$465)*'Input - EFA'!$L$151:$L$465)</f>
        <v>0</v>
      </c>
      <c r="H21" s="962">
        <f>SUMPRODUCT(($D21='Input - EFA'!$E$151:$E$465)*(H$15='Input - EFA'!$H$151:$H$465)*'Input - EFA'!$L$151:$L$465)</f>
        <v>0</v>
      </c>
      <c r="I21" s="962">
        <f>SUMPRODUCT(($D21='Input - EFA'!$E$151:$E$465)*(I$15='Input - EFA'!$H$151:$H$465)*'Input - EFA'!$L$151:$L$465)</f>
        <v>0</v>
      </c>
      <c r="J21" s="962">
        <f>SUMPRODUCT(($D21='Input - EFA'!$E$151:$E$465)*(J$15='Input - EFA'!$H$151:$H$465)*'Input - EFA'!$L$151:$L$465)</f>
        <v>0</v>
      </c>
      <c r="K21" s="962">
        <f>SUMPRODUCT(($D21='Input - EFA'!$E$151:$E$465)*(K$15='Input - EFA'!$H$151:$H$465)*'Input - EFA'!$L$151:$L$465)</f>
        <v>0</v>
      </c>
      <c r="L21" s="962">
        <f>SUMPRODUCT(($D21='Input - EFA'!$E$151:$E$465)*(L$15='Input - EFA'!$H$151:$H$465)*'Input - EFA'!$L$151:$L$465)</f>
        <v>0</v>
      </c>
      <c r="M21" s="962">
        <f>SUMPRODUCT(($D21='Input - EFA'!$E$151:$E$465)*(M$15='Input - EFA'!$H$151:$H$465)*'Input - EFA'!$L$151:$L$465)</f>
        <v>0</v>
      </c>
      <c r="N21" s="28"/>
      <c r="O21" s="28"/>
      <c r="P21" s="28"/>
      <c r="Q21" s="28"/>
    </row>
    <row r="22" spans="1:17" x14ac:dyDescent="0.3">
      <c r="A22" s="3" t="str">
        <f t="shared" si="0"/>
        <v>Do Not Print</v>
      </c>
      <c r="D22" s="958" t="str">
        <f>'Input -CIES'!E12</f>
        <v>CIES Line 6</v>
      </c>
      <c r="E22" s="962">
        <f>SUMPRODUCT(($D22='Input - EFA'!$E$151:$E$465)*(E$15='Input - EFA'!$H$151:$H$465)*'Input - EFA'!$L$151:$L$465)</f>
        <v>0</v>
      </c>
      <c r="F22" s="962">
        <f>SUMPRODUCT(($D22='Input - EFA'!$E$151:$E$465)*(F$15='Input - EFA'!$H$151:$H$465)*'Input - EFA'!$L$151:$L$465)</f>
        <v>0</v>
      </c>
      <c r="G22" s="962">
        <f>SUMPRODUCT(($D22='Input - EFA'!$E$151:$E$465)*(G$15='Input - EFA'!$H$151:$H$465)*'Input - EFA'!$L$151:$L$465)</f>
        <v>0</v>
      </c>
      <c r="H22" s="962">
        <f>SUMPRODUCT(($D22='Input - EFA'!$E$151:$E$465)*(H$15='Input - EFA'!$H$151:$H$465)*'Input - EFA'!$L$151:$L$465)</f>
        <v>0</v>
      </c>
      <c r="I22" s="962">
        <f>SUMPRODUCT(($D22='Input - EFA'!$E$151:$E$465)*(I$15='Input - EFA'!$H$151:$H$465)*'Input - EFA'!$L$151:$L$465)</f>
        <v>0</v>
      </c>
      <c r="J22" s="962">
        <f>SUMPRODUCT(($D22='Input - EFA'!$E$151:$E$465)*(J$15='Input - EFA'!$H$151:$H$465)*'Input - EFA'!$L$151:$L$465)</f>
        <v>0</v>
      </c>
      <c r="K22" s="962">
        <f>SUMPRODUCT(($D22='Input - EFA'!$E$151:$E$465)*(K$15='Input - EFA'!$H$151:$H$465)*'Input - EFA'!$L$151:$L$465)</f>
        <v>0</v>
      </c>
      <c r="L22" s="962">
        <f>SUMPRODUCT(($D22='Input - EFA'!$E$151:$E$465)*(L$15='Input - EFA'!$H$151:$H$465)*'Input - EFA'!$L$151:$L$465)</f>
        <v>0</v>
      </c>
      <c r="M22" s="962">
        <f>SUMPRODUCT(($D22='Input - EFA'!$E$151:$E$465)*(M$15='Input - EFA'!$H$151:$H$465)*'Input - EFA'!$L$151:$L$465)</f>
        <v>0</v>
      </c>
      <c r="N22" s="28"/>
      <c r="O22" s="28"/>
      <c r="P22" s="28"/>
      <c r="Q22" s="28"/>
    </row>
    <row r="23" spans="1:17" x14ac:dyDescent="0.3">
      <c r="A23" s="3" t="str">
        <f t="shared" si="0"/>
        <v>Do Not Print</v>
      </c>
      <c r="D23" s="958" t="str">
        <f>'Input -CIES'!E13</f>
        <v>CIES Line 7</v>
      </c>
      <c r="E23" s="962">
        <f>SUMPRODUCT(($D23='Input - EFA'!$E$151:$E$465)*(E$15='Input - EFA'!$H$151:$H$465)*'Input - EFA'!$L$151:$L$465)</f>
        <v>0</v>
      </c>
      <c r="F23" s="962">
        <f>SUMPRODUCT(($D23='Input - EFA'!$E$151:$E$465)*(F$15='Input - EFA'!$H$151:$H$465)*'Input - EFA'!$L$151:$L$465)</f>
        <v>0</v>
      </c>
      <c r="G23" s="962">
        <f>SUMPRODUCT(($D23='Input - EFA'!$E$151:$E$465)*(G$15='Input - EFA'!$H$151:$H$465)*'Input - EFA'!$L$151:$L$465)</f>
        <v>0</v>
      </c>
      <c r="H23" s="962">
        <f>SUMPRODUCT(($D23='Input - EFA'!$E$151:$E$465)*(H$15='Input - EFA'!$H$151:$H$465)*'Input - EFA'!$L$151:$L$465)</f>
        <v>0</v>
      </c>
      <c r="I23" s="962">
        <f>SUMPRODUCT(($D23='Input - EFA'!$E$151:$E$465)*(I$15='Input - EFA'!$H$151:$H$465)*'Input - EFA'!$L$151:$L$465)</f>
        <v>0</v>
      </c>
      <c r="J23" s="962">
        <f>SUMPRODUCT(($D23='Input - EFA'!$E$151:$E$465)*(J$15='Input - EFA'!$H$151:$H$465)*'Input - EFA'!$L$151:$L$465)</f>
        <v>0</v>
      </c>
      <c r="K23" s="962">
        <f>SUMPRODUCT(($D23='Input - EFA'!$E$151:$E$465)*(K$15='Input - EFA'!$H$151:$H$465)*'Input - EFA'!$L$151:$L$465)</f>
        <v>0</v>
      </c>
      <c r="L23" s="962">
        <f>SUMPRODUCT(($D23='Input - EFA'!$E$151:$E$465)*(L$15='Input - EFA'!$H$151:$H$465)*'Input - EFA'!$L$151:$L$465)</f>
        <v>0</v>
      </c>
      <c r="M23" s="962">
        <f>SUMPRODUCT(($D23='Input - EFA'!$E$151:$E$465)*(M$15='Input - EFA'!$H$151:$H$465)*'Input - EFA'!$L$151:$L$465)</f>
        <v>0</v>
      </c>
      <c r="N23" s="28"/>
      <c r="O23" s="28"/>
      <c r="P23" s="28"/>
      <c r="Q23" s="28"/>
    </row>
    <row r="24" spans="1:17" x14ac:dyDescent="0.3">
      <c r="A24" s="3" t="str">
        <f t="shared" si="0"/>
        <v>Do Not Print</v>
      </c>
      <c r="D24" s="958" t="str">
        <f>'Input -CIES'!E14</f>
        <v>CIES Line 8</v>
      </c>
      <c r="E24" s="962">
        <f>SUMPRODUCT(($D24='Input - EFA'!$E$151:$E$465)*(E$15='Input - EFA'!$H$151:$H$465)*'Input - EFA'!$L$151:$L$465)</f>
        <v>0</v>
      </c>
      <c r="F24" s="962">
        <f>SUMPRODUCT(($D24='Input - EFA'!$E$151:$E$465)*(F$15='Input - EFA'!$H$151:$H$465)*'Input - EFA'!$L$151:$L$465)</f>
        <v>0</v>
      </c>
      <c r="G24" s="962">
        <f>SUMPRODUCT(($D24='Input - EFA'!$E$151:$E$465)*(G$15='Input - EFA'!$H$151:$H$465)*'Input - EFA'!$L$151:$L$465)</f>
        <v>0</v>
      </c>
      <c r="H24" s="962">
        <f>SUMPRODUCT(($D24='Input - EFA'!$E$151:$E$465)*(H$15='Input - EFA'!$H$151:$H$465)*'Input - EFA'!$L$151:$L$465)</f>
        <v>0</v>
      </c>
      <c r="I24" s="962">
        <f>SUMPRODUCT(($D24='Input - EFA'!$E$151:$E$465)*(I$15='Input - EFA'!$H$151:$H$465)*'Input - EFA'!$L$151:$L$465)</f>
        <v>0</v>
      </c>
      <c r="J24" s="962">
        <f>SUMPRODUCT(($D24='Input - EFA'!$E$151:$E$465)*(J$15='Input - EFA'!$H$151:$H$465)*'Input - EFA'!$L$151:$L$465)</f>
        <v>0</v>
      </c>
      <c r="K24" s="962">
        <f>SUMPRODUCT(($D24='Input - EFA'!$E$151:$E$465)*(K$15='Input - EFA'!$H$151:$H$465)*'Input - EFA'!$L$151:$L$465)</f>
        <v>0</v>
      </c>
      <c r="L24" s="962">
        <f>SUMPRODUCT(($D24='Input - EFA'!$E$151:$E$465)*(L$15='Input - EFA'!$H$151:$H$465)*'Input - EFA'!$L$151:$L$465)</f>
        <v>0</v>
      </c>
      <c r="M24" s="962">
        <f>SUMPRODUCT(($D24='Input - EFA'!$E$151:$E$465)*(M$15='Input - EFA'!$H$151:$H$465)*'Input - EFA'!$L$151:$L$465)</f>
        <v>0</v>
      </c>
      <c r="N24" s="28"/>
      <c r="O24" s="28"/>
      <c r="P24" s="28"/>
      <c r="Q24" s="28"/>
    </row>
    <row r="25" spans="1:17" x14ac:dyDescent="0.3">
      <c r="A25" s="3" t="str">
        <f t="shared" si="0"/>
        <v>Do Not Print</v>
      </c>
      <c r="D25" s="958" t="str">
        <f>'Input -CIES'!E15</f>
        <v>CIES Line 9</v>
      </c>
      <c r="E25" s="962">
        <f>SUMPRODUCT(($D25='Input - EFA'!$E$151:$E$465)*(E$15='Input - EFA'!$H$151:$H$465)*'Input - EFA'!$L$151:$L$465)</f>
        <v>0</v>
      </c>
      <c r="F25" s="962">
        <f>SUMPRODUCT(($D25='Input - EFA'!$E$151:$E$465)*(F$15='Input - EFA'!$H$151:$H$465)*'Input - EFA'!$L$151:$L$465)</f>
        <v>0</v>
      </c>
      <c r="G25" s="962">
        <f>SUMPRODUCT(($D25='Input - EFA'!$E$151:$E$465)*(G$15='Input - EFA'!$H$151:$H$465)*'Input - EFA'!$L$151:$L$465)</f>
        <v>0</v>
      </c>
      <c r="H25" s="962">
        <f>SUMPRODUCT(($D25='Input - EFA'!$E$151:$E$465)*(H$15='Input - EFA'!$H$151:$H$465)*'Input - EFA'!$L$151:$L$465)</f>
        <v>0</v>
      </c>
      <c r="I25" s="962">
        <f>SUMPRODUCT(($D25='Input - EFA'!$E$151:$E$465)*(I$15='Input - EFA'!$H$151:$H$465)*'Input - EFA'!$L$151:$L$465)</f>
        <v>0</v>
      </c>
      <c r="J25" s="962">
        <f>SUMPRODUCT(($D25='Input - EFA'!$E$151:$E$465)*(J$15='Input - EFA'!$H$151:$H$465)*'Input - EFA'!$L$151:$L$465)</f>
        <v>0</v>
      </c>
      <c r="K25" s="962">
        <f>SUMPRODUCT(($D25='Input - EFA'!$E$151:$E$465)*(K$15='Input - EFA'!$H$151:$H$465)*'Input - EFA'!$L$151:$L$465)</f>
        <v>0</v>
      </c>
      <c r="L25" s="962">
        <f>SUMPRODUCT(($D25='Input - EFA'!$E$151:$E$465)*(L$15='Input - EFA'!$H$151:$H$465)*'Input - EFA'!$L$151:$L$465)</f>
        <v>0</v>
      </c>
      <c r="M25" s="962">
        <f>SUMPRODUCT(($D25='Input - EFA'!$E$151:$E$465)*(M$15='Input - EFA'!$H$151:$H$465)*'Input - EFA'!$L$151:$L$465)</f>
        <v>0</v>
      </c>
      <c r="N25" s="28"/>
      <c r="O25" s="28"/>
      <c r="P25" s="28"/>
      <c r="Q25" s="28"/>
    </row>
    <row r="26" spans="1:17" x14ac:dyDescent="0.3">
      <c r="A26" s="3" t="str">
        <f t="shared" si="0"/>
        <v>Do Not Print</v>
      </c>
      <c r="D26" s="958" t="str">
        <f>'Input -CIES'!E16</f>
        <v>CIES Line 10</v>
      </c>
      <c r="E26" s="962">
        <f>SUMPRODUCT(($D26='Input - EFA'!$E$151:$E$465)*(E$15='Input - EFA'!$H$151:$H$465)*'Input - EFA'!$L$151:$L$465)</f>
        <v>0</v>
      </c>
      <c r="F26" s="962">
        <f>SUMPRODUCT(($D26='Input - EFA'!$E$151:$E$465)*(F$15='Input - EFA'!$H$151:$H$465)*'Input - EFA'!$L$151:$L$465)</f>
        <v>0</v>
      </c>
      <c r="G26" s="962">
        <f>SUMPRODUCT(($D26='Input - EFA'!$E$151:$E$465)*(G$15='Input - EFA'!$H$151:$H$465)*'Input - EFA'!$L$151:$L$465)</f>
        <v>0</v>
      </c>
      <c r="H26" s="962">
        <f>SUMPRODUCT(($D26='Input - EFA'!$E$151:$E$465)*(H$15='Input - EFA'!$H$151:$H$465)*'Input - EFA'!$L$151:$L$465)</f>
        <v>0</v>
      </c>
      <c r="I26" s="962">
        <f>SUMPRODUCT(($D26='Input - EFA'!$E$151:$E$465)*(I$15='Input - EFA'!$H$151:$H$465)*'Input - EFA'!$L$151:$L$465)</f>
        <v>0</v>
      </c>
      <c r="J26" s="962">
        <f>SUMPRODUCT(($D26='Input - EFA'!$E$151:$E$465)*(J$15='Input - EFA'!$H$151:$H$465)*'Input - EFA'!$L$151:$L$465)</f>
        <v>0</v>
      </c>
      <c r="K26" s="962">
        <f>SUMPRODUCT(($D26='Input - EFA'!$E$151:$E$465)*(K$15='Input - EFA'!$H$151:$H$465)*'Input - EFA'!$L$151:$L$465)</f>
        <v>0</v>
      </c>
      <c r="L26" s="962">
        <f>SUMPRODUCT(($D26='Input - EFA'!$E$151:$E$465)*(L$15='Input - EFA'!$H$151:$H$465)*'Input - EFA'!$L$151:$L$465)</f>
        <v>0</v>
      </c>
      <c r="M26" s="962">
        <f>SUMPRODUCT(($D26='Input - EFA'!$E$151:$E$465)*(M$15='Input - EFA'!$H$151:$H$465)*'Input - EFA'!$L$151:$L$465)</f>
        <v>0</v>
      </c>
      <c r="N26" s="28"/>
      <c r="O26" s="28"/>
      <c r="P26" s="28"/>
      <c r="Q26" s="28"/>
    </row>
    <row r="27" spans="1:17" x14ac:dyDescent="0.3">
      <c r="A27" s="3" t="str">
        <f t="shared" si="0"/>
        <v>Do Not Print</v>
      </c>
      <c r="D27" s="958" t="str">
        <f>'Input -CIES'!E17</f>
        <v>CIES Line 11</v>
      </c>
      <c r="E27" s="962">
        <f>SUMPRODUCT(($D27='Input - EFA'!$E$151:$E$465)*(E$15='Input - EFA'!$H$151:$H$465)*'Input - EFA'!$L$151:$L$465)</f>
        <v>0</v>
      </c>
      <c r="F27" s="962">
        <f>SUMPRODUCT(($D27='Input - EFA'!$E$151:$E$465)*(F$15='Input - EFA'!$H$151:$H$465)*'Input - EFA'!$L$151:$L$465)</f>
        <v>0</v>
      </c>
      <c r="G27" s="962">
        <f>SUMPRODUCT(($D27='Input - EFA'!$E$151:$E$465)*(G$15='Input - EFA'!$H$151:$H$465)*'Input - EFA'!$L$151:$L$465)</f>
        <v>0</v>
      </c>
      <c r="H27" s="962">
        <f>SUMPRODUCT(($D27='Input - EFA'!$E$151:$E$465)*(H$15='Input - EFA'!$H$151:$H$465)*'Input - EFA'!$L$151:$L$465)</f>
        <v>0</v>
      </c>
      <c r="I27" s="962">
        <f>SUMPRODUCT(($D27='Input - EFA'!$E$151:$E$465)*(I$15='Input - EFA'!$H$151:$H$465)*'Input - EFA'!$L$151:$L$465)</f>
        <v>0</v>
      </c>
      <c r="J27" s="962">
        <f>SUMPRODUCT(($D27='Input - EFA'!$E$151:$E$465)*(J$15='Input - EFA'!$H$151:$H$465)*'Input - EFA'!$L$151:$L$465)</f>
        <v>0</v>
      </c>
      <c r="K27" s="962">
        <f>SUMPRODUCT(($D27='Input - EFA'!$E$151:$E$465)*(K$15='Input - EFA'!$H$151:$H$465)*'Input - EFA'!$L$151:$L$465)</f>
        <v>0</v>
      </c>
      <c r="L27" s="962">
        <f>SUMPRODUCT(($D27='Input - EFA'!$E$151:$E$465)*(L$15='Input - EFA'!$H$151:$H$465)*'Input - EFA'!$L$151:$L$465)</f>
        <v>0</v>
      </c>
      <c r="M27" s="962">
        <f>SUMPRODUCT(($D27='Input - EFA'!$E$151:$E$465)*(M$15='Input - EFA'!$H$151:$H$465)*'Input - EFA'!$L$151:$L$465)</f>
        <v>0</v>
      </c>
      <c r="N27" s="28"/>
      <c r="O27" s="28"/>
      <c r="P27" s="28"/>
      <c r="Q27" s="28"/>
    </row>
    <row r="28" spans="1:17" x14ac:dyDescent="0.3">
      <c r="A28" s="3" t="str">
        <f t="shared" si="0"/>
        <v>Do Not Print</v>
      </c>
      <c r="D28" s="958" t="str">
        <f>'Input -CIES'!E18</f>
        <v>CIES Line 12</v>
      </c>
      <c r="E28" s="962">
        <f>SUMPRODUCT(($D28='Input - EFA'!$E$151:$E$465)*(E$15='Input - EFA'!$H$151:$H$465)*'Input - EFA'!$L$151:$L$465)</f>
        <v>0</v>
      </c>
      <c r="F28" s="962">
        <f>SUMPRODUCT(($D28='Input - EFA'!$E$151:$E$465)*(F$15='Input - EFA'!$H$151:$H$465)*'Input - EFA'!$L$151:$L$465)</f>
        <v>0</v>
      </c>
      <c r="G28" s="962">
        <f>SUMPRODUCT(($D28='Input - EFA'!$E$151:$E$465)*(G$15='Input - EFA'!$H$151:$H$465)*'Input - EFA'!$L$151:$L$465)</f>
        <v>0</v>
      </c>
      <c r="H28" s="962">
        <f>SUMPRODUCT(($D28='Input - EFA'!$E$151:$E$465)*(H$15='Input - EFA'!$H$151:$H$465)*'Input - EFA'!$L$151:$L$465)</f>
        <v>0</v>
      </c>
      <c r="I28" s="962">
        <f>SUMPRODUCT(($D28='Input - EFA'!$E$151:$E$465)*(I$15='Input - EFA'!$H$151:$H$465)*'Input - EFA'!$L$151:$L$465)</f>
        <v>0</v>
      </c>
      <c r="J28" s="962">
        <f>SUMPRODUCT(($D28='Input - EFA'!$E$151:$E$465)*(J$15='Input - EFA'!$H$151:$H$465)*'Input - EFA'!$L$151:$L$465)</f>
        <v>0</v>
      </c>
      <c r="K28" s="962">
        <f>SUMPRODUCT(($D28='Input - EFA'!$E$151:$E$465)*(K$15='Input - EFA'!$H$151:$H$465)*'Input - EFA'!$L$151:$L$465)</f>
        <v>0</v>
      </c>
      <c r="L28" s="962">
        <f>SUMPRODUCT(($D28='Input - EFA'!$E$151:$E$465)*(L$15='Input - EFA'!$H$151:$H$465)*'Input - EFA'!$L$151:$L$465)</f>
        <v>0</v>
      </c>
      <c r="M28" s="962">
        <f>SUMPRODUCT(($D28='Input - EFA'!$E$151:$E$465)*(M$15='Input - EFA'!$H$151:$H$465)*'Input - EFA'!$L$151:$L$465)</f>
        <v>0</v>
      </c>
      <c r="N28" s="28"/>
      <c r="O28" s="28"/>
      <c r="P28" s="28"/>
      <c r="Q28" s="28"/>
    </row>
    <row r="29" spans="1:17" x14ac:dyDescent="0.3">
      <c r="A29" s="3" t="str">
        <f t="shared" si="0"/>
        <v>Do Not Print</v>
      </c>
      <c r="D29" s="958" t="str">
        <f>'Input -CIES'!E19</f>
        <v>CIES Line 13</v>
      </c>
      <c r="E29" s="962">
        <f>SUMPRODUCT(($D29='Input - EFA'!$E$151:$E$465)*(E$15='Input - EFA'!$H$151:$H$465)*'Input - EFA'!$L$151:$L$465)</f>
        <v>0</v>
      </c>
      <c r="F29" s="962">
        <f>SUMPRODUCT(($D29='Input - EFA'!$E$151:$E$465)*(F$15='Input - EFA'!$H$151:$H$465)*'Input - EFA'!$L$151:$L$465)</f>
        <v>0</v>
      </c>
      <c r="G29" s="962">
        <f>SUMPRODUCT(($D29='Input - EFA'!$E$151:$E$465)*(G$15='Input - EFA'!$H$151:$H$465)*'Input - EFA'!$L$151:$L$465)</f>
        <v>0</v>
      </c>
      <c r="H29" s="962">
        <f>SUMPRODUCT(($D29='Input - EFA'!$E$151:$E$465)*(H$15='Input - EFA'!$H$151:$H$465)*'Input - EFA'!$L$151:$L$465)</f>
        <v>0</v>
      </c>
      <c r="I29" s="962">
        <f>SUMPRODUCT(($D29='Input - EFA'!$E$151:$E$465)*(I$15='Input - EFA'!$H$151:$H$465)*'Input - EFA'!$L$151:$L$465)</f>
        <v>0</v>
      </c>
      <c r="J29" s="962">
        <f>SUMPRODUCT(($D29='Input - EFA'!$E$151:$E$465)*(J$15='Input - EFA'!$H$151:$H$465)*'Input - EFA'!$L$151:$L$465)</f>
        <v>0</v>
      </c>
      <c r="K29" s="962">
        <f>SUMPRODUCT(($D29='Input - EFA'!$E$151:$E$465)*(K$15='Input - EFA'!$H$151:$H$465)*'Input - EFA'!$L$151:$L$465)</f>
        <v>0</v>
      </c>
      <c r="L29" s="962">
        <f>SUMPRODUCT(($D29='Input - EFA'!$E$151:$E$465)*(L$15='Input - EFA'!$H$151:$H$465)*'Input - EFA'!$L$151:$L$465)</f>
        <v>0</v>
      </c>
      <c r="M29" s="962">
        <f>SUMPRODUCT(($D29='Input - EFA'!$E$151:$E$465)*(M$15='Input - EFA'!$H$151:$H$465)*'Input - EFA'!$L$151:$L$465)</f>
        <v>0</v>
      </c>
      <c r="N29" s="28"/>
      <c r="O29" s="28"/>
      <c r="P29" s="28"/>
      <c r="Q29" s="28"/>
    </row>
    <row r="30" spans="1:17" x14ac:dyDescent="0.3">
      <c r="A30" s="3" t="str">
        <f t="shared" si="0"/>
        <v>Do Not Print</v>
      </c>
      <c r="D30" s="958" t="str">
        <f>'Input -CIES'!E20</f>
        <v>CIES Line 14</v>
      </c>
      <c r="E30" s="962">
        <f>SUMPRODUCT(($D30='Input - EFA'!$E$151:$E$465)*(E$15='Input - EFA'!$H$151:$H$465)*'Input - EFA'!$L$151:$L$465)</f>
        <v>0</v>
      </c>
      <c r="F30" s="962">
        <f>SUMPRODUCT(($D30='Input - EFA'!$E$151:$E$465)*(F$15='Input - EFA'!$H$151:$H$465)*'Input - EFA'!$L$151:$L$465)</f>
        <v>0</v>
      </c>
      <c r="G30" s="962">
        <f>SUMPRODUCT(($D30='Input - EFA'!$E$151:$E$465)*(G$15='Input - EFA'!$H$151:$H$465)*'Input - EFA'!$L$151:$L$465)</f>
        <v>0</v>
      </c>
      <c r="H30" s="962">
        <f>SUMPRODUCT(($D30='Input - EFA'!$E$151:$E$465)*(H$15='Input - EFA'!$H$151:$H$465)*'Input - EFA'!$L$151:$L$465)</f>
        <v>0</v>
      </c>
      <c r="I30" s="962">
        <f>SUMPRODUCT(($D30='Input - EFA'!$E$151:$E$465)*(I$15='Input - EFA'!$H$151:$H$465)*'Input - EFA'!$L$151:$L$465)</f>
        <v>0</v>
      </c>
      <c r="J30" s="962">
        <f>SUMPRODUCT(($D30='Input - EFA'!$E$151:$E$465)*(J$15='Input - EFA'!$H$151:$H$465)*'Input - EFA'!$L$151:$L$465)</f>
        <v>0</v>
      </c>
      <c r="K30" s="962">
        <f>SUMPRODUCT(($D30='Input - EFA'!$E$151:$E$465)*(K$15='Input - EFA'!$H$151:$H$465)*'Input - EFA'!$L$151:$L$465)</f>
        <v>0</v>
      </c>
      <c r="L30" s="962">
        <f>SUMPRODUCT(($D30='Input - EFA'!$E$151:$E$465)*(L$15='Input - EFA'!$H$151:$H$465)*'Input - EFA'!$L$151:$L$465)</f>
        <v>0</v>
      </c>
      <c r="M30" s="962">
        <f>SUMPRODUCT(($D30='Input - EFA'!$E$151:$E$465)*(M$15='Input - EFA'!$H$151:$H$465)*'Input - EFA'!$L$151:$L$465)</f>
        <v>0</v>
      </c>
      <c r="N30" s="28"/>
      <c r="O30" s="28"/>
      <c r="P30" s="28"/>
      <c r="Q30" s="28"/>
    </row>
    <row r="31" spans="1:17" x14ac:dyDescent="0.3">
      <c r="A31" s="3" t="str">
        <f t="shared" si="0"/>
        <v>Do Not Print</v>
      </c>
      <c r="D31" s="958" t="str">
        <f>'Input -CIES'!E21</f>
        <v>CIES Line 15</v>
      </c>
      <c r="E31" s="962">
        <f>SUMPRODUCT(($D31='Input - EFA'!$E$151:$E$465)*(E$15='Input - EFA'!$H$151:$H$465)*'Input - EFA'!$L$151:$L$465)</f>
        <v>0</v>
      </c>
      <c r="F31" s="962">
        <f>SUMPRODUCT(($D31='Input - EFA'!$E$151:$E$465)*(F$15='Input - EFA'!$H$151:$H$465)*'Input - EFA'!$L$151:$L$465)</f>
        <v>0</v>
      </c>
      <c r="G31" s="962">
        <f>SUMPRODUCT(($D31='Input - EFA'!$E$151:$E$465)*(G$15='Input - EFA'!$H$151:$H$465)*'Input - EFA'!$L$151:$L$465)</f>
        <v>0</v>
      </c>
      <c r="H31" s="962">
        <f>SUMPRODUCT(($D31='Input - EFA'!$E$151:$E$465)*(H$15='Input - EFA'!$H$151:$H$465)*'Input - EFA'!$L$151:$L$465)</f>
        <v>0</v>
      </c>
      <c r="I31" s="962">
        <f>SUMPRODUCT(($D31='Input - EFA'!$E$151:$E$465)*(I$15='Input - EFA'!$H$151:$H$465)*'Input - EFA'!$L$151:$L$465)</f>
        <v>0</v>
      </c>
      <c r="J31" s="962">
        <f>SUMPRODUCT(($D31='Input - EFA'!$E$151:$E$465)*(J$15='Input - EFA'!$H$151:$H$465)*'Input - EFA'!$L$151:$L$465)</f>
        <v>0</v>
      </c>
      <c r="K31" s="962">
        <f>SUMPRODUCT(($D31='Input - EFA'!$E$151:$E$465)*(K$15='Input - EFA'!$H$151:$H$465)*'Input - EFA'!$L$151:$L$465)</f>
        <v>0</v>
      </c>
      <c r="L31" s="962">
        <f>SUMPRODUCT(($D31='Input - EFA'!$E$151:$E$465)*(L$15='Input - EFA'!$H$151:$H$465)*'Input - EFA'!$L$151:$L$465)</f>
        <v>0</v>
      </c>
      <c r="M31" s="962">
        <f>SUMPRODUCT(($D31='Input - EFA'!$E$151:$E$465)*(M$15='Input - EFA'!$H$151:$H$465)*'Input - EFA'!$L$151:$L$465)</f>
        <v>0</v>
      </c>
      <c r="N31" s="28"/>
      <c r="O31" s="28"/>
      <c r="P31" s="28"/>
      <c r="Q31" s="28"/>
    </row>
    <row r="32" spans="1:17" x14ac:dyDescent="0.3">
      <c r="A32" s="3" t="str">
        <f t="shared" si="0"/>
        <v>Do Not Print</v>
      </c>
      <c r="D32" s="958" t="str">
        <f>'Input -CIES'!E22</f>
        <v>CIES Line 16</v>
      </c>
      <c r="E32" s="962">
        <f>SUMPRODUCT(($D32='Input - EFA'!$E$151:$E$465)*(E$15='Input - EFA'!$H$151:$H$465)*'Input - EFA'!$L$151:$L$465)</f>
        <v>0</v>
      </c>
      <c r="F32" s="962">
        <f>SUMPRODUCT(($D32='Input - EFA'!$E$151:$E$465)*(F$15='Input - EFA'!$H$151:$H$465)*'Input - EFA'!$L$151:$L$465)</f>
        <v>0</v>
      </c>
      <c r="G32" s="962">
        <f>SUMPRODUCT(($D32='Input - EFA'!$E$151:$E$465)*(G$15='Input - EFA'!$H$151:$H$465)*'Input - EFA'!$L$151:$L$465)</f>
        <v>0</v>
      </c>
      <c r="H32" s="962">
        <f>SUMPRODUCT(($D32='Input - EFA'!$E$151:$E$465)*(H$15='Input - EFA'!$H$151:$H$465)*'Input - EFA'!$L$151:$L$465)</f>
        <v>0</v>
      </c>
      <c r="I32" s="962">
        <f>SUMPRODUCT(($D32='Input - EFA'!$E$151:$E$465)*(I$15='Input - EFA'!$H$151:$H$465)*'Input - EFA'!$L$151:$L$465)</f>
        <v>0</v>
      </c>
      <c r="J32" s="962">
        <f>SUMPRODUCT(($D32='Input - EFA'!$E$151:$E$465)*(J$15='Input - EFA'!$H$151:$H$465)*'Input - EFA'!$L$151:$L$465)</f>
        <v>0</v>
      </c>
      <c r="K32" s="962">
        <f>SUMPRODUCT(($D32='Input - EFA'!$E$151:$E$465)*(K$15='Input - EFA'!$H$151:$H$465)*'Input - EFA'!$L$151:$L$465)</f>
        <v>0</v>
      </c>
      <c r="L32" s="962">
        <f>SUMPRODUCT(($D32='Input - EFA'!$E$151:$E$465)*(L$15='Input - EFA'!$H$151:$H$465)*'Input - EFA'!$L$151:$L$465)</f>
        <v>0</v>
      </c>
      <c r="M32" s="962">
        <f>SUMPRODUCT(($D32='Input - EFA'!$E$151:$E$465)*(M$15='Input - EFA'!$H$151:$H$465)*'Input - EFA'!$L$151:$L$465)</f>
        <v>0</v>
      </c>
      <c r="N32" s="28"/>
      <c r="O32" s="28"/>
      <c r="P32" s="28"/>
      <c r="Q32" s="28"/>
    </row>
    <row r="33" spans="1:17" x14ac:dyDescent="0.3">
      <c r="A33" s="3" t="str">
        <f t="shared" si="0"/>
        <v>Do Not Print</v>
      </c>
      <c r="D33" s="958" t="str">
        <f>'Input -CIES'!E23</f>
        <v>CIES Line 17</v>
      </c>
      <c r="E33" s="962">
        <f>SUMPRODUCT(($D33='Input - EFA'!$E$151:$E$465)*(E$15='Input - EFA'!$H$151:$H$465)*'Input - EFA'!$L$151:$L$465)</f>
        <v>0</v>
      </c>
      <c r="F33" s="962">
        <f>SUMPRODUCT(($D33='Input - EFA'!$E$151:$E$465)*(F$15='Input - EFA'!$H$151:$H$465)*'Input - EFA'!$L$151:$L$465)</f>
        <v>0</v>
      </c>
      <c r="G33" s="962">
        <f>SUMPRODUCT(($D33='Input - EFA'!$E$151:$E$465)*(G$15='Input - EFA'!$H$151:$H$465)*'Input - EFA'!$L$151:$L$465)</f>
        <v>0</v>
      </c>
      <c r="H33" s="962">
        <f>SUMPRODUCT(($D33='Input - EFA'!$E$151:$E$465)*(H$15='Input - EFA'!$H$151:$H$465)*'Input - EFA'!$L$151:$L$465)</f>
        <v>0</v>
      </c>
      <c r="I33" s="962">
        <f>SUMPRODUCT(($D33='Input - EFA'!$E$151:$E$465)*(I$15='Input - EFA'!$H$151:$H$465)*'Input - EFA'!$L$151:$L$465)</f>
        <v>0</v>
      </c>
      <c r="J33" s="962">
        <f>SUMPRODUCT(($D33='Input - EFA'!$E$151:$E$465)*(J$15='Input - EFA'!$H$151:$H$465)*'Input - EFA'!$L$151:$L$465)</f>
        <v>0</v>
      </c>
      <c r="K33" s="962">
        <f>SUMPRODUCT(($D33='Input - EFA'!$E$151:$E$465)*(K$15='Input - EFA'!$H$151:$H$465)*'Input - EFA'!$L$151:$L$465)</f>
        <v>0</v>
      </c>
      <c r="L33" s="962">
        <f>SUMPRODUCT(($D33='Input - EFA'!$E$151:$E$465)*(L$15='Input - EFA'!$H$151:$H$465)*'Input - EFA'!$L$151:$L$465)</f>
        <v>0</v>
      </c>
      <c r="M33" s="962">
        <f>SUMPRODUCT(($D33='Input - EFA'!$E$151:$E$465)*(M$15='Input - EFA'!$H$151:$H$465)*'Input - EFA'!$L$151:$L$465)</f>
        <v>0</v>
      </c>
      <c r="N33" s="28"/>
      <c r="O33" s="28"/>
      <c r="P33" s="28"/>
      <c r="Q33" s="28"/>
    </row>
    <row r="34" spans="1:17" x14ac:dyDescent="0.3">
      <c r="A34" s="3" t="str">
        <f t="shared" si="0"/>
        <v>Do Not Print</v>
      </c>
      <c r="D34" s="958" t="str">
        <f>'Input -CIES'!E24</f>
        <v>CIES Line 18</v>
      </c>
      <c r="E34" s="962">
        <f>SUMPRODUCT(($D34='Input - EFA'!$E$151:$E$465)*(E$15='Input - EFA'!$H$151:$H$465)*'Input - EFA'!$L$151:$L$465)</f>
        <v>0</v>
      </c>
      <c r="F34" s="962">
        <f>SUMPRODUCT(($D34='Input - EFA'!$E$151:$E$465)*(F$15='Input - EFA'!$H$151:$H$465)*'Input - EFA'!$L$151:$L$465)</f>
        <v>0</v>
      </c>
      <c r="G34" s="962">
        <f>SUMPRODUCT(($D34='Input - EFA'!$E$151:$E$465)*(G$15='Input - EFA'!$H$151:$H$465)*'Input - EFA'!$L$151:$L$465)</f>
        <v>0</v>
      </c>
      <c r="H34" s="962">
        <f>SUMPRODUCT(($D34='Input - EFA'!$E$151:$E$465)*(H$15='Input - EFA'!$H$151:$H$465)*'Input - EFA'!$L$151:$L$465)</f>
        <v>0</v>
      </c>
      <c r="I34" s="962">
        <f>SUMPRODUCT(($D34='Input - EFA'!$E$151:$E$465)*(I$15='Input - EFA'!$H$151:$H$465)*'Input - EFA'!$L$151:$L$465)</f>
        <v>0</v>
      </c>
      <c r="J34" s="962">
        <f>SUMPRODUCT(($D34='Input - EFA'!$E$151:$E$465)*(J$15='Input - EFA'!$H$151:$H$465)*'Input - EFA'!$L$151:$L$465)</f>
        <v>0</v>
      </c>
      <c r="K34" s="962">
        <f>SUMPRODUCT(($D34='Input - EFA'!$E$151:$E$465)*(K$15='Input - EFA'!$H$151:$H$465)*'Input - EFA'!$L$151:$L$465)</f>
        <v>0</v>
      </c>
      <c r="L34" s="962">
        <f>SUMPRODUCT(($D34='Input - EFA'!$E$151:$E$465)*(L$15='Input - EFA'!$H$151:$H$465)*'Input - EFA'!$L$151:$L$465)</f>
        <v>0</v>
      </c>
      <c r="M34" s="962">
        <f>SUMPRODUCT(($D34='Input - EFA'!$E$151:$E$465)*(M$15='Input - EFA'!$H$151:$H$465)*'Input - EFA'!$L$151:$L$465)</f>
        <v>0</v>
      </c>
      <c r="N34" s="28"/>
      <c r="O34" s="28"/>
      <c r="P34" s="28"/>
      <c r="Q34" s="28"/>
    </row>
    <row r="35" spans="1:17" x14ac:dyDescent="0.3">
      <c r="A35" s="3" t="str">
        <f t="shared" si="0"/>
        <v>Do Not Print</v>
      </c>
      <c r="D35" s="958" t="str">
        <f>'Input -CIES'!E25</f>
        <v>CIES Line 19</v>
      </c>
      <c r="E35" s="962">
        <f>SUMPRODUCT(($D35='Input - EFA'!$E$151:$E$465)*(E$15='Input - EFA'!$H$151:$H$465)*'Input - EFA'!$L$151:$L$465)</f>
        <v>0</v>
      </c>
      <c r="F35" s="962">
        <f>SUMPRODUCT(($D35='Input - EFA'!$E$151:$E$465)*(F$15='Input - EFA'!$H$151:$H$465)*'Input - EFA'!$L$151:$L$465)</f>
        <v>0</v>
      </c>
      <c r="G35" s="962">
        <f>SUMPRODUCT(($D35='Input - EFA'!$E$151:$E$465)*(G$15='Input - EFA'!$H$151:$H$465)*'Input - EFA'!$L$151:$L$465)</f>
        <v>0</v>
      </c>
      <c r="H35" s="962">
        <f>SUMPRODUCT(($D35='Input - EFA'!$E$151:$E$465)*(H$15='Input - EFA'!$H$151:$H$465)*'Input - EFA'!$L$151:$L$465)</f>
        <v>0</v>
      </c>
      <c r="I35" s="962">
        <f>SUMPRODUCT(($D35='Input - EFA'!$E$151:$E$465)*(I$15='Input - EFA'!$H$151:$H$465)*'Input - EFA'!$L$151:$L$465)</f>
        <v>0</v>
      </c>
      <c r="J35" s="962">
        <f>SUMPRODUCT(($D35='Input - EFA'!$E$151:$E$465)*(J$15='Input - EFA'!$H$151:$H$465)*'Input - EFA'!$L$151:$L$465)</f>
        <v>0</v>
      </c>
      <c r="K35" s="962">
        <f>SUMPRODUCT(($D35='Input - EFA'!$E$151:$E$465)*(K$15='Input - EFA'!$H$151:$H$465)*'Input - EFA'!$L$151:$L$465)</f>
        <v>0</v>
      </c>
      <c r="L35" s="962">
        <f>SUMPRODUCT(($D35='Input - EFA'!$E$151:$E$465)*(L$15='Input - EFA'!$H$151:$H$465)*'Input - EFA'!$L$151:$L$465)</f>
        <v>0</v>
      </c>
      <c r="M35" s="962">
        <f>SUMPRODUCT(($D35='Input - EFA'!$E$151:$E$465)*(M$15='Input - EFA'!$H$151:$H$465)*'Input - EFA'!$L$151:$L$465)</f>
        <v>0</v>
      </c>
      <c r="N35" s="28"/>
      <c r="O35" s="28"/>
      <c r="P35" s="28"/>
      <c r="Q35" s="28"/>
    </row>
    <row r="36" spans="1:17" x14ac:dyDescent="0.3">
      <c r="A36" s="3" t="str">
        <f>IF(AND(E36=0,F36=0,G36=0,H36=0,I36=0,J36=0,K36=0,L36=0,M36=0),"Do Not Print","Print")</f>
        <v>Do Not Print</v>
      </c>
      <c r="D36" s="958" t="str">
        <f>'Input -CIES'!E26</f>
        <v>CIES Line 20</v>
      </c>
      <c r="E36" s="962">
        <f>SUMPRODUCT(($D36='Input - EFA'!$E$151:$E$465)*(E$15='Input - EFA'!$H$151:$H$465)*'Input - EFA'!$L$151:$L$465)</f>
        <v>0</v>
      </c>
      <c r="F36" s="962">
        <f>SUMPRODUCT(($D36='Input - EFA'!$E$151:$E$465)*(F$15='Input - EFA'!$H$151:$H$465)*'Input - EFA'!$L$151:$L$465)</f>
        <v>0</v>
      </c>
      <c r="G36" s="962">
        <f>SUMPRODUCT(($D36='Input - EFA'!$E$151:$E$465)*(G$15='Input - EFA'!$H$151:$H$465)*'Input - EFA'!$L$151:$L$465)</f>
        <v>0</v>
      </c>
      <c r="H36" s="962">
        <f>SUMPRODUCT(($D36='Input - EFA'!$E$151:$E$465)*(H$15='Input - EFA'!$H$151:$H$465)*'Input - EFA'!$L$151:$L$465)</f>
        <v>0</v>
      </c>
      <c r="I36" s="962">
        <f>SUMPRODUCT(($D36='Input - EFA'!$E$151:$E$465)*(I$15='Input - EFA'!$H$151:$H$465)*'Input - EFA'!$L$151:$L$465)</f>
        <v>0</v>
      </c>
      <c r="J36" s="962">
        <f>SUMPRODUCT(($D36='Input - EFA'!$E$151:$E$465)*(J$15='Input - EFA'!$H$151:$H$465)*'Input - EFA'!$L$151:$L$465)</f>
        <v>0</v>
      </c>
      <c r="K36" s="962">
        <f>SUMPRODUCT(($D36='Input - EFA'!$E$151:$E$465)*(K$15='Input - EFA'!$H$151:$H$465)*'Input - EFA'!$L$151:$L$465)</f>
        <v>0</v>
      </c>
      <c r="L36" s="962">
        <f>SUMPRODUCT(($D36='Input - EFA'!$E$151:$E$465)*(L$15='Input - EFA'!$H$151:$H$465)*'Input - EFA'!$L$151:$L$465)</f>
        <v>0</v>
      </c>
      <c r="M36" s="962">
        <f>SUMPRODUCT(($D36='Input - EFA'!$E$151:$E$465)*(M$15='Input - EFA'!$H$151:$H$465)*'Input - EFA'!$L$151:$L$465)</f>
        <v>0</v>
      </c>
      <c r="N36" s="28"/>
      <c r="O36" s="28"/>
      <c r="P36" s="28"/>
      <c r="Q36" s="28"/>
    </row>
    <row r="37" spans="1:17" x14ac:dyDescent="0.3">
      <c r="A37" s="3" t="str">
        <f t="shared" ref="A37:A51" si="1">IF(AND(E37=0,F37=0,G37=0,H37=0,I37=0,J37=0,K37=0,L37=0,M37=0),"Do Not Print","Print")</f>
        <v>Do Not Print</v>
      </c>
      <c r="D37" s="958" t="str">
        <f>'Input -CIES'!E27</f>
        <v>CIES Line 21</v>
      </c>
      <c r="E37" s="962">
        <f>SUMPRODUCT(($D37='Input - EFA'!$E$151:$E$465)*(E$15='Input - EFA'!$H$151:$H$465)*'Input - EFA'!$L$151:$L$465)</f>
        <v>0</v>
      </c>
      <c r="F37" s="962">
        <f>SUMPRODUCT(($D37='Input - EFA'!$E$151:$E$465)*(F$15='Input - EFA'!$H$151:$H$465)*'Input - EFA'!$L$151:$L$465)</f>
        <v>0</v>
      </c>
      <c r="G37" s="962">
        <f>SUMPRODUCT(($D37='Input - EFA'!$E$151:$E$465)*(G$15='Input - EFA'!$H$151:$H$465)*'Input - EFA'!$L$151:$L$465)</f>
        <v>0</v>
      </c>
      <c r="H37" s="962">
        <f>SUMPRODUCT(($D37='Input - EFA'!$E$151:$E$465)*(H$15='Input - EFA'!$H$151:$H$465)*'Input - EFA'!$L$151:$L$465)</f>
        <v>0</v>
      </c>
      <c r="I37" s="962">
        <f>SUMPRODUCT(($D37='Input - EFA'!$E$151:$E$465)*(I$15='Input - EFA'!$H$151:$H$465)*'Input - EFA'!$L$151:$L$465)</f>
        <v>0</v>
      </c>
      <c r="J37" s="962">
        <f>SUMPRODUCT(($D37='Input - EFA'!$E$151:$E$465)*(J$15='Input - EFA'!$H$151:$H$465)*'Input - EFA'!$L$151:$L$465)</f>
        <v>0</v>
      </c>
      <c r="K37" s="962">
        <f>SUMPRODUCT(($D37='Input - EFA'!$E$151:$E$465)*(K$15='Input - EFA'!$H$151:$H$465)*'Input - EFA'!$L$151:$L$465)</f>
        <v>0</v>
      </c>
      <c r="L37" s="962">
        <f>SUMPRODUCT(($D37='Input - EFA'!$E$151:$E$465)*(L$15='Input - EFA'!$H$151:$H$465)*'Input - EFA'!$L$151:$L$465)</f>
        <v>0</v>
      </c>
      <c r="M37" s="962">
        <f>SUMPRODUCT(($D37='Input - EFA'!$E$151:$E$465)*(M$15='Input - EFA'!$H$151:$H$465)*'Input - EFA'!$L$151:$L$465)</f>
        <v>0</v>
      </c>
      <c r="N37" s="28"/>
      <c r="O37" s="28"/>
      <c r="P37" s="28"/>
      <c r="Q37" s="28"/>
    </row>
    <row r="38" spans="1:17" x14ac:dyDescent="0.3">
      <c r="A38" s="3" t="str">
        <f t="shared" si="1"/>
        <v>Do Not Print</v>
      </c>
      <c r="D38" s="958" t="str">
        <f>'Input -CIES'!E28</f>
        <v>CIES Line 22</v>
      </c>
      <c r="E38" s="962">
        <f>SUMPRODUCT(($D38='Input - EFA'!$E$151:$E$465)*(E$15='Input - EFA'!$H$151:$H$465)*'Input - EFA'!$L$151:$L$465)</f>
        <v>0</v>
      </c>
      <c r="F38" s="962">
        <f>SUMPRODUCT(($D38='Input - EFA'!$E$151:$E$465)*(F$15='Input - EFA'!$H$151:$H$465)*'Input - EFA'!$L$151:$L$465)</f>
        <v>0</v>
      </c>
      <c r="G38" s="962">
        <f>SUMPRODUCT(($D38='Input - EFA'!$E$151:$E$465)*(G$15='Input - EFA'!$H$151:$H$465)*'Input - EFA'!$L$151:$L$465)</f>
        <v>0</v>
      </c>
      <c r="H38" s="962">
        <f>SUMPRODUCT(($D38='Input - EFA'!$E$151:$E$465)*(H$15='Input - EFA'!$H$151:$H$465)*'Input - EFA'!$L$151:$L$465)</f>
        <v>0</v>
      </c>
      <c r="I38" s="962">
        <f>SUMPRODUCT(($D38='Input - EFA'!$E$151:$E$465)*(I$15='Input - EFA'!$H$151:$H$465)*'Input - EFA'!$L$151:$L$465)</f>
        <v>0</v>
      </c>
      <c r="J38" s="962">
        <f>SUMPRODUCT(($D38='Input - EFA'!$E$151:$E$465)*(J$15='Input - EFA'!$H$151:$H$465)*'Input - EFA'!$L$151:$L$465)</f>
        <v>0</v>
      </c>
      <c r="K38" s="962">
        <f>SUMPRODUCT(($D38='Input - EFA'!$E$151:$E$465)*(K$15='Input - EFA'!$H$151:$H$465)*'Input - EFA'!$L$151:$L$465)</f>
        <v>0</v>
      </c>
      <c r="L38" s="962">
        <f>SUMPRODUCT(($D38='Input - EFA'!$E$151:$E$465)*(L$15='Input - EFA'!$H$151:$H$465)*'Input - EFA'!$L$151:$L$465)</f>
        <v>0</v>
      </c>
      <c r="M38" s="962">
        <f>SUMPRODUCT(($D38='Input - EFA'!$E$151:$E$465)*(M$15='Input - EFA'!$H$151:$H$465)*'Input - EFA'!$L$151:$L$465)</f>
        <v>0</v>
      </c>
      <c r="N38" s="28"/>
      <c r="O38" s="28"/>
      <c r="P38" s="28"/>
      <c r="Q38" s="28"/>
    </row>
    <row r="39" spans="1:17" x14ac:dyDescent="0.3">
      <c r="A39" s="3" t="str">
        <f t="shared" si="1"/>
        <v>Do Not Print</v>
      </c>
      <c r="D39" s="958" t="str">
        <f>'Input -CIES'!E29</f>
        <v>CIES Line 23</v>
      </c>
      <c r="E39" s="962">
        <f>SUMPRODUCT(($D39='Input - EFA'!$E$151:$E$465)*(E$15='Input - EFA'!$H$151:$H$465)*'Input - EFA'!$L$151:$L$465)</f>
        <v>0</v>
      </c>
      <c r="F39" s="962">
        <f>SUMPRODUCT(($D39='Input - EFA'!$E$151:$E$465)*(F$15='Input - EFA'!$H$151:$H$465)*'Input - EFA'!$L$151:$L$465)</f>
        <v>0</v>
      </c>
      <c r="G39" s="962">
        <f>SUMPRODUCT(($D39='Input - EFA'!$E$151:$E$465)*(G$15='Input - EFA'!$H$151:$H$465)*'Input - EFA'!$L$151:$L$465)</f>
        <v>0</v>
      </c>
      <c r="H39" s="962">
        <f>SUMPRODUCT(($D39='Input - EFA'!$E$151:$E$465)*(H$15='Input - EFA'!$H$151:$H$465)*'Input - EFA'!$L$151:$L$465)</f>
        <v>0</v>
      </c>
      <c r="I39" s="962">
        <f>SUMPRODUCT(($D39='Input - EFA'!$E$151:$E$465)*(I$15='Input - EFA'!$H$151:$H$465)*'Input - EFA'!$L$151:$L$465)</f>
        <v>0</v>
      </c>
      <c r="J39" s="962">
        <f>SUMPRODUCT(($D39='Input - EFA'!$E$151:$E$465)*(J$15='Input - EFA'!$H$151:$H$465)*'Input - EFA'!$L$151:$L$465)</f>
        <v>0</v>
      </c>
      <c r="K39" s="962">
        <f>SUMPRODUCT(($D39='Input - EFA'!$E$151:$E$465)*(K$15='Input - EFA'!$H$151:$H$465)*'Input - EFA'!$L$151:$L$465)</f>
        <v>0</v>
      </c>
      <c r="L39" s="962">
        <f>SUMPRODUCT(($D39='Input - EFA'!$E$151:$E$465)*(L$15='Input - EFA'!$H$151:$H$465)*'Input - EFA'!$L$151:$L$465)</f>
        <v>0</v>
      </c>
      <c r="M39" s="962">
        <f>SUMPRODUCT(($D39='Input - EFA'!$E$151:$E$465)*(M$15='Input - EFA'!$H$151:$H$465)*'Input - EFA'!$L$151:$L$465)</f>
        <v>0</v>
      </c>
      <c r="N39" s="28"/>
      <c r="O39" s="28"/>
      <c r="P39" s="28"/>
      <c r="Q39" s="28"/>
    </row>
    <row r="40" spans="1:17" x14ac:dyDescent="0.3">
      <c r="A40" s="3" t="str">
        <f t="shared" si="1"/>
        <v>Do Not Print</v>
      </c>
      <c r="D40" s="958" t="str">
        <f>'Input -CIES'!E30</f>
        <v>CIES Line 24</v>
      </c>
      <c r="E40" s="962">
        <f>SUMPRODUCT(($D40='Input - EFA'!$E$151:$E$465)*(E$15='Input - EFA'!$H$151:$H$465)*'Input - EFA'!$L$151:$L$465)</f>
        <v>0</v>
      </c>
      <c r="F40" s="962">
        <f>SUMPRODUCT(($D40='Input - EFA'!$E$151:$E$465)*(F$15='Input - EFA'!$H$151:$H$465)*'Input - EFA'!$L$151:$L$465)</f>
        <v>0</v>
      </c>
      <c r="G40" s="962">
        <f>SUMPRODUCT(($D40='Input - EFA'!$E$151:$E$465)*(G$15='Input - EFA'!$H$151:$H$465)*'Input - EFA'!$L$151:$L$465)</f>
        <v>0</v>
      </c>
      <c r="H40" s="962">
        <f>SUMPRODUCT(($D40='Input - EFA'!$E$151:$E$465)*(H$15='Input - EFA'!$H$151:$H$465)*'Input - EFA'!$L$151:$L$465)</f>
        <v>0</v>
      </c>
      <c r="I40" s="962">
        <f>SUMPRODUCT(($D40='Input - EFA'!$E$151:$E$465)*(I$15='Input - EFA'!$H$151:$H$465)*'Input - EFA'!$L$151:$L$465)</f>
        <v>0</v>
      </c>
      <c r="J40" s="962">
        <f>SUMPRODUCT(($D40='Input - EFA'!$E$151:$E$465)*(J$15='Input - EFA'!$H$151:$H$465)*'Input - EFA'!$L$151:$L$465)</f>
        <v>0</v>
      </c>
      <c r="K40" s="962">
        <f>SUMPRODUCT(($D40='Input - EFA'!$E$151:$E$465)*(K$15='Input - EFA'!$H$151:$H$465)*'Input - EFA'!$L$151:$L$465)</f>
        <v>0</v>
      </c>
      <c r="L40" s="962">
        <f>SUMPRODUCT(($D40='Input - EFA'!$E$151:$E$465)*(L$15='Input - EFA'!$H$151:$H$465)*'Input - EFA'!$L$151:$L$465)</f>
        <v>0</v>
      </c>
      <c r="M40" s="962">
        <f>SUMPRODUCT(($D40='Input - EFA'!$E$151:$E$465)*(M$15='Input - EFA'!$H$151:$H$465)*'Input - EFA'!$L$151:$L$465)</f>
        <v>0</v>
      </c>
      <c r="N40" s="28"/>
      <c r="O40" s="28"/>
      <c r="P40" s="28"/>
      <c r="Q40" s="28"/>
    </row>
    <row r="41" spans="1:17" x14ac:dyDescent="0.3">
      <c r="A41" s="3" t="str">
        <f t="shared" si="1"/>
        <v>Do Not Print</v>
      </c>
      <c r="D41" s="958" t="str">
        <f>'Input -CIES'!E31</f>
        <v>CIES Line 25</v>
      </c>
      <c r="E41" s="962">
        <f>SUMPRODUCT(($D41='Input - EFA'!$E$151:$E$465)*(E$15='Input - EFA'!$H$151:$H$465)*'Input - EFA'!$L$151:$L$465)</f>
        <v>0</v>
      </c>
      <c r="F41" s="962">
        <f>SUMPRODUCT(($D41='Input - EFA'!$E$151:$E$465)*(F$15='Input - EFA'!$H$151:$H$465)*'Input - EFA'!$L$151:$L$465)</f>
        <v>0</v>
      </c>
      <c r="G41" s="962">
        <f>SUMPRODUCT(($D41='Input - EFA'!$E$151:$E$465)*(G$15='Input - EFA'!$H$151:$H$465)*'Input - EFA'!$L$151:$L$465)</f>
        <v>0</v>
      </c>
      <c r="H41" s="962">
        <f>SUMPRODUCT(($D41='Input - EFA'!$E$151:$E$465)*(H$15='Input - EFA'!$H$151:$H$465)*'Input - EFA'!$L$151:$L$465)</f>
        <v>0</v>
      </c>
      <c r="I41" s="962">
        <f>SUMPRODUCT(($D41='Input - EFA'!$E$151:$E$465)*(I$15='Input - EFA'!$H$151:$H$465)*'Input - EFA'!$L$151:$L$465)</f>
        <v>0</v>
      </c>
      <c r="J41" s="962">
        <f>SUMPRODUCT(($D41='Input - EFA'!$E$151:$E$465)*(J$15='Input - EFA'!$H$151:$H$465)*'Input - EFA'!$L$151:$L$465)</f>
        <v>0</v>
      </c>
      <c r="K41" s="962">
        <f>SUMPRODUCT(($D41='Input - EFA'!$E$151:$E$465)*(K$15='Input - EFA'!$H$151:$H$465)*'Input - EFA'!$L$151:$L$465)</f>
        <v>0</v>
      </c>
      <c r="L41" s="962">
        <f>SUMPRODUCT(($D41='Input - EFA'!$E$151:$E$465)*(L$15='Input - EFA'!$H$151:$H$465)*'Input - EFA'!$L$151:$L$465)</f>
        <v>0</v>
      </c>
      <c r="M41" s="962">
        <f>SUMPRODUCT(($D41='Input - EFA'!$E$151:$E$465)*(M$15='Input - EFA'!$H$151:$H$465)*'Input - EFA'!$L$151:$L$465)</f>
        <v>0</v>
      </c>
      <c r="N41" s="28"/>
      <c r="O41" s="28"/>
      <c r="P41" s="28"/>
      <c r="Q41" s="28"/>
    </row>
    <row r="42" spans="1:17" x14ac:dyDescent="0.3">
      <c r="A42" s="3" t="str">
        <f t="shared" si="1"/>
        <v>Do Not Print</v>
      </c>
      <c r="D42" s="958" t="str">
        <f>'Input -CIES'!E32</f>
        <v>CIES Line 26</v>
      </c>
      <c r="E42" s="962">
        <f>SUMPRODUCT(($D42='Input - EFA'!$E$151:$E$465)*(E$15='Input - EFA'!$H$151:$H$465)*'Input - EFA'!$L$151:$L$465)</f>
        <v>0</v>
      </c>
      <c r="F42" s="962">
        <f>SUMPRODUCT(($D42='Input - EFA'!$E$151:$E$465)*(F$15='Input - EFA'!$H$151:$H$465)*'Input - EFA'!$L$151:$L$465)</f>
        <v>0</v>
      </c>
      <c r="G42" s="962">
        <f>SUMPRODUCT(($D42='Input - EFA'!$E$151:$E$465)*(G$15='Input - EFA'!$H$151:$H$465)*'Input - EFA'!$L$151:$L$465)</f>
        <v>0</v>
      </c>
      <c r="H42" s="962">
        <f>SUMPRODUCT(($D42='Input - EFA'!$E$151:$E$465)*(H$15='Input - EFA'!$H$151:$H$465)*'Input - EFA'!$L$151:$L$465)</f>
        <v>0</v>
      </c>
      <c r="I42" s="962">
        <f>SUMPRODUCT(($D42='Input - EFA'!$E$151:$E$465)*(I$15='Input - EFA'!$H$151:$H$465)*'Input - EFA'!$L$151:$L$465)</f>
        <v>0</v>
      </c>
      <c r="J42" s="962">
        <f>SUMPRODUCT(($D42='Input - EFA'!$E$151:$E$465)*(J$15='Input - EFA'!$H$151:$H$465)*'Input - EFA'!$L$151:$L$465)</f>
        <v>0</v>
      </c>
      <c r="K42" s="962">
        <f>SUMPRODUCT(($D42='Input - EFA'!$E$151:$E$465)*(K$15='Input - EFA'!$H$151:$H$465)*'Input - EFA'!$L$151:$L$465)</f>
        <v>0</v>
      </c>
      <c r="L42" s="962">
        <f>SUMPRODUCT(($D42='Input - EFA'!$E$151:$E$465)*(L$15='Input - EFA'!$H$151:$H$465)*'Input - EFA'!$L$151:$L$465)</f>
        <v>0</v>
      </c>
      <c r="M42" s="962">
        <f>SUMPRODUCT(($D42='Input - EFA'!$E$151:$E$465)*(M$15='Input - EFA'!$H$151:$H$465)*'Input - EFA'!$L$151:$L$465)</f>
        <v>0</v>
      </c>
      <c r="N42" s="28"/>
      <c r="O42" s="28"/>
      <c r="P42" s="28"/>
      <c r="Q42" s="28"/>
    </row>
    <row r="43" spans="1:17" x14ac:dyDescent="0.3">
      <c r="A43" s="3" t="str">
        <f t="shared" si="1"/>
        <v>Do Not Print</v>
      </c>
      <c r="D43" s="958" t="str">
        <f>'Input -CIES'!E33</f>
        <v>CIES Line 27</v>
      </c>
      <c r="E43" s="962">
        <f>SUMPRODUCT(($D43='Input - EFA'!$E$151:$E$465)*(E$15='Input - EFA'!$H$151:$H$465)*'Input - EFA'!$L$151:$L$465)</f>
        <v>0</v>
      </c>
      <c r="F43" s="962">
        <f>SUMPRODUCT(($D43='Input - EFA'!$E$151:$E$465)*(F$15='Input - EFA'!$H$151:$H$465)*'Input - EFA'!$L$151:$L$465)</f>
        <v>0</v>
      </c>
      <c r="G43" s="962">
        <f>SUMPRODUCT(($D43='Input - EFA'!$E$151:$E$465)*(G$15='Input - EFA'!$H$151:$H$465)*'Input - EFA'!$L$151:$L$465)</f>
        <v>0</v>
      </c>
      <c r="H43" s="962">
        <f>SUMPRODUCT(($D43='Input - EFA'!$E$151:$E$465)*(H$15='Input - EFA'!$H$151:$H$465)*'Input - EFA'!$L$151:$L$465)</f>
        <v>0</v>
      </c>
      <c r="I43" s="962">
        <f>SUMPRODUCT(($D43='Input - EFA'!$E$151:$E$465)*(I$15='Input - EFA'!$H$151:$H$465)*'Input - EFA'!$L$151:$L$465)</f>
        <v>0</v>
      </c>
      <c r="J43" s="962">
        <f>SUMPRODUCT(($D43='Input - EFA'!$E$151:$E$465)*(J$15='Input - EFA'!$H$151:$H$465)*'Input - EFA'!$L$151:$L$465)</f>
        <v>0</v>
      </c>
      <c r="K43" s="962">
        <f>SUMPRODUCT(($D43='Input - EFA'!$E$151:$E$465)*(K$15='Input - EFA'!$H$151:$H$465)*'Input - EFA'!$L$151:$L$465)</f>
        <v>0</v>
      </c>
      <c r="L43" s="962">
        <f>SUMPRODUCT(($D43='Input - EFA'!$E$151:$E$465)*(L$15='Input - EFA'!$H$151:$H$465)*'Input - EFA'!$L$151:$L$465)</f>
        <v>0</v>
      </c>
      <c r="M43" s="962">
        <f>SUMPRODUCT(($D43='Input - EFA'!$E$151:$E$465)*(M$15='Input - EFA'!$H$151:$H$465)*'Input - EFA'!$L$151:$L$465)</f>
        <v>0</v>
      </c>
      <c r="N43" s="28"/>
      <c r="O43" s="28"/>
      <c r="P43" s="28"/>
      <c r="Q43" s="28"/>
    </row>
    <row r="44" spans="1:17" x14ac:dyDescent="0.3">
      <c r="A44" s="3" t="str">
        <f t="shared" si="1"/>
        <v>Do Not Print</v>
      </c>
      <c r="D44" s="958" t="str">
        <f>'Input -CIES'!E34</f>
        <v>CIES Line 28</v>
      </c>
      <c r="E44" s="962">
        <f>SUMPRODUCT(($D44='Input - EFA'!$E$151:$E$465)*(E$15='Input - EFA'!$H$151:$H$465)*'Input - EFA'!$L$151:$L$465)</f>
        <v>0</v>
      </c>
      <c r="F44" s="962">
        <f>SUMPRODUCT(($D44='Input - EFA'!$E$151:$E$465)*(F$15='Input - EFA'!$H$151:$H$465)*'Input - EFA'!$L$151:$L$465)</f>
        <v>0</v>
      </c>
      <c r="G44" s="962">
        <f>SUMPRODUCT(($D44='Input - EFA'!$E$151:$E$465)*(G$15='Input - EFA'!$H$151:$H$465)*'Input - EFA'!$L$151:$L$465)</f>
        <v>0</v>
      </c>
      <c r="H44" s="962">
        <f>SUMPRODUCT(($D44='Input - EFA'!$E$151:$E$465)*(H$15='Input - EFA'!$H$151:$H$465)*'Input - EFA'!$L$151:$L$465)</f>
        <v>0</v>
      </c>
      <c r="I44" s="962">
        <f>SUMPRODUCT(($D44='Input - EFA'!$E$151:$E$465)*(I$15='Input - EFA'!$H$151:$H$465)*'Input - EFA'!$L$151:$L$465)</f>
        <v>0</v>
      </c>
      <c r="J44" s="962">
        <f>SUMPRODUCT(($D44='Input - EFA'!$E$151:$E$465)*(J$15='Input - EFA'!$H$151:$H$465)*'Input - EFA'!$L$151:$L$465)</f>
        <v>0</v>
      </c>
      <c r="K44" s="962">
        <f>SUMPRODUCT(($D44='Input - EFA'!$E$151:$E$465)*(K$15='Input - EFA'!$H$151:$H$465)*'Input - EFA'!$L$151:$L$465)</f>
        <v>0</v>
      </c>
      <c r="L44" s="962">
        <f>SUMPRODUCT(($D44='Input - EFA'!$E$151:$E$465)*(L$15='Input - EFA'!$H$151:$H$465)*'Input - EFA'!$L$151:$L$465)</f>
        <v>0</v>
      </c>
      <c r="M44" s="962">
        <f>SUMPRODUCT(($D44='Input - EFA'!$E$151:$E$465)*(M$15='Input - EFA'!$H$151:$H$465)*'Input - EFA'!$L$151:$L$465)</f>
        <v>0</v>
      </c>
      <c r="N44" s="28"/>
      <c r="O44" s="28"/>
      <c r="P44" s="28"/>
      <c r="Q44" s="28"/>
    </row>
    <row r="45" spans="1:17" x14ac:dyDescent="0.3">
      <c r="A45" s="3" t="str">
        <f t="shared" si="1"/>
        <v>Do Not Print</v>
      </c>
      <c r="D45" s="958" t="str">
        <f>'Input -CIES'!E35</f>
        <v>CIES Line 29</v>
      </c>
      <c r="E45" s="962">
        <f>SUMPRODUCT(($D45='Input - EFA'!$E$151:$E$465)*(E$15='Input - EFA'!$H$151:$H$465)*'Input - EFA'!$L$151:$L$465)</f>
        <v>0</v>
      </c>
      <c r="F45" s="962">
        <f>SUMPRODUCT(($D45='Input - EFA'!$E$151:$E$465)*(F$15='Input - EFA'!$H$151:$H$465)*'Input - EFA'!$L$151:$L$465)</f>
        <v>0</v>
      </c>
      <c r="G45" s="962">
        <f>SUMPRODUCT(($D45='Input - EFA'!$E$151:$E$465)*(G$15='Input - EFA'!$H$151:$H$465)*'Input - EFA'!$L$151:$L$465)</f>
        <v>0</v>
      </c>
      <c r="H45" s="962">
        <f>SUMPRODUCT(($D45='Input - EFA'!$E$151:$E$465)*(H$15='Input - EFA'!$H$151:$H$465)*'Input - EFA'!$L$151:$L$465)</f>
        <v>0</v>
      </c>
      <c r="I45" s="962">
        <f>SUMPRODUCT(($D45='Input - EFA'!$E$151:$E$465)*(I$15='Input - EFA'!$H$151:$H$465)*'Input - EFA'!$L$151:$L$465)</f>
        <v>0</v>
      </c>
      <c r="J45" s="962">
        <f>SUMPRODUCT(($D45='Input - EFA'!$E$151:$E$465)*(J$15='Input - EFA'!$H$151:$H$465)*'Input - EFA'!$L$151:$L$465)</f>
        <v>0</v>
      </c>
      <c r="K45" s="962">
        <f>SUMPRODUCT(($D45='Input - EFA'!$E$151:$E$465)*(K$15='Input - EFA'!$H$151:$H$465)*'Input - EFA'!$L$151:$L$465)</f>
        <v>0</v>
      </c>
      <c r="L45" s="962">
        <f>SUMPRODUCT(($D45='Input - EFA'!$E$151:$E$465)*(L$15='Input - EFA'!$H$151:$H$465)*'Input - EFA'!$L$151:$L$465)</f>
        <v>0</v>
      </c>
      <c r="M45" s="962">
        <f>SUMPRODUCT(($D45='Input - EFA'!$E$151:$E$465)*(M$15='Input - EFA'!$H$151:$H$465)*'Input - EFA'!$L$151:$L$465)</f>
        <v>0</v>
      </c>
      <c r="N45" s="28"/>
      <c r="O45" s="28"/>
      <c r="P45" s="28"/>
      <c r="Q45" s="28"/>
    </row>
    <row r="46" spans="1:17" x14ac:dyDescent="0.3">
      <c r="A46" s="3" t="str">
        <f t="shared" si="1"/>
        <v>Do Not Print</v>
      </c>
      <c r="D46" s="958" t="str">
        <f>'Input -CIES'!E36</f>
        <v>CIES Line 30</v>
      </c>
      <c r="E46" s="962">
        <f>SUMPRODUCT(($D46='Input - EFA'!$E$151:$E$465)*(E$15='Input - EFA'!$H$151:$H$465)*'Input - EFA'!$L$151:$L$465)</f>
        <v>0</v>
      </c>
      <c r="F46" s="962">
        <f>SUMPRODUCT(($D46='Input - EFA'!$E$151:$E$465)*(F$15='Input - EFA'!$H$151:$H$465)*'Input - EFA'!$L$151:$L$465)</f>
        <v>0</v>
      </c>
      <c r="G46" s="962">
        <f>SUMPRODUCT(($D46='Input - EFA'!$E$151:$E$465)*(G$15='Input - EFA'!$H$151:$H$465)*'Input - EFA'!$L$151:$L$465)</f>
        <v>0</v>
      </c>
      <c r="H46" s="962">
        <f>SUMPRODUCT(($D46='Input - EFA'!$E$151:$E$465)*(H$15='Input - EFA'!$H$151:$H$465)*'Input - EFA'!$L$151:$L$465)</f>
        <v>0</v>
      </c>
      <c r="I46" s="962">
        <f>SUMPRODUCT(($D46='Input - EFA'!$E$151:$E$465)*(I$15='Input - EFA'!$H$151:$H$465)*'Input - EFA'!$L$151:$L$465)</f>
        <v>0</v>
      </c>
      <c r="J46" s="962">
        <f>SUMPRODUCT(($D46='Input - EFA'!$E$151:$E$465)*(J$15='Input - EFA'!$H$151:$H$465)*'Input - EFA'!$L$151:$L$465)</f>
        <v>0</v>
      </c>
      <c r="K46" s="962">
        <f>SUMPRODUCT(($D46='Input - EFA'!$E$151:$E$465)*(K$15='Input - EFA'!$H$151:$H$465)*'Input - EFA'!$L$151:$L$465)</f>
        <v>0</v>
      </c>
      <c r="L46" s="962">
        <f>SUMPRODUCT(($D46='Input - EFA'!$E$151:$E$465)*(L$15='Input - EFA'!$H$151:$H$465)*'Input - EFA'!$L$151:$L$465)</f>
        <v>0</v>
      </c>
      <c r="M46" s="962">
        <f>SUMPRODUCT(($D46='Input - EFA'!$E$151:$E$465)*(M$15='Input - EFA'!$H$151:$H$465)*'Input - EFA'!$L$151:$L$465)</f>
        <v>0</v>
      </c>
      <c r="N46" s="28"/>
      <c r="O46" s="28"/>
      <c r="P46" s="28"/>
      <c r="Q46" s="28"/>
    </row>
    <row r="47" spans="1:17" x14ac:dyDescent="0.3">
      <c r="A47" s="3" t="str">
        <f t="shared" si="1"/>
        <v>Do Not Print</v>
      </c>
      <c r="D47" s="958" t="str">
        <f>'Input -CIES'!E37</f>
        <v>CIES Line 31</v>
      </c>
      <c r="E47" s="962">
        <f>SUMPRODUCT(($D47='Input - EFA'!$E$151:$E$465)*(E$15='Input - EFA'!$H$151:$H$465)*'Input - EFA'!$L$151:$L$465)</f>
        <v>0</v>
      </c>
      <c r="F47" s="962">
        <f>SUMPRODUCT(($D47='Input - EFA'!$E$151:$E$465)*(F$15='Input - EFA'!$H$151:$H$465)*'Input - EFA'!$L$151:$L$465)</f>
        <v>0</v>
      </c>
      <c r="G47" s="962">
        <f>SUMPRODUCT(($D47='Input - EFA'!$E$151:$E$465)*(G$15='Input - EFA'!$H$151:$H$465)*'Input - EFA'!$L$151:$L$465)</f>
        <v>0</v>
      </c>
      <c r="H47" s="962">
        <f>SUMPRODUCT(($D47='Input - EFA'!$E$151:$E$465)*(H$15='Input - EFA'!$H$151:$H$465)*'Input - EFA'!$L$151:$L$465)</f>
        <v>0</v>
      </c>
      <c r="I47" s="962">
        <f>SUMPRODUCT(($D47='Input - EFA'!$E$151:$E$465)*(I$15='Input - EFA'!$H$151:$H$465)*'Input - EFA'!$L$151:$L$465)</f>
        <v>0</v>
      </c>
      <c r="J47" s="962">
        <f>SUMPRODUCT(($D47='Input - EFA'!$E$151:$E$465)*(J$15='Input - EFA'!$H$151:$H$465)*'Input - EFA'!$L$151:$L$465)</f>
        <v>0</v>
      </c>
      <c r="K47" s="962">
        <f>SUMPRODUCT(($D47='Input - EFA'!$E$151:$E$465)*(K$15='Input - EFA'!$H$151:$H$465)*'Input - EFA'!$L$151:$L$465)</f>
        <v>0</v>
      </c>
      <c r="L47" s="962">
        <f>SUMPRODUCT(($D47='Input - EFA'!$E$151:$E$465)*(L$15='Input - EFA'!$H$151:$H$465)*'Input - EFA'!$L$151:$L$465)</f>
        <v>0</v>
      </c>
      <c r="M47" s="962">
        <f>SUMPRODUCT(($D47='Input - EFA'!$E$151:$E$465)*(M$15='Input - EFA'!$H$151:$H$465)*'Input - EFA'!$L$151:$L$465)</f>
        <v>0</v>
      </c>
      <c r="N47" s="28"/>
      <c r="O47" s="28"/>
      <c r="P47" s="28"/>
      <c r="Q47" s="28"/>
    </row>
    <row r="48" spans="1:17" x14ac:dyDescent="0.3">
      <c r="A48" s="3" t="str">
        <f t="shared" si="1"/>
        <v>Do Not Print</v>
      </c>
      <c r="D48" s="958" t="str">
        <f>'Input -CIES'!E38</f>
        <v>CIES Line 32</v>
      </c>
      <c r="E48" s="962">
        <f>SUMPRODUCT(($D48='Input - EFA'!$E$151:$E$465)*(E$15='Input - EFA'!$H$151:$H$465)*'Input - EFA'!$L$151:$L$465)</f>
        <v>0</v>
      </c>
      <c r="F48" s="962">
        <f>SUMPRODUCT(($D48='Input - EFA'!$E$151:$E$465)*(F$15='Input - EFA'!$H$151:$H$465)*'Input - EFA'!$L$151:$L$465)</f>
        <v>0</v>
      </c>
      <c r="G48" s="962">
        <f>SUMPRODUCT(($D48='Input - EFA'!$E$151:$E$465)*(G$15='Input - EFA'!$H$151:$H$465)*'Input - EFA'!$L$151:$L$465)</f>
        <v>0</v>
      </c>
      <c r="H48" s="962">
        <f>SUMPRODUCT(($D48='Input - EFA'!$E$151:$E$465)*(H$15='Input - EFA'!$H$151:$H$465)*'Input - EFA'!$L$151:$L$465)</f>
        <v>0</v>
      </c>
      <c r="I48" s="962">
        <f>SUMPRODUCT(($D48='Input - EFA'!$E$151:$E$465)*(I$15='Input - EFA'!$H$151:$H$465)*'Input - EFA'!$L$151:$L$465)</f>
        <v>0</v>
      </c>
      <c r="J48" s="962">
        <f>SUMPRODUCT(($D48='Input - EFA'!$E$151:$E$465)*(J$15='Input - EFA'!$H$151:$H$465)*'Input - EFA'!$L$151:$L$465)</f>
        <v>0</v>
      </c>
      <c r="K48" s="962">
        <f>SUMPRODUCT(($D48='Input - EFA'!$E$151:$E$465)*(K$15='Input - EFA'!$H$151:$H$465)*'Input - EFA'!$L$151:$L$465)</f>
        <v>0</v>
      </c>
      <c r="L48" s="962">
        <f>SUMPRODUCT(($D48='Input - EFA'!$E$151:$E$465)*(L$15='Input - EFA'!$H$151:$H$465)*'Input - EFA'!$L$151:$L$465)</f>
        <v>0</v>
      </c>
      <c r="M48" s="962">
        <f>SUMPRODUCT(($D48='Input - EFA'!$E$151:$E$465)*(M$15='Input - EFA'!$H$151:$H$465)*'Input - EFA'!$L$151:$L$465)</f>
        <v>0</v>
      </c>
      <c r="N48" s="28"/>
      <c r="O48" s="28"/>
      <c r="P48" s="28"/>
      <c r="Q48" s="28"/>
    </row>
    <row r="49" spans="1:21" x14ac:dyDescent="0.3">
      <c r="A49" s="3" t="str">
        <f t="shared" si="1"/>
        <v>Do Not Print</v>
      </c>
      <c r="D49" s="958" t="str">
        <f>'Input -CIES'!E39</f>
        <v>CIES Line 33</v>
      </c>
      <c r="E49" s="962">
        <f>SUMPRODUCT(($D49='Input - EFA'!$E$151:$E$465)*(E$15='Input - EFA'!$H$151:$H$465)*'Input - EFA'!$L$151:$L$465)</f>
        <v>0</v>
      </c>
      <c r="F49" s="962">
        <f>SUMPRODUCT(($D49='Input - EFA'!$E$151:$E$465)*(F$15='Input - EFA'!$H$151:$H$465)*'Input - EFA'!$L$151:$L$465)</f>
        <v>0</v>
      </c>
      <c r="G49" s="962">
        <f>SUMPRODUCT(($D49='Input - EFA'!$E$151:$E$465)*(G$15='Input - EFA'!$H$151:$H$465)*'Input - EFA'!$L$151:$L$465)</f>
        <v>0</v>
      </c>
      <c r="H49" s="962">
        <f>SUMPRODUCT(($D49='Input - EFA'!$E$151:$E$465)*(H$15='Input - EFA'!$H$151:$H$465)*'Input - EFA'!$L$151:$L$465)</f>
        <v>0</v>
      </c>
      <c r="I49" s="962">
        <f>SUMPRODUCT(($D49='Input - EFA'!$E$151:$E$465)*(I$15='Input - EFA'!$H$151:$H$465)*'Input - EFA'!$L$151:$L$465)</f>
        <v>0</v>
      </c>
      <c r="J49" s="962">
        <f>SUMPRODUCT(($D49='Input - EFA'!$E$151:$E$465)*(J$15='Input - EFA'!$H$151:$H$465)*'Input - EFA'!$L$151:$L$465)</f>
        <v>0</v>
      </c>
      <c r="K49" s="962">
        <f>SUMPRODUCT(($D49='Input - EFA'!$E$151:$E$465)*(K$15='Input - EFA'!$H$151:$H$465)*'Input - EFA'!$L$151:$L$465)</f>
        <v>0</v>
      </c>
      <c r="L49" s="962">
        <f>SUMPRODUCT(($D49='Input - EFA'!$E$151:$E$465)*(L$15='Input - EFA'!$H$151:$H$465)*'Input - EFA'!$L$151:$L$465)</f>
        <v>0</v>
      </c>
      <c r="M49" s="962">
        <f>SUMPRODUCT(($D49='Input - EFA'!$E$151:$E$465)*(M$15='Input - EFA'!$H$151:$H$465)*'Input - EFA'!$L$151:$L$465)</f>
        <v>0</v>
      </c>
      <c r="N49" s="28"/>
      <c r="O49" s="28"/>
      <c r="P49" s="28"/>
      <c r="Q49" s="28"/>
    </row>
    <row r="50" spans="1:21" x14ac:dyDescent="0.3">
      <c r="A50" s="3" t="str">
        <f t="shared" si="1"/>
        <v>Do Not Print</v>
      </c>
      <c r="D50" s="958" t="str">
        <f>'Input -CIES'!E40</f>
        <v>CIES Line 34</v>
      </c>
      <c r="E50" s="962">
        <f>SUMPRODUCT(($D50='Input - EFA'!$E$151:$E$465)*(E$15='Input - EFA'!$H$151:$H$465)*'Input - EFA'!$L$151:$L$465)</f>
        <v>0</v>
      </c>
      <c r="F50" s="962">
        <f>SUMPRODUCT(($D50='Input - EFA'!$E$151:$E$465)*(F$15='Input - EFA'!$H$151:$H$465)*'Input - EFA'!$L$151:$L$465)</f>
        <v>0</v>
      </c>
      <c r="G50" s="962">
        <f>SUMPRODUCT(($D50='Input - EFA'!$E$151:$E$465)*(G$15='Input - EFA'!$H$151:$H$465)*'Input - EFA'!$L$151:$L$465)</f>
        <v>0</v>
      </c>
      <c r="H50" s="962">
        <f>SUMPRODUCT(($D50='Input - EFA'!$E$151:$E$465)*(H$15='Input - EFA'!$H$151:$H$465)*'Input - EFA'!$L$151:$L$465)</f>
        <v>0</v>
      </c>
      <c r="I50" s="962">
        <f>SUMPRODUCT(($D50='Input - EFA'!$E$151:$E$465)*(I$15='Input - EFA'!$H$151:$H$465)*'Input - EFA'!$L$151:$L$465)</f>
        <v>0</v>
      </c>
      <c r="J50" s="962">
        <f>SUMPRODUCT(($D50='Input - EFA'!$E$151:$E$465)*(J$15='Input - EFA'!$H$151:$H$465)*'Input - EFA'!$L$151:$L$465)</f>
        <v>0</v>
      </c>
      <c r="K50" s="962">
        <f>SUMPRODUCT(($D50='Input - EFA'!$E$151:$E$465)*(K$15='Input - EFA'!$H$151:$H$465)*'Input - EFA'!$L$151:$L$465)</f>
        <v>0</v>
      </c>
      <c r="L50" s="962">
        <f>SUMPRODUCT(($D50='Input - EFA'!$E$151:$E$465)*(L$15='Input - EFA'!$H$151:$H$465)*'Input - EFA'!$L$151:$L$465)</f>
        <v>0</v>
      </c>
      <c r="M50" s="962">
        <f>SUMPRODUCT(($D50='Input - EFA'!$E$151:$E$465)*(M$15='Input - EFA'!$H$151:$H$465)*'Input - EFA'!$L$151:$L$465)</f>
        <v>0</v>
      </c>
      <c r="N50" s="28"/>
      <c r="O50" s="28"/>
      <c r="P50" s="28"/>
      <c r="Q50" s="28"/>
    </row>
    <row r="51" spans="1:21" x14ac:dyDescent="0.3">
      <c r="A51" s="3" t="str">
        <f t="shared" si="1"/>
        <v>Do Not Print</v>
      </c>
      <c r="D51" s="958" t="str">
        <f>'Input -CIES'!E41</f>
        <v>CIES Line 35</v>
      </c>
      <c r="E51" s="962">
        <f>SUMPRODUCT(($D51='Input - EFA'!$E$151:$E$465)*(E$15='Input - EFA'!$H$151:$H$465)*'Input - EFA'!$L$151:$L$465)</f>
        <v>0</v>
      </c>
      <c r="F51" s="962">
        <f>SUMPRODUCT(($D51='Input - EFA'!$E$151:$E$465)*(F$15='Input - EFA'!$H$151:$H$465)*'Input - EFA'!$L$151:$L$465)</f>
        <v>0</v>
      </c>
      <c r="G51" s="962">
        <f>SUMPRODUCT(($D51='Input - EFA'!$E$151:$E$465)*(G$15='Input - EFA'!$H$151:$H$465)*'Input - EFA'!$L$151:$L$465)</f>
        <v>0</v>
      </c>
      <c r="H51" s="962">
        <f>SUMPRODUCT(($D51='Input - EFA'!$E$151:$E$465)*(H$15='Input - EFA'!$H$151:$H$465)*'Input - EFA'!$L$151:$L$465)</f>
        <v>0</v>
      </c>
      <c r="I51" s="962">
        <f>SUMPRODUCT(($D51='Input - EFA'!$E$151:$E$465)*(I$15='Input - EFA'!$H$151:$H$465)*'Input - EFA'!$L$151:$L$465)</f>
        <v>0</v>
      </c>
      <c r="J51" s="962">
        <f>SUMPRODUCT(($D51='Input - EFA'!$E$151:$E$465)*(J$15='Input - EFA'!$H$151:$H$465)*'Input - EFA'!$L$151:$L$465)</f>
        <v>0</v>
      </c>
      <c r="K51" s="962">
        <f>SUMPRODUCT(($D51='Input - EFA'!$E$151:$E$465)*(K$15='Input - EFA'!$H$151:$H$465)*'Input - EFA'!$L$151:$L$465)</f>
        <v>0</v>
      </c>
      <c r="L51" s="962">
        <f>SUMPRODUCT(($D51='Input - EFA'!$E$151:$E$465)*(L$15='Input - EFA'!$H$151:$H$465)*'Input - EFA'!$L$151:$L$465)</f>
        <v>0</v>
      </c>
      <c r="M51" s="962">
        <f>SUMPRODUCT(($D51='Input - EFA'!$E$151:$E$465)*(M$15='Input - EFA'!$H$151:$H$465)*'Input - EFA'!$L$151:$L$465)</f>
        <v>0</v>
      </c>
      <c r="N51" s="28"/>
      <c r="O51" s="28"/>
      <c r="P51" s="28"/>
      <c r="Q51" s="28"/>
    </row>
    <row r="52" spans="1:21" x14ac:dyDescent="0.3">
      <c r="A52" s="3" t="s">
        <v>448</v>
      </c>
      <c r="D52" s="958"/>
      <c r="E52" s="962"/>
      <c r="F52" s="957"/>
      <c r="G52" s="957"/>
      <c r="H52" s="957"/>
      <c r="I52" s="957"/>
      <c r="J52" s="957"/>
      <c r="K52" s="963"/>
      <c r="L52" s="963"/>
      <c r="M52" s="963"/>
      <c r="N52" s="28"/>
      <c r="O52" s="28"/>
      <c r="P52" s="28"/>
      <c r="Q52" s="28"/>
    </row>
    <row r="53" spans="1:21" ht="27" x14ac:dyDescent="0.3">
      <c r="A53" s="3" t="s">
        <v>448</v>
      </c>
      <c r="D53" s="952" t="s">
        <v>2000</v>
      </c>
      <c r="E53" s="962">
        <f>SUM(E17:E51)</f>
        <v>0</v>
      </c>
      <c r="F53" s="962">
        <f t="shared" ref="F53:M53" si="2">SUM(F17:F51)</f>
        <v>0</v>
      </c>
      <c r="G53" s="962">
        <f t="shared" si="2"/>
        <v>0</v>
      </c>
      <c r="H53" s="962">
        <f t="shared" si="2"/>
        <v>0</v>
      </c>
      <c r="I53" s="962">
        <f t="shared" si="2"/>
        <v>0</v>
      </c>
      <c r="J53" s="962">
        <f t="shared" si="2"/>
        <v>0</v>
      </c>
      <c r="K53" s="962">
        <f t="shared" si="2"/>
        <v>0</v>
      </c>
      <c r="L53" s="962">
        <f t="shared" si="2"/>
        <v>0</v>
      </c>
      <c r="M53" s="962">
        <f t="shared" si="2"/>
        <v>0</v>
      </c>
      <c r="N53" s="28"/>
      <c r="O53" s="28"/>
      <c r="P53" s="28"/>
      <c r="Q53" s="28"/>
    </row>
    <row r="54" spans="1:21" x14ac:dyDescent="0.3">
      <c r="A54" s="3" t="s">
        <v>448</v>
      </c>
      <c r="F54" s="485"/>
      <c r="G54" s="485"/>
      <c r="H54" s="485"/>
      <c r="I54" s="485"/>
      <c r="J54" s="485"/>
      <c r="M54" s="28"/>
      <c r="N54" s="28"/>
      <c r="O54" s="28"/>
      <c r="P54" s="28"/>
      <c r="Q54" s="28"/>
    </row>
    <row r="55" spans="1:21" x14ac:dyDescent="0.3">
      <c r="A55" s="3" t="s">
        <v>448</v>
      </c>
      <c r="D55" s="1500"/>
      <c r="E55" s="1500"/>
      <c r="F55" s="1500"/>
      <c r="G55" s="1500"/>
      <c r="H55" s="1500"/>
      <c r="I55" s="1500"/>
      <c r="J55" s="1500"/>
      <c r="K55" s="1500"/>
      <c r="L55" s="1500"/>
      <c r="M55" s="1500"/>
      <c r="N55" s="28"/>
      <c r="O55" s="28"/>
      <c r="P55" s="28"/>
      <c r="Q55" s="28"/>
    </row>
    <row r="56" spans="1:21" x14ac:dyDescent="0.3">
      <c r="A56" s="3" t="s">
        <v>448</v>
      </c>
      <c r="F56" s="485"/>
      <c r="G56" s="485"/>
      <c r="H56" s="485"/>
      <c r="I56" s="485"/>
      <c r="J56" s="485"/>
      <c r="M56" s="28"/>
      <c r="N56" s="28"/>
      <c r="O56" s="28"/>
      <c r="P56" s="28"/>
      <c r="Q56" s="28"/>
    </row>
    <row r="57" spans="1:21" x14ac:dyDescent="0.3">
      <c r="A57" s="3" t="s">
        <v>448</v>
      </c>
      <c r="D57" s="959"/>
      <c r="E57" s="1742" t="str">
        <f>'Standing Data'!D52</f>
        <v>2024/25</v>
      </c>
      <c r="F57" s="1742"/>
      <c r="G57" s="1742"/>
      <c r="H57" s="1742"/>
      <c r="I57" s="1742"/>
      <c r="J57" s="1742"/>
      <c r="K57" s="1742"/>
      <c r="L57" s="1742"/>
      <c r="M57" s="1742"/>
      <c r="N57" s="28"/>
      <c r="O57" s="28"/>
      <c r="P57" s="28"/>
      <c r="Q57" s="28"/>
    </row>
    <row r="58" spans="1:21" ht="103.05" customHeight="1" x14ac:dyDescent="0.3">
      <c r="A58" s="3" t="s">
        <v>448</v>
      </c>
      <c r="D58" s="1744"/>
      <c r="E58" s="960" t="s">
        <v>1974</v>
      </c>
      <c r="F58" s="960" t="s">
        <v>1975</v>
      </c>
      <c r="G58" s="960" t="s">
        <v>1976</v>
      </c>
      <c r="H58" s="960" t="s">
        <v>1977</v>
      </c>
      <c r="I58" s="960" t="s">
        <v>1978</v>
      </c>
      <c r="J58" s="960" t="s">
        <v>2001</v>
      </c>
      <c r="K58" s="960" t="s">
        <v>1980</v>
      </c>
      <c r="L58" s="960" t="s">
        <v>1981</v>
      </c>
      <c r="M58" s="960" t="s">
        <v>1982</v>
      </c>
      <c r="N58" s="28"/>
      <c r="O58" s="28"/>
      <c r="P58" s="28"/>
      <c r="Q58" s="28"/>
    </row>
    <row r="59" spans="1:21" ht="13.5" customHeight="1" x14ac:dyDescent="0.3">
      <c r="A59" s="3" t="s">
        <v>448</v>
      </c>
      <c r="D59" s="1745"/>
      <c r="E59" s="961" t="s">
        <v>450</v>
      </c>
      <c r="F59" s="961" t="s">
        <v>450</v>
      </c>
      <c r="G59" s="961" t="s">
        <v>450</v>
      </c>
      <c r="H59" s="961" t="s">
        <v>450</v>
      </c>
      <c r="I59" s="961" t="s">
        <v>450</v>
      </c>
      <c r="J59" s="961" t="s">
        <v>450</v>
      </c>
      <c r="K59" s="961" t="s">
        <v>450</v>
      </c>
      <c r="L59" s="961" t="s">
        <v>450</v>
      </c>
      <c r="M59" s="961" t="s">
        <v>450</v>
      </c>
      <c r="N59" s="28"/>
      <c r="O59" s="28"/>
      <c r="P59" s="28"/>
      <c r="Q59" s="28"/>
    </row>
    <row r="60" spans="1:21" x14ac:dyDescent="0.3">
      <c r="A60" s="3" t="str">
        <f>IF(AND(E60=0,F60=0,G60=0,H60=0,I60=0,J60=0,K60=0,L60=0,M60=0),"Do Not Print","Print")</f>
        <v>Do Not Print</v>
      </c>
      <c r="D60" s="958" t="str">
        <f>'Input -CIES'!E7</f>
        <v>CIES Line 1</v>
      </c>
      <c r="E60" s="962">
        <f>SUMPRODUCT(($D60='Input - EFA'!$E$151:$E$465)*(E$58='Input - EFA'!$H$151:$H$465)*'Input - EFA'!$O$151:$O$465)</f>
        <v>0</v>
      </c>
      <c r="F60" s="962">
        <f>SUMPRODUCT(($D60='Input - EFA'!$E$151:$E$465)*(F$58='Input - EFA'!$H$151:$H$465)*'Input - EFA'!$O$151:$O$465)</f>
        <v>0</v>
      </c>
      <c r="G60" s="962">
        <f>SUMPRODUCT(($D60='Input - EFA'!$E$151:$E$465)*(G$58='Input - EFA'!$H$151:$H$465)*'Input - EFA'!$O$151:$O$465)</f>
        <v>0</v>
      </c>
      <c r="H60" s="962">
        <f>SUMPRODUCT(($D60='Input - EFA'!$E$151:$E$465)*(H$58='Input - EFA'!$H$151:$H$465)*'Input - EFA'!$O$151:$O$465)</f>
        <v>0</v>
      </c>
      <c r="I60" s="962">
        <f>SUMPRODUCT(($D60='Input - EFA'!$E$151:$E$465)*(I$58='Input - EFA'!$H$151:$H$465)*'Input - EFA'!$O$151:$O$465)</f>
        <v>0</v>
      </c>
      <c r="J60" s="962">
        <f>SUMPRODUCT(($D60='Input - EFA'!$E$151:$E$465)*(J$58='Input - EFA'!$H$151:$H$465)*'Input - EFA'!$O$151:$O$465)</f>
        <v>0</v>
      </c>
      <c r="K60" s="962">
        <f>SUMPRODUCT(($D60='Input - EFA'!$E$151:$E$465)*(K$58='Input - EFA'!$H$151:$H$465)*'Input - EFA'!$O$151:$O$465)</f>
        <v>0</v>
      </c>
      <c r="L60" s="962">
        <f>SUMPRODUCT(($D60='Input - EFA'!$E$151:$E$465)*(L$58='Input - EFA'!$H$151:$H$465)*'Input - EFA'!$O$151:$O$465)</f>
        <v>0</v>
      </c>
      <c r="M60" s="962">
        <f>SUMPRODUCT(($D60='Input - EFA'!$E$151:$E$465)*(M$58='Input - EFA'!$H$151:$H$465)*'Input - EFA'!$O$151:$O$465)</f>
        <v>0</v>
      </c>
      <c r="N60" s="28"/>
      <c r="O60" s="28"/>
      <c r="P60" s="28"/>
      <c r="Q60" s="28"/>
    </row>
    <row r="61" spans="1:21" x14ac:dyDescent="0.3">
      <c r="A61" s="3" t="str">
        <f t="shared" ref="A61:A94" si="3">IF(AND(E61=0,F61=0,G61=0,H61=0,I61=0,J61=0,K61=0,L61=0,M61=0),"Do Not Print","Print")</f>
        <v>Do Not Print</v>
      </c>
      <c r="D61" s="958" t="str">
        <f>'Input -CIES'!E8</f>
        <v>CIES Line 2</v>
      </c>
      <c r="E61" s="962">
        <f>SUMPRODUCT(($D61='Input - EFA'!$E$151:$E$465)*(E$58='Input - EFA'!$H$151:$H$465)*'Input - EFA'!$O$151:$O$465)</f>
        <v>0</v>
      </c>
      <c r="F61" s="962">
        <f>SUMPRODUCT(($D61='Input - EFA'!$E$151:$E$465)*(F$58='Input - EFA'!$H$151:$H$465)*'Input - EFA'!$O$151:$O$465)</f>
        <v>0</v>
      </c>
      <c r="G61" s="962">
        <f>SUMPRODUCT(($D61='Input - EFA'!$E$151:$E$465)*(G$58='Input - EFA'!$H$151:$H$465)*'Input - EFA'!$O$151:$O$465)</f>
        <v>0</v>
      </c>
      <c r="H61" s="962">
        <f>SUMPRODUCT(($D61='Input - EFA'!$E$151:$E$465)*(H$58='Input - EFA'!$H$151:$H$465)*'Input - EFA'!$O$151:$O$465)</f>
        <v>0</v>
      </c>
      <c r="I61" s="962">
        <f>SUMPRODUCT(($D61='Input - EFA'!$E$151:$E$465)*(I$58='Input - EFA'!$H$151:$H$465)*'Input - EFA'!$O$151:$O$465)</f>
        <v>0</v>
      </c>
      <c r="J61" s="962">
        <f>SUMPRODUCT(($D61='Input - EFA'!$E$151:$E$465)*(J$58='Input - EFA'!$H$151:$H$465)*'Input - EFA'!$O$151:$O$465)</f>
        <v>0</v>
      </c>
      <c r="K61" s="962">
        <f>SUMPRODUCT(($D61='Input - EFA'!$E$151:$E$465)*(K$58='Input - EFA'!$H$151:$H$465)*'Input - EFA'!$O$151:$O$465)</f>
        <v>0</v>
      </c>
      <c r="L61" s="962">
        <f>SUMPRODUCT(($D61='Input - EFA'!$E$151:$E$465)*(L$58='Input - EFA'!$H$151:$H$465)*'Input - EFA'!$O$151:$O$465)</f>
        <v>0</v>
      </c>
      <c r="M61" s="962">
        <f>SUMPRODUCT(($D61='Input - EFA'!$E$151:$E$465)*(M$58='Input - EFA'!$H$151:$H$465)*'Input - EFA'!$O$151:$O$465)</f>
        <v>0</v>
      </c>
      <c r="N61" s="28"/>
      <c r="O61" s="28"/>
      <c r="P61" s="28"/>
      <c r="Q61" s="28"/>
    </row>
    <row r="62" spans="1:21" x14ac:dyDescent="0.3">
      <c r="A62" s="3" t="str">
        <f t="shared" si="3"/>
        <v>Do Not Print</v>
      </c>
      <c r="D62" s="958" t="str">
        <f>'Input -CIES'!E9</f>
        <v>CIES Line 3</v>
      </c>
      <c r="E62" s="962">
        <f>SUMPRODUCT(($D62='Input - EFA'!$E$151:$E$465)*(E$58='Input - EFA'!$H$151:$H$465)*'Input - EFA'!$O$151:$O$465)</f>
        <v>0</v>
      </c>
      <c r="F62" s="962">
        <f>SUMPRODUCT(($D62='Input - EFA'!$E$151:$E$465)*(F$58='Input - EFA'!$H$151:$H$465)*'Input - EFA'!$O$151:$O$465)</f>
        <v>0</v>
      </c>
      <c r="G62" s="962">
        <f>SUMPRODUCT(($D62='Input - EFA'!$E$151:$E$465)*(G$58='Input - EFA'!$H$151:$H$465)*'Input - EFA'!$O$151:$O$465)</f>
        <v>0</v>
      </c>
      <c r="H62" s="962">
        <f>SUMPRODUCT(($D62='Input - EFA'!$E$151:$E$465)*(H$58='Input - EFA'!$H$151:$H$465)*'Input - EFA'!$O$151:$O$465)</f>
        <v>0</v>
      </c>
      <c r="I62" s="962">
        <f>SUMPRODUCT(($D62='Input - EFA'!$E$151:$E$465)*(I$58='Input - EFA'!$H$151:$H$465)*'Input - EFA'!$O$151:$O$465)</f>
        <v>0</v>
      </c>
      <c r="J62" s="962">
        <f>SUMPRODUCT(($D62='Input - EFA'!$E$151:$E$465)*(J$58='Input - EFA'!$H$151:$H$465)*'Input - EFA'!$O$151:$O$465)</f>
        <v>0</v>
      </c>
      <c r="K62" s="962">
        <f>SUMPRODUCT(($D62='Input - EFA'!$E$151:$E$465)*(K$58='Input - EFA'!$H$151:$H$465)*'Input - EFA'!$O$151:$O$465)</f>
        <v>0</v>
      </c>
      <c r="L62" s="962">
        <f>SUMPRODUCT(($D62='Input - EFA'!$E$151:$E$465)*(L$58='Input - EFA'!$H$151:$H$465)*'Input - EFA'!$O$151:$O$465)</f>
        <v>0</v>
      </c>
      <c r="M62" s="962">
        <f>SUMPRODUCT(($D62='Input - EFA'!$E$151:$E$465)*(M$58='Input - EFA'!$H$151:$H$465)*'Input - EFA'!$O$151:$O$465)</f>
        <v>0</v>
      </c>
      <c r="N62" s="28"/>
      <c r="O62" s="28"/>
      <c r="P62" s="28"/>
      <c r="Q62" s="28"/>
    </row>
    <row r="63" spans="1:21" x14ac:dyDescent="0.3">
      <c r="A63" s="3" t="str">
        <f t="shared" si="3"/>
        <v>Do Not Print</v>
      </c>
      <c r="D63" s="958" t="str">
        <f>'Input -CIES'!E10</f>
        <v>CIES Line 4</v>
      </c>
      <c r="E63" s="962">
        <f>SUMPRODUCT(($D63='Input - EFA'!$E$151:$E$465)*(E$58='Input - EFA'!$H$151:$H$465)*'Input - EFA'!$O$151:$O$465)</f>
        <v>0</v>
      </c>
      <c r="F63" s="962">
        <f>SUMPRODUCT(($D63='Input - EFA'!$E$151:$E$465)*(F$58='Input - EFA'!$H$151:$H$465)*'Input - EFA'!$O$151:$O$465)</f>
        <v>0</v>
      </c>
      <c r="G63" s="962">
        <f>SUMPRODUCT(($D63='Input - EFA'!$E$151:$E$465)*(G$58='Input - EFA'!$H$151:$H$465)*'Input - EFA'!$O$151:$O$465)</f>
        <v>0</v>
      </c>
      <c r="H63" s="962">
        <f>SUMPRODUCT(($D63='Input - EFA'!$E$151:$E$465)*(H$58='Input - EFA'!$H$151:$H$465)*'Input - EFA'!$O$151:$O$465)</f>
        <v>0</v>
      </c>
      <c r="I63" s="962">
        <f>SUMPRODUCT(($D63='Input - EFA'!$E$151:$E$465)*(I$58='Input - EFA'!$H$151:$H$465)*'Input - EFA'!$O$151:$O$465)</f>
        <v>0</v>
      </c>
      <c r="J63" s="962">
        <f>SUMPRODUCT(($D63='Input - EFA'!$E$151:$E$465)*(J$58='Input - EFA'!$H$151:$H$465)*'Input - EFA'!$O$151:$O$465)</f>
        <v>0</v>
      </c>
      <c r="K63" s="962">
        <f>SUMPRODUCT(($D63='Input - EFA'!$E$151:$E$465)*(K$58='Input - EFA'!$H$151:$H$465)*'Input - EFA'!$O$151:$O$465)</f>
        <v>0</v>
      </c>
      <c r="L63" s="962">
        <f>SUMPRODUCT(($D63='Input - EFA'!$E$151:$E$465)*(L$58='Input - EFA'!$H$151:$H$465)*'Input - EFA'!$O$151:$O$465)</f>
        <v>0</v>
      </c>
      <c r="M63" s="962">
        <f>SUMPRODUCT(($D63='Input - EFA'!$E$151:$E$465)*(M$58='Input - EFA'!$H$151:$H$465)*'Input - EFA'!$O$151:$O$465)</f>
        <v>0</v>
      </c>
      <c r="N63" s="28"/>
      <c r="O63" s="28"/>
      <c r="P63" s="28"/>
      <c r="Q63" s="28"/>
      <c r="U63" s="962">
        <f>'Input - EFA'!AE178</f>
        <v>0</v>
      </c>
    </row>
    <row r="64" spans="1:21" x14ac:dyDescent="0.3">
      <c r="A64" s="3" t="str">
        <f t="shared" si="3"/>
        <v>Do Not Print</v>
      </c>
      <c r="D64" s="958" t="str">
        <f>'Input -CIES'!E11</f>
        <v>CIES Line 5</v>
      </c>
      <c r="E64" s="962">
        <f>SUMPRODUCT(($D64='Input - EFA'!$E$151:$E$465)*(E$58='Input - EFA'!$H$151:$H$465)*'Input - EFA'!$O$151:$O$465)</f>
        <v>0</v>
      </c>
      <c r="F64" s="962">
        <f>SUMPRODUCT(($D64='Input - EFA'!$E$151:$E$465)*(F$58='Input - EFA'!$H$151:$H$465)*'Input - EFA'!$O$151:$O$465)</f>
        <v>0</v>
      </c>
      <c r="G64" s="962">
        <f>SUMPRODUCT(($D64='Input - EFA'!$E$151:$E$465)*(G$58='Input - EFA'!$H$151:$H$465)*'Input - EFA'!$O$151:$O$465)</f>
        <v>0</v>
      </c>
      <c r="H64" s="962">
        <f>SUMPRODUCT(($D64='Input - EFA'!$E$151:$E$465)*(H$58='Input - EFA'!$H$151:$H$465)*'Input - EFA'!$O$151:$O$465)</f>
        <v>0</v>
      </c>
      <c r="I64" s="962">
        <f>SUMPRODUCT(($D64='Input - EFA'!$E$151:$E$465)*(I$58='Input - EFA'!$H$151:$H$465)*'Input - EFA'!$O$151:$O$465)</f>
        <v>0</v>
      </c>
      <c r="J64" s="962">
        <f>SUMPRODUCT(($D64='Input - EFA'!$E$151:$E$465)*(J$58='Input - EFA'!$H$151:$H$465)*'Input - EFA'!$O$151:$O$465)</f>
        <v>0</v>
      </c>
      <c r="K64" s="962">
        <f>SUMPRODUCT(($D64='Input - EFA'!$E$151:$E$465)*(K$58='Input - EFA'!$H$151:$H$465)*'Input - EFA'!$O$151:$O$465)</f>
        <v>0</v>
      </c>
      <c r="L64" s="962">
        <f>SUMPRODUCT(($D64='Input - EFA'!$E$151:$E$465)*(L$58='Input - EFA'!$H$151:$H$465)*'Input - EFA'!$O$151:$O$465)</f>
        <v>0</v>
      </c>
      <c r="M64" s="962">
        <f>SUMPRODUCT(($D64='Input - EFA'!$E$151:$E$465)*(M$58='Input - EFA'!$H$151:$H$465)*'Input - EFA'!$O$151:$O$465)</f>
        <v>0</v>
      </c>
      <c r="N64" s="28"/>
      <c r="O64" s="28"/>
      <c r="P64" s="28"/>
      <c r="Q64" s="28"/>
      <c r="U64" s="962">
        <f>'Input - EFA'!AE179</f>
        <v>0</v>
      </c>
    </row>
    <row r="65" spans="1:21" x14ac:dyDescent="0.3">
      <c r="A65" s="3" t="str">
        <f t="shared" si="3"/>
        <v>Do Not Print</v>
      </c>
      <c r="D65" s="958" t="str">
        <f>'Input -CIES'!E12</f>
        <v>CIES Line 6</v>
      </c>
      <c r="E65" s="962">
        <f>SUMPRODUCT(($D65='Input - EFA'!$E$151:$E$465)*(E$58='Input - EFA'!$H$151:$H$465)*'Input - EFA'!$O$151:$O$465)</f>
        <v>0</v>
      </c>
      <c r="F65" s="962">
        <f>SUMPRODUCT(($D65='Input - EFA'!$E$151:$E$465)*(F$58='Input - EFA'!$H$151:$H$465)*'Input - EFA'!$O$151:$O$465)</f>
        <v>0</v>
      </c>
      <c r="G65" s="962">
        <f>SUMPRODUCT(($D65='Input - EFA'!$E$151:$E$465)*(G$58='Input - EFA'!$H$151:$H$465)*'Input - EFA'!$O$151:$O$465)</f>
        <v>0</v>
      </c>
      <c r="H65" s="962">
        <f>SUMPRODUCT(($D65='Input - EFA'!$E$151:$E$465)*(H$58='Input - EFA'!$H$151:$H$465)*'Input - EFA'!$O$151:$O$465)</f>
        <v>0</v>
      </c>
      <c r="I65" s="962">
        <f>SUMPRODUCT(($D65='Input - EFA'!$E$151:$E$465)*(I$58='Input - EFA'!$H$151:$H$465)*'Input - EFA'!$O$151:$O$465)</f>
        <v>0</v>
      </c>
      <c r="J65" s="962">
        <f>SUMPRODUCT(($D65='Input - EFA'!$E$151:$E$465)*(J$58='Input - EFA'!$H$151:$H$465)*'Input - EFA'!$O$151:$O$465)</f>
        <v>0</v>
      </c>
      <c r="K65" s="962">
        <f>SUMPRODUCT(($D65='Input - EFA'!$E$151:$E$465)*(K$58='Input - EFA'!$H$151:$H$465)*'Input - EFA'!$O$151:$O$465)</f>
        <v>0</v>
      </c>
      <c r="L65" s="962">
        <f>SUMPRODUCT(($D65='Input - EFA'!$E$151:$E$465)*(L$58='Input - EFA'!$H$151:$H$465)*'Input - EFA'!$O$151:$O$465)</f>
        <v>0</v>
      </c>
      <c r="M65" s="962">
        <f>SUMPRODUCT(($D65='Input - EFA'!$E$151:$E$465)*(M$58='Input - EFA'!$H$151:$H$465)*'Input - EFA'!$O$151:$O$465)</f>
        <v>0</v>
      </c>
      <c r="N65" s="28"/>
      <c r="O65" s="28"/>
      <c r="P65" s="28"/>
      <c r="Q65" s="28"/>
      <c r="U65" s="962">
        <f>'Input - EFA'!AE180</f>
        <v>0</v>
      </c>
    </row>
    <row r="66" spans="1:21" x14ac:dyDescent="0.3">
      <c r="A66" s="3" t="str">
        <f t="shared" si="3"/>
        <v>Do Not Print</v>
      </c>
      <c r="D66" s="958" t="str">
        <f>'Input -CIES'!E13</f>
        <v>CIES Line 7</v>
      </c>
      <c r="E66" s="962">
        <f>SUMPRODUCT(($D66='Input - EFA'!$E$151:$E$465)*(E$58='Input - EFA'!$H$151:$H$465)*'Input - EFA'!$O$151:$O$465)</f>
        <v>0</v>
      </c>
      <c r="F66" s="962">
        <f>SUMPRODUCT(($D66='Input - EFA'!$E$151:$E$465)*(F$58='Input - EFA'!$H$151:$H$465)*'Input - EFA'!$O$151:$O$465)</f>
        <v>0</v>
      </c>
      <c r="G66" s="962">
        <f>SUMPRODUCT(($D66='Input - EFA'!$E$151:$E$465)*(G$58='Input - EFA'!$H$151:$H$465)*'Input - EFA'!$O$151:$O$465)</f>
        <v>0</v>
      </c>
      <c r="H66" s="962">
        <f>SUMPRODUCT(($D66='Input - EFA'!$E$151:$E$465)*(H$58='Input - EFA'!$H$151:$H$465)*'Input - EFA'!$O$151:$O$465)</f>
        <v>0</v>
      </c>
      <c r="I66" s="962">
        <f>SUMPRODUCT(($D66='Input - EFA'!$E$151:$E$465)*(I$58='Input - EFA'!$H$151:$H$465)*'Input - EFA'!$O$151:$O$465)</f>
        <v>0</v>
      </c>
      <c r="J66" s="962">
        <f>SUMPRODUCT(($D66='Input - EFA'!$E$151:$E$465)*(J$58='Input - EFA'!$H$151:$H$465)*'Input - EFA'!$O$151:$O$465)</f>
        <v>0</v>
      </c>
      <c r="K66" s="962">
        <f>SUMPRODUCT(($D66='Input - EFA'!$E$151:$E$465)*(K$58='Input - EFA'!$H$151:$H$465)*'Input - EFA'!$O$151:$O$465)</f>
        <v>0</v>
      </c>
      <c r="L66" s="962">
        <f>SUMPRODUCT(($D66='Input - EFA'!$E$151:$E$465)*(L$58='Input - EFA'!$H$151:$H$465)*'Input - EFA'!$O$151:$O$465)</f>
        <v>0</v>
      </c>
      <c r="M66" s="962">
        <f>SUMPRODUCT(($D66='Input - EFA'!$E$151:$E$465)*(M$58='Input - EFA'!$H$151:$H$465)*'Input - EFA'!$O$151:$O$465)</f>
        <v>0</v>
      </c>
      <c r="N66" s="28"/>
      <c r="O66" s="28"/>
      <c r="P66" s="28"/>
      <c r="Q66" s="28"/>
      <c r="U66" s="962">
        <f>'Input - EFA'!AE181</f>
        <v>0</v>
      </c>
    </row>
    <row r="67" spans="1:21" x14ac:dyDescent="0.3">
      <c r="A67" s="3" t="str">
        <f t="shared" si="3"/>
        <v>Do Not Print</v>
      </c>
      <c r="D67" s="958" t="str">
        <f>'Input -CIES'!E14</f>
        <v>CIES Line 8</v>
      </c>
      <c r="E67" s="962">
        <f>SUMPRODUCT(($D67='Input - EFA'!$E$151:$E$465)*(E$58='Input - EFA'!$H$151:$H$465)*'Input - EFA'!$O$151:$O$465)</f>
        <v>0</v>
      </c>
      <c r="F67" s="962">
        <f>SUMPRODUCT(($D67='Input - EFA'!$E$151:$E$465)*(F$58='Input - EFA'!$H$151:$H$465)*'Input - EFA'!$O$151:$O$465)</f>
        <v>0</v>
      </c>
      <c r="G67" s="962">
        <f>SUMPRODUCT(($D67='Input - EFA'!$E$151:$E$465)*(G$58='Input - EFA'!$H$151:$H$465)*'Input - EFA'!$O$151:$O$465)</f>
        <v>0</v>
      </c>
      <c r="H67" s="962">
        <f>SUMPRODUCT(($D67='Input - EFA'!$E$151:$E$465)*(H$58='Input - EFA'!$H$151:$H$465)*'Input - EFA'!$O$151:$O$465)</f>
        <v>0</v>
      </c>
      <c r="I67" s="962">
        <f>SUMPRODUCT(($D67='Input - EFA'!$E$151:$E$465)*(I$58='Input - EFA'!$H$151:$H$465)*'Input - EFA'!$O$151:$O$465)</f>
        <v>0</v>
      </c>
      <c r="J67" s="962">
        <f>SUMPRODUCT(($D67='Input - EFA'!$E$151:$E$465)*(J$58='Input - EFA'!$H$151:$H$465)*'Input - EFA'!$O$151:$O$465)</f>
        <v>0</v>
      </c>
      <c r="K67" s="962">
        <f>SUMPRODUCT(($D67='Input - EFA'!$E$151:$E$465)*(K$58='Input - EFA'!$H$151:$H$465)*'Input - EFA'!$O$151:$O$465)</f>
        <v>0</v>
      </c>
      <c r="L67" s="962">
        <f>SUMPRODUCT(($D67='Input - EFA'!$E$151:$E$465)*(L$58='Input - EFA'!$H$151:$H$465)*'Input - EFA'!$O$151:$O$465)</f>
        <v>0</v>
      </c>
      <c r="M67" s="962">
        <f>SUMPRODUCT(($D67='Input - EFA'!$E$151:$E$465)*(M$58='Input - EFA'!$H$151:$H$465)*'Input - EFA'!$O$151:$O$465)</f>
        <v>0</v>
      </c>
      <c r="N67" s="28"/>
      <c r="O67" s="28"/>
      <c r="P67" s="28"/>
      <c r="Q67" s="28"/>
      <c r="U67" s="962">
        <f>'Input - EFA'!AE182</f>
        <v>0</v>
      </c>
    </row>
    <row r="68" spans="1:21" x14ac:dyDescent="0.3">
      <c r="A68" s="3" t="str">
        <f t="shared" si="3"/>
        <v>Do Not Print</v>
      </c>
      <c r="D68" s="958" t="str">
        <f>'Input -CIES'!E15</f>
        <v>CIES Line 9</v>
      </c>
      <c r="E68" s="962">
        <f>SUMPRODUCT(($D68='Input - EFA'!$E$151:$E$465)*(E$58='Input - EFA'!$H$151:$H$465)*'Input - EFA'!$O$151:$O$465)</f>
        <v>0</v>
      </c>
      <c r="F68" s="962">
        <f>SUMPRODUCT(($D68='Input - EFA'!$E$151:$E$465)*(F$58='Input - EFA'!$H$151:$H$465)*'Input - EFA'!$O$151:$O$465)</f>
        <v>0</v>
      </c>
      <c r="G68" s="962">
        <f>SUMPRODUCT(($D68='Input - EFA'!$E$151:$E$465)*(G$58='Input - EFA'!$H$151:$H$465)*'Input - EFA'!$O$151:$O$465)</f>
        <v>0</v>
      </c>
      <c r="H68" s="962">
        <f>SUMPRODUCT(($D68='Input - EFA'!$E$151:$E$465)*(H$58='Input - EFA'!$H$151:$H$465)*'Input - EFA'!$O$151:$O$465)</f>
        <v>0</v>
      </c>
      <c r="I68" s="962">
        <f>SUMPRODUCT(($D68='Input - EFA'!$E$151:$E$465)*(I$58='Input - EFA'!$H$151:$H$465)*'Input - EFA'!$O$151:$O$465)</f>
        <v>0</v>
      </c>
      <c r="J68" s="962">
        <f>SUMPRODUCT(($D68='Input - EFA'!$E$151:$E$465)*(J$58='Input - EFA'!$H$151:$H$465)*'Input - EFA'!$O$151:$O$465)</f>
        <v>0</v>
      </c>
      <c r="K68" s="962">
        <f>SUMPRODUCT(($D68='Input - EFA'!$E$151:$E$465)*(K$58='Input - EFA'!$H$151:$H$465)*'Input - EFA'!$O$151:$O$465)</f>
        <v>0</v>
      </c>
      <c r="L68" s="962">
        <f>SUMPRODUCT(($D68='Input - EFA'!$E$151:$E$465)*(L$58='Input - EFA'!$H$151:$H$465)*'Input - EFA'!$O$151:$O$465)</f>
        <v>0</v>
      </c>
      <c r="M68" s="962">
        <f>SUMPRODUCT(($D68='Input - EFA'!$E$151:$E$465)*(M$58='Input - EFA'!$H$151:$H$465)*'Input - EFA'!$O$151:$O$465)</f>
        <v>0</v>
      </c>
      <c r="N68" s="28"/>
      <c r="O68" s="28"/>
      <c r="P68" s="28"/>
      <c r="Q68" s="28"/>
      <c r="U68" s="962">
        <f>'Input - EFA'!AE183</f>
        <v>0</v>
      </c>
    </row>
    <row r="69" spans="1:21" x14ac:dyDescent="0.3">
      <c r="A69" s="3" t="str">
        <f t="shared" si="3"/>
        <v>Do Not Print</v>
      </c>
      <c r="D69" s="958" t="str">
        <f>'Input -CIES'!E16</f>
        <v>CIES Line 10</v>
      </c>
      <c r="E69" s="962">
        <f>SUMPRODUCT(($D69='Input - EFA'!$E$151:$E$465)*(E$58='Input - EFA'!$H$151:$H$465)*'Input - EFA'!$O$151:$O$465)</f>
        <v>0</v>
      </c>
      <c r="F69" s="962">
        <f>SUMPRODUCT(($D69='Input - EFA'!$E$151:$E$465)*(F$58='Input - EFA'!$H$151:$H$465)*'Input - EFA'!$O$151:$O$465)</f>
        <v>0</v>
      </c>
      <c r="G69" s="962">
        <f>SUMPRODUCT(($D69='Input - EFA'!$E$151:$E$465)*(G$58='Input - EFA'!$H$151:$H$465)*'Input - EFA'!$O$151:$O$465)</f>
        <v>0</v>
      </c>
      <c r="H69" s="962">
        <f>SUMPRODUCT(($D69='Input - EFA'!$E$151:$E$465)*(H$58='Input - EFA'!$H$151:$H$465)*'Input - EFA'!$O$151:$O$465)</f>
        <v>0</v>
      </c>
      <c r="I69" s="962">
        <f>SUMPRODUCT(($D69='Input - EFA'!$E$151:$E$465)*(I$58='Input - EFA'!$H$151:$H$465)*'Input - EFA'!$O$151:$O$465)</f>
        <v>0</v>
      </c>
      <c r="J69" s="962">
        <f>SUMPRODUCT(($D69='Input - EFA'!$E$151:$E$465)*(J$58='Input - EFA'!$H$151:$H$465)*'Input - EFA'!$O$151:$O$465)</f>
        <v>0</v>
      </c>
      <c r="K69" s="962">
        <f>SUMPRODUCT(($D69='Input - EFA'!$E$151:$E$465)*(K$58='Input - EFA'!$H$151:$H$465)*'Input - EFA'!$O$151:$O$465)</f>
        <v>0</v>
      </c>
      <c r="L69" s="962">
        <f>SUMPRODUCT(($D69='Input - EFA'!$E$151:$E$465)*(L$58='Input - EFA'!$H$151:$H$465)*'Input - EFA'!$O$151:$O$465)</f>
        <v>0</v>
      </c>
      <c r="M69" s="962">
        <f>SUMPRODUCT(($D69='Input - EFA'!$E$151:$E$465)*(M$58='Input - EFA'!$H$151:$H$465)*'Input - EFA'!$O$151:$O$465)</f>
        <v>0</v>
      </c>
      <c r="N69" s="28"/>
      <c r="O69" s="28"/>
      <c r="P69" s="28"/>
      <c r="Q69" s="28"/>
      <c r="U69" s="962">
        <f>'Input - EFA'!AE184</f>
        <v>0</v>
      </c>
    </row>
    <row r="70" spans="1:21" x14ac:dyDescent="0.3">
      <c r="A70" s="3" t="str">
        <f t="shared" si="3"/>
        <v>Do Not Print</v>
      </c>
      <c r="D70" s="958" t="str">
        <f>'Input -CIES'!E17</f>
        <v>CIES Line 11</v>
      </c>
      <c r="E70" s="962">
        <f>SUMPRODUCT(($D70='Input - EFA'!$E$151:$E$465)*(E$58='Input - EFA'!$H$151:$H$465)*'Input - EFA'!$O$151:$O$465)</f>
        <v>0</v>
      </c>
      <c r="F70" s="962">
        <f>SUMPRODUCT(($D70='Input - EFA'!$E$151:$E$465)*(F$58='Input - EFA'!$H$151:$H$465)*'Input - EFA'!$O$151:$O$465)</f>
        <v>0</v>
      </c>
      <c r="G70" s="962">
        <f>SUMPRODUCT(($D70='Input - EFA'!$E$151:$E$465)*(G$58='Input - EFA'!$H$151:$H$465)*'Input - EFA'!$O$151:$O$465)</f>
        <v>0</v>
      </c>
      <c r="H70" s="962">
        <f>SUMPRODUCT(($D70='Input - EFA'!$E$151:$E$465)*(H$58='Input - EFA'!$H$151:$H$465)*'Input - EFA'!$O$151:$O$465)</f>
        <v>0</v>
      </c>
      <c r="I70" s="962">
        <f>SUMPRODUCT(($D70='Input - EFA'!$E$151:$E$465)*(I$58='Input - EFA'!$H$151:$H$465)*'Input - EFA'!$O$151:$O$465)</f>
        <v>0</v>
      </c>
      <c r="J70" s="962">
        <f>SUMPRODUCT(($D70='Input - EFA'!$E$151:$E$465)*(J$58='Input - EFA'!$H$151:$H$465)*'Input - EFA'!$O$151:$O$465)</f>
        <v>0</v>
      </c>
      <c r="K70" s="962">
        <f>SUMPRODUCT(($D70='Input - EFA'!$E$151:$E$465)*(K$58='Input - EFA'!$H$151:$H$465)*'Input - EFA'!$O$151:$O$465)</f>
        <v>0</v>
      </c>
      <c r="L70" s="962">
        <f>SUMPRODUCT(($D70='Input - EFA'!$E$151:$E$465)*(L$58='Input - EFA'!$H$151:$H$465)*'Input - EFA'!$O$151:$O$465)</f>
        <v>0</v>
      </c>
      <c r="M70" s="962">
        <f>SUMPRODUCT(($D70='Input - EFA'!$E$151:$E$465)*(M$58='Input - EFA'!$H$151:$H$465)*'Input - EFA'!$O$151:$O$465)</f>
        <v>0</v>
      </c>
      <c r="N70" s="28"/>
      <c r="O70" s="28"/>
      <c r="P70" s="28"/>
      <c r="Q70" s="28"/>
      <c r="U70" s="962">
        <f>'Input - EFA'!AE185</f>
        <v>0</v>
      </c>
    </row>
    <row r="71" spans="1:21" x14ac:dyDescent="0.3">
      <c r="A71" s="3" t="str">
        <f t="shared" si="3"/>
        <v>Do Not Print</v>
      </c>
      <c r="D71" s="958" t="str">
        <f>'Input -CIES'!E18</f>
        <v>CIES Line 12</v>
      </c>
      <c r="E71" s="962">
        <f>SUMPRODUCT(($D71='Input - EFA'!$E$151:$E$465)*(E$58='Input - EFA'!$H$151:$H$465)*'Input - EFA'!$O$151:$O$465)</f>
        <v>0</v>
      </c>
      <c r="F71" s="962">
        <f>SUMPRODUCT(($D71='Input - EFA'!$E$151:$E$465)*(F$58='Input - EFA'!$H$151:$H$465)*'Input - EFA'!$O$151:$O$465)</f>
        <v>0</v>
      </c>
      <c r="G71" s="962">
        <f>SUMPRODUCT(($D71='Input - EFA'!$E$151:$E$465)*(G$58='Input - EFA'!$H$151:$H$465)*'Input - EFA'!$O$151:$O$465)</f>
        <v>0</v>
      </c>
      <c r="H71" s="962">
        <f>SUMPRODUCT(($D71='Input - EFA'!$E$151:$E$465)*(H$58='Input - EFA'!$H$151:$H$465)*'Input - EFA'!$O$151:$O$465)</f>
        <v>0</v>
      </c>
      <c r="I71" s="962">
        <f>SUMPRODUCT(($D71='Input - EFA'!$E$151:$E$465)*(I$58='Input - EFA'!$H$151:$H$465)*'Input - EFA'!$O$151:$O$465)</f>
        <v>0</v>
      </c>
      <c r="J71" s="962">
        <f>SUMPRODUCT(($D71='Input - EFA'!$E$151:$E$465)*(J$58='Input - EFA'!$H$151:$H$465)*'Input - EFA'!$O$151:$O$465)</f>
        <v>0</v>
      </c>
      <c r="K71" s="962">
        <f>SUMPRODUCT(($D71='Input - EFA'!$E$151:$E$465)*(K$58='Input - EFA'!$H$151:$H$465)*'Input - EFA'!$O$151:$O$465)</f>
        <v>0</v>
      </c>
      <c r="L71" s="962">
        <f>SUMPRODUCT(($D71='Input - EFA'!$E$151:$E$465)*(L$58='Input - EFA'!$H$151:$H$465)*'Input - EFA'!$O$151:$O$465)</f>
        <v>0</v>
      </c>
      <c r="M71" s="962">
        <f>SUMPRODUCT(($D71='Input - EFA'!$E$151:$E$465)*(M$58='Input - EFA'!$H$151:$H$465)*'Input - EFA'!$O$151:$O$465)</f>
        <v>0</v>
      </c>
      <c r="N71" s="28"/>
      <c r="O71" s="28"/>
      <c r="P71" s="28"/>
      <c r="Q71" s="28"/>
      <c r="U71" s="962">
        <f>'Input - EFA'!AE186</f>
        <v>0</v>
      </c>
    </row>
    <row r="72" spans="1:21" x14ac:dyDescent="0.3">
      <c r="A72" s="3" t="str">
        <f t="shared" si="3"/>
        <v>Do Not Print</v>
      </c>
      <c r="D72" s="958" t="str">
        <f>'Input -CIES'!E19</f>
        <v>CIES Line 13</v>
      </c>
      <c r="E72" s="962">
        <f>SUMPRODUCT(($D72='Input - EFA'!$E$151:$E$465)*(E$58='Input - EFA'!$H$151:$H$465)*'Input - EFA'!$O$151:$O$465)</f>
        <v>0</v>
      </c>
      <c r="F72" s="962">
        <f>SUMPRODUCT(($D72='Input - EFA'!$E$151:$E$465)*(F$58='Input - EFA'!$H$151:$H$465)*'Input - EFA'!$O$151:$O$465)</f>
        <v>0</v>
      </c>
      <c r="G72" s="962">
        <f>SUMPRODUCT(($D72='Input - EFA'!$E$151:$E$465)*(G$58='Input - EFA'!$H$151:$H$465)*'Input - EFA'!$O$151:$O$465)</f>
        <v>0</v>
      </c>
      <c r="H72" s="962">
        <f>SUMPRODUCT(($D72='Input - EFA'!$E$151:$E$465)*(H$58='Input - EFA'!$H$151:$H$465)*'Input - EFA'!$O$151:$O$465)</f>
        <v>0</v>
      </c>
      <c r="I72" s="962">
        <f>SUMPRODUCT(($D72='Input - EFA'!$E$151:$E$465)*(I$58='Input - EFA'!$H$151:$H$465)*'Input - EFA'!$O$151:$O$465)</f>
        <v>0</v>
      </c>
      <c r="J72" s="962">
        <f>SUMPRODUCT(($D72='Input - EFA'!$E$151:$E$465)*(J$58='Input - EFA'!$H$151:$H$465)*'Input - EFA'!$O$151:$O$465)</f>
        <v>0</v>
      </c>
      <c r="K72" s="962">
        <f>SUMPRODUCT(($D72='Input - EFA'!$E$151:$E$465)*(K$58='Input - EFA'!$H$151:$H$465)*'Input - EFA'!$O$151:$O$465)</f>
        <v>0</v>
      </c>
      <c r="L72" s="962">
        <f>SUMPRODUCT(($D72='Input - EFA'!$E$151:$E$465)*(L$58='Input - EFA'!$H$151:$H$465)*'Input - EFA'!$O$151:$O$465)</f>
        <v>0</v>
      </c>
      <c r="M72" s="962">
        <f>SUMPRODUCT(($D72='Input - EFA'!$E$151:$E$465)*(M$58='Input - EFA'!$H$151:$H$465)*'Input - EFA'!$O$151:$O$465)</f>
        <v>0</v>
      </c>
      <c r="N72" s="28"/>
      <c r="O72" s="28"/>
      <c r="P72" s="28"/>
      <c r="Q72" s="28"/>
      <c r="U72" s="962">
        <f>'Input - EFA'!AE187</f>
        <v>0</v>
      </c>
    </row>
    <row r="73" spans="1:21" x14ac:dyDescent="0.3">
      <c r="A73" s="3" t="str">
        <f t="shared" si="3"/>
        <v>Do Not Print</v>
      </c>
      <c r="D73" s="958" t="str">
        <f>'Input -CIES'!E20</f>
        <v>CIES Line 14</v>
      </c>
      <c r="E73" s="962">
        <f>SUMPRODUCT(($D73='Input - EFA'!$E$151:$E$465)*(E$58='Input - EFA'!$H$151:$H$465)*'Input - EFA'!$O$151:$O$465)</f>
        <v>0</v>
      </c>
      <c r="F73" s="962">
        <f>SUMPRODUCT(($D73='Input - EFA'!$E$151:$E$465)*(F$58='Input - EFA'!$H$151:$H$465)*'Input - EFA'!$O$151:$O$465)</f>
        <v>0</v>
      </c>
      <c r="G73" s="962">
        <f>SUMPRODUCT(($D73='Input - EFA'!$E$151:$E$465)*(G$58='Input - EFA'!$H$151:$H$465)*'Input - EFA'!$O$151:$O$465)</f>
        <v>0</v>
      </c>
      <c r="H73" s="962">
        <f>SUMPRODUCT(($D73='Input - EFA'!$E$151:$E$465)*(H$58='Input - EFA'!$H$151:$H$465)*'Input - EFA'!$O$151:$O$465)</f>
        <v>0</v>
      </c>
      <c r="I73" s="962">
        <f>SUMPRODUCT(($D73='Input - EFA'!$E$151:$E$465)*(I$58='Input - EFA'!$H$151:$H$465)*'Input - EFA'!$O$151:$O$465)</f>
        <v>0</v>
      </c>
      <c r="J73" s="962">
        <f>SUMPRODUCT(($D73='Input - EFA'!$E$151:$E$465)*(J$58='Input - EFA'!$H$151:$H$465)*'Input - EFA'!$O$151:$O$465)</f>
        <v>0</v>
      </c>
      <c r="K73" s="962">
        <f>SUMPRODUCT(($D73='Input - EFA'!$E$151:$E$465)*(K$58='Input - EFA'!$H$151:$H$465)*'Input - EFA'!$O$151:$O$465)</f>
        <v>0</v>
      </c>
      <c r="L73" s="962">
        <f>SUMPRODUCT(($D73='Input - EFA'!$E$151:$E$465)*(L$58='Input - EFA'!$H$151:$H$465)*'Input - EFA'!$O$151:$O$465)</f>
        <v>0</v>
      </c>
      <c r="M73" s="962">
        <f>SUMPRODUCT(($D73='Input - EFA'!$E$151:$E$465)*(M$58='Input - EFA'!$H$151:$H$465)*'Input - EFA'!$O$151:$O$465)</f>
        <v>0</v>
      </c>
      <c r="N73" s="28"/>
      <c r="O73" s="28"/>
      <c r="P73" s="28"/>
      <c r="Q73" s="28"/>
      <c r="U73" s="962">
        <f>'Input - EFA'!AE188</f>
        <v>0</v>
      </c>
    </row>
    <row r="74" spans="1:21" x14ac:dyDescent="0.3">
      <c r="A74" s="3" t="str">
        <f t="shared" si="3"/>
        <v>Do Not Print</v>
      </c>
      <c r="D74" s="958" t="str">
        <f>'Input -CIES'!E21</f>
        <v>CIES Line 15</v>
      </c>
      <c r="E74" s="962">
        <f>SUMPRODUCT(($D74='Input - EFA'!$E$151:$E$465)*(E$58='Input - EFA'!$H$151:$H$465)*'Input - EFA'!$O$151:$O$465)</f>
        <v>0</v>
      </c>
      <c r="F74" s="962">
        <f>SUMPRODUCT(($D74='Input - EFA'!$E$151:$E$465)*(F$58='Input - EFA'!$H$151:$H$465)*'Input - EFA'!$O$151:$O$465)</f>
        <v>0</v>
      </c>
      <c r="G74" s="962">
        <f>SUMPRODUCT(($D74='Input - EFA'!$E$151:$E$465)*(G$58='Input - EFA'!$H$151:$H$465)*'Input - EFA'!$O$151:$O$465)</f>
        <v>0</v>
      </c>
      <c r="H74" s="962">
        <f>SUMPRODUCT(($D74='Input - EFA'!$E$151:$E$465)*(H$58='Input - EFA'!$H$151:$H$465)*'Input - EFA'!$O$151:$O$465)</f>
        <v>0</v>
      </c>
      <c r="I74" s="962">
        <f>SUMPRODUCT(($D74='Input - EFA'!$E$151:$E$465)*(I$58='Input - EFA'!$H$151:$H$465)*'Input - EFA'!$O$151:$O$465)</f>
        <v>0</v>
      </c>
      <c r="J74" s="962">
        <f>SUMPRODUCT(($D74='Input - EFA'!$E$151:$E$465)*(J$58='Input - EFA'!$H$151:$H$465)*'Input - EFA'!$O$151:$O$465)</f>
        <v>0</v>
      </c>
      <c r="K74" s="962">
        <f>SUMPRODUCT(($D74='Input - EFA'!$E$151:$E$465)*(K$58='Input - EFA'!$H$151:$H$465)*'Input - EFA'!$O$151:$O$465)</f>
        <v>0</v>
      </c>
      <c r="L74" s="962">
        <f>SUMPRODUCT(($D74='Input - EFA'!$E$151:$E$465)*(L$58='Input - EFA'!$H$151:$H$465)*'Input - EFA'!$O$151:$O$465)</f>
        <v>0</v>
      </c>
      <c r="M74" s="962">
        <f>SUMPRODUCT(($D74='Input - EFA'!$E$151:$E$465)*(M$58='Input - EFA'!$H$151:$H$465)*'Input - EFA'!$O$151:$O$465)</f>
        <v>0</v>
      </c>
      <c r="O74" s="28"/>
      <c r="U74" s="962">
        <f>'Input - EFA'!AE189</f>
        <v>0</v>
      </c>
    </row>
    <row r="75" spans="1:21" x14ac:dyDescent="0.3">
      <c r="A75" s="3" t="str">
        <f t="shared" si="3"/>
        <v>Do Not Print</v>
      </c>
      <c r="D75" s="958" t="str">
        <f>'Input -CIES'!E22</f>
        <v>CIES Line 16</v>
      </c>
      <c r="E75" s="962">
        <f>SUMPRODUCT(($D75='Input - EFA'!$E$151:$E$465)*(E$58='Input - EFA'!$H$151:$H$465)*'Input - EFA'!$O$151:$O$465)</f>
        <v>0</v>
      </c>
      <c r="F75" s="962">
        <f>SUMPRODUCT(($D75='Input - EFA'!$E$151:$E$465)*(F$58='Input - EFA'!$H$151:$H$465)*'Input - EFA'!$O$151:$O$465)</f>
        <v>0</v>
      </c>
      <c r="G75" s="962">
        <f>SUMPRODUCT(($D75='Input - EFA'!$E$151:$E$465)*(G$58='Input - EFA'!$H$151:$H$465)*'Input - EFA'!$O$151:$O$465)</f>
        <v>0</v>
      </c>
      <c r="H75" s="962">
        <f>SUMPRODUCT(($D75='Input - EFA'!$E$151:$E$465)*(H$58='Input - EFA'!$H$151:$H$465)*'Input - EFA'!$O$151:$O$465)</f>
        <v>0</v>
      </c>
      <c r="I75" s="962">
        <f>SUMPRODUCT(($D75='Input - EFA'!$E$151:$E$465)*(I$58='Input - EFA'!$H$151:$H$465)*'Input - EFA'!$O$151:$O$465)</f>
        <v>0</v>
      </c>
      <c r="J75" s="962">
        <f>SUMPRODUCT(($D75='Input - EFA'!$E$151:$E$465)*(J$58='Input - EFA'!$H$151:$H$465)*'Input - EFA'!$O$151:$O$465)</f>
        <v>0</v>
      </c>
      <c r="K75" s="962">
        <f>SUMPRODUCT(($D75='Input - EFA'!$E$151:$E$465)*(K$58='Input - EFA'!$H$151:$H$465)*'Input - EFA'!$O$151:$O$465)</f>
        <v>0</v>
      </c>
      <c r="L75" s="962">
        <f>SUMPRODUCT(($D75='Input - EFA'!$E$151:$E$465)*(L$58='Input - EFA'!$H$151:$H$465)*'Input - EFA'!$O$151:$O$465)</f>
        <v>0</v>
      </c>
      <c r="M75" s="962">
        <f>SUMPRODUCT(($D75='Input - EFA'!$E$151:$E$465)*(M$58='Input - EFA'!$H$151:$H$465)*'Input - EFA'!$O$151:$O$465)</f>
        <v>0</v>
      </c>
      <c r="O75" s="28"/>
    </row>
    <row r="76" spans="1:21" x14ac:dyDescent="0.3">
      <c r="A76" s="3" t="str">
        <f t="shared" si="3"/>
        <v>Do Not Print</v>
      </c>
      <c r="D76" s="958" t="str">
        <f>'Input -CIES'!E23</f>
        <v>CIES Line 17</v>
      </c>
      <c r="E76" s="962">
        <f>SUMPRODUCT(($D76='Input - EFA'!$E$151:$E$465)*(E$58='Input - EFA'!$H$151:$H$465)*'Input - EFA'!$O$151:$O$465)</f>
        <v>0</v>
      </c>
      <c r="F76" s="962">
        <f>SUMPRODUCT(($D76='Input - EFA'!$E$151:$E$465)*(F$58='Input - EFA'!$H$151:$H$465)*'Input - EFA'!$O$151:$O$465)</f>
        <v>0</v>
      </c>
      <c r="G76" s="962">
        <f>SUMPRODUCT(($D76='Input - EFA'!$E$151:$E$465)*(G$58='Input - EFA'!$H$151:$H$465)*'Input - EFA'!$O$151:$O$465)</f>
        <v>0</v>
      </c>
      <c r="H76" s="962">
        <f>SUMPRODUCT(($D76='Input - EFA'!$E$151:$E$465)*(H$58='Input - EFA'!$H$151:$H$465)*'Input - EFA'!$O$151:$O$465)</f>
        <v>0</v>
      </c>
      <c r="I76" s="962">
        <f>SUMPRODUCT(($D76='Input - EFA'!$E$151:$E$465)*(I$58='Input - EFA'!$H$151:$H$465)*'Input - EFA'!$O$151:$O$465)</f>
        <v>0</v>
      </c>
      <c r="J76" s="962">
        <f>SUMPRODUCT(($D76='Input - EFA'!$E$151:$E$465)*(J$58='Input - EFA'!$H$151:$H$465)*'Input - EFA'!$O$151:$O$465)</f>
        <v>0</v>
      </c>
      <c r="K76" s="962">
        <f>SUMPRODUCT(($D76='Input - EFA'!$E$151:$E$465)*(K$58='Input - EFA'!$H$151:$H$465)*'Input - EFA'!$O$151:$O$465)</f>
        <v>0</v>
      </c>
      <c r="L76" s="962">
        <f>SUMPRODUCT(($D76='Input - EFA'!$E$151:$E$465)*(L$58='Input - EFA'!$H$151:$H$465)*'Input - EFA'!$O$151:$O$465)</f>
        <v>0</v>
      </c>
      <c r="M76" s="962">
        <f>SUMPRODUCT(($D76='Input - EFA'!$E$151:$E$465)*(M$58='Input - EFA'!$H$151:$H$465)*'Input - EFA'!$O$151:$O$465)</f>
        <v>0</v>
      </c>
      <c r="O76" s="28"/>
    </row>
    <row r="77" spans="1:21" x14ac:dyDescent="0.3">
      <c r="A77" s="3" t="str">
        <f t="shared" si="3"/>
        <v>Do Not Print</v>
      </c>
      <c r="D77" s="958" t="str">
        <f>'Input -CIES'!E24</f>
        <v>CIES Line 18</v>
      </c>
      <c r="E77" s="962">
        <f>SUMPRODUCT(($D77='Input - EFA'!$E$151:$E$465)*(E$58='Input - EFA'!$H$151:$H$465)*'Input - EFA'!$O$151:$O$465)</f>
        <v>0</v>
      </c>
      <c r="F77" s="962">
        <f>SUMPRODUCT(($D77='Input - EFA'!$E$151:$E$465)*(F$58='Input - EFA'!$H$151:$H$465)*'Input - EFA'!$O$151:$O$465)</f>
        <v>0</v>
      </c>
      <c r="G77" s="962">
        <f>SUMPRODUCT(($D77='Input - EFA'!$E$151:$E$465)*(G$58='Input - EFA'!$H$151:$H$465)*'Input - EFA'!$O$151:$O$465)</f>
        <v>0</v>
      </c>
      <c r="H77" s="962">
        <f>SUMPRODUCT(($D77='Input - EFA'!$E$151:$E$465)*(H$58='Input - EFA'!$H$151:$H$465)*'Input - EFA'!$O$151:$O$465)</f>
        <v>0</v>
      </c>
      <c r="I77" s="962">
        <f>SUMPRODUCT(($D77='Input - EFA'!$E$151:$E$465)*(I$58='Input - EFA'!$H$151:$H$465)*'Input - EFA'!$O$151:$O$465)</f>
        <v>0</v>
      </c>
      <c r="J77" s="962">
        <f>SUMPRODUCT(($D77='Input - EFA'!$E$151:$E$465)*(J$58='Input - EFA'!$H$151:$H$465)*'Input - EFA'!$O$151:$O$465)</f>
        <v>0</v>
      </c>
      <c r="K77" s="962">
        <f>SUMPRODUCT(($D77='Input - EFA'!$E$151:$E$465)*(K$58='Input - EFA'!$H$151:$H$465)*'Input - EFA'!$O$151:$O$465)</f>
        <v>0</v>
      </c>
      <c r="L77" s="962">
        <f>SUMPRODUCT(($D77='Input - EFA'!$E$151:$E$465)*(L$58='Input - EFA'!$H$151:$H$465)*'Input - EFA'!$O$151:$O$465)</f>
        <v>0</v>
      </c>
      <c r="M77" s="962">
        <f>SUMPRODUCT(($D77='Input - EFA'!$E$151:$E$465)*(M$58='Input - EFA'!$H$151:$H$465)*'Input - EFA'!$O$151:$O$465)</f>
        <v>0</v>
      </c>
      <c r="O77" s="28"/>
    </row>
    <row r="78" spans="1:21" x14ac:dyDescent="0.3">
      <c r="A78" s="3" t="str">
        <f t="shared" si="3"/>
        <v>Do Not Print</v>
      </c>
      <c r="D78" s="958" t="str">
        <f>'Input -CIES'!E25</f>
        <v>CIES Line 19</v>
      </c>
      <c r="E78" s="962">
        <f>SUMPRODUCT(($D78='Input - EFA'!$E$151:$E$465)*(E$58='Input - EFA'!$H$151:$H$465)*'Input - EFA'!$O$151:$O$465)</f>
        <v>0</v>
      </c>
      <c r="F78" s="962">
        <f>SUMPRODUCT(($D78='Input - EFA'!$E$151:$E$465)*(F$58='Input - EFA'!$H$151:$H$465)*'Input - EFA'!$O$151:$O$465)</f>
        <v>0</v>
      </c>
      <c r="G78" s="962">
        <f>SUMPRODUCT(($D78='Input - EFA'!$E$151:$E$465)*(G$58='Input - EFA'!$H$151:$H$465)*'Input - EFA'!$O$151:$O$465)</f>
        <v>0</v>
      </c>
      <c r="H78" s="962">
        <f>SUMPRODUCT(($D78='Input - EFA'!$E$151:$E$465)*(H$58='Input - EFA'!$H$151:$H$465)*'Input - EFA'!$O$151:$O$465)</f>
        <v>0</v>
      </c>
      <c r="I78" s="962">
        <f>SUMPRODUCT(($D78='Input - EFA'!$E$151:$E$465)*(I$58='Input - EFA'!$H$151:$H$465)*'Input - EFA'!$O$151:$O$465)</f>
        <v>0</v>
      </c>
      <c r="J78" s="962">
        <f>SUMPRODUCT(($D78='Input - EFA'!$E$151:$E$465)*(J$58='Input - EFA'!$H$151:$H$465)*'Input - EFA'!$O$151:$O$465)</f>
        <v>0</v>
      </c>
      <c r="K78" s="962">
        <f>SUMPRODUCT(($D78='Input - EFA'!$E$151:$E$465)*(K$58='Input - EFA'!$H$151:$H$465)*'Input - EFA'!$O$151:$O$465)</f>
        <v>0</v>
      </c>
      <c r="L78" s="962">
        <f>SUMPRODUCT(($D78='Input - EFA'!$E$151:$E$465)*(L$58='Input - EFA'!$H$151:$H$465)*'Input - EFA'!$O$151:$O$465)</f>
        <v>0</v>
      </c>
      <c r="M78" s="962">
        <f>SUMPRODUCT(($D78='Input - EFA'!$E$151:$E$465)*(M$58='Input - EFA'!$H$151:$H$465)*'Input - EFA'!$O$151:$O$465)</f>
        <v>0</v>
      </c>
      <c r="O78" s="28"/>
    </row>
    <row r="79" spans="1:21" x14ac:dyDescent="0.3">
      <c r="A79" s="3" t="str">
        <f t="shared" si="3"/>
        <v>Do Not Print</v>
      </c>
      <c r="D79" s="958" t="str">
        <f>'Input -CIES'!E26</f>
        <v>CIES Line 20</v>
      </c>
      <c r="E79" s="962">
        <f>SUMPRODUCT(($D79='Input - EFA'!$E$151:$E$465)*(E$58='Input - EFA'!$H$151:$H$465)*'Input - EFA'!$O$151:$O$465)</f>
        <v>0</v>
      </c>
      <c r="F79" s="962">
        <f>SUMPRODUCT(($D79='Input - EFA'!$E$151:$E$465)*(F$58='Input - EFA'!$H$151:$H$465)*'Input - EFA'!$O$151:$O$465)</f>
        <v>0</v>
      </c>
      <c r="G79" s="962">
        <f>SUMPRODUCT(($D79='Input - EFA'!$E$151:$E$465)*(G$58='Input - EFA'!$H$151:$H$465)*'Input - EFA'!$O$151:$O$465)</f>
        <v>0</v>
      </c>
      <c r="H79" s="962">
        <f>SUMPRODUCT(($D79='Input - EFA'!$E$151:$E$465)*(H$58='Input - EFA'!$H$151:$H$465)*'Input - EFA'!$O$151:$O$465)</f>
        <v>0</v>
      </c>
      <c r="I79" s="962">
        <f>SUMPRODUCT(($D79='Input - EFA'!$E$151:$E$465)*(I$58='Input - EFA'!$H$151:$H$465)*'Input - EFA'!$O$151:$O$465)</f>
        <v>0</v>
      </c>
      <c r="J79" s="962">
        <f>SUMPRODUCT(($D79='Input - EFA'!$E$151:$E$465)*(J$58='Input - EFA'!$H$151:$H$465)*'Input - EFA'!$O$151:$O$465)</f>
        <v>0</v>
      </c>
      <c r="K79" s="962">
        <f>SUMPRODUCT(($D79='Input - EFA'!$E$151:$E$465)*(K$58='Input - EFA'!$H$151:$H$465)*'Input - EFA'!$O$151:$O$465)</f>
        <v>0</v>
      </c>
      <c r="L79" s="962">
        <f>SUMPRODUCT(($D79='Input - EFA'!$E$151:$E$465)*(L$58='Input - EFA'!$H$151:$H$465)*'Input - EFA'!$O$151:$O$465)</f>
        <v>0</v>
      </c>
      <c r="M79" s="962">
        <f>SUMPRODUCT(($D79='Input - EFA'!$E$151:$E$465)*(M$58='Input - EFA'!$H$151:$H$465)*'Input - EFA'!$O$151:$O$465)</f>
        <v>0</v>
      </c>
      <c r="O79" s="28"/>
    </row>
    <row r="80" spans="1:21" x14ac:dyDescent="0.3">
      <c r="A80" s="3" t="str">
        <f t="shared" si="3"/>
        <v>Do Not Print</v>
      </c>
      <c r="D80" s="958" t="str">
        <f>'Input -CIES'!E27</f>
        <v>CIES Line 21</v>
      </c>
      <c r="E80" s="962">
        <f>SUMPRODUCT(($D80='Input - EFA'!$E$151:$E$465)*(E$58='Input - EFA'!$H$151:$H$465)*'Input - EFA'!$O$151:$O$465)</f>
        <v>0</v>
      </c>
      <c r="F80" s="962">
        <f>SUMPRODUCT(($D80='Input - EFA'!$E$151:$E$465)*(F$58='Input - EFA'!$H$151:$H$465)*'Input - EFA'!$O$151:$O$465)</f>
        <v>0</v>
      </c>
      <c r="G80" s="962">
        <f>SUMPRODUCT(($D80='Input - EFA'!$E$151:$E$465)*(G$58='Input - EFA'!$H$151:$H$465)*'Input - EFA'!$O$151:$O$465)</f>
        <v>0</v>
      </c>
      <c r="H80" s="962">
        <f>SUMPRODUCT(($D80='Input - EFA'!$E$151:$E$465)*(H$58='Input - EFA'!$H$151:$H$465)*'Input - EFA'!$O$151:$O$465)</f>
        <v>0</v>
      </c>
      <c r="I80" s="962">
        <f>SUMPRODUCT(($D80='Input - EFA'!$E$151:$E$465)*(I$58='Input - EFA'!$H$151:$H$465)*'Input - EFA'!$O$151:$O$465)</f>
        <v>0</v>
      </c>
      <c r="J80" s="962">
        <f>SUMPRODUCT(($D80='Input - EFA'!$E$151:$E$465)*(J$58='Input - EFA'!$H$151:$H$465)*'Input - EFA'!$O$151:$O$465)</f>
        <v>0</v>
      </c>
      <c r="K80" s="962">
        <f>SUMPRODUCT(($D80='Input - EFA'!$E$151:$E$465)*(K$58='Input - EFA'!$H$151:$H$465)*'Input - EFA'!$O$151:$O$465)</f>
        <v>0</v>
      </c>
      <c r="L80" s="962">
        <f>SUMPRODUCT(($D80='Input - EFA'!$E$151:$E$465)*(L$58='Input - EFA'!$H$151:$H$465)*'Input - EFA'!$O$151:$O$465)</f>
        <v>0</v>
      </c>
      <c r="M80" s="962">
        <f>SUMPRODUCT(($D80='Input - EFA'!$E$151:$E$465)*(M$58='Input - EFA'!$H$151:$H$465)*'Input - EFA'!$O$151:$O$465)</f>
        <v>0</v>
      </c>
      <c r="O80" s="28"/>
    </row>
    <row r="81" spans="1:15" x14ac:dyDescent="0.3">
      <c r="A81" s="3" t="str">
        <f t="shared" si="3"/>
        <v>Do Not Print</v>
      </c>
      <c r="D81" s="958" t="str">
        <f>'Input -CIES'!E28</f>
        <v>CIES Line 22</v>
      </c>
      <c r="E81" s="962">
        <f>SUMPRODUCT(($D81='Input - EFA'!$E$151:$E$465)*(E$58='Input - EFA'!$H$151:$H$465)*'Input - EFA'!$O$151:$O$465)</f>
        <v>0</v>
      </c>
      <c r="F81" s="962">
        <f>SUMPRODUCT(($D81='Input - EFA'!$E$151:$E$465)*(F$58='Input - EFA'!$H$151:$H$465)*'Input - EFA'!$O$151:$O$465)</f>
        <v>0</v>
      </c>
      <c r="G81" s="962">
        <f>SUMPRODUCT(($D81='Input - EFA'!$E$151:$E$465)*(G$58='Input - EFA'!$H$151:$H$465)*'Input - EFA'!$O$151:$O$465)</f>
        <v>0</v>
      </c>
      <c r="H81" s="962">
        <f>SUMPRODUCT(($D81='Input - EFA'!$E$151:$E$465)*(H$58='Input - EFA'!$H$151:$H$465)*'Input - EFA'!$O$151:$O$465)</f>
        <v>0</v>
      </c>
      <c r="I81" s="962">
        <f>SUMPRODUCT(($D81='Input - EFA'!$E$151:$E$465)*(I$58='Input - EFA'!$H$151:$H$465)*'Input - EFA'!$O$151:$O$465)</f>
        <v>0</v>
      </c>
      <c r="J81" s="962">
        <f>SUMPRODUCT(($D81='Input - EFA'!$E$151:$E$465)*(J$58='Input - EFA'!$H$151:$H$465)*'Input - EFA'!$O$151:$O$465)</f>
        <v>0</v>
      </c>
      <c r="K81" s="962">
        <f>SUMPRODUCT(($D81='Input - EFA'!$E$151:$E$465)*(K$58='Input - EFA'!$H$151:$H$465)*'Input - EFA'!$O$151:$O$465)</f>
        <v>0</v>
      </c>
      <c r="L81" s="962">
        <f>SUMPRODUCT(($D81='Input - EFA'!$E$151:$E$465)*(L$58='Input - EFA'!$H$151:$H$465)*'Input - EFA'!$O$151:$O$465)</f>
        <v>0</v>
      </c>
      <c r="M81" s="962">
        <f>SUMPRODUCT(($D81='Input - EFA'!$E$151:$E$465)*(M$58='Input - EFA'!$H$151:$H$465)*'Input - EFA'!$O$151:$O$465)</f>
        <v>0</v>
      </c>
      <c r="O81" s="28"/>
    </row>
    <row r="82" spans="1:15" x14ac:dyDescent="0.3">
      <c r="A82" s="3" t="str">
        <f t="shared" si="3"/>
        <v>Do Not Print</v>
      </c>
      <c r="D82" s="958" t="str">
        <f>'Input -CIES'!E29</f>
        <v>CIES Line 23</v>
      </c>
      <c r="E82" s="962">
        <f>SUMPRODUCT(($D82='Input - EFA'!$E$151:$E$465)*(E$58='Input - EFA'!$H$151:$H$465)*'Input - EFA'!$O$151:$O$465)</f>
        <v>0</v>
      </c>
      <c r="F82" s="962">
        <f>SUMPRODUCT(($D82='Input - EFA'!$E$151:$E$465)*(F$58='Input - EFA'!$H$151:$H$465)*'Input - EFA'!$O$151:$O$465)</f>
        <v>0</v>
      </c>
      <c r="G82" s="962">
        <f>SUMPRODUCT(($D82='Input - EFA'!$E$151:$E$465)*(G$58='Input - EFA'!$H$151:$H$465)*'Input - EFA'!$O$151:$O$465)</f>
        <v>0</v>
      </c>
      <c r="H82" s="962">
        <f>SUMPRODUCT(($D82='Input - EFA'!$E$151:$E$465)*(H$58='Input - EFA'!$H$151:$H$465)*'Input - EFA'!$O$151:$O$465)</f>
        <v>0</v>
      </c>
      <c r="I82" s="962">
        <f>SUMPRODUCT(($D82='Input - EFA'!$E$151:$E$465)*(I$58='Input - EFA'!$H$151:$H$465)*'Input - EFA'!$O$151:$O$465)</f>
        <v>0</v>
      </c>
      <c r="J82" s="962">
        <f>SUMPRODUCT(($D82='Input - EFA'!$E$151:$E$465)*(J$58='Input - EFA'!$H$151:$H$465)*'Input - EFA'!$O$151:$O$465)</f>
        <v>0</v>
      </c>
      <c r="K82" s="962">
        <f>SUMPRODUCT(($D82='Input - EFA'!$E$151:$E$465)*(K$58='Input - EFA'!$H$151:$H$465)*'Input - EFA'!$O$151:$O$465)</f>
        <v>0</v>
      </c>
      <c r="L82" s="962">
        <f>SUMPRODUCT(($D82='Input - EFA'!$E$151:$E$465)*(L$58='Input - EFA'!$H$151:$H$465)*'Input - EFA'!$O$151:$O$465)</f>
        <v>0</v>
      </c>
      <c r="M82" s="962">
        <f>SUMPRODUCT(($D82='Input - EFA'!$E$151:$E$465)*(M$58='Input - EFA'!$H$151:$H$465)*'Input - EFA'!$O$151:$O$465)</f>
        <v>0</v>
      </c>
      <c r="O82" s="28"/>
    </row>
    <row r="83" spans="1:15" x14ac:dyDescent="0.3">
      <c r="A83" s="3" t="str">
        <f t="shared" si="3"/>
        <v>Do Not Print</v>
      </c>
      <c r="D83" s="958" t="str">
        <f>'Input -CIES'!E30</f>
        <v>CIES Line 24</v>
      </c>
      <c r="E83" s="962">
        <f>SUMPRODUCT(($D83='Input - EFA'!$E$151:$E$465)*(E$58='Input - EFA'!$H$151:$H$465)*'Input - EFA'!$O$151:$O$465)</f>
        <v>0</v>
      </c>
      <c r="F83" s="962">
        <f>SUMPRODUCT(($D83='Input - EFA'!$E$151:$E$465)*(F$58='Input - EFA'!$H$151:$H$465)*'Input - EFA'!$O$151:$O$465)</f>
        <v>0</v>
      </c>
      <c r="G83" s="962">
        <f>SUMPRODUCT(($D83='Input - EFA'!$E$151:$E$465)*(G$58='Input - EFA'!$H$151:$H$465)*'Input - EFA'!$O$151:$O$465)</f>
        <v>0</v>
      </c>
      <c r="H83" s="962">
        <f>SUMPRODUCT(($D83='Input - EFA'!$E$151:$E$465)*(H$58='Input - EFA'!$H$151:$H$465)*'Input - EFA'!$O$151:$O$465)</f>
        <v>0</v>
      </c>
      <c r="I83" s="962">
        <f>SUMPRODUCT(($D83='Input - EFA'!$E$151:$E$465)*(I$58='Input - EFA'!$H$151:$H$465)*'Input - EFA'!$O$151:$O$465)</f>
        <v>0</v>
      </c>
      <c r="J83" s="962">
        <f>SUMPRODUCT(($D83='Input - EFA'!$E$151:$E$465)*(J$58='Input - EFA'!$H$151:$H$465)*'Input - EFA'!$O$151:$O$465)</f>
        <v>0</v>
      </c>
      <c r="K83" s="962">
        <f>SUMPRODUCT(($D83='Input - EFA'!$E$151:$E$465)*(K$58='Input - EFA'!$H$151:$H$465)*'Input - EFA'!$O$151:$O$465)</f>
        <v>0</v>
      </c>
      <c r="L83" s="962">
        <f>SUMPRODUCT(($D83='Input - EFA'!$E$151:$E$465)*(L$58='Input - EFA'!$H$151:$H$465)*'Input - EFA'!$O$151:$O$465)</f>
        <v>0</v>
      </c>
      <c r="M83" s="962">
        <f>SUMPRODUCT(($D83='Input - EFA'!$E$151:$E$465)*(M$58='Input - EFA'!$H$151:$H$465)*'Input - EFA'!$O$151:$O$465)</f>
        <v>0</v>
      </c>
      <c r="O83" s="28"/>
    </row>
    <row r="84" spans="1:15" x14ac:dyDescent="0.3">
      <c r="A84" s="3" t="str">
        <f t="shared" si="3"/>
        <v>Do Not Print</v>
      </c>
      <c r="D84" s="958" t="str">
        <f>'Input -CIES'!E31</f>
        <v>CIES Line 25</v>
      </c>
      <c r="E84" s="962">
        <f>SUMPRODUCT(($D84='Input - EFA'!$E$151:$E$465)*(E$58='Input - EFA'!$H$151:$H$465)*'Input - EFA'!$O$151:$O$465)</f>
        <v>0</v>
      </c>
      <c r="F84" s="962">
        <f>SUMPRODUCT(($D84='Input - EFA'!$E$151:$E$465)*(F$58='Input - EFA'!$H$151:$H$465)*'Input - EFA'!$O$151:$O$465)</f>
        <v>0</v>
      </c>
      <c r="G84" s="962">
        <f>SUMPRODUCT(($D84='Input - EFA'!$E$151:$E$465)*(G$58='Input - EFA'!$H$151:$H$465)*'Input - EFA'!$O$151:$O$465)</f>
        <v>0</v>
      </c>
      <c r="H84" s="962">
        <f>SUMPRODUCT(($D84='Input - EFA'!$E$151:$E$465)*(H$58='Input - EFA'!$H$151:$H$465)*'Input - EFA'!$O$151:$O$465)</f>
        <v>0</v>
      </c>
      <c r="I84" s="962">
        <f>SUMPRODUCT(($D84='Input - EFA'!$E$151:$E$465)*(I$58='Input - EFA'!$H$151:$H$465)*'Input - EFA'!$O$151:$O$465)</f>
        <v>0</v>
      </c>
      <c r="J84" s="962">
        <f>SUMPRODUCT(($D84='Input - EFA'!$E$151:$E$465)*(J$58='Input - EFA'!$H$151:$H$465)*'Input - EFA'!$O$151:$O$465)</f>
        <v>0</v>
      </c>
      <c r="K84" s="962">
        <f>SUMPRODUCT(($D84='Input - EFA'!$E$151:$E$465)*(K$58='Input - EFA'!$H$151:$H$465)*'Input - EFA'!$O$151:$O$465)</f>
        <v>0</v>
      </c>
      <c r="L84" s="962">
        <f>SUMPRODUCT(($D84='Input - EFA'!$E$151:$E$465)*(L$58='Input - EFA'!$H$151:$H$465)*'Input - EFA'!$O$151:$O$465)</f>
        <v>0</v>
      </c>
      <c r="M84" s="962">
        <f>SUMPRODUCT(($D84='Input - EFA'!$E$151:$E$465)*(M$58='Input - EFA'!$H$151:$H$465)*'Input - EFA'!$O$151:$O$465)</f>
        <v>0</v>
      </c>
      <c r="O84" s="28"/>
    </row>
    <row r="85" spans="1:15" x14ac:dyDescent="0.3">
      <c r="A85" s="3" t="str">
        <f t="shared" si="3"/>
        <v>Do Not Print</v>
      </c>
      <c r="D85" s="958" t="str">
        <f>'Input -CIES'!E32</f>
        <v>CIES Line 26</v>
      </c>
      <c r="E85" s="962">
        <f>SUMPRODUCT(($D85='Input - EFA'!$E$151:$E$465)*(E$58='Input - EFA'!$H$151:$H$465)*'Input - EFA'!$O$151:$O$465)</f>
        <v>0</v>
      </c>
      <c r="F85" s="962">
        <f>SUMPRODUCT(($D85='Input - EFA'!$E$151:$E$465)*(F$58='Input - EFA'!$H$151:$H$465)*'Input - EFA'!$O$151:$O$465)</f>
        <v>0</v>
      </c>
      <c r="G85" s="962">
        <f>SUMPRODUCT(($D85='Input - EFA'!$E$151:$E$465)*(G$58='Input - EFA'!$H$151:$H$465)*'Input - EFA'!$O$151:$O$465)</f>
        <v>0</v>
      </c>
      <c r="H85" s="962">
        <f>SUMPRODUCT(($D85='Input - EFA'!$E$151:$E$465)*(H$58='Input - EFA'!$H$151:$H$465)*'Input - EFA'!$O$151:$O$465)</f>
        <v>0</v>
      </c>
      <c r="I85" s="962">
        <f>SUMPRODUCT(($D85='Input - EFA'!$E$151:$E$465)*(I$58='Input - EFA'!$H$151:$H$465)*'Input - EFA'!$O$151:$O$465)</f>
        <v>0</v>
      </c>
      <c r="J85" s="962">
        <f>SUMPRODUCT(($D85='Input - EFA'!$E$151:$E$465)*(J$58='Input - EFA'!$H$151:$H$465)*'Input - EFA'!$O$151:$O$465)</f>
        <v>0</v>
      </c>
      <c r="K85" s="962">
        <f>SUMPRODUCT(($D85='Input - EFA'!$E$151:$E$465)*(K$58='Input - EFA'!$H$151:$H$465)*'Input - EFA'!$O$151:$O$465)</f>
        <v>0</v>
      </c>
      <c r="L85" s="962">
        <f>SUMPRODUCT(($D85='Input - EFA'!$E$151:$E$465)*(L$58='Input - EFA'!$H$151:$H$465)*'Input - EFA'!$O$151:$O$465)</f>
        <v>0</v>
      </c>
      <c r="M85" s="962">
        <f>SUMPRODUCT(($D85='Input - EFA'!$E$151:$E$465)*(M$58='Input - EFA'!$H$151:$H$465)*'Input - EFA'!$O$151:$O$465)</f>
        <v>0</v>
      </c>
      <c r="O85" s="28"/>
    </row>
    <row r="86" spans="1:15" x14ac:dyDescent="0.3">
      <c r="A86" s="3" t="str">
        <f t="shared" si="3"/>
        <v>Do Not Print</v>
      </c>
      <c r="D86" s="958" t="str">
        <f>'Input -CIES'!E33</f>
        <v>CIES Line 27</v>
      </c>
      <c r="E86" s="962">
        <f>SUMPRODUCT(($D86='Input - EFA'!$E$151:$E$465)*(E$58='Input - EFA'!$H$151:$H$465)*'Input - EFA'!$O$151:$O$465)</f>
        <v>0</v>
      </c>
      <c r="F86" s="962">
        <f>SUMPRODUCT(($D86='Input - EFA'!$E$151:$E$465)*(F$58='Input - EFA'!$H$151:$H$465)*'Input - EFA'!$O$151:$O$465)</f>
        <v>0</v>
      </c>
      <c r="G86" s="962">
        <f>SUMPRODUCT(($D86='Input - EFA'!$E$151:$E$465)*(G$58='Input - EFA'!$H$151:$H$465)*'Input - EFA'!$O$151:$O$465)</f>
        <v>0</v>
      </c>
      <c r="H86" s="962">
        <f>SUMPRODUCT(($D86='Input - EFA'!$E$151:$E$465)*(H$58='Input - EFA'!$H$151:$H$465)*'Input - EFA'!$O$151:$O$465)</f>
        <v>0</v>
      </c>
      <c r="I86" s="962">
        <f>SUMPRODUCT(($D86='Input - EFA'!$E$151:$E$465)*(I$58='Input - EFA'!$H$151:$H$465)*'Input - EFA'!$O$151:$O$465)</f>
        <v>0</v>
      </c>
      <c r="J86" s="962">
        <f>SUMPRODUCT(($D86='Input - EFA'!$E$151:$E$465)*(J$58='Input - EFA'!$H$151:$H$465)*'Input - EFA'!$O$151:$O$465)</f>
        <v>0</v>
      </c>
      <c r="K86" s="962">
        <f>SUMPRODUCT(($D86='Input - EFA'!$E$151:$E$465)*(K$58='Input - EFA'!$H$151:$H$465)*'Input - EFA'!$O$151:$O$465)</f>
        <v>0</v>
      </c>
      <c r="L86" s="962">
        <f>SUMPRODUCT(($D86='Input - EFA'!$E$151:$E$465)*(L$58='Input - EFA'!$H$151:$H$465)*'Input - EFA'!$O$151:$O$465)</f>
        <v>0</v>
      </c>
      <c r="M86" s="962">
        <f>SUMPRODUCT(($D86='Input - EFA'!$E$151:$E$465)*(M$58='Input - EFA'!$H$151:$H$465)*'Input - EFA'!$O$151:$O$465)</f>
        <v>0</v>
      </c>
      <c r="O86" s="28"/>
    </row>
    <row r="87" spans="1:15" x14ac:dyDescent="0.3">
      <c r="A87" s="3" t="str">
        <f t="shared" si="3"/>
        <v>Do Not Print</v>
      </c>
      <c r="D87" s="958" t="str">
        <f>'Input -CIES'!E34</f>
        <v>CIES Line 28</v>
      </c>
      <c r="E87" s="962">
        <f>SUMPRODUCT(($D87='Input - EFA'!$E$151:$E$465)*(E$58='Input - EFA'!$H$151:$H$465)*'Input - EFA'!$O$151:$O$465)</f>
        <v>0</v>
      </c>
      <c r="F87" s="962">
        <f>SUMPRODUCT(($D87='Input - EFA'!$E$151:$E$465)*(F$58='Input - EFA'!$H$151:$H$465)*'Input - EFA'!$O$151:$O$465)</f>
        <v>0</v>
      </c>
      <c r="G87" s="962">
        <f>SUMPRODUCT(($D87='Input - EFA'!$E$151:$E$465)*(G$58='Input - EFA'!$H$151:$H$465)*'Input - EFA'!$O$151:$O$465)</f>
        <v>0</v>
      </c>
      <c r="H87" s="962">
        <f>SUMPRODUCT(($D87='Input - EFA'!$E$151:$E$465)*(H$58='Input - EFA'!$H$151:$H$465)*'Input - EFA'!$O$151:$O$465)</f>
        <v>0</v>
      </c>
      <c r="I87" s="962">
        <f>SUMPRODUCT(($D87='Input - EFA'!$E$151:$E$465)*(I$58='Input - EFA'!$H$151:$H$465)*'Input - EFA'!$O$151:$O$465)</f>
        <v>0</v>
      </c>
      <c r="J87" s="962">
        <f>SUMPRODUCT(($D87='Input - EFA'!$E$151:$E$465)*(J$58='Input - EFA'!$H$151:$H$465)*'Input - EFA'!$O$151:$O$465)</f>
        <v>0</v>
      </c>
      <c r="K87" s="962">
        <f>SUMPRODUCT(($D87='Input - EFA'!$E$151:$E$465)*(K$58='Input - EFA'!$H$151:$H$465)*'Input - EFA'!$O$151:$O$465)</f>
        <v>0</v>
      </c>
      <c r="L87" s="962">
        <f>SUMPRODUCT(($D87='Input - EFA'!$E$151:$E$465)*(L$58='Input - EFA'!$H$151:$H$465)*'Input - EFA'!$O$151:$O$465)</f>
        <v>0</v>
      </c>
      <c r="M87" s="962">
        <f>SUMPRODUCT(($D87='Input - EFA'!$E$151:$E$465)*(M$58='Input - EFA'!$H$151:$H$465)*'Input - EFA'!$O$151:$O$465)</f>
        <v>0</v>
      </c>
      <c r="O87" s="28"/>
    </row>
    <row r="88" spans="1:15" x14ac:dyDescent="0.3">
      <c r="A88" s="3" t="str">
        <f t="shared" si="3"/>
        <v>Do Not Print</v>
      </c>
      <c r="D88" s="958" t="str">
        <f>'Input -CIES'!E35</f>
        <v>CIES Line 29</v>
      </c>
      <c r="E88" s="962">
        <f>SUMPRODUCT(($D88='Input - EFA'!$E$151:$E$465)*(E$58='Input - EFA'!$H$151:$H$465)*'Input - EFA'!$O$151:$O$465)</f>
        <v>0</v>
      </c>
      <c r="F88" s="962">
        <f>SUMPRODUCT(($D88='Input - EFA'!$E$151:$E$465)*(F$58='Input - EFA'!$H$151:$H$465)*'Input - EFA'!$O$151:$O$465)</f>
        <v>0</v>
      </c>
      <c r="G88" s="962">
        <f>SUMPRODUCT(($D88='Input - EFA'!$E$151:$E$465)*(G$58='Input - EFA'!$H$151:$H$465)*'Input - EFA'!$O$151:$O$465)</f>
        <v>0</v>
      </c>
      <c r="H88" s="962">
        <f>SUMPRODUCT(($D88='Input - EFA'!$E$151:$E$465)*(H$58='Input - EFA'!$H$151:$H$465)*'Input - EFA'!$O$151:$O$465)</f>
        <v>0</v>
      </c>
      <c r="I88" s="962">
        <f>SUMPRODUCT(($D88='Input - EFA'!$E$151:$E$465)*(I$58='Input - EFA'!$H$151:$H$465)*'Input - EFA'!$O$151:$O$465)</f>
        <v>0</v>
      </c>
      <c r="J88" s="962">
        <f>SUMPRODUCT(($D88='Input - EFA'!$E$151:$E$465)*(J$58='Input - EFA'!$H$151:$H$465)*'Input - EFA'!$O$151:$O$465)</f>
        <v>0</v>
      </c>
      <c r="K88" s="962">
        <f>SUMPRODUCT(($D88='Input - EFA'!$E$151:$E$465)*(K$58='Input - EFA'!$H$151:$H$465)*'Input - EFA'!$O$151:$O$465)</f>
        <v>0</v>
      </c>
      <c r="L88" s="962">
        <f>SUMPRODUCT(($D88='Input - EFA'!$E$151:$E$465)*(L$58='Input - EFA'!$H$151:$H$465)*'Input - EFA'!$O$151:$O$465)</f>
        <v>0</v>
      </c>
      <c r="M88" s="962">
        <f>SUMPRODUCT(($D88='Input - EFA'!$E$151:$E$465)*(M$58='Input - EFA'!$H$151:$H$465)*'Input - EFA'!$O$151:$O$465)</f>
        <v>0</v>
      </c>
      <c r="O88" s="28"/>
    </row>
    <row r="89" spans="1:15" x14ac:dyDescent="0.3">
      <c r="A89" s="3" t="str">
        <f t="shared" si="3"/>
        <v>Do Not Print</v>
      </c>
      <c r="D89" s="958" t="str">
        <f>'Input -CIES'!E36</f>
        <v>CIES Line 30</v>
      </c>
      <c r="E89" s="962">
        <f>SUMPRODUCT(($D89='Input - EFA'!$E$151:$E$465)*(E$58='Input - EFA'!$H$151:$H$465)*'Input - EFA'!$O$151:$O$465)</f>
        <v>0</v>
      </c>
      <c r="F89" s="962">
        <f>SUMPRODUCT(($D89='Input - EFA'!$E$151:$E$465)*(F$58='Input - EFA'!$H$151:$H$465)*'Input - EFA'!$O$151:$O$465)</f>
        <v>0</v>
      </c>
      <c r="G89" s="962">
        <f>SUMPRODUCT(($D89='Input - EFA'!$E$151:$E$465)*(G$58='Input - EFA'!$H$151:$H$465)*'Input - EFA'!$O$151:$O$465)</f>
        <v>0</v>
      </c>
      <c r="H89" s="962">
        <f>SUMPRODUCT(($D89='Input - EFA'!$E$151:$E$465)*(H$58='Input - EFA'!$H$151:$H$465)*'Input - EFA'!$O$151:$O$465)</f>
        <v>0</v>
      </c>
      <c r="I89" s="962">
        <f>SUMPRODUCT(($D89='Input - EFA'!$E$151:$E$465)*(I$58='Input - EFA'!$H$151:$H$465)*'Input - EFA'!$O$151:$O$465)</f>
        <v>0</v>
      </c>
      <c r="J89" s="962">
        <f>SUMPRODUCT(($D89='Input - EFA'!$E$151:$E$465)*(J$58='Input - EFA'!$H$151:$H$465)*'Input - EFA'!$O$151:$O$465)</f>
        <v>0</v>
      </c>
      <c r="K89" s="962">
        <f>SUMPRODUCT(($D89='Input - EFA'!$E$151:$E$465)*(K$58='Input - EFA'!$H$151:$H$465)*'Input - EFA'!$O$151:$O$465)</f>
        <v>0</v>
      </c>
      <c r="L89" s="962">
        <f>SUMPRODUCT(($D89='Input - EFA'!$E$151:$E$465)*(L$58='Input - EFA'!$H$151:$H$465)*'Input - EFA'!$O$151:$O$465)</f>
        <v>0</v>
      </c>
      <c r="M89" s="962">
        <f>SUMPRODUCT(($D89='Input - EFA'!$E$151:$E$465)*(M$58='Input - EFA'!$H$151:$H$465)*'Input - EFA'!$O$151:$O$465)</f>
        <v>0</v>
      </c>
      <c r="O89" s="28"/>
    </row>
    <row r="90" spans="1:15" x14ac:dyDescent="0.3">
      <c r="A90" s="3" t="str">
        <f t="shared" si="3"/>
        <v>Do Not Print</v>
      </c>
      <c r="D90" s="958" t="str">
        <f>'Input -CIES'!E37</f>
        <v>CIES Line 31</v>
      </c>
      <c r="E90" s="962">
        <f>SUMPRODUCT(($D90='Input - EFA'!$E$151:$E$465)*(E$58='Input - EFA'!$H$151:$H$465)*'Input - EFA'!$O$151:$O$465)</f>
        <v>0</v>
      </c>
      <c r="F90" s="962">
        <f>SUMPRODUCT(($D90='Input - EFA'!$E$151:$E$465)*(F$58='Input - EFA'!$H$151:$H$465)*'Input - EFA'!$O$151:$O$465)</f>
        <v>0</v>
      </c>
      <c r="G90" s="962">
        <f>SUMPRODUCT(($D90='Input - EFA'!$E$151:$E$465)*(G$58='Input - EFA'!$H$151:$H$465)*'Input - EFA'!$O$151:$O$465)</f>
        <v>0</v>
      </c>
      <c r="H90" s="962">
        <f>SUMPRODUCT(($D90='Input - EFA'!$E$151:$E$465)*(H$58='Input - EFA'!$H$151:$H$465)*'Input - EFA'!$O$151:$O$465)</f>
        <v>0</v>
      </c>
      <c r="I90" s="962">
        <f>SUMPRODUCT(($D90='Input - EFA'!$E$151:$E$465)*(I$58='Input - EFA'!$H$151:$H$465)*'Input - EFA'!$O$151:$O$465)</f>
        <v>0</v>
      </c>
      <c r="J90" s="962">
        <f>SUMPRODUCT(($D90='Input - EFA'!$E$151:$E$465)*(J$58='Input - EFA'!$H$151:$H$465)*'Input - EFA'!$O$151:$O$465)</f>
        <v>0</v>
      </c>
      <c r="K90" s="962">
        <f>SUMPRODUCT(($D90='Input - EFA'!$E$151:$E$465)*(K$58='Input - EFA'!$H$151:$H$465)*'Input - EFA'!$O$151:$O$465)</f>
        <v>0</v>
      </c>
      <c r="L90" s="962">
        <f>SUMPRODUCT(($D90='Input - EFA'!$E$151:$E$465)*(L$58='Input - EFA'!$H$151:$H$465)*'Input - EFA'!$O$151:$O$465)</f>
        <v>0</v>
      </c>
      <c r="M90" s="962">
        <f>SUMPRODUCT(($D90='Input - EFA'!$E$151:$E$465)*(M$58='Input - EFA'!$H$151:$H$465)*'Input - EFA'!$O$151:$O$465)</f>
        <v>0</v>
      </c>
      <c r="O90" s="28"/>
    </row>
    <row r="91" spans="1:15" x14ac:dyDescent="0.3">
      <c r="A91" s="3" t="str">
        <f t="shared" si="3"/>
        <v>Do Not Print</v>
      </c>
      <c r="D91" s="958" t="str">
        <f>'Input -CIES'!E38</f>
        <v>CIES Line 32</v>
      </c>
      <c r="E91" s="962">
        <f>SUMPRODUCT(($D91='Input - EFA'!$E$151:$E$465)*(E$58='Input - EFA'!$H$151:$H$465)*'Input - EFA'!$O$151:$O$465)</f>
        <v>0</v>
      </c>
      <c r="F91" s="962">
        <f>SUMPRODUCT(($D91='Input - EFA'!$E$151:$E$465)*(F$58='Input - EFA'!$H$151:$H$465)*'Input - EFA'!$O$151:$O$465)</f>
        <v>0</v>
      </c>
      <c r="G91" s="962">
        <f>SUMPRODUCT(($D91='Input - EFA'!$E$151:$E$465)*(G$58='Input - EFA'!$H$151:$H$465)*'Input - EFA'!$O$151:$O$465)</f>
        <v>0</v>
      </c>
      <c r="H91" s="962">
        <f>SUMPRODUCT(($D91='Input - EFA'!$E$151:$E$465)*(H$58='Input - EFA'!$H$151:$H$465)*'Input - EFA'!$O$151:$O$465)</f>
        <v>0</v>
      </c>
      <c r="I91" s="962">
        <f>SUMPRODUCT(($D91='Input - EFA'!$E$151:$E$465)*(I$58='Input - EFA'!$H$151:$H$465)*'Input - EFA'!$O$151:$O$465)</f>
        <v>0</v>
      </c>
      <c r="J91" s="962">
        <f>SUMPRODUCT(($D91='Input - EFA'!$E$151:$E$465)*(J$58='Input - EFA'!$H$151:$H$465)*'Input - EFA'!$O$151:$O$465)</f>
        <v>0</v>
      </c>
      <c r="K91" s="962">
        <f>SUMPRODUCT(($D91='Input - EFA'!$E$151:$E$465)*(K$58='Input - EFA'!$H$151:$H$465)*'Input - EFA'!$O$151:$O$465)</f>
        <v>0</v>
      </c>
      <c r="L91" s="962">
        <f>SUMPRODUCT(($D91='Input - EFA'!$E$151:$E$465)*(L$58='Input - EFA'!$H$151:$H$465)*'Input - EFA'!$O$151:$O$465)</f>
        <v>0</v>
      </c>
      <c r="M91" s="962">
        <f>SUMPRODUCT(($D91='Input - EFA'!$E$151:$E$465)*(M$58='Input - EFA'!$H$151:$H$465)*'Input - EFA'!$O$151:$O$465)</f>
        <v>0</v>
      </c>
      <c r="O91" s="28"/>
    </row>
    <row r="92" spans="1:15" x14ac:dyDescent="0.3">
      <c r="A92" s="3" t="str">
        <f t="shared" si="3"/>
        <v>Do Not Print</v>
      </c>
      <c r="D92" s="958" t="str">
        <f>'Input -CIES'!E39</f>
        <v>CIES Line 33</v>
      </c>
      <c r="E92" s="962">
        <f>SUMPRODUCT(($D92='Input - EFA'!$E$151:$E$465)*(E$58='Input - EFA'!$H$151:$H$465)*'Input - EFA'!$O$151:$O$465)</f>
        <v>0</v>
      </c>
      <c r="F92" s="962">
        <f>SUMPRODUCT(($D92='Input - EFA'!$E$151:$E$465)*(F$58='Input - EFA'!$H$151:$H$465)*'Input - EFA'!$O$151:$O$465)</f>
        <v>0</v>
      </c>
      <c r="G92" s="962">
        <f>SUMPRODUCT(($D92='Input - EFA'!$E$151:$E$465)*(G$58='Input - EFA'!$H$151:$H$465)*'Input - EFA'!$O$151:$O$465)</f>
        <v>0</v>
      </c>
      <c r="H92" s="962">
        <f>SUMPRODUCT(($D92='Input - EFA'!$E$151:$E$465)*(H$58='Input - EFA'!$H$151:$H$465)*'Input - EFA'!$O$151:$O$465)</f>
        <v>0</v>
      </c>
      <c r="I92" s="962">
        <f>SUMPRODUCT(($D92='Input - EFA'!$E$151:$E$465)*(I$58='Input - EFA'!$H$151:$H$465)*'Input - EFA'!$O$151:$O$465)</f>
        <v>0</v>
      </c>
      <c r="J92" s="962">
        <f>SUMPRODUCT(($D92='Input - EFA'!$E$151:$E$465)*(J$58='Input - EFA'!$H$151:$H$465)*'Input - EFA'!$O$151:$O$465)</f>
        <v>0</v>
      </c>
      <c r="K92" s="962">
        <f>SUMPRODUCT(($D92='Input - EFA'!$E$151:$E$465)*(K$58='Input - EFA'!$H$151:$H$465)*'Input - EFA'!$O$151:$O$465)</f>
        <v>0</v>
      </c>
      <c r="L92" s="962">
        <f>SUMPRODUCT(($D92='Input - EFA'!$E$151:$E$465)*(L$58='Input - EFA'!$H$151:$H$465)*'Input - EFA'!$O$151:$O$465)</f>
        <v>0</v>
      </c>
      <c r="M92" s="962">
        <f>SUMPRODUCT(($D92='Input - EFA'!$E$151:$E$465)*(M$58='Input - EFA'!$H$151:$H$465)*'Input - EFA'!$O$151:$O$465)</f>
        <v>0</v>
      </c>
      <c r="O92" s="28"/>
    </row>
    <row r="93" spans="1:15" x14ac:dyDescent="0.3">
      <c r="A93" s="3" t="str">
        <f t="shared" si="3"/>
        <v>Do Not Print</v>
      </c>
      <c r="D93" s="958" t="str">
        <f>'Input -CIES'!E40</f>
        <v>CIES Line 34</v>
      </c>
      <c r="E93" s="962">
        <f>SUMPRODUCT(($D93='Input - EFA'!$E$151:$E$465)*(E$58='Input - EFA'!$H$151:$H$465)*'Input - EFA'!$O$151:$O$465)</f>
        <v>0</v>
      </c>
      <c r="F93" s="962">
        <f>SUMPRODUCT(($D93='Input - EFA'!$E$151:$E$465)*(F$58='Input - EFA'!$H$151:$H$465)*'Input - EFA'!$O$151:$O$465)</f>
        <v>0</v>
      </c>
      <c r="G93" s="962">
        <f>SUMPRODUCT(($D93='Input - EFA'!$E$151:$E$465)*(G$58='Input - EFA'!$H$151:$H$465)*'Input - EFA'!$O$151:$O$465)</f>
        <v>0</v>
      </c>
      <c r="H93" s="962">
        <f>SUMPRODUCT(($D93='Input - EFA'!$E$151:$E$465)*(H$58='Input - EFA'!$H$151:$H$465)*'Input - EFA'!$O$151:$O$465)</f>
        <v>0</v>
      </c>
      <c r="I93" s="962">
        <f>SUMPRODUCT(($D93='Input - EFA'!$E$151:$E$465)*(I$58='Input - EFA'!$H$151:$H$465)*'Input - EFA'!$O$151:$O$465)</f>
        <v>0</v>
      </c>
      <c r="J93" s="962">
        <f>SUMPRODUCT(($D93='Input - EFA'!$E$151:$E$465)*(J$58='Input - EFA'!$H$151:$H$465)*'Input - EFA'!$O$151:$O$465)</f>
        <v>0</v>
      </c>
      <c r="K93" s="962">
        <f>SUMPRODUCT(($D93='Input - EFA'!$E$151:$E$465)*(K$58='Input - EFA'!$H$151:$H$465)*'Input - EFA'!$O$151:$O$465)</f>
        <v>0</v>
      </c>
      <c r="L93" s="962">
        <f>SUMPRODUCT(($D93='Input - EFA'!$E$151:$E$465)*(L$58='Input - EFA'!$H$151:$H$465)*'Input - EFA'!$O$151:$O$465)</f>
        <v>0</v>
      </c>
      <c r="M93" s="962">
        <f>SUMPRODUCT(($D93='Input - EFA'!$E$151:$E$465)*(M$58='Input - EFA'!$H$151:$H$465)*'Input - EFA'!$O$151:$O$465)</f>
        <v>0</v>
      </c>
      <c r="O93" s="28"/>
    </row>
    <row r="94" spans="1:15" x14ac:dyDescent="0.3">
      <c r="A94" s="3" t="str">
        <f t="shared" si="3"/>
        <v>Do Not Print</v>
      </c>
      <c r="D94" s="958" t="str">
        <f>'Input -CIES'!E41</f>
        <v>CIES Line 35</v>
      </c>
      <c r="E94" s="962">
        <f>SUMPRODUCT(($D94='Input - EFA'!$E$151:$E$465)*(E$58='Input - EFA'!$H$151:$H$465)*'Input - EFA'!$O$151:$O$465)</f>
        <v>0</v>
      </c>
      <c r="F94" s="962">
        <f>SUMPRODUCT(($D94='Input - EFA'!$E$151:$E$465)*(F$58='Input - EFA'!$H$151:$H$465)*'Input - EFA'!$O$151:$O$465)</f>
        <v>0</v>
      </c>
      <c r="G94" s="962">
        <f>SUMPRODUCT(($D94='Input - EFA'!$E$151:$E$465)*(G$58='Input - EFA'!$H$151:$H$465)*'Input - EFA'!$O$151:$O$465)</f>
        <v>0</v>
      </c>
      <c r="H94" s="962">
        <f>SUMPRODUCT(($D94='Input - EFA'!$E$151:$E$465)*(H$58='Input - EFA'!$H$151:$H$465)*'Input - EFA'!$O$151:$O$465)</f>
        <v>0</v>
      </c>
      <c r="I94" s="962">
        <f>SUMPRODUCT(($D94='Input - EFA'!$E$151:$E$465)*(I$58='Input - EFA'!$H$151:$H$465)*'Input - EFA'!$O$151:$O$465)</f>
        <v>0</v>
      </c>
      <c r="J94" s="962">
        <f>SUMPRODUCT(($D94='Input - EFA'!$E$151:$E$465)*(J$58='Input - EFA'!$H$151:$H$465)*'Input - EFA'!$O$151:$O$465)</f>
        <v>0</v>
      </c>
      <c r="K94" s="962">
        <f>SUMPRODUCT(($D94='Input - EFA'!$E$151:$E$465)*(K$58='Input - EFA'!$H$151:$H$465)*'Input - EFA'!$O$151:$O$465)</f>
        <v>0</v>
      </c>
      <c r="L94" s="962">
        <f>SUMPRODUCT(($D94='Input - EFA'!$E$151:$E$465)*(L$58='Input - EFA'!$H$151:$H$465)*'Input - EFA'!$O$151:$O$465)</f>
        <v>0</v>
      </c>
      <c r="M94" s="962">
        <f>SUMPRODUCT(($D94='Input - EFA'!$E$151:$E$465)*(M$58='Input - EFA'!$H$151:$H$465)*'Input - EFA'!$O$151:$O$465)</f>
        <v>0</v>
      </c>
      <c r="O94" s="28"/>
    </row>
    <row r="95" spans="1:15" x14ac:dyDescent="0.3">
      <c r="A95" s="3" t="s">
        <v>448</v>
      </c>
      <c r="D95" s="958"/>
      <c r="E95" s="962"/>
      <c r="F95" s="957"/>
      <c r="G95" s="957"/>
      <c r="H95" s="957"/>
      <c r="I95" s="957"/>
      <c r="J95" s="957"/>
      <c r="K95" s="963"/>
      <c r="L95" s="963"/>
      <c r="M95" s="963"/>
    </row>
    <row r="96" spans="1:15" ht="27" x14ac:dyDescent="0.3">
      <c r="A96" s="3" t="s">
        <v>448</v>
      </c>
      <c r="D96" s="952" t="s">
        <v>2000</v>
      </c>
      <c r="E96" s="962">
        <f>SUM(E60:E94)</f>
        <v>0</v>
      </c>
      <c r="F96" s="962">
        <f t="shared" ref="F96:M96" si="4">SUM(F60:F94)</f>
        <v>0</v>
      </c>
      <c r="G96" s="962">
        <f t="shared" si="4"/>
        <v>0</v>
      </c>
      <c r="H96" s="962">
        <f t="shared" si="4"/>
        <v>0</v>
      </c>
      <c r="I96" s="962">
        <f t="shared" si="4"/>
        <v>0</v>
      </c>
      <c r="J96" s="962">
        <f t="shared" si="4"/>
        <v>0</v>
      </c>
      <c r="K96" s="962">
        <f t="shared" si="4"/>
        <v>0</v>
      </c>
      <c r="L96" s="962">
        <f t="shared" si="4"/>
        <v>0</v>
      </c>
      <c r="M96" s="962">
        <f t="shared" si="4"/>
        <v>0</v>
      </c>
    </row>
    <row r="97" spans="1:1" x14ac:dyDescent="0.3">
      <c r="A97" s="3" t="s">
        <v>448</v>
      </c>
    </row>
    <row r="138" spans="4:11" x14ac:dyDescent="0.3">
      <c r="D138" s="875"/>
    </row>
    <row r="139" spans="4:11" x14ac:dyDescent="0.3">
      <c r="D139" s="875"/>
    </row>
    <row r="140" spans="4:11" x14ac:dyDescent="0.3">
      <c r="D140" s="875"/>
    </row>
    <row r="141" spans="4:11" x14ac:dyDescent="0.3">
      <c r="D141" s="875"/>
    </row>
    <row r="142" spans="4:11" x14ac:dyDescent="0.3">
      <c r="D142" s="1500"/>
      <c r="E142" s="1500"/>
      <c r="F142" s="1500"/>
      <c r="G142" s="1500"/>
      <c r="H142" s="1500"/>
      <c r="I142" s="1500"/>
      <c r="J142" s="1500"/>
      <c r="K142" s="1500"/>
    </row>
    <row r="392" spans="11:11" x14ac:dyDescent="0.3">
      <c r="K392" s="23">
        <f>J372</f>
        <v>0</v>
      </c>
    </row>
    <row r="487" spans="9:11" x14ac:dyDescent="0.3">
      <c r="I487" s="900"/>
      <c r="J487" s="900"/>
      <c r="K487" s="904"/>
    </row>
  </sheetData>
  <autoFilter ref="A3:U3" xr:uid="{00000000-0001-0000-1900-000000000000}"/>
  <mergeCells count="9">
    <mergeCell ref="D142:K142"/>
    <mergeCell ref="D11:M11"/>
    <mergeCell ref="D12:M12"/>
    <mergeCell ref="D13:M13"/>
    <mergeCell ref="E57:M57"/>
    <mergeCell ref="E14:M14"/>
    <mergeCell ref="D58:D59"/>
    <mergeCell ref="D15:D16"/>
    <mergeCell ref="D55:M55"/>
  </mergeCells>
  <pageMargins left="0.7" right="0.7" top="0.75" bottom="0.75" header="0.3" footer="0.3"/>
  <pageSetup paperSize="9" scale="59" orientation="portrait" horizontalDpi="4294967293" verticalDpi="0" r:id="rId1"/>
  <rowBreaks count="1" manualBreakCount="1">
    <brk id="55" min="1"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pageSetUpPr fitToPage="1"/>
  </sheetPr>
  <dimension ref="A3:T985"/>
  <sheetViews>
    <sheetView view="pageBreakPreview" topLeftCell="A547" zoomScaleNormal="100" zoomScaleSheetLayoutView="100" workbookViewId="0">
      <selection activeCell="D290" sqref="D290:K290"/>
    </sheetView>
  </sheetViews>
  <sheetFormatPr defaultColWidth="9.109375" defaultRowHeight="13.8" x14ac:dyDescent="0.3"/>
  <cols>
    <col min="1" max="1" width="12.44140625" style="23" customWidth="1"/>
    <col min="2" max="2" width="3.6640625" style="467" customWidth="1"/>
    <col min="3" max="3" width="2" style="467" customWidth="1"/>
    <col min="4" max="4" width="34" style="401" customWidth="1"/>
    <col min="5" max="5" width="16.5546875" style="401" customWidth="1"/>
    <col min="6" max="6" width="13.5546875" style="401" customWidth="1"/>
    <col min="7" max="7" width="16.5546875" style="401" customWidth="1"/>
    <col min="8" max="8" width="16.6640625" style="401" customWidth="1"/>
    <col min="9" max="9" width="16.109375" style="401" customWidth="1"/>
    <col min="10" max="10" width="17.33203125" style="401" customWidth="1"/>
    <col min="11" max="11" width="13.6640625" style="23" customWidth="1"/>
    <col min="12" max="12" width="9.88671875" style="23" customWidth="1"/>
    <col min="13" max="13" width="14" style="23" customWidth="1"/>
    <col min="14" max="14" width="13.88671875" style="23" bestFit="1" customWidth="1"/>
    <col min="15" max="15" width="12.5546875" style="23" bestFit="1" customWidth="1"/>
    <col min="16" max="16" width="13.6640625" style="23" bestFit="1" customWidth="1"/>
    <col min="17" max="17" width="14.44140625" style="23" bestFit="1" customWidth="1"/>
    <col min="18" max="18" width="12.6640625" style="23" bestFit="1" customWidth="1"/>
    <col min="19" max="19" width="9.109375" style="23"/>
    <col min="20" max="20" width="12.33203125" style="23" bestFit="1" customWidth="1"/>
    <col min="21" max="21" width="11.33203125" style="23" bestFit="1" customWidth="1"/>
    <col min="22" max="16384" width="9.109375" style="23"/>
  </cols>
  <sheetData>
    <row r="3" spans="1:17" x14ac:dyDescent="0.3">
      <c r="B3" s="467">
        <v>1.43</v>
      </c>
      <c r="C3" s="467">
        <v>1.29</v>
      </c>
      <c r="D3" s="401">
        <v>28.29</v>
      </c>
      <c r="E3" s="401">
        <v>9.86</v>
      </c>
      <c r="F3" s="401">
        <v>9.14</v>
      </c>
      <c r="G3" s="401">
        <v>10.14</v>
      </c>
      <c r="H3" s="401">
        <v>9.86</v>
      </c>
      <c r="I3" s="401">
        <v>9.2899999999999991</v>
      </c>
      <c r="J3" s="401">
        <v>9.86</v>
      </c>
      <c r="M3" s="23" t="s">
        <v>854</v>
      </c>
    </row>
    <row r="4" spans="1:17" x14ac:dyDescent="0.3">
      <c r="A4" s="23" t="s">
        <v>448</v>
      </c>
      <c r="B4" s="467" t="str">
        <f>'Standing Data'!$D$4</f>
        <v>NAME OF COUNCIL</v>
      </c>
    </row>
    <row r="5" spans="1:17" x14ac:dyDescent="0.3">
      <c r="A5" s="3" t="s">
        <v>448</v>
      </c>
      <c r="B5" s="467" t="str">
        <f>'Standing Data'!$D$28</f>
        <v>Notes to the Financial Statements</v>
      </c>
    </row>
    <row r="6" spans="1:17" x14ac:dyDescent="0.3">
      <c r="A6" s="3" t="s">
        <v>448</v>
      </c>
      <c r="B6" s="467" t="str">
        <f>'Standing Data'!$D$32</f>
        <v>FOR THE YEAR ENDED 31 March 2026</v>
      </c>
    </row>
    <row r="7" spans="1:17" x14ac:dyDescent="0.3">
      <c r="A7" s="3" t="s">
        <v>448</v>
      </c>
    </row>
    <row r="8" spans="1:17" x14ac:dyDescent="0.3">
      <c r="A8" s="3" t="s">
        <v>448</v>
      </c>
    </row>
    <row r="9" spans="1:17" x14ac:dyDescent="0.3">
      <c r="A9" s="23" t="s">
        <v>448</v>
      </c>
      <c r="E9" s="485"/>
      <c r="F9" s="485"/>
      <c r="G9" s="485"/>
      <c r="H9" s="485"/>
      <c r="I9" s="485"/>
      <c r="J9" s="485"/>
      <c r="M9" s="28"/>
      <c r="N9" s="28"/>
      <c r="O9" s="28"/>
      <c r="P9" s="28"/>
      <c r="Q9" s="28"/>
    </row>
    <row r="10" spans="1:17" x14ac:dyDescent="0.3">
      <c r="A10" s="3" t="s">
        <v>448</v>
      </c>
      <c r="B10" s="467">
        <f>Checklist!E54</f>
        <v>3</v>
      </c>
      <c r="C10" s="467" t="str">
        <f>Checklist!E55</f>
        <v>a</v>
      </c>
      <c r="D10" s="474" t="str">
        <f>Checklist!C54</f>
        <v>Expenditure and Income Analysed by Nature</v>
      </c>
      <c r="E10" s="480"/>
      <c r="F10" s="480"/>
      <c r="G10" s="480"/>
      <c r="H10" s="480"/>
      <c r="I10" s="481"/>
      <c r="J10" s="481"/>
      <c r="K10" s="481"/>
      <c r="M10" s="28"/>
      <c r="N10" s="28"/>
      <c r="O10" s="28"/>
      <c r="P10" s="28"/>
      <c r="Q10" s="28"/>
    </row>
    <row r="11" spans="1:17" x14ac:dyDescent="0.3">
      <c r="A11" s="3" t="s">
        <v>448</v>
      </c>
      <c r="E11" s="485"/>
      <c r="F11" s="485"/>
      <c r="G11" s="485"/>
      <c r="H11" s="485"/>
      <c r="I11" s="485"/>
      <c r="J11" s="485"/>
      <c r="M11" s="28"/>
      <c r="N11" s="28"/>
      <c r="O11" s="28"/>
      <c r="P11" s="28"/>
      <c r="Q11" s="28"/>
    </row>
    <row r="12" spans="1:17" x14ac:dyDescent="0.3">
      <c r="A12" s="3" t="s">
        <v>448</v>
      </c>
      <c r="D12" s="474" t="s">
        <v>1530</v>
      </c>
      <c r="E12" s="481"/>
      <c r="F12" s="481"/>
      <c r="G12" s="1763" t="str">
        <f>'Standing Data'!D34</f>
        <v>2025/26</v>
      </c>
      <c r="H12" s="1763"/>
      <c r="I12" s="1763" t="str">
        <f>'Standing Data'!D52</f>
        <v>2024/25</v>
      </c>
      <c r="J12" s="1763"/>
      <c r="M12" s="28"/>
      <c r="N12" s="28"/>
      <c r="O12" s="28"/>
      <c r="P12" s="28"/>
      <c r="Q12" s="28"/>
    </row>
    <row r="13" spans="1:17" x14ac:dyDescent="0.3">
      <c r="A13" s="3" t="s">
        <v>448</v>
      </c>
      <c r="D13" s="469"/>
      <c r="E13" s="484"/>
      <c r="F13" s="487" t="s">
        <v>343</v>
      </c>
      <c r="G13" s="1773" t="s">
        <v>450</v>
      </c>
      <c r="H13" s="1773"/>
      <c r="I13" s="1773" t="s">
        <v>450</v>
      </c>
      <c r="J13" s="1773"/>
      <c r="M13" s="28"/>
      <c r="N13" s="28"/>
      <c r="O13" s="28"/>
      <c r="P13" s="28"/>
      <c r="Q13" s="28"/>
    </row>
    <row r="14" spans="1:17" x14ac:dyDescent="0.3">
      <c r="A14" s="23" t="str">
        <f>IF(AND(G14=0,I14=0),"Do Not Print","Print")</f>
        <v>Do Not Print</v>
      </c>
      <c r="D14" s="1500" t="s">
        <v>2151</v>
      </c>
      <c r="E14" s="1500"/>
      <c r="F14" s="669">
        <v>7</v>
      </c>
      <c r="G14" s="1774">
        <f>I288</f>
        <v>0</v>
      </c>
      <c r="H14" s="1774"/>
      <c r="I14" s="1774">
        <f>J288</f>
        <v>0</v>
      </c>
      <c r="J14" s="1774"/>
      <c r="M14" s="28"/>
      <c r="N14" s="28"/>
      <c r="O14" s="28"/>
      <c r="P14" s="28"/>
      <c r="Q14" s="28"/>
    </row>
    <row r="15" spans="1:17" x14ac:dyDescent="0.3">
      <c r="A15" s="23" t="str">
        <f t="shared" ref="A15:A19" si="0">IF(AND(G15=0,I15=0),"Do Not Print","Print")</f>
        <v>Do Not Print</v>
      </c>
      <c r="D15" s="1500" t="s">
        <v>2152</v>
      </c>
      <c r="E15" s="1500"/>
      <c r="F15" s="485"/>
      <c r="G15" s="1774">
        <f>-'Non TB - Note 3 - 9'!H2</f>
        <v>0</v>
      </c>
      <c r="H15" s="1774"/>
      <c r="I15" s="1774">
        <f>-'Non TB - Note 3 - 9'!J2</f>
        <v>0</v>
      </c>
      <c r="J15" s="1774"/>
      <c r="M15" s="28"/>
      <c r="N15" s="28"/>
      <c r="O15" s="28"/>
      <c r="P15" s="28"/>
      <c r="Q15" s="28"/>
    </row>
    <row r="16" spans="1:17" x14ac:dyDescent="0.3">
      <c r="A16" s="23" t="str">
        <f t="shared" si="0"/>
        <v>Do Not Print</v>
      </c>
      <c r="D16" s="1500" t="s">
        <v>2153</v>
      </c>
      <c r="E16" s="1500"/>
      <c r="F16" s="485"/>
      <c r="G16" s="1774">
        <f>-'Non TB - Note 3 - 9'!H3</f>
        <v>0</v>
      </c>
      <c r="H16" s="1774"/>
      <c r="I16" s="1774">
        <f>-'Non TB - Note 3 - 9'!J3</f>
        <v>0</v>
      </c>
      <c r="J16" s="1774"/>
      <c r="M16" s="28"/>
      <c r="N16" s="28"/>
      <c r="O16" s="28"/>
      <c r="P16" s="28"/>
      <c r="Q16" s="28"/>
    </row>
    <row r="17" spans="1:17" x14ac:dyDescent="0.3">
      <c r="A17" s="23" t="str">
        <f t="shared" si="0"/>
        <v>Do Not Print</v>
      </c>
      <c r="D17" s="1500" t="s">
        <v>2154</v>
      </c>
      <c r="E17" s="1500"/>
      <c r="F17" s="669">
        <v>11</v>
      </c>
      <c r="G17" s="1774">
        <f>(G93+G96)</f>
        <v>0</v>
      </c>
      <c r="H17" s="1774"/>
      <c r="I17" s="1774">
        <f>(I93+I96)</f>
        <v>0</v>
      </c>
      <c r="J17" s="1774"/>
      <c r="M17" s="28"/>
      <c r="N17" s="28"/>
      <c r="O17" s="28"/>
      <c r="P17" s="28"/>
      <c r="Q17" s="28"/>
    </row>
    <row r="18" spans="1:17" x14ac:dyDescent="0.3">
      <c r="A18" s="23" t="str">
        <f t="shared" si="0"/>
        <v>Do Not Print</v>
      </c>
      <c r="D18" s="1500" t="s">
        <v>2155</v>
      </c>
      <c r="E18" s="1500"/>
      <c r="F18" s="669">
        <v>9</v>
      </c>
      <c r="G18" s="1774">
        <f>E429</f>
        <v>0</v>
      </c>
      <c r="H18" s="1774"/>
      <c r="I18" s="1774">
        <f>F429</f>
        <v>0</v>
      </c>
      <c r="J18" s="1774"/>
      <c r="M18" s="28"/>
      <c r="N18" s="28"/>
      <c r="O18" s="28"/>
      <c r="P18" s="28"/>
      <c r="Q18" s="28"/>
    </row>
    <row r="19" spans="1:17" x14ac:dyDescent="0.3">
      <c r="A19" s="23" t="str">
        <f t="shared" si="0"/>
        <v>Do Not Print</v>
      </c>
      <c r="D19" s="1500" t="s">
        <v>2156</v>
      </c>
      <c r="E19" s="1500"/>
      <c r="F19" s="669">
        <v>8</v>
      </c>
      <c r="G19" s="1774">
        <f>E398</f>
        <v>0</v>
      </c>
      <c r="H19" s="1774"/>
      <c r="I19" s="1774">
        <f>F398</f>
        <v>0</v>
      </c>
      <c r="J19" s="1774"/>
      <c r="M19" s="28"/>
      <c r="N19" s="28"/>
      <c r="O19" s="28"/>
      <c r="P19" s="28"/>
      <c r="Q19" s="28"/>
    </row>
    <row r="20" spans="1:17" x14ac:dyDescent="0.3">
      <c r="A20" s="23" t="str">
        <f>IF(AND(G20=0,I20=0),"Do Not Print","Print")</f>
        <v>Do Not Print</v>
      </c>
      <c r="D20" s="1500" t="s">
        <v>2157</v>
      </c>
      <c r="E20" s="1500"/>
      <c r="F20" s="485"/>
      <c r="G20" s="1774">
        <f>'Non TB - Note 3 - 9'!H4</f>
        <v>0</v>
      </c>
      <c r="H20" s="1774"/>
      <c r="I20" s="1774">
        <f>'Non TB - Note 3 - 9'!I4</f>
        <v>0</v>
      </c>
      <c r="J20" s="1774"/>
      <c r="M20" s="28"/>
      <c r="N20" s="28"/>
      <c r="O20" s="28"/>
      <c r="P20" s="28"/>
      <c r="Q20" s="28"/>
    </row>
    <row r="21" spans="1:17" x14ac:dyDescent="0.3">
      <c r="A21" s="3" t="s">
        <v>448</v>
      </c>
      <c r="D21" s="1538" t="s">
        <v>2184</v>
      </c>
      <c r="E21" s="1538"/>
      <c r="F21" s="523"/>
      <c r="G21" s="1776">
        <f>SUM(G14:H20)</f>
        <v>0</v>
      </c>
      <c r="H21" s="1776"/>
      <c r="I21" s="1776">
        <f>SUM(I14:J20)</f>
        <v>0</v>
      </c>
      <c r="J21" s="1776"/>
      <c r="M21" s="28"/>
      <c r="N21" s="28"/>
      <c r="O21" s="28"/>
      <c r="P21" s="28"/>
      <c r="Q21" s="28"/>
    </row>
    <row r="22" spans="1:17" x14ac:dyDescent="0.3">
      <c r="A22" s="3" t="s">
        <v>448</v>
      </c>
      <c r="D22" s="1500"/>
      <c r="E22" s="1500"/>
      <c r="F22" s="485"/>
      <c r="G22" s="1813"/>
      <c r="H22" s="1813"/>
      <c r="I22" s="1813"/>
      <c r="J22" s="1813"/>
      <c r="M22" s="28"/>
      <c r="N22" s="28"/>
      <c r="O22" s="28"/>
      <c r="P22" s="28"/>
      <c r="Q22" s="28"/>
    </row>
    <row r="23" spans="1:17" x14ac:dyDescent="0.3">
      <c r="A23" s="3" t="s">
        <v>448</v>
      </c>
      <c r="D23" s="474" t="s">
        <v>1529</v>
      </c>
      <c r="E23" s="481"/>
      <c r="F23" s="481"/>
      <c r="G23" s="1763" t="str">
        <f>'Standing Data'!D34</f>
        <v>2025/26</v>
      </c>
      <c r="H23" s="1763"/>
      <c r="I23" s="1763" t="str">
        <f>'Standing Data'!D52</f>
        <v>2024/25</v>
      </c>
      <c r="J23" s="1763"/>
      <c r="M23" s="28"/>
      <c r="N23" s="28"/>
      <c r="O23" s="28"/>
      <c r="P23" s="28"/>
      <c r="Q23" s="28"/>
    </row>
    <row r="24" spans="1:17" x14ac:dyDescent="0.3">
      <c r="A24" s="3" t="s">
        <v>448</v>
      </c>
      <c r="D24" s="469"/>
      <c r="E24" s="484"/>
      <c r="F24" s="487" t="s">
        <v>343</v>
      </c>
      <c r="G24" s="1773" t="s">
        <v>450</v>
      </c>
      <c r="H24" s="1773"/>
      <c r="I24" s="1773" t="s">
        <v>450</v>
      </c>
      <c r="J24" s="1773"/>
      <c r="M24" s="28"/>
      <c r="N24" s="28"/>
      <c r="O24" s="28"/>
      <c r="P24" s="28"/>
      <c r="Q24" s="28"/>
    </row>
    <row r="25" spans="1:17" x14ac:dyDescent="0.3">
      <c r="A25" s="23" t="str">
        <f>IF(AND(G25=0,I25=0),"Do Not Print","Print")</f>
        <v>Do Not Print</v>
      </c>
      <c r="D25" s="1500" t="s">
        <v>2914</v>
      </c>
      <c r="E25" s="1500"/>
      <c r="F25" s="485"/>
      <c r="G25" s="1774">
        <f>'Non TB - Note 3 - 9'!H5</f>
        <v>0</v>
      </c>
      <c r="H25" s="1774"/>
      <c r="I25" s="1774">
        <f>'Non TB - Note 3 - 9'!J5</f>
        <v>0</v>
      </c>
      <c r="J25" s="1774"/>
      <c r="M25" s="28"/>
      <c r="N25" s="28"/>
      <c r="O25" s="28"/>
      <c r="P25" s="28"/>
      <c r="Q25" s="28"/>
    </row>
    <row r="26" spans="1:17" x14ac:dyDescent="0.3">
      <c r="A26" s="23" t="str">
        <f t="shared" ref="A26:A29" si="1">IF(AND(G26=0,I26=0),"Do Not Print","Print")</f>
        <v>Do Not Print</v>
      </c>
      <c r="D26" s="1500" t="s">
        <v>119</v>
      </c>
      <c r="E26" s="1500"/>
      <c r="F26" s="421">
        <v>9</v>
      </c>
      <c r="G26" s="1774">
        <f>-E444</f>
        <v>0</v>
      </c>
      <c r="H26" s="1774"/>
      <c r="I26" s="1774">
        <f>-F444</f>
        <v>0</v>
      </c>
      <c r="J26" s="1774"/>
      <c r="M26" s="28"/>
      <c r="N26" s="28"/>
      <c r="O26" s="28"/>
      <c r="P26" s="28"/>
      <c r="Q26" s="28"/>
    </row>
    <row r="27" spans="1:17" x14ac:dyDescent="0.3">
      <c r="A27" s="23" t="str">
        <f t="shared" si="1"/>
        <v>Do Not Print</v>
      </c>
      <c r="D27" s="1500" t="s">
        <v>1112</v>
      </c>
      <c r="E27" s="1500"/>
      <c r="F27" s="421">
        <v>10</v>
      </c>
      <c r="G27" s="1774">
        <f>-E543</f>
        <v>0</v>
      </c>
      <c r="H27" s="1774"/>
      <c r="I27" s="1774">
        <f>-F543</f>
        <v>0</v>
      </c>
      <c r="J27" s="1774"/>
      <c r="M27" s="28"/>
      <c r="N27" s="28"/>
      <c r="O27" s="28"/>
      <c r="P27" s="28"/>
      <c r="Q27" s="28"/>
    </row>
    <row r="28" spans="1:17" x14ac:dyDescent="0.3">
      <c r="A28" s="23" t="str">
        <f t="shared" si="1"/>
        <v>Do Not Print</v>
      </c>
      <c r="D28" s="1500" t="s">
        <v>34</v>
      </c>
      <c r="E28" s="1500"/>
      <c r="F28" s="421">
        <v>10</v>
      </c>
      <c r="G28" s="1774">
        <f>-(E501+E523)</f>
        <v>0</v>
      </c>
      <c r="H28" s="1774"/>
      <c r="I28" s="1774">
        <f>-(F501+F523)</f>
        <v>0</v>
      </c>
      <c r="J28" s="1774"/>
      <c r="M28" s="28"/>
      <c r="N28" s="28"/>
      <c r="O28" s="28"/>
      <c r="P28" s="28"/>
      <c r="Q28" s="28"/>
    </row>
    <row r="29" spans="1:17" x14ac:dyDescent="0.3">
      <c r="A29" s="23" t="str">
        <f t="shared" si="1"/>
        <v>Do Not Print</v>
      </c>
      <c r="D29" s="1500" t="s">
        <v>2158</v>
      </c>
      <c r="E29" s="1500"/>
      <c r="F29" s="485"/>
      <c r="G29" s="1774">
        <f>-'Non TB - Note 3 - 9'!H6</f>
        <v>0</v>
      </c>
      <c r="H29" s="1774"/>
      <c r="I29" s="1774">
        <f>'Non TB - Note 3 - 9'!J6</f>
        <v>0</v>
      </c>
      <c r="J29" s="1774"/>
      <c r="M29" s="28"/>
      <c r="N29" s="28"/>
      <c r="O29" s="28"/>
      <c r="P29" s="28"/>
      <c r="Q29" s="28"/>
    </row>
    <row r="30" spans="1:17" x14ac:dyDescent="0.3">
      <c r="A30" s="23" t="str">
        <f>IF(AND(G30=0,I30=0),"Do Not Print","Print")</f>
        <v>Do Not Print</v>
      </c>
      <c r="D30" s="1500" t="s">
        <v>2159</v>
      </c>
      <c r="E30" s="1500"/>
      <c r="F30" s="485"/>
      <c r="G30" s="1774">
        <f>'Non TB - Note 3 - 9'!H7</f>
        <v>0</v>
      </c>
      <c r="H30" s="1774"/>
      <c r="I30" s="1774">
        <f>'Non TB - Note 3 - 9'!I7</f>
        <v>0</v>
      </c>
      <c r="J30" s="1774"/>
      <c r="M30" s="28"/>
      <c r="N30" s="28"/>
      <c r="O30" s="28"/>
      <c r="P30" s="28"/>
      <c r="Q30" s="28"/>
    </row>
    <row r="31" spans="1:17" x14ac:dyDescent="0.3">
      <c r="A31" s="3" t="s">
        <v>448</v>
      </c>
      <c r="D31" s="1538" t="s">
        <v>1654</v>
      </c>
      <c r="E31" s="1538"/>
      <c r="F31" s="523"/>
      <c r="G31" s="1776">
        <f>SUM(G25:H30)</f>
        <v>0</v>
      </c>
      <c r="H31" s="1776"/>
      <c r="I31" s="1776">
        <f>SUM(I25:J30)</f>
        <v>0</v>
      </c>
      <c r="J31" s="1776"/>
      <c r="M31" s="1053" t="s">
        <v>2185</v>
      </c>
      <c r="N31" s="1046"/>
      <c r="O31" s="28"/>
      <c r="P31" s="28"/>
      <c r="Q31" s="28"/>
    </row>
    <row r="32" spans="1:17" x14ac:dyDescent="0.3">
      <c r="A32" s="3" t="s">
        <v>448</v>
      </c>
      <c r="E32" s="485"/>
      <c r="F32" s="485"/>
      <c r="G32" s="473"/>
      <c r="H32" s="473"/>
      <c r="I32" s="473"/>
      <c r="J32" s="473"/>
      <c r="M32" s="1047" t="str">
        <f>'Standing Data'!D34</f>
        <v>2025/26</v>
      </c>
      <c r="N32" s="1048" t="str">
        <f>'Standing Data'!D52</f>
        <v>2024/25</v>
      </c>
      <c r="O32" s="28"/>
      <c r="P32" s="28"/>
      <c r="Q32" s="28"/>
    </row>
    <row r="33" spans="1:17" ht="14.4" thickBot="1" x14ac:dyDescent="0.35">
      <c r="A33" s="3" t="s">
        <v>448</v>
      </c>
      <c r="D33" s="1538" t="s">
        <v>2160</v>
      </c>
      <c r="E33" s="1538"/>
      <c r="F33" s="523"/>
      <c r="G33" s="1772">
        <f>SUM(G14:H20)+SUM(G25:H30)</f>
        <v>0</v>
      </c>
      <c r="H33" s="1772"/>
      <c r="I33" s="1772">
        <f>SUM(I14:J20)+SUM(I25:J30)</f>
        <v>0</v>
      </c>
      <c r="J33" s="1772"/>
      <c r="L33" s="3"/>
      <c r="M33" s="1049" t="b">
        <f>Prime!F62=G33</f>
        <v>1</v>
      </c>
      <c r="N33" s="1050" t="b">
        <f>Prime!I62=I33</f>
        <v>1</v>
      </c>
      <c r="O33" s="28"/>
      <c r="P33" s="28"/>
      <c r="Q33" s="28"/>
    </row>
    <row r="34" spans="1:17" ht="14.4" thickTop="1" x14ac:dyDescent="0.3">
      <c r="A34" s="3" t="s">
        <v>448</v>
      </c>
      <c r="E34" s="485"/>
      <c r="F34" s="485"/>
      <c r="G34" s="485"/>
      <c r="H34" s="485"/>
      <c r="I34" s="485"/>
      <c r="J34" s="485"/>
      <c r="M34" s="1051">
        <f>Prime!F62-'Notes 3 to 10'!G33</f>
        <v>0</v>
      </c>
      <c r="N34" s="1052">
        <f>Prime!I62-'Notes 3 to 10'!I33</f>
        <v>0</v>
      </c>
      <c r="O34" s="28"/>
      <c r="P34" s="28"/>
      <c r="Q34" s="28"/>
    </row>
    <row r="35" spans="1:17" x14ac:dyDescent="0.3">
      <c r="A35" s="3" t="s">
        <v>448</v>
      </c>
      <c r="E35" s="485"/>
      <c r="F35" s="485"/>
      <c r="G35" s="485"/>
      <c r="H35" s="485"/>
      <c r="I35" s="485"/>
      <c r="J35" s="485"/>
      <c r="M35" s="28"/>
      <c r="N35" s="28"/>
      <c r="O35" s="28"/>
      <c r="P35" s="28"/>
      <c r="Q35" s="28"/>
    </row>
    <row r="36" spans="1:17" x14ac:dyDescent="0.3">
      <c r="A36" s="3" t="str">
        <f>IF('Non TB - Note 3 - 9'!F8=1,"Print","Do Not Print")</f>
        <v>Print</v>
      </c>
      <c r="C36" s="467" t="str">
        <f>Checklist!E56</f>
        <v>b</v>
      </c>
      <c r="D36" s="474" t="str">
        <f>IF('Non TB - Note 3 - 9'!F8=1,'Non TB - Note 3 - 9'!E8,"")</f>
        <v>Revenue from contracts with service recipients</v>
      </c>
      <c r="E36" s="480"/>
      <c r="F36" s="480"/>
      <c r="G36" s="480"/>
      <c r="H36" s="480"/>
      <c r="I36" s="481"/>
      <c r="J36" s="481"/>
      <c r="K36" s="481"/>
      <c r="M36" s="28"/>
      <c r="N36" s="28"/>
      <c r="O36" s="28"/>
      <c r="P36" s="28"/>
      <c r="Q36" s="28"/>
    </row>
    <row r="37" spans="1:17" x14ac:dyDescent="0.3">
      <c r="A37" s="3" t="str">
        <f>IF(A36="Print","Print","Do Not Print")</f>
        <v>Print</v>
      </c>
      <c r="E37" s="485"/>
      <c r="F37" s="485"/>
      <c r="G37" s="485"/>
      <c r="H37" s="485"/>
      <c r="I37" s="485"/>
      <c r="J37" s="485"/>
      <c r="M37" s="28"/>
      <c r="N37" s="28"/>
      <c r="O37" s="28"/>
      <c r="P37" s="28"/>
      <c r="Q37" s="28"/>
    </row>
    <row r="38" spans="1:17" x14ac:dyDescent="0.3">
      <c r="A38" s="3" t="str">
        <f>IF('Non TB - Note 3 - 9'!F8=1,"Print","Do Not Print")</f>
        <v>Print</v>
      </c>
      <c r="D38" s="401" t="str">
        <f>IF('Non TB - Note 3 - 9'!F8=1,'Non TB - Note 3 - 9'!H8,"")</f>
        <v>Amounts included in the Comprehensive Income and Expenditure Statement for contracts with service recipients:</v>
      </c>
      <c r="E38" s="485"/>
      <c r="F38" s="485"/>
      <c r="G38" s="485"/>
      <c r="H38" s="485"/>
      <c r="I38" s="485"/>
      <c r="J38" s="485"/>
      <c r="L38" s="3"/>
      <c r="M38" s="28"/>
      <c r="N38" s="28"/>
      <c r="O38" s="28"/>
      <c r="P38" s="28"/>
      <c r="Q38" s="28"/>
    </row>
    <row r="39" spans="1:17" x14ac:dyDescent="0.3">
      <c r="A39" s="3" t="str">
        <f>IF(A38="Print","Print","Do Not Print")</f>
        <v>Print</v>
      </c>
      <c r="E39" s="485"/>
      <c r="F39" s="485"/>
      <c r="G39" s="485"/>
      <c r="H39" s="485"/>
      <c r="I39" s="485"/>
      <c r="J39" s="485"/>
      <c r="M39" s="28"/>
      <c r="N39" s="28"/>
      <c r="O39" s="28"/>
      <c r="P39" s="28"/>
      <c r="Q39" s="28"/>
    </row>
    <row r="40" spans="1:17" x14ac:dyDescent="0.3">
      <c r="A40" s="3" t="str">
        <f>IF(A45="Print", "Print", "Do Not Print")</f>
        <v>Do Not Print</v>
      </c>
      <c r="D40" s="474"/>
      <c r="E40" s="481"/>
      <c r="F40" s="481"/>
      <c r="G40" s="1763" t="str">
        <f>'Standing Data'!D34</f>
        <v>2025/26</v>
      </c>
      <c r="H40" s="1763"/>
      <c r="I40" s="1763" t="str">
        <f>'Standing Data'!D52</f>
        <v>2024/25</v>
      </c>
      <c r="J40" s="1763"/>
      <c r="M40" s="28"/>
      <c r="N40" s="28"/>
      <c r="O40" s="28"/>
      <c r="P40" s="28"/>
      <c r="Q40" s="28"/>
    </row>
    <row r="41" spans="1:17" x14ac:dyDescent="0.3">
      <c r="A41" s="3" t="str">
        <f>IF(A40="Print", "Print", "Do Not Print")</f>
        <v>Do Not Print</v>
      </c>
      <c r="D41" s="469"/>
      <c r="E41" s="484"/>
      <c r="F41" s="487" t="s">
        <v>343</v>
      </c>
      <c r="G41" s="1773" t="s">
        <v>450</v>
      </c>
      <c r="H41" s="1773"/>
      <c r="I41" s="1773" t="s">
        <v>450</v>
      </c>
      <c r="J41" s="1773"/>
      <c r="M41" s="28"/>
      <c r="N41" s="28"/>
      <c r="O41" s="28"/>
      <c r="P41" s="28"/>
      <c r="Q41" s="28"/>
    </row>
    <row r="42" spans="1:17" x14ac:dyDescent="0.3">
      <c r="A42" s="3" t="str">
        <f>IF(AND(G42=0,I42=0),"Do Not Print","Print")</f>
        <v>Do Not Print</v>
      </c>
      <c r="D42" s="1500" t="s">
        <v>2359</v>
      </c>
      <c r="E42" s="1500"/>
      <c r="F42" s="485"/>
      <c r="G42" s="1774">
        <f>'Non TB - Note 3 - 9'!H9</f>
        <v>0</v>
      </c>
      <c r="H42" s="1774"/>
      <c r="I42" s="1774">
        <f>'Non TB - Note 3 - 9'!J9</f>
        <v>0</v>
      </c>
      <c r="J42" s="1774"/>
      <c r="L42" s="3"/>
      <c r="M42" s="28"/>
      <c r="N42" s="28"/>
      <c r="O42" s="28"/>
      <c r="P42" s="28"/>
      <c r="Q42" s="28"/>
    </row>
    <row r="43" spans="1:17" x14ac:dyDescent="0.3">
      <c r="A43" s="3" t="str">
        <f>IF(AND(G43=0,I43=0),"Do Not Print","Print")</f>
        <v>Do Not Print</v>
      </c>
      <c r="D43" s="1500" t="s">
        <v>2360</v>
      </c>
      <c r="E43" s="1500"/>
      <c r="F43" s="485"/>
      <c r="G43" s="1774">
        <f>'Non TB - Note 3 - 9'!H10</f>
        <v>0</v>
      </c>
      <c r="H43" s="1774"/>
      <c r="I43" s="1774">
        <f>'Non TB - Note 3 - 9'!J10</f>
        <v>0</v>
      </c>
      <c r="J43" s="1774"/>
      <c r="M43" s="28"/>
      <c r="N43" s="28"/>
      <c r="O43" s="28"/>
      <c r="P43" s="28"/>
      <c r="Q43" s="28"/>
    </row>
    <row r="44" spans="1:17" x14ac:dyDescent="0.3">
      <c r="A44" s="3" t="str">
        <f>IF(OR(A42="Print",A43="Print"),"Print", "Do Not Print")</f>
        <v>Do Not Print</v>
      </c>
      <c r="E44" s="485"/>
      <c r="F44" s="485"/>
      <c r="G44" s="1774"/>
      <c r="H44" s="1774"/>
      <c r="I44" s="1774"/>
      <c r="J44" s="1774"/>
      <c r="M44" s="28"/>
      <c r="N44" s="28"/>
      <c r="O44" s="28"/>
      <c r="P44" s="28"/>
      <c r="Q44" s="28"/>
    </row>
    <row r="45" spans="1:17" ht="27.75" customHeight="1" x14ac:dyDescent="0.3">
      <c r="A45" s="3" t="str">
        <f>IF(AND(G45=0,I45=0),"Do Not Print","Print")</f>
        <v>Do Not Print</v>
      </c>
      <c r="D45" s="1535" t="s">
        <v>2361</v>
      </c>
      <c r="E45" s="1535"/>
      <c r="F45" s="485"/>
      <c r="G45" s="1775">
        <f>SUM(G42:H43)</f>
        <v>0</v>
      </c>
      <c r="H45" s="1775"/>
      <c r="I45" s="1775">
        <f>SUM(I42:J43)</f>
        <v>0</v>
      </c>
      <c r="J45" s="1775"/>
      <c r="M45" s="28"/>
      <c r="N45" s="28"/>
      <c r="O45" s="28"/>
      <c r="P45" s="28"/>
      <c r="Q45" s="28"/>
    </row>
    <row r="46" spans="1:17" x14ac:dyDescent="0.3">
      <c r="A46" s="3" t="str">
        <f>IF(A45="Print","Print","Do Not Print")</f>
        <v>Do Not Print</v>
      </c>
      <c r="E46" s="485"/>
      <c r="F46" s="485"/>
      <c r="G46" s="485"/>
      <c r="H46" s="485"/>
      <c r="I46" s="485"/>
      <c r="J46" s="485"/>
      <c r="M46" s="28"/>
      <c r="N46" s="28"/>
      <c r="O46" s="28"/>
      <c r="P46" s="28"/>
      <c r="Q46" s="28"/>
    </row>
    <row r="47" spans="1:17" ht="55.05" customHeight="1" x14ac:dyDescent="0.3">
      <c r="A47" s="3" t="str">
        <f>IF('Non TB - Note 3 - 9'!F11=1,"Print","Do Not Print")</f>
        <v>Print</v>
      </c>
      <c r="D47" s="1504" t="str">
        <f>IF('Non TB - Note 3 - 9'!F11=1,'Non TB - Note 3 - 9'!H11,"")</f>
        <v xml:space="preserve">Paragraph 2.7.4.6 of the Code requires disaggregation of the revenue recognised where this is material and would assist readers.  Councils may consider whether the disclosure of 'Fees, Charges and Other Service Income' in Note 13A Expenditure and Income Analysed by Nature provides sufficient information for readers regarding the nature of such revenues.  Paragraph 2.7.4.7 of the Code requires an indication of how the figures relate to segment reporting.  This may particularly be required where Note 7B Segmental income has not been provided.  </v>
      </c>
      <c r="E47" s="1504"/>
      <c r="F47" s="1504"/>
      <c r="G47" s="1504"/>
      <c r="H47" s="1504"/>
      <c r="I47" s="1504"/>
      <c r="J47" s="1504"/>
      <c r="K47" s="1504"/>
      <c r="M47" s="28"/>
      <c r="N47" s="28"/>
      <c r="O47" s="28"/>
      <c r="P47" s="28"/>
      <c r="Q47" s="28"/>
    </row>
    <row r="48" spans="1:17" x14ac:dyDescent="0.3">
      <c r="A48" s="3" t="str">
        <f>IF(A47="Print","Print","Do Not Print")</f>
        <v>Print</v>
      </c>
      <c r="E48" s="485"/>
      <c r="F48" s="485"/>
      <c r="G48" s="485"/>
      <c r="H48" s="485"/>
      <c r="I48" s="485"/>
      <c r="J48" s="485"/>
      <c r="M48" s="28"/>
      <c r="N48" s="28"/>
      <c r="O48" s="28"/>
      <c r="P48" s="28"/>
      <c r="Q48" s="28"/>
    </row>
    <row r="49" spans="1:17" x14ac:dyDescent="0.3">
      <c r="A49" s="3" t="str">
        <f>IF('Non TB - Note 3 - 9'!F12=1,"Print","Do Not Print")</f>
        <v>Print</v>
      </c>
      <c r="D49" s="401" t="str">
        <f>IF('Non TB - Note 3 - 9'!F12=1,'Non TB - Note 3 - 9'!H12,"")</f>
        <v>Amounts included in the Balance Sheet for contracts with service recipients:</v>
      </c>
      <c r="E49" s="485"/>
      <c r="F49" s="485"/>
      <c r="G49" s="485"/>
      <c r="H49" s="485"/>
      <c r="I49" s="485"/>
      <c r="J49" s="485"/>
      <c r="M49" s="28"/>
      <c r="N49" s="28"/>
      <c r="O49" s="28"/>
      <c r="P49" s="28"/>
      <c r="Q49" s="28"/>
    </row>
    <row r="50" spans="1:17" x14ac:dyDescent="0.3">
      <c r="A50" s="3" t="str">
        <f>IF(A49="Print","Print","Do Not Print")</f>
        <v>Print</v>
      </c>
      <c r="E50" s="485"/>
      <c r="F50" s="485"/>
      <c r="G50" s="485"/>
      <c r="H50" s="485"/>
      <c r="I50" s="485"/>
      <c r="J50" s="485"/>
      <c r="M50" s="28"/>
      <c r="N50" s="28"/>
      <c r="O50" s="28"/>
      <c r="P50" s="28"/>
      <c r="Q50" s="28"/>
    </row>
    <row r="51" spans="1:17" x14ac:dyDescent="0.3">
      <c r="A51" s="3" t="str">
        <f>IF(A57="Print","Print", "Do Not Print")</f>
        <v>Do Not Print</v>
      </c>
      <c r="D51" s="474"/>
      <c r="E51" s="481"/>
      <c r="F51" s="481"/>
      <c r="G51" s="1763" t="str">
        <f>'Standing Data'!D40</f>
        <v>31st March 2026</v>
      </c>
      <c r="H51" s="1763"/>
      <c r="I51" s="1763" t="str">
        <f>'Standing Data'!D66</f>
        <v>31st March 2025</v>
      </c>
      <c r="J51" s="1763"/>
      <c r="M51" s="28"/>
      <c r="N51" s="28"/>
      <c r="O51" s="28"/>
      <c r="P51" s="28"/>
      <c r="Q51" s="28"/>
    </row>
    <row r="52" spans="1:17" x14ac:dyDescent="0.3">
      <c r="A52" s="3" t="str">
        <f>IF(A51="Print", "Print", "Do Not Print")</f>
        <v>Do Not Print</v>
      </c>
      <c r="D52" s="469"/>
      <c r="E52" s="484"/>
      <c r="F52" s="487" t="s">
        <v>343</v>
      </c>
      <c r="G52" s="1773" t="s">
        <v>450</v>
      </c>
      <c r="H52" s="1773"/>
      <c r="I52" s="1773" t="s">
        <v>450</v>
      </c>
      <c r="J52" s="1773"/>
      <c r="M52" s="28"/>
      <c r="N52" s="28"/>
      <c r="O52" s="28"/>
      <c r="P52" s="28"/>
      <c r="Q52" s="28"/>
    </row>
    <row r="53" spans="1:17" x14ac:dyDescent="0.3">
      <c r="A53" s="3" t="str">
        <f>IF(AND(G53=0,I53=0),"Do Not Print","Print")</f>
        <v>Do Not Print</v>
      </c>
      <c r="D53" s="1500" t="s">
        <v>2362</v>
      </c>
      <c r="E53" s="1500"/>
      <c r="F53" s="485"/>
      <c r="G53" s="1774">
        <f>'Det BS '!J358+'Det BS '!J313</f>
        <v>0</v>
      </c>
      <c r="H53" s="1774"/>
      <c r="I53" s="1774">
        <f>'Det BS '!L358+'Det BS '!L313</f>
        <v>0</v>
      </c>
      <c r="J53" s="1774"/>
      <c r="M53" s="28"/>
      <c r="N53" s="28"/>
      <c r="O53" s="28"/>
      <c r="P53" s="28"/>
      <c r="Q53" s="28"/>
    </row>
    <row r="54" spans="1:17" x14ac:dyDescent="0.3">
      <c r="A54" s="3" t="str">
        <f t="shared" ref="A54:A55" si="2">IF(AND(G54=0,I54=0),"Do Not Print","Print")</f>
        <v>Do Not Print</v>
      </c>
      <c r="D54" s="1500" t="s">
        <v>2363</v>
      </c>
      <c r="E54" s="1500"/>
      <c r="F54" s="485"/>
      <c r="G54" s="1774">
        <f>'Det BS '!J317+'Det BS '!J320+'Det BS '!J381+'Det BS '!J384</f>
        <v>0</v>
      </c>
      <c r="H54" s="1774"/>
      <c r="I54" s="1774">
        <f>'Det BS '!L317+'Det BS '!L320+'Det BS '!L381+'Det BS '!L384</f>
        <v>0</v>
      </c>
      <c r="J54" s="1774"/>
      <c r="M54" s="28"/>
      <c r="N54" s="28"/>
      <c r="O54" s="28"/>
      <c r="P54" s="28"/>
      <c r="Q54" s="28"/>
    </row>
    <row r="55" spans="1:17" x14ac:dyDescent="0.3">
      <c r="A55" s="3" t="str">
        <f t="shared" si="2"/>
        <v>Do Not Print</v>
      </c>
      <c r="D55" s="1500" t="s">
        <v>2364</v>
      </c>
      <c r="E55" s="1500"/>
      <c r="F55" s="485"/>
      <c r="G55" s="1774">
        <f>'Det BS '!J433+'Det BS '!J515</f>
        <v>0</v>
      </c>
      <c r="H55" s="1774"/>
      <c r="I55" s="1774">
        <f>'Det BS '!L433+'Det BS '!L515</f>
        <v>0</v>
      </c>
      <c r="J55" s="1774"/>
      <c r="M55" s="28"/>
      <c r="N55" s="28"/>
      <c r="O55" s="28"/>
      <c r="P55" s="28"/>
      <c r="Q55" s="28"/>
    </row>
    <row r="56" spans="1:17" x14ac:dyDescent="0.3">
      <c r="A56" s="3" t="str">
        <f>IF(OR(A53="Print",A54="Print", A55="Print"),"Print", "Do Not Print")</f>
        <v>Do Not Print</v>
      </c>
      <c r="D56" s="1500" t="s">
        <v>373</v>
      </c>
      <c r="E56" s="1500"/>
      <c r="F56" s="485"/>
      <c r="G56" s="1814">
        <f>'Det BS '!J457+'Det BS '!J407</f>
        <v>0</v>
      </c>
      <c r="H56" s="1814"/>
      <c r="I56" s="1814">
        <f>'Det BS '!L457+'Det BS '!L407</f>
        <v>0</v>
      </c>
      <c r="J56" s="1814"/>
      <c r="M56" s="28"/>
      <c r="N56" s="28"/>
      <c r="O56" s="28"/>
      <c r="P56" s="28"/>
      <c r="Q56" s="28"/>
    </row>
    <row r="57" spans="1:17" x14ac:dyDescent="0.3">
      <c r="A57" s="3" t="str">
        <f>IF(AND(G57=0,I57=0),"Do Not Print","Print")</f>
        <v>Do Not Print</v>
      </c>
      <c r="D57" s="1538" t="s">
        <v>2365</v>
      </c>
      <c r="E57" s="1538"/>
      <c r="F57" s="485"/>
      <c r="G57" s="1775">
        <f>SUM(G53:H56)</f>
        <v>0</v>
      </c>
      <c r="H57" s="1775"/>
      <c r="I57" s="1775">
        <f>SUM(I53:J56)</f>
        <v>0</v>
      </c>
      <c r="J57" s="1775"/>
      <c r="M57" s="28"/>
      <c r="N57" s="28"/>
      <c r="O57" s="28"/>
      <c r="P57" s="28"/>
      <c r="Q57" s="28"/>
    </row>
    <row r="58" spans="1:17" x14ac:dyDescent="0.3">
      <c r="A58" s="3" t="str">
        <f>IF(A57="Print","Print","Do Not Print")</f>
        <v>Do Not Print</v>
      </c>
      <c r="E58" s="485"/>
      <c r="F58" s="485"/>
      <c r="G58" s="485"/>
      <c r="H58" s="485"/>
      <c r="I58" s="485"/>
      <c r="J58" s="485"/>
      <c r="M58" s="28"/>
      <c r="N58" s="28"/>
      <c r="O58" s="28"/>
      <c r="P58" s="28"/>
      <c r="Q58" s="28"/>
    </row>
    <row r="59" spans="1:17" x14ac:dyDescent="0.3">
      <c r="A59" s="3" t="str">
        <f>IF('Non TB - Note 3 - 9'!F16=1,"Print","Do Not Print")</f>
        <v>Print</v>
      </c>
      <c r="D59" s="401" t="str">
        <f>IF('Non TB - Note 3 - 9'!F16=1,'Non TB - Note 3 - 9'!H16,"")</f>
        <v>Significant changes in the contract assets and the contract liabilities balances during the period are as follows.</v>
      </c>
      <c r="E59" s="485"/>
      <c r="F59" s="485"/>
      <c r="G59" s="485"/>
      <c r="H59" s="485"/>
      <c r="I59" s="485"/>
      <c r="J59" s="485"/>
      <c r="M59" s="28"/>
      <c r="N59" s="28"/>
      <c r="O59" s="28"/>
      <c r="P59" s="28"/>
      <c r="Q59" s="28"/>
    </row>
    <row r="60" spans="1:17" x14ac:dyDescent="0.3">
      <c r="A60" s="3" t="str">
        <f>IF(A59="Print","Print","Do Not Print")</f>
        <v>Print</v>
      </c>
      <c r="E60" s="485"/>
      <c r="F60" s="485"/>
      <c r="G60" s="485"/>
      <c r="H60" s="485"/>
      <c r="I60" s="485"/>
      <c r="J60" s="485"/>
      <c r="M60" s="28"/>
      <c r="N60" s="28"/>
      <c r="O60" s="28"/>
      <c r="P60" s="28"/>
      <c r="Q60" s="28"/>
    </row>
    <row r="61" spans="1:17" x14ac:dyDescent="0.3">
      <c r="A61" s="3" t="str">
        <f>IF(A70="Print","Print", "Do Not Print")</f>
        <v>Do Not Print</v>
      </c>
      <c r="D61" s="474"/>
      <c r="E61" s="481"/>
      <c r="F61" s="481"/>
      <c r="G61" s="1763" t="str">
        <f>'Standing Data'!D40</f>
        <v>31st March 2026</v>
      </c>
      <c r="H61" s="1763"/>
      <c r="I61" s="1763" t="str">
        <f>'Standing Data'!D66</f>
        <v>31st March 2025</v>
      </c>
      <c r="J61" s="1763"/>
      <c r="M61" s="28"/>
      <c r="N61" s="28"/>
      <c r="O61" s="28"/>
      <c r="P61" s="28"/>
      <c r="Q61" s="28"/>
    </row>
    <row r="62" spans="1:17" ht="26.4" x14ac:dyDescent="0.3">
      <c r="A62" s="3" t="str">
        <f>IF(A61="Print", "Print", "Do Not Print")</f>
        <v>Do Not Print</v>
      </c>
      <c r="D62" s="469"/>
      <c r="E62" s="484"/>
      <c r="F62" s="487"/>
      <c r="G62" s="1100" t="s">
        <v>2363</v>
      </c>
      <c r="H62" s="1100" t="s">
        <v>2364</v>
      </c>
      <c r="I62" s="1100" t="s">
        <v>2363</v>
      </c>
      <c r="J62" s="1100" t="s">
        <v>2364</v>
      </c>
      <c r="M62" s="28"/>
      <c r="N62" s="28"/>
      <c r="O62" s="28"/>
      <c r="P62" s="28"/>
      <c r="Q62" s="28"/>
    </row>
    <row r="63" spans="1:17" x14ac:dyDescent="0.3">
      <c r="A63" s="3" t="str">
        <f>IF(A61="Print", "Print", "Do Not Print")</f>
        <v>Do Not Print</v>
      </c>
      <c r="D63" s="469"/>
      <c r="E63" s="484"/>
      <c r="F63" s="487" t="s">
        <v>343</v>
      </c>
      <c r="G63" s="1100" t="s">
        <v>450</v>
      </c>
      <c r="H63" s="1100" t="s">
        <v>450</v>
      </c>
      <c r="I63" s="1100" t="s">
        <v>450</v>
      </c>
      <c r="J63" s="1100" t="s">
        <v>450</v>
      </c>
      <c r="M63" s="28"/>
      <c r="N63" s="28"/>
      <c r="O63" s="28"/>
      <c r="P63" s="28"/>
      <c r="Q63" s="28"/>
    </row>
    <row r="64" spans="1:17" ht="27" customHeight="1" x14ac:dyDescent="0.3">
      <c r="A64" s="3" t="str">
        <f>IF(AND(G64=0,H64=0, I64=0, J64=0),"Do Not Print","Print")</f>
        <v>Do Not Print</v>
      </c>
      <c r="D64" s="1504" t="s">
        <v>2367</v>
      </c>
      <c r="E64" s="1504"/>
      <c r="F64" s="485"/>
      <c r="G64" s="473">
        <f>'Non TB - Note 3 - 9'!H17</f>
        <v>0</v>
      </c>
      <c r="H64" s="473">
        <f>'Non TB - Note 3 - 9'!H20</f>
        <v>0</v>
      </c>
      <c r="I64" s="473">
        <f>'Non TB - Note 3 - 9'!I17</f>
        <v>0</v>
      </c>
      <c r="J64" s="473">
        <f>'Non TB - Note 3 - 9'!I20</f>
        <v>0</v>
      </c>
      <c r="M64" s="28"/>
      <c r="N64" s="28"/>
      <c r="O64" s="28"/>
      <c r="P64" s="28"/>
      <c r="Q64" s="28"/>
    </row>
    <row r="65" spans="1:17" x14ac:dyDescent="0.3">
      <c r="A65" s="3" t="str">
        <f>IF(A64="Print", "Print", "Do Not Print")</f>
        <v>Do Not Print</v>
      </c>
      <c r="D65" s="639"/>
      <c r="E65" s="639"/>
      <c r="F65" s="485"/>
      <c r="G65" s="473"/>
      <c r="H65" s="473"/>
      <c r="I65" s="473"/>
      <c r="J65" s="473"/>
      <c r="M65" s="28"/>
      <c r="N65" s="28"/>
      <c r="O65" s="28"/>
      <c r="P65" s="28"/>
      <c r="Q65" s="28"/>
    </row>
    <row r="66" spans="1:17" ht="22.5" customHeight="1" x14ac:dyDescent="0.3">
      <c r="A66" s="3" t="str">
        <f>IF(AND(G66=0,H66=0, I66=0, J66=0),"Do Not Print","Print")</f>
        <v>Do Not Print</v>
      </c>
      <c r="D66" s="1504" t="s">
        <v>2368</v>
      </c>
      <c r="E66" s="1504"/>
      <c r="F66" s="485"/>
      <c r="G66" s="919">
        <f>'Non TB - Note 3 - 9'!H18</f>
        <v>0</v>
      </c>
      <c r="H66" s="919">
        <f>'Non TB - Note 3 - 9'!H21</f>
        <v>0</v>
      </c>
      <c r="I66" s="919">
        <f>'Non TB - Note 3 - 9'!I18</f>
        <v>0</v>
      </c>
      <c r="J66" s="919">
        <f>'Non TB - Note 3 - 9'!I21</f>
        <v>0</v>
      </c>
      <c r="M66" s="28"/>
      <c r="N66" s="28"/>
      <c r="O66" s="28"/>
      <c r="P66" s="28"/>
      <c r="Q66" s="28"/>
    </row>
    <row r="67" spans="1:17" ht="40.5" customHeight="1" x14ac:dyDescent="0.3">
      <c r="A67" s="3" t="str">
        <f t="shared" ref="A67:A70" si="3">IF(AND(G67=0,H67=0, I67=0, J67=0),"Do Not Print","Print")</f>
        <v>Do Not Print</v>
      </c>
      <c r="D67" s="1504" t="s">
        <v>2369</v>
      </c>
      <c r="E67" s="1504"/>
      <c r="F67" s="485"/>
      <c r="G67" s="473">
        <f>G64+G66</f>
        <v>0</v>
      </c>
      <c r="H67" s="473">
        <f t="shared" ref="H67:J67" si="4">H64+H66</f>
        <v>0</v>
      </c>
      <c r="I67" s="473">
        <f t="shared" si="4"/>
        <v>0</v>
      </c>
      <c r="J67" s="473">
        <f t="shared" si="4"/>
        <v>0</v>
      </c>
      <c r="M67" s="28"/>
      <c r="N67" s="28"/>
      <c r="O67" s="28"/>
      <c r="P67" s="28"/>
      <c r="Q67" s="28"/>
    </row>
    <row r="68" spans="1:17" ht="28.5" customHeight="1" x14ac:dyDescent="0.3">
      <c r="A68" s="3" t="str">
        <f t="shared" si="3"/>
        <v>Do Not Print</v>
      </c>
      <c r="D68" s="1504" t="s">
        <v>2370</v>
      </c>
      <c r="E68" s="1504"/>
      <c r="F68" s="485"/>
      <c r="G68" s="919">
        <f>'Non TB - Note 3 - 9'!H19</f>
        <v>0</v>
      </c>
      <c r="H68" s="919">
        <f>'Non TB - Note 3 - 9'!H22</f>
        <v>0</v>
      </c>
      <c r="I68" s="919">
        <f>'Non TB - Note 3 - 9'!I19</f>
        <v>0</v>
      </c>
      <c r="J68" s="919">
        <f>'Non TB - Note 3 - 9'!I22</f>
        <v>0</v>
      </c>
      <c r="M68" s="28"/>
      <c r="N68" s="28"/>
      <c r="O68" s="28"/>
      <c r="P68" s="28"/>
      <c r="Q68" s="28"/>
    </row>
    <row r="69" spans="1:17" x14ac:dyDescent="0.3">
      <c r="A69" s="3" t="str">
        <f>IF(A68="Print", "Print", "Do Not Print")</f>
        <v>Do Not Print</v>
      </c>
      <c r="D69" s="639"/>
      <c r="E69" s="639"/>
      <c r="F69" s="485"/>
      <c r="G69" s="473"/>
      <c r="H69" s="473"/>
      <c r="I69" s="473"/>
      <c r="J69" s="473"/>
      <c r="M69" s="28"/>
      <c r="N69" s="28"/>
      <c r="O69" s="28"/>
      <c r="P69" s="28"/>
      <c r="Q69" s="28"/>
    </row>
    <row r="70" spans="1:17" x14ac:dyDescent="0.3">
      <c r="A70" s="3" t="str">
        <f t="shared" si="3"/>
        <v>Do Not Print</v>
      </c>
      <c r="D70" s="1504" t="s">
        <v>2371</v>
      </c>
      <c r="E70" s="1504"/>
      <c r="F70" s="485"/>
      <c r="G70" s="473">
        <f>G67+G68</f>
        <v>0</v>
      </c>
      <c r="H70" s="473">
        <f t="shared" ref="H70:J70" si="5">H67+H68</f>
        <v>0</v>
      </c>
      <c r="I70" s="473">
        <f t="shared" si="5"/>
        <v>0</v>
      </c>
      <c r="J70" s="473">
        <f t="shared" si="5"/>
        <v>0</v>
      </c>
      <c r="M70" s="28"/>
      <c r="N70" s="28"/>
      <c r="O70" s="28"/>
      <c r="P70" s="28"/>
      <c r="Q70" s="28"/>
    </row>
    <row r="71" spans="1:17" x14ac:dyDescent="0.3">
      <c r="A71" s="3" t="str">
        <f>IF(A70="Print","Print","Do Not Print")</f>
        <v>Do Not Print</v>
      </c>
      <c r="D71" s="1500"/>
      <c r="E71" s="1500"/>
      <c r="F71" s="485"/>
      <c r="G71" s="485"/>
      <c r="H71" s="485"/>
      <c r="I71" s="485"/>
      <c r="J71" s="485"/>
      <c r="M71" s="28"/>
      <c r="N71" s="28"/>
      <c r="O71" s="28"/>
      <c r="P71" s="28"/>
      <c r="Q71" s="28"/>
    </row>
    <row r="72" spans="1:17" ht="28.5" customHeight="1" x14ac:dyDescent="0.3">
      <c r="A72" s="3" t="str">
        <f>IF('Non TB - Note 3 - 9'!F23=1,"Print","Do Not Print")</f>
        <v>Print</v>
      </c>
      <c r="D72" s="1504" t="str">
        <f>IF('Non TB - Note 3 - 9'!F23=1,'Non TB - Note 3 - 9'!H23,"")</f>
        <v>The value of revenue that is expected to be recognised in the future related to performance obligations that are unsatisfied (or partially unsatisfied) at the end of the year is.</v>
      </c>
      <c r="E72" s="1504"/>
      <c r="F72" s="1504"/>
      <c r="G72" s="1504"/>
      <c r="H72" s="1504"/>
      <c r="I72" s="1504"/>
      <c r="J72" s="1504"/>
      <c r="K72" s="1504"/>
      <c r="M72" s="28"/>
      <c r="N72" s="28"/>
      <c r="O72" s="28"/>
      <c r="P72" s="28"/>
      <c r="Q72" s="28"/>
    </row>
    <row r="73" spans="1:17" x14ac:dyDescent="0.3">
      <c r="A73" s="3" t="str">
        <f>IF(A72="Print","Print","Do Not Print")</f>
        <v>Print</v>
      </c>
      <c r="E73" s="485"/>
      <c r="F73" s="485"/>
      <c r="G73" s="485"/>
      <c r="H73" s="485"/>
      <c r="I73" s="485"/>
      <c r="J73" s="485"/>
      <c r="M73" s="28"/>
      <c r="N73" s="28"/>
      <c r="O73" s="28"/>
      <c r="P73" s="28"/>
      <c r="Q73" s="28"/>
    </row>
    <row r="74" spans="1:17" x14ac:dyDescent="0.3">
      <c r="A74" s="3" t="str">
        <f>IF(A79="Print", "Print", "Do Not Print")</f>
        <v>Do Not Print</v>
      </c>
      <c r="D74" s="474"/>
      <c r="E74" s="481"/>
      <c r="F74" s="481"/>
      <c r="G74" s="1763" t="str">
        <f>'Standing Data'!D40</f>
        <v>31st March 2026</v>
      </c>
      <c r="H74" s="1763"/>
      <c r="I74" s="1763" t="str">
        <f>'Standing Data'!D66</f>
        <v>31st March 2025</v>
      </c>
      <c r="J74" s="1763"/>
      <c r="M74" s="28"/>
      <c r="N74" s="28"/>
      <c r="O74" s="28"/>
      <c r="P74" s="28"/>
      <c r="Q74" s="28"/>
    </row>
    <row r="75" spans="1:17" x14ac:dyDescent="0.3">
      <c r="A75" s="3" t="str">
        <f>IF(A74="Print", "Print", "Do Not Print")</f>
        <v>Do Not Print</v>
      </c>
      <c r="D75" s="469"/>
      <c r="E75" s="484"/>
      <c r="F75" s="487" t="s">
        <v>343</v>
      </c>
      <c r="G75" s="1773" t="s">
        <v>450</v>
      </c>
      <c r="H75" s="1773"/>
      <c r="I75" s="1773" t="s">
        <v>450</v>
      </c>
      <c r="J75" s="1773"/>
      <c r="M75" s="28"/>
      <c r="N75" s="28"/>
      <c r="O75" s="28"/>
      <c r="P75" s="28"/>
      <c r="Q75" s="28"/>
    </row>
    <row r="76" spans="1:17" x14ac:dyDescent="0.3">
      <c r="A76" s="3" t="str">
        <f>IF(AND(G76=0,I76=0),"Do Not Print","Print")</f>
        <v>Do Not Print</v>
      </c>
      <c r="D76" s="1500" t="s">
        <v>2373</v>
      </c>
      <c r="E76" s="1500"/>
      <c r="F76" s="485"/>
      <c r="G76" s="1774">
        <f>'Non TB - Note 3 - 9'!H24</f>
        <v>0</v>
      </c>
      <c r="H76" s="1774"/>
      <c r="I76" s="1774">
        <f>'Non TB - Note 3 - 9'!J24</f>
        <v>0</v>
      </c>
      <c r="J76" s="1774"/>
      <c r="M76" s="28"/>
      <c r="N76" s="28"/>
      <c r="O76" s="28"/>
      <c r="P76" s="28"/>
      <c r="Q76" s="28"/>
    </row>
    <row r="77" spans="1:17" x14ac:dyDescent="0.3">
      <c r="A77" s="3" t="str">
        <f t="shared" ref="A77:A79" si="6">IF(AND(G77=0,I77=0),"Do Not Print","Print")</f>
        <v>Do Not Print</v>
      </c>
      <c r="D77" s="1500" t="s">
        <v>2374</v>
      </c>
      <c r="E77" s="1500"/>
      <c r="F77" s="485"/>
      <c r="G77" s="1774">
        <f>'Non TB - Note 3 - 9'!H25</f>
        <v>0</v>
      </c>
      <c r="H77" s="1774"/>
      <c r="I77" s="1774">
        <f>'Non TB - Note 3 - 9'!J25</f>
        <v>0</v>
      </c>
      <c r="J77" s="1774"/>
      <c r="M77" s="28"/>
      <c r="N77" s="28"/>
      <c r="O77" s="28"/>
      <c r="P77" s="28"/>
      <c r="Q77" s="28"/>
    </row>
    <row r="78" spans="1:17" x14ac:dyDescent="0.3">
      <c r="A78" s="3" t="str">
        <f>IF(OR(A76="Print", A77="Print"), "Print", "Do Not Print")</f>
        <v>Do Not Print</v>
      </c>
      <c r="D78" s="1500"/>
      <c r="E78" s="1500"/>
      <c r="F78" s="485"/>
      <c r="G78" s="1814"/>
      <c r="H78" s="1814"/>
      <c r="I78" s="1814"/>
      <c r="J78" s="1814"/>
      <c r="M78" s="28"/>
      <c r="N78" s="28"/>
      <c r="O78" s="28"/>
      <c r="P78" s="28"/>
      <c r="Q78" s="28"/>
    </row>
    <row r="79" spans="1:17" ht="26.25" customHeight="1" x14ac:dyDescent="0.3">
      <c r="A79" s="3" t="str">
        <f t="shared" si="6"/>
        <v>Do Not Print</v>
      </c>
      <c r="D79" s="1501" t="s">
        <v>2375</v>
      </c>
      <c r="E79" s="1501"/>
      <c r="F79" s="485"/>
      <c r="G79" s="1774">
        <f>SUM(G76:H77)</f>
        <v>0</v>
      </c>
      <c r="H79" s="1774"/>
      <c r="I79" s="1774">
        <f>SUM(I76:J77)</f>
        <v>0</v>
      </c>
      <c r="J79" s="1774"/>
      <c r="M79" s="28"/>
      <c r="N79" s="28"/>
      <c r="O79" s="28"/>
      <c r="P79" s="28"/>
      <c r="Q79" s="28"/>
    </row>
    <row r="80" spans="1:17" x14ac:dyDescent="0.3">
      <c r="A80" s="3" t="str">
        <f>IF(A79="Print","Print","Do Not Print")</f>
        <v>Do Not Print</v>
      </c>
      <c r="E80" s="485"/>
      <c r="F80" s="485"/>
      <c r="G80" s="485"/>
      <c r="H80" s="485"/>
      <c r="I80" s="485"/>
      <c r="J80" s="485"/>
      <c r="M80" s="28"/>
      <c r="N80" s="28"/>
      <c r="O80" s="28"/>
      <c r="P80" s="28"/>
      <c r="Q80" s="28"/>
    </row>
    <row r="81" spans="1:17" ht="55.5" customHeight="1" x14ac:dyDescent="0.3">
      <c r="A81" s="3" t="str">
        <f>IF('Non TB - Note 3 - 9'!F26=1,"Print","Do Not Print")</f>
        <v>Print</v>
      </c>
      <c r="D81" s="1504" t="str">
        <f>IF('Non TB - Note 3 - 9'!F26=1,'Non TB - Note 3 - 9'!H26,"")</f>
        <v>Paragraph 2.7.4.13 of the Code allows some obligations to be exempted from this disclosure where the obligation is part of a contract that has an original expected duration of one year or less, or if the revenue is recognised in accordance with paragraph B16 of IFRS 15 (e.g. service where there is a fixed amount per hour).  If these exemptions are applied, this should be explained in the financial statements.  Any consideration not included in the total transaction price, for example constrained variable elements, should also be explained.</v>
      </c>
      <c r="E81" s="1504"/>
      <c r="F81" s="1504"/>
      <c r="G81" s="1504"/>
      <c r="H81" s="1504"/>
      <c r="I81" s="1504"/>
      <c r="J81" s="1504"/>
      <c r="K81" s="1504"/>
      <c r="M81" s="28"/>
      <c r="N81" s="28"/>
      <c r="O81" s="28"/>
      <c r="P81" s="28"/>
      <c r="Q81" s="28"/>
    </row>
    <row r="82" spans="1:17" x14ac:dyDescent="0.3">
      <c r="A82" s="3" t="str">
        <f>IF(A81="Print","Print","Do Not Print")</f>
        <v>Print</v>
      </c>
      <c r="D82" s="1500"/>
      <c r="E82" s="1500"/>
      <c r="F82" s="1500"/>
      <c r="G82" s="1500"/>
      <c r="H82" s="1500"/>
      <c r="I82" s="1500"/>
      <c r="J82" s="1500"/>
      <c r="K82" s="1500"/>
      <c r="M82" s="28"/>
      <c r="N82" s="28"/>
      <c r="O82" s="28"/>
      <c r="P82" s="28"/>
      <c r="Q82" s="28"/>
    </row>
    <row r="83" spans="1:17" ht="32.25" customHeight="1" x14ac:dyDescent="0.3">
      <c r="A83" s="3" t="str">
        <f>IF('Non TB - Note 3 - 9'!F27=1,"Print","Do Not Print")</f>
        <v>Print</v>
      </c>
      <c r="D83" s="1504" t="str">
        <f>IF('Non TB - Note 3 - 9'!F27=1,'Non TB - Note 3 - 9'!H27,"")</f>
        <v>Additional explanatory text for the above disclosures may need to be provided to meet the objective of the disclosure requirements for revenue from contracts with service recipients in paragraph 2.7.4.3 of the Code, particularly where the disclosures relate to material transactions.  This may include:</v>
      </c>
      <c r="E83" s="1504"/>
      <c r="F83" s="1504"/>
      <c r="G83" s="1504"/>
      <c r="H83" s="1504"/>
      <c r="I83" s="1504"/>
      <c r="J83" s="1504"/>
      <c r="K83" s="1504"/>
      <c r="M83" s="28"/>
      <c r="N83" s="28"/>
      <c r="O83" s="28"/>
      <c r="P83" s="28"/>
      <c r="Q83" s="28"/>
    </row>
    <row r="84" spans="1:17" x14ac:dyDescent="0.3">
      <c r="A84" s="3" t="str">
        <f>IF(A83="Print","Print","Do Not Print")</f>
        <v>Print</v>
      </c>
      <c r="D84" s="1500"/>
      <c r="E84" s="1500"/>
      <c r="F84" s="1500"/>
      <c r="G84" s="1500"/>
      <c r="H84" s="1500"/>
      <c r="I84" s="1500"/>
      <c r="J84" s="1500"/>
      <c r="K84" s="1500"/>
      <c r="M84" s="28"/>
      <c r="N84" s="28"/>
      <c r="O84" s="28"/>
      <c r="P84" s="28"/>
      <c r="Q84" s="28"/>
    </row>
    <row r="85" spans="1:17" ht="167.1" customHeight="1" x14ac:dyDescent="0.3">
      <c r="A85" s="3" t="str">
        <f>IF('Non TB - Note 3 - 9'!F28=1,"Print","Do Not Print")</f>
        <v>Print</v>
      </c>
      <c r="D85" s="1504" t="str">
        <f>IF('Non TB - Note 3 - 9'!F28=1,'Non TB - Note 3 - 9'!H28,"")</f>
        <v>- explanation of the judgements regarding the different types of contracts included (as required by paragraph 2.7.4.3 of the Code)
- explanation of how the timing of performance obligations relates to cash flow timings (as required by paragraph 2.7.4.9 of the Code)
- information about performance obligations in contracts, including normal performance, payment terms, nature of goods and services, obligations and warranties (as required by paragraph 2.7.4.11 of the Code)
- judgements which significantly affect revenue recognition (as required by paragraph 2.7.4.15 of the Code), in particular:
   - the judgements used to determine the timing of performance obligations:
          - satisfied over time (as required by paragraph 2.7.4.16 of the Code), and 
          - satisfied at a point in time (as required by paragraph 2.7.4.17 of the Code)
- the methods, inputs and assumptions used in determining the transaction price, variable consideration, allocation of the transaction price, and measurement of obligations for obligations such as returns and refunds (as required by paragraph 2.7.4.18 of the Code).
Explanation of the methods used to recognise revenue for performance obligations satisfied over time (as required by paragraph 2.7.4.16 of the Code).</v>
      </c>
      <c r="E85" s="1504"/>
      <c r="F85" s="1504"/>
      <c r="G85" s="1504"/>
      <c r="H85" s="1504"/>
      <c r="I85" s="1504"/>
      <c r="J85" s="1504"/>
      <c r="K85" s="1504"/>
      <c r="M85" s="28"/>
      <c r="N85" s="28"/>
      <c r="O85" s="28"/>
      <c r="P85" s="28"/>
      <c r="Q85" s="28"/>
    </row>
    <row r="86" spans="1:17" x14ac:dyDescent="0.3">
      <c r="A86" s="3" t="str">
        <f>IF(A85="Print","Print","Do Not Print")</f>
        <v>Print</v>
      </c>
      <c r="D86" s="1500"/>
      <c r="E86" s="1500"/>
      <c r="F86" s="1500"/>
      <c r="G86" s="1500"/>
      <c r="H86" s="1500"/>
      <c r="I86" s="1500"/>
      <c r="J86" s="1500"/>
      <c r="K86" s="1500"/>
      <c r="M86" s="28"/>
      <c r="N86" s="28"/>
      <c r="O86" s="28"/>
      <c r="P86" s="28"/>
      <c r="Q86" s="28"/>
    </row>
    <row r="87" spans="1:17" x14ac:dyDescent="0.3">
      <c r="A87" s="3" t="s">
        <v>448</v>
      </c>
      <c r="B87" s="467">
        <f>+Checklist!E57</f>
        <v>4</v>
      </c>
      <c r="D87" s="474" t="str">
        <f>Checklist!C57</f>
        <v>Adjustments between an Accounting Basis and Funding Basis under Regulations</v>
      </c>
      <c r="E87" s="480"/>
      <c r="F87" s="480"/>
      <c r="G87" s="480"/>
      <c r="H87" s="480"/>
      <c r="I87" s="481"/>
      <c r="J87" s="481"/>
      <c r="K87" s="481"/>
    </row>
    <row r="88" spans="1:17" ht="25.5" customHeight="1" x14ac:dyDescent="0.3">
      <c r="A88" s="23" t="s">
        <v>448</v>
      </c>
      <c r="C88" s="467" t="str">
        <f>+Checklist!E58</f>
        <v>a</v>
      </c>
      <c r="D88" s="1764" t="s">
        <v>561</v>
      </c>
      <c r="E88" s="1764"/>
      <c r="F88" s="1764"/>
      <c r="G88" s="1764"/>
      <c r="H88" s="1764"/>
      <c r="I88" s="1764"/>
      <c r="J88" s="1764"/>
      <c r="K88" s="1764"/>
      <c r="M88" s="15"/>
      <c r="N88" s="28"/>
      <c r="O88" s="28"/>
      <c r="P88" s="28"/>
      <c r="Q88" s="28"/>
    </row>
    <row r="89" spans="1:17" x14ac:dyDescent="0.3">
      <c r="A89" s="23" t="s">
        <v>448</v>
      </c>
      <c r="D89" s="1500"/>
      <c r="E89" s="1500"/>
      <c r="F89" s="1500"/>
      <c r="G89" s="1500"/>
      <c r="H89" s="1500"/>
      <c r="I89" s="1500"/>
      <c r="J89" s="1500"/>
      <c r="K89" s="1500"/>
      <c r="M89" s="28"/>
      <c r="N89" s="28"/>
      <c r="O89" s="28"/>
      <c r="P89" s="28"/>
      <c r="Q89" s="28"/>
    </row>
    <row r="90" spans="1:17" x14ac:dyDescent="0.3">
      <c r="A90" s="23" t="s">
        <v>448</v>
      </c>
      <c r="D90" s="474"/>
      <c r="E90" s="481"/>
      <c r="F90" s="481"/>
      <c r="G90" s="1763" t="str">
        <f>'Standing Data'!D34</f>
        <v>2025/26</v>
      </c>
      <c r="H90" s="1763"/>
      <c r="I90" s="1763" t="str">
        <f>'Standing Data'!D52</f>
        <v>2024/25</v>
      </c>
      <c r="J90" s="1763"/>
      <c r="M90" s="28"/>
      <c r="N90" s="28"/>
      <c r="O90" s="28"/>
      <c r="P90" s="28"/>
      <c r="Q90" s="28"/>
    </row>
    <row r="91" spans="1:17" x14ac:dyDescent="0.3">
      <c r="A91" s="23" t="s">
        <v>448</v>
      </c>
      <c r="D91" s="469"/>
      <c r="E91" s="484"/>
      <c r="F91" s="487" t="s">
        <v>343</v>
      </c>
      <c r="G91" s="484" t="s">
        <v>450</v>
      </c>
      <c r="H91" s="484" t="s">
        <v>450</v>
      </c>
      <c r="I91" s="484" t="s">
        <v>450</v>
      </c>
      <c r="J91" s="484" t="s">
        <v>450</v>
      </c>
      <c r="M91" s="28"/>
      <c r="N91" s="28"/>
      <c r="O91" s="28"/>
      <c r="P91" s="28"/>
      <c r="Q91" s="28"/>
    </row>
    <row r="92" spans="1:17" ht="24" customHeight="1" x14ac:dyDescent="0.3">
      <c r="A92" s="23" t="s">
        <v>448</v>
      </c>
      <c r="D92" s="1535" t="s">
        <v>561</v>
      </c>
      <c r="E92" s="1535"/>
      <c r="F92" s="1538"/>
      <c r="G92" s="1538"/>
      <c r="H92" s="1538"/>
      <c r="I92" s="1538"/>
      <c r="J92" s="1538"/>
      <c r="M92" s="28"/>
      <c r="N92" s="28"/>
      <c r="O92" s="28"/>
      <c r="P92" s="28"/>
      <c r="Q92" s="28"/>
    </row>
    <row r="93" spans="1:17" ht="33" customHeight="1" x14ac:dyDescent="0.3">
      <c r="A93" s="23" t="str">
        <f>IF(AND(G93=0,I93=0),"Do Not Print","Print")</f>
        <v>Do Not Print</v>
      </c>
      <c r="D93" s="1534" t="s">
        <v>562</v>
      </c>
      <c r="E93" s="1534"/>
      <c r="F93" s="421"/>
      <c r="G93" s="473">
        <f>'Det BS '!J23+'Det BS '!J47+'Det BS '!J71+'Det BS '!J95+'Det BS '!J119+'Det BS '!J143+'Det BS '!J167+'Det BS '!J191+'Det BS '!J215+'Det BS '!J248+'Det BS '!J273</f>
        <v>0</v>
      </c>
      <c r="H93" s="473"/>
      <c r="I93" s="473">
        <f>'Det BS '!K23+'Det BS '!K47+'Det BS '!K71+'Det BS '!K95+'Det BS '!K119+'Det BS '!K143+'Det BS '!K167+'Det BS '!K191+'Det BS '!K215+'Det BS '!K248+'Det BS '!K273</f>
        <v>0</v>
      </c>
      <c r="J93" s="473"/>
      <c r="K93" s="3"/>
      <c r="L93" s="3"/>
      <c r="M93" s="28"/>
      <c r="N93" s="28"/>
      <c r="O93" s="28"/>
      <c r="P93" s="28"/>
      <c r="Q93" s="28"/>
    </row>
    <row r="94" spans="1:17" ht="30" customHeight="1" x14ac:dyDescent="0.3">
      <c r="A94" s="23" t="str">
        <f>IF(AND(G94=0,I94=0),"Do Not Print","Print")</f>
        <v>Do Not Print</v>
      </c>
      <c r="D94" s="1534" t="s">
        <v>563</v>
      </c>
      <c r="E94" s="1540"/>
      <c r="F94" s="421">
        <v>11</v>
      </c>
      <c r="G94" s="473">
        <f>('Det BS '!J15+'Det BS '!J39+'Det BS '!J63+'Det BS '!J87+'Det BS '!J111+'Det BS '!J135+'Det BS '!J159+'Det BS '!J183+'Det BS '!J207+'Det BS '!J240+'Det BS '!J265+'Det BS '!J375)-('Det BS '!J26+'Det BS '!J50+'Det BS '!J74+'Det BS '!J98+'Det BS '!J122+'Det BS '!J146+'Det BS '!J170+'Det BS '!J194+'Det BS '!J218+'Det BS '!J251+'Det BS '!J276)</f>
        <v>0</v>
      </c>
      <c r="H94" s="473"/>
      <c r="I94" s="473">
        <f>('Det BS '!K15+'Det BS '!K39+'Det BS '!K63+'Det BS '!K87+'Det BS '!K111+'Det BS '!K135+'Det BS '!K159+'Det BS '!K183+'Det BS '!K207+'Det BS '!K240+'Det BS '!K265)-('Det BS '!K26+'Det BS '!K50+'Det BS '!K74+'Det BS '!K98+'Det BS '!K122+'Det BS '!K146+'Det BS '!K170+'Det BS '!K194+'Det BS '!K218+'Det BS '!K251+'Det BS '!K276)</f>
        <v>0</v>
      </c>
      <c r="J94" s="473"/>
      <c r="K94" s="3"/>
      <c r="L94" s="35"/>
      <c r="M94" s="28"/>
      <c r="N94" s="28"/>
      <c r="O94" s="28"/>
      <c r="P94" s="28"/>
      <c r="Q94" s="28"/>
    </row>
    <row r="95" spans="1:17" ht="31.5" customHeight="1" x14ac:dyDescent="0.3">
      <c r="A95" s="23" t="str">
        <f>IF(AND(G95=0,I95=0),"Do Not Print","Print")</f>
        <v>Do Not Print</v>
      </c>
      <c r="D95" s="1534" t="s">
        <v>564</v>
      </c>
      <c r="E95" s="1540"/>
      <c r="F95" s="421">
        <v>11</v>
      </c>
      <c r="G95" s="473">
        <f>-('Note 11'!P15+'Note 11'!P16-'Note 11'!P29)+'Notes 11c to 24'!J88</f>
        <v>0</v>
      </c>
      <c r="H95" s="473"/>
      <c r="I95" s="473">
        <f>-('Note 11'!P48+'Note 11'!P49-'Note 11'!P63)+'Notes 11c to 24'!K88</f>
        <v>0</v>
      </c>
      <c r="J95" s="473"/>
      <c r="K95" s="3"/>
      <c r="M95" s="28"/>
      <c r="N95" s="28"/>
      <c r="O95" s="28"/>
      <c r="P95" s="28"/>
      <c r="Q95" s="28"/>
    </row>
    <row r="96" spans="1:17" ht="31.05" customHeight="1" x14ac:dyDescent="0.3">
      <c r="A96" s="23" t="str">
        <f>IF(AND(G96=0,H96=0,I96=0,J96=0),"Do Not Print","Print")</f>
        <v>Do Not Print</v>
      </c>
      <c r="D96" s="1534" t="s">
        <v>565</v>
      </c>
      <c r="E96" s="1540"/>
      <c r="F96" s="421">
        <v>11</v>
      </c>
      <c r="G96" s="473">
        <f>'Note 11'!P27+'Notes 11c to 24'!J49</f>
        <v>0</v>
      </c>
      <c r="H96" s="473">
        <f>SUM(G93:G96)</f>
        <v>0</v>
      </c>
      <c r="I96" s="473">
        <f>'Note 11'!P61+'Notes 11c to 24'!K49</f>
        <v>0</v>
      </c>
      <c r="J96" s="473">
        <f>SUM(I93:I96)</f>
        <v>0</v>
      </c>
      <c r="K96" s="3"/>
      <c r="M96" s="28"/>
      <c r="N96" s="28"/>
      <c r="O96" s="28"/>
      <c r="P96" s="28"/>
      <c r="Q96" s="28"/>
    </row>
    <row r="97" spans="1:17" ht="25.5" customHeight="1" x14ac:dyDescent="0.3">
      <c r="A97" s="23" t="str">
        <f>IF(AND(H97=0,J97=0),"Do Not Print","Print")</f>
        <v>Do Not Print</v>
      </c>
      <c r="D97" s="1534" t="s">
        <v>566</v>
      </c>
      <c r="E97" s="1540"/>
      <c r="F97" s="421">
        <v>12</v>
      </c>
      <c r="G97" s="473"/>
      <c r="H97" s="473">
        <f>'Non TB - Note 12 to 24'!H7</f>
        <v>0</v>
      </c>
      <c r="I97" s="473"/>
      <c r="J97" s="473">
        <f>'Non TB - Note 12 to 24'!I7</f>
        <v>0</v>
      </c>
      <c r="K97" s="3"/>
      <c r="L97" s="35"/>
      <c r="M97" s="28"/>
      <c r="N97" s="1798"/>
      <c r="O97" s="1799"/>
      <c r="P97" s="28"/>
      <c r="Q97" s="28"/>
    </row>
    <row r="98" spans="1:17" ht="19.05" customHeight="1" x14ac:dyDescent="0.3">
      <c r="A98" s="23" t="str">
        <f>IF(AND(G98=0,I98=0),"Do Not Print","Print")</f>
        <v>Do Not Print</v>
      </c>
      <c r="D98" s="1534" t="s">
        <v>1269</v>
      </c>
      <c r="E98" s="1540"/>
      <c r="F98" s="421">
        <v>8</v>
      </c>
      <c r="G98" s="473">
        <f>-('Note 11'!P17-'Note 11'!P32)-('Notes 11c to 24'!I208)</f>
        <v>0</v>
      </c>
      <c r="H98" s="473"/>
      <c r="I98" s="473">
        <f>-('Note 11'!P50-'Note 11'!P66)-'Notes 3 to 10'!F472</f>
        <v>0</v>
      </c>
      <c r="J98" s="473"/>
      <c r="K98" s="3"/>
      <c r="L98" s="35"/>
      <c r="M98" s="3"/>
      <c r="O98" s="28"/>
      <c r="P98" s="28"/>
      <c r="Q98" s="28"/>
    </row>
    <row r="99" spans="1:17" ht="29.25" customHeight="1" x14ac:dyDescent="0.3">
      <c r="A99" s="23" t="str">
        <f>IF(AND(G99=0,H99=0,I99=0,J99=0),"Do Not Print","Print")</f>
        <v>Do Not Print</v>
      </c>
      <c r="D99" s="1534" t="s">
        <v>567</v>
      </c>
      <c r="E99" s="1534"/>
      <c r="F99" s="421">
        <v>23</v>
      </c>
      <c r="G99" s="473">
        <f>E395+E471</f>
        <v>0</v>
      </c>
      <c r="H99" s="473">
        <f>SUM(G98:G99)</f>
        <v>0</v>
      </c>
      <c r="I99" s="473">
        <f>F395+F471</f>
        <v>0</v>
      </c>
      <c r="J99" s="473">
        <f>SUM(I98:I99)</f>
        <v>0</v>
      </c>
      <c r="K99" s="3"/>
      <c r="L99" s="35"/>
      <c r="M99" s="3"/>
      <c r="O99" s="28"/>
      <c r="P99" s="28"/>
      <c r="Q99" s="28"/>
    </row>
    <row r="100" spans="1:17" ht="42.6" customHeight="1" x14ac:dyDescent="0.3">
      <c r="A100" s="23" t="str">
        <f>IF(AND(H100=0,J100=0),"Do Not Print","Print")</f>
        <v>Do Not Print</v>
      </c>
      <c r="D100" s="1534" t="s">
        <v>568</v>
      </c>
      <c r="E100" s="1534"/>
      <c r="F100" s="421">
        <v>23</v>
      </c>
      <c r="G100" s="473"/>
      <c r="H100" s="473">
        <f>'Non TB - Note 3 - 9'!H29</f>
        <v>0</v>
      </c>
      <c r="I100" s="473"/>
      <c r="J100" s="473">
        <f>'Non TB - Note 3 - 9'!I29</f>
        <v>0</v>
      </c>
      <c r="K100" s="3"/>
      <c r="L100" s="35"/>
      <c r="M100" s="28"/>
      <c r="O100" s="28"/>
      <c r="P100" s="28"/>
      <c r="Q100" s="28"/>
    </row>
    <row r="101" spans="1:17" ht="28.05" customHeight="1" x14ac:dyDescent="0.3">
      <c r="A101" s="23" t="str">
        <f>IF(AND(H101=0,J101=0),"Do Not Print","Print")</f>
        <v>Do Not Print</v>
      </c>
      <c r="D101" s="1534" t="s">
        <v>569</v>
      </c>
      <c r="E101" s="1534"/>
      <c r="F101" s="421">
        <v>20</v>
      </c>
      <c r="G101" s="473"/>
      <c r="H101" s="473">
        <f>-'Notes 11c to 24'!J1037</f>
        <v>0</v>
      </c>
      <c r="I101" s="473"/>
      <c r="J101" s="473">
        <f>-'Notes 11c to 24'!K1037</f>
        <v>0</v>
      </c>
      <c r="K101" s="3"/>
      <c r="L101" s="35"/>
      <c r="M101" s="28"/>
      <c r="O101" s="28"/>
      <c r="P101" s="28"/>
      <c r="Q101" s="28"/>
    </row>
    <row r="102" spans="1:17" ht="36" customHeight="1" x14ac:dyDescent="0.3">
      <c r="A102" s="23" t="str">
        <f>IF(AND(H102=0,J102=0),"Do Not Print","Print")</f>
        <v>Do Not Print</v>
      </c>
      <c r="D102" s="1534" t="s">
        <v>579</v>
      </c>
      <c r="E102" s="1540"/>
      <c r="F102" s="421">
        <v>20</v>
      </c>
      <c r="G102" s="473"/>
      <c r="H102" s="473">
        <f>-'Notes 11c to 24'!J1039</f>
        <v>0</v>
      </c>
      <c r="I102" s="473"/>
      <c r="J102" s="473">
        <f>-'Notes 11c to 24'!K1039</f>
        <v>0</v>
      </c>
      <c r="K102" s="3"/>
      <c r="M102" s="28"/>
      <c r="N102" s="1800"/>
      <c r="O102" s="1799"/>
      <c r="P102" s="28"/>
      <c r="Q102" s="28"/>
    </row>
    <row r="103" spans="1:17" ht="29.1" customHeight="1" x14ac:dyDescent="0.3">
      <c r="A103" s="23" t="str">
        <f t="shared" ref="A103:A108" si="7">IF(AND(H103=0,J103=0),"Do Not Print","Print")</f>
        <v>Do Not Print</v>
      </c>
      <c r="D103" s="1506" t="s">
        <v>571</v>
      </c>
      <c r="E103" s="1510"/>
      <c r="F103" s="421">
        <v>10</v>
      </c>
      <c r="G103" s="473"/>
      <c r="H103" s="473">
        <f>('Det CIES'!P132-'Det CIES'!P130-'Det CIES'!P131)</f>
        <v>0</v>
      </c>
      <c r="I103" s="473"/>
      <c r="J103" s="473">
        <f>('Det CIES'!S132-'Det CIES'!S130-'Det CIES'!S131)</f>
        <v>0</v>
      </c>
      <c r="K103" s="3"/>
      <c r="M103" s="28"/>
      <c r="N103" s="28"/>
      <c r="O103" s="28"/>
      <c r="P103" s="28"/>
      <c r="Q103" s="28"/>
    </row>
    <row r="104" spans="1:17" ht="16.5" customHeight="1" x14ac:dyDescent="0.3">
      <c r="A104" s="23" t="str">
        <f t="shared" si="7"/>
        <v>Do Not Print</v>
      </c>
      <c r="D104" s="1506" t="s">
        <v>572</v>
      </c>
      <c r="E104" s="1506"/>
      <c r="F104" s="421" t="s">
        <v>2162</v>
      </c>
      <c r="G104" s="473"/>
      <c r="H104" s="473">
        <f>('Det CIES'!P131+'Det CIES'!P130)</f>
        <v>0</v>
      </c>
      <c r="I104" s="473"/>
      <c r="J104" s="473">
        <f>('Det CIES'!S131+'Det CIES'!S130)</f>
        <v>0</v>
      </c>
      <c r="K104" s="3"/>
      <c r="M104" s="3"/>
      <c r="N104" s="28"/>
      <c r="O104" s="28"/>
      <c r="P104" s="28"/>
      <c r="Q104" s="28"/>
    </row>
    <row r="105" spans="1:17" ht="15" customHeight="1" x14ac:dyDescent="0.3">
      <c r="A105" s="23" t="str">
        <f t="shared" si="7"/>
        <v>Do Not Print</v>
      </c>
      <c r="D105" s="1506" t="s">
        <v>573</v>
      </c>
      <c r="E105" s="1506"/>
      <c r="F105" s="421">
        <v>23</v>
      </c>
      <c r="G105" s="473"/>
      <c r="H105" s="473">
        <f>'Non TB - Note 3 - 9'!H30</f>
        <v>0</v>
      </c>
      <c r="I105" s="473"/>
      <c r="J105" s="473">
        <f>'Non TB - Note 3 - 9'!I30</f>
        <v>0</v>
      </c>
      <c r="K105" s="3"/>
      <c r="M105" s="28"/>
      <c r="N105" s="28"/>
      <c r="O105" s="28"/>
      <c r="P105" s="28"/>
      <c r="Q105" s="28"/>
    </row>
    <row r="106" spans="1:17" ht="26.1" customHeight="1" x14ac:dyDescent="0.3">
      <c r="A106" s="23" t="str">
        <f t="shared" si="7"/>
        <v>Do Not Print</v>
      </c>
      <c r="D106" s="1506" t="s">
        <v>2918</v>
      </c>
      <c r="E106" s="1506"/>
      <c r="F106" s="421">
        <v>24</v>
      </c>
      <c r="G106" s="473"/>
      <c r="H106" s="473">
        <f>-'Det BS '!G401+'Det BS '!F401</f>
        <v>0</v>
      </c>
      <c r="I106" s="473"/>
      <c r="J106" s="473">
        <f>-'Det BS '!H401+'Det BS '!G401</f>
        <v>0</v>
      </c>
      <c r="K106" s="3"/>
      <c r="M106" s="28"/>
      <c r="N106" s="28"/>
      <c r="O106" s="28"/>
      <c r="P106" s="28"/>
      <c r="Q106" s="28"/>
    </row>
    <row r="107" spans="1:17" ht="16.05" customHeight="1" x14ac:dyDescent="0.3">
      <c r="A107" s="23" t="str">
        <f t="shared" si="7"/>
        <v>Do Not Print</v>
      </c>
      <c r="D107" s="1506" t="s">
        <v>574</v>
      </c>
      <c r="E107" s="1506"/>
      <c r="F107" s="421"/>
      <c r="G107" s="473"/>
      <c r="H107" s="488">
        <f>'Non TB - Note 3 - 9'!H31</f>
        <v>0</v>
      </c>
      <c r="I107" s="473"/>
      <c r="J107" s="488">
        <f>'Non TB - Note 3 - 9'!I31</f>
        <v>0</v>
      </c>
      <c r="K107" s="3"/>
      <c r="M107" s="28"/>
      <c r="N107" s="28"/>
      <c r="O107" s="28"/>
      <c r="P107" s="28"/>
      <c r="Q107" s="28"/>
    </row>
    <row r="108" spans="1:17" ht="16.05" customHeight="1" x14ac:dyDescent="0.3">
      <c r="A108" s="23" t="str">
        <f t="shared" si="7"/>
        <v>Do Not Print</v>
      </c>
      <c r="D108" s="1506" t="s">
        <v>575</v>
      </c>
      <c r="E108" s="1506"/>
      <c r="F108" s="421">
        <v>23</v>
      </c>
      <c r="G108" s="473"/>
      <c r="H108" s="488">
        <f>'Non TB - Note 3 - 9'!H32</f>
        <v>0</v>
      </c>
      <c r="I108" s="473"/>
      <c r="J108" s="488">
        <f>'Non TB - Note 3 - 9'!I32</f>
        <v>0</v>
      </c>
      <c r="K108" s="3"/>
      <c r="M108" s="15"/>
      <c r="N108" s="28"/>
      <c r="O108" s="28"/>
      <c r="P108" s="28"/>
      <c r="Q108" s="28"/>
    </row>
    <row r="109" spans="1:17" ht="16.05" customHeight="1" x14ac:dyDescent="0.3">
      <c r="A109" s="23" t="str">
        <f>IF(AND(H109=0,J109=0),"Do Not Print","Print")</f>
        <v>Do Not Print</v>
      </c>
      <c r="D109" s="1506" t="s">
        <v>576</v>
      </c>
      <c r="E109" s="1506"/>
      <c r="F109" s="421">
        <v>24</v>
      </c>
      <c r="G109" s="473"/>
      <c r="H109" s="473">
        <f>'Non TB - Note 3 - 9'!H33</f>
        <v>0</v>
      </c>
      <c r="I109" s="473"/>
      <c r="J109" s="473">
        <f>'Non TB - Note 3 - 9'!I33</f>
        <v>0</v>
      </c>
      <c r="K109" s="3"/>
      <c r="M109" s="28"/>
      <c r="N109" s="28"/>
      <c r="O109" s="28"/>
      <c r="P109" s="28"/>
      <c r="Q109" s="28"/>
    </row>
    <row r="110" spans="1:17" ht="63" customHeight="1" x14ac:dyDescent="0.3">
      <c r="A110" s="23" t="s">
        <v>448</v>
      </c>
      <c r="D110" s="1507" t="s">
        <v>577</v>
      </c>
      <c r="E110" s="1507"/>
      <c r="F110" s="489"/>
      <c r="G110" s="490"/>
      <c r="H110" s="490"/>
      <c r="I110" s="490"/>
      <c r="J110" s="490"/>
      <c r="M110" s="28"/>
      <c r="N110" s="28"/>
      <c r="O110" s="28"/>
      <c r="P110" s="28"/>
      <c r="Q110" s="28"/>
    </row>
    <row r="111" spans="1:17" ht="26.55" customHeight="1" x14ac:dyDescent="0.3">
      <c r="A111" s="23" t="str">
        <f>IF(AND(H111=0,J111=0),"Do Not Print","Print")</f>
        <v>Do Not Print</v>
      </c>
      <c r="D111" s="1534" t="s">
        <v>578</v>
      </c>
      <c r="E111" s="1540"/>
      <c r="F111" s="421">
        <v>23</v>
      </c>
      <c r="G111" s="473"/>
      <c r="H111" s="525">
        <f>'Non TB - Note 12 to 24'!H13</f>
        <v>0</v>
      </c>
      <c r="I111" s="473"/>
      <c r="J111" s="525">
        <f>'Non TB - Note 12 to 24'!I13</f>
        <v>0</v>
      </c>
      <c r="K111" s="3"/>
      <c r="M111" s="28"/>
      <c r="N111" s="28"/>
      <c r="O111" s="28"/>
      <c r="P111" s="28"/>
      <c r="Q111" s="28"/>
    </row>
    <row r="112" spans="1:17" ht="18" customHeight="1" x14ac:dyDescent="0.3">
      <c r="A112" s="23" t="str">
        <f>IF(AND(H112=0,J112=0),"Do Not Print","Print")</f>
        <v>Do Not Print</v>
      </c>
      <c r="D112" s="1506" t="s">
        <v>570</v>
      </c>
      <c r="E112" s="1506"/>
      <c r="F112" s="421" t="s">
        <v>2161</v>
      </c>
      <c r="G112" s="473"/>
      <c r="H112" s="473">
        <f>'Non TB - Note 12 to 24'!H12</f>
        <v>0</v>
      </c>
      <c r="I112" s="473"/>
      <c r="J112" s="473">
        <f>'Non TB - Note 12 to 24'!I12</f>
        <v>0</v>
      </c>
      <c r="K112" s="3"/>
      <c r="L112" s="35"/>
      <c r="M112" s="28"/>
      <c r="O112" s="28"/>
      <c r="P112" s="28"/>
      <c r="Q112" s="28"/>
    </row>
    <row r="113" spans="1:17" ht="12.75" customHeight="1" x14ac:dyDescent="0.3">
      <c r="A113" s="23" t="s">
        <v>448</v>
      </c>
      <c r="D113" s="492"/>
      <c r="E113" s="493"/>
      <c r="F113" s="421"/>
      <c r="G113" s="473"/>
      <c r="H113" s="473"/>
      <c r="I113" s="473"/>
      <c r="J113" s="473"/>
      <c r="K113" s="3"/>
      <c r="M113" s="28"/>
      <c r="N113" s="48"/>
      <c r="O113" s="49"/>
      <c r="P113" s="28"/>
      <c r="Q113" s="28"/>
    </row>
    <row r="114" spans="1:17" ht="12.75" customHeight="1" x14ac:dyDescent="0.3">
      <c r="A114" s="23" t="str">
        <f>IF(AND(H114=0,J114=0),"Do Not Print","Print")</f>
        <v>Do Not Print</v>
      </c>
      <c r="D114" s="1767"/>
      <c r="E114" s="1768"/>
      <c r="F114" s="486"/>
      <c r="G114" s="475"/>
      <c r="H114" s="475">
        <f>SUM(H93:H112)</f>
        <v>0</v>
      </c>
      <c r="I114" s="475"/>
      <c r="J114" s="475">
        <f>SUM(J93:J112)</f>
        <v>0</v>
      </c>
      <c r="K114" s="3"/>
      <c r="M114" s="28"/>
      <c r="N114" s="8"/>
      <c r="O114" s="28"/>
      <c r="P114" s="28"/>
      <c r="Q114" s="28"/>
    </row>
    <row r="115" spans="1:17" x14ac:dyDescent="0.3">
      <c r="A115" s="23" t="s">
        <v>448</v>
      </c>
      <c r="D115" s="492"/>
      <c r="E115" s="493"/>
      <c r="F115" s="421"/>
      <c r="G115" s="494"/>
      <c r="H115" s="494"/>
      <c r="I115" s="494"/>
      <c r="J115" s="494"/>
      <c r="K115" s="3"/>
      <c r="M115" s="28"/>
      <c r="N115" s="28"/>
      <c r="O115" s="28"/>
      <c r="P115" s="28"/>
      <c r="Q115" s="28"/>
    </row>
    <row r="116" spans="1:17" ht="24" customHeight="1" x14ac:dyDescent="0.3">
      <c r="A116" s="23" t="str">
        <f>IF(AND(H116=0,J116=0),"Do Not Print","Print")</f>
        <v>Print</v>
      </c>
      <c r="C116" s="467" t="str">
        <f>+Checklist!E59</f>
        <v>b</v>
      </c>
      <c r="D116" s="1767" t="s">
        <v>556</v>
      </c>
      <c r="E116" s="1767"/>
      <c r="F116" s="486"/>
      <c r="G116" s="486" t="str">
        <f>G90</f>
        <v>2025/26</v>
      </c>
      <c r="H116" s="486" t="str">
        <f>G90</f>
        <v>2025/26</v>
      </c>
      <c r="I116" s="948" t="str">
        <f>I90</f>
        <v>2024/25</v>
      </c>
      <c r="J116" s="948" t="str">
        <f>I90</f>
        <v>2024/25</v>
      </c>
      <c r="K116" s="3"/>
      <c r="M116" s="28"/>
      <c r="N116" s="28"/>
      <c r="O116" s="28"/>
      <c r="P116" s="28"/>
      <c r="Q116" s="28"/>
    </row>
    <row r="117" spans="1:17" ht="12.75" customHeight="1" x14ac:dyDescent="0.3">
      <c r="A117" s="23" t="s">
        <v>448</v>
      </c>
      <c r="D117" s="484"/>
      <c r="E117" s="484"/>
      <c r="F117" s="487" t="s">
        <v>343</v>
      </c>
      <c r="G117" s="484" t="s">
        <v>450</v>
      </c>
      <c r="H117" s="484" t="s">
        <v>450</v>
      </c>
      <c r="I117" s="484" t="s">
        <v>450</v>
      </c>
      <c r="J117" s="484" t="s">
        <v>450</v>
      </c>
      <c r="M117" s="28"/>
      <c r="N117" s="28"/>
      <c r="O117" s="28"/>
      <c r="P117" s="28"/>
      <c r="Q117" s="28"/>
    </row>
    <row r="118" spans="1:17" x14ac:dyDescent="0.3">
      <c r="A118" s="23" t="s">
        <v>448</v>
      </c>
      <c r="D118" s="1770" t="s">
        <v>423</v>
      </c>
      <c r="E118" s="1771"/>
      <c r="F118" s="495"/>
      <c r="G118" s="496"/>
      <c r="H118" s="496"/>
      <c r="I118" s="496"/>
      <c r="J118" s="497"/>
      <c r="M118" s="28"/>
      <c r="N118" s="28"/>
      <c r="O118" s="28"/>
      <c r="P118" s="28"/>
      <c r="Q118" s="28"/>
    </row>
    <row r="119" spans="1:17" x14ac:dyDescent="0.3">
      <c r="A119" s="23" t="str">
        <f>IF(AND(G119=0,I119=0),"Do Not Print","Print")</f>
        <v>Do Not Print</v>
      </c>
      <c r="D119" s="1765" t="s">
        <v>557</v>
      </c>
      <c r="E119" s="1500"/>
      <c r="F119" s="421"/>
      <c r="G119" s="473">
        <f>'Det CIES'!P67</f>
        <v>0</v>
      </c>
      <c r="H119" s="473"/>
      <c r="I119" s="473">
        <f>'Det CIES'!S67</f>
        <v>0</v>
      </c>
      <c r="J119" s="498"/>
      <c r="K119" s="3"/>
      <c r="M119" s="28"/>
      <c r="N119" s="28"/>
      <c r="O119" s="28"/>
      <c r="P119" s="28"/>
      <c r="Q119" s="28"/>
    </row>
    <row r="120" spans="1:17" x14ac:dyDescent="0.3">
      <c r="A120" s="23" t="str">
        <f>IF(AND(G120=0,I120=0),"Do Not Print","Print")</f>
        <v>Do Not Print</v>
      </c>
      <c r="D120" s="1765" t="s">
        <v>1569</v>
      </c>
      <c r="E120" s="1500"/>
      <c r="F120" s="421"/>
      <c r="G120" s="488">
        <f>'Non TB - Note 3 - 9'!H34</f>
        <v>0</v>
      </c>
      <c r="H120" s="473"/>
      <c r="I120" s="488">
        <f>'Non TB - Note 3 - 9'!I34</f>
        <v>0</v>
      </c>
      <c r="J120" s="498"/>
      <c r="K120" s="3"/>
      <c r="M120" s="28"/>
      <c r="N120" s="28"/>
      <c r="O120" s="28"/>
      <c r="P120" s="28"/>
      <c r="Q120" s="28"/>
    </row>
    <row r="121" spans="1:17" x14ac:dyDescent="0.3">
      <c r="A121" s="23" t="str">
        <f>IF(AND(G121=0,H121=0,I121=0,J121=0),"Do Not Print","Print")</f>
        <v>Do Not Print</v>
      </c>
      <c r="D121" s="1765" t="s">
        <v>373</v>
      </c>
      <c r="E121" s="1500"/>
      <c r="F121" s="421">
        <v>23</v>
      </c>
      <c r="G121" s="919">
        <f>-'Non TB - Note 3 - 9'!H35</f>
        <v>0</v>
      </c>
      <c r="H121" s="473">
        <f>SUM(G119:G121)</f>
        <v>0</v>
      </c>
      <c r="I121" s="919">
        <f>-'Non TB - Note 3 - 9'!I35</f>
        <v>0</v>
      </c>
      <c r="J121" s="498">
        <f>SUM(I119:I121)</f>
        <v>0</v>
      </c>
      <c r="K121" s="3"/>
      <c r="M121" s="28"/>
      <c r="N121" s="28"/>
      <c r="O121" s="28"/>
      <c r="P121" s="28"/>
      <c r="Q121" s="28"/>
    </row>
    <row r="122" spans="1:17" x14ac:dyDescent="0.3">
      <c r="A122" s="3" t="s">
        <v>593</v>
      </c>
      <c r="D122" s="1766" t="s">
        <v>321</v>
      </c>
      <c r="E122" s="1538"/>
      <c r="F122" s="421"/>
      <c r="G122" s="473"/>
      <c r="H122" s="473"/>
      <c r="I122" s="473"/>
      <c r="J122" s="498"/>
      <c r="K122" s="3"/>
      <c r="M122" s="28"/>
      <c r="N122" s="28"/>
      <c r="O122" s="28"/>
      <c r="P122" s="28"/>
      <c r="Q122" s="28"/>
    </row>
    <row r="123" spans="1:17" x14ac:dyDescent="0.3">
      <c r="A123" s="23" t="str">
        <f>IF(AND(G123=0,I123=0),"Do Not Print","Print")</f>
        <v>Do Not Print</v>
      </c>
      <c r="D123" s="1765" t="s">
        <v>557</v>
      </c>
      <c r="E123" s="1500"/>
      <c r="F123" s="421"/>
      <c r="G123" s="473">
        <f>'Det CIES'!P68</f>
        <v>0</v>
      </c>
      <c r="H123" s="473"/>
      <c r="I123" s="473">
        <f>'Det CIES'!S68</f>
        <v>0</v>
      </c>
      <c r="J123" s="498"/>
      <c r="K123" s="3"/>
      <c r="M123" s="28"/>
      <c r="N123" s="28"/>
      <c r="O123" s="28"/>
      <c r="P123" s="28"/>
      <c r="Q123" s="28"/>
    </row>
    <row r="124" spans="1:17" x14ac:dyDescent="0.3">
      <c r="A124" s="23" t="str">
        <f>IF(AND(G124=0,H124=0,I124=0,J124=0),"Do Not Print","Print")</f>
        <v>Do Not Print</v>
      </c>
      <c r="D124" s="1765" t="s">
        <v>373</v>
      </c>
      <c r="E124" s="1500"/>
      <c r="F124" s="421">
        <v>27</v>
      </c>
      <c r="G124" s="499">
        <f>'Non TB - Note 3 - 9'!H36</f>
        <v>0</v>
      </c>
      <c r="H124" s="473">
        <f>SUM(G123:G124)</f>
        <v>0</v>
      </c>
      <c r="I124" s="499">
        <f>'Non TB - Note 3 - 9'!I36</f>
        <v>0</v>
      </c>
      <c r="J124" s="498">
        <f>SUM(I123:I124)</f>
        <v>0</v>
      </c>
      <c r="K124" s="3"/>
      <c r="M124" s="28"/>
      <c r="N124" s="28"/>
      <c r="O124" s="28"/>
      <c r="P124" s="28"/>
      <c r="Q124" s="28"/>
    </row>
    <row r="125" spans="1:17" x14ac:dyDescent="0.3">
      <c r="A125" s="23" t="str">
        <f>IF(AND(H127=0,J127=0),"Do Not Print","Print")</f>
        <v>Do Not Print</v>
      </c>
      <c r="D125" s="1766" t="s">
        <v>421</v>
      </c>
      <c r="E125" s="1538"/>
      <c r="F125" s="421"/>
      <c r="G125" s="473"/>
      <c r="H125" s="473"/>
      <c r="I125" s="473"/>
      <c r="J125" s="498"/>
      <c r="K125" s="3"/>
      <c r="M125" s="28"/>
      <c r="N125" s="28"/>
      <c r="O125" s="28"/>
      <c r="P125" s="28"/>
      <c r="Q125" s="28"/>
    </row>
    <row r="126" spans="1:17" x14ac:dyDescent="0.3">
      <c r="A126" s="23" t="str">
        <f>IF(AND(G126=0,H126=0,I126=0,J126=0),"Do Not Print","Print")</f>
        <v>Do Not Print</v>
      </c>
      <c r="D126" s="1765" t="s">
        <v>557</v>
      </c>
      <c r="E126" s="1500"/>
      <c r="F126" s="421"/>
      <c r="G126" s="488">
        <f>'Non TB - Note 3 - 9'!H37</f>
        <v>0</v>
      </c>
      <c r="H126" s="473"/>
      <c r="I126" s="488">
        <f>'Non TB - Note 3 - 9'!I37</f>
        <v>0</v>
      </c>
      <c r="J126" s="498"/>
      <c r="K126" s="3"/>
      <c r="M126" s="28"/>
      <c r="N126" s="28"/>
      <c r="O126" s="28"/>
      <c r="P126" s="28"/>
      <c r="Q126" s="28"/>
    </row>
    <row r="127" spans="1:17" x14ac:dyDescent="0.3">
      <c r="A127" s="23" t="str">
        <f>IF(AND(G127=0,H127=0,I127=0,J127=0),"Do Not Print","Print")</f>
        <v>Do Not Print</v>
      </c>
      <c r="D127" s="1765" t="s">
        <v>373</v>
      </c>
      <c r="E127" s="1500"/>
      <c r="F127" s="421">
        <v>27</v>
      </c>
      <c r="G127" s="499">
        <f>'Non TB - Note 3 - 9'!H38</f>
        <v>0</v>
      </c>
      <c r="H127" s="473">
        <f>SUM(G126:G127)</f>
        <v>0</v>
      </c>
      <c r="I127" s="499">
        <f>'Non TB - Note 3 - 9'!I38</f>
        <v>0</v>
      </c>
      <c r="J127" s="498">
        <f>SUM(I126:I127)</f>
        <v>0</v>
      </c>
      <c r="K127" s="3"/>
      <c r="M127" s="28"/>
      <c r="N127" s="28"/>
      <c r="O127" s="28"/>
      <c r="P127" s="28"/>
      <c r="Q127" s="28"/>
    </row>
    <row r="128" spans="1:17" x14ac:dyDescent="0.3">
      <c r="A128" s="23" t="s">
        <v>448</v>
      </c>
      <c r="D128" s="1766" t="s">
        <v>558</v>
      </c>
      <c r="E128" s="1538"/>
      <c r="F128" s="485"/>
      <c r="G128" s="473"/>
      <c r="H128" s="473"/>
      <c r="I128" s="473"/>
      <c r="J128" s="498"/>
      <c r="K128" s="3"/>
      <c r="M128" s="28"/>
      <c r="N128" s="28"/>
      <c r="O128" s="28"/>
      <c r="P128" s="28"/>
      <c r="Q128" s="28"/>
    </row>
    <row r="129" spans="1:17" x14ac:dyDescent="0.3">
      <c r="A129" s="23" t="str">
        <f>IF(AND(G129=0,I129=0),"Do Not Print","Print")</f>
        <v>Do Not Print</v>
      </c>
      <c r="D129" s="1765" t="s">
        <v>557</v>
      </c>
      <c r="E129" s="1500"/>
      <c r="F129" s="485"/>
      <c r="G129" s="473">
        <f>'Det CIES'!P69</f>
        <v>0</v>
      </c>
      <c r="H129" s="473"/>
      <c r="I129" s="473">
        <f>'Det CIES'!S69</f>
        <v>0</v>
      </c>
      <c r="J129" s="498"/>
      <c r="K129" s="3"/>
      <c r="M129" s="28"/>
      <c r="N129" s="28"/>
      <c r="O129" s="28"/>
      <c r="P129" s="28"/>
      <c r="Q129" s="28"/>
    </row>
    <row r="130" spans="1:17" x14ac:dyDescent="0.3">
      <c r="A130" s="23" t="str">
        <f>IF(AND(G130=0,I130=0),"Do Not Print","Print")</f>
        <v>Do Not Print</v>
      </c>
      <c r="D130" s="1765" t="s">
        <v>1573</v>
      </c>
      <c r="E130" s="1500"/>
      <c r="F130" s="485"/>
      <c r="G130" s="473">
        <f>'Non TB - Note 3 - 9'!H39</f>
        <v>0</v>
      </c>
      <c r="H130" s="473"/>
      <c r="I130" s="473">
        <f>'Non TB - Note 3 - 9'!I39</f>
        <v>0</v>
      </c>
      <c r="J130" s="498"/>
      <c r="K130" s="3"/>
      <c r="M130" s="28"/>
      <c r="N130" s="28"/>
      <c r="O130" s="28"/>
      <c r="P130" s="28"/>
      <c r="Q130" s="28"/>
    </row>
    <row r="131" spans="1:17" x14ac:dyDescent="0.3">
      <c r="A131" s="23" t="str">
        <f>IF(AND(G131=0,H131=0,I131=0,J131=0),"Do Not Print","Print")</f>
        <v>Do Not Print</v>
      </c>
      <c r="D131" s="1765" t="s">
        <v>373</v>
      </c>
      <c r="E131" s="1500"/>
      <c r="F131" s="421">
        <v>23</v>
      </c>
      <c r="G131" s="919">
        <f>'Non TB - Note 3 - 9'!H40</f>
        <v>0</v>
      </c>
      <c r="H131" s="473">
        <f>SUM(G129:G131)</f>
        <v>0</v>
      </c>
      <c r="I131" s="919">
        <f>'Non TB - Note 3 - 9'!I40</f>
        <v>0</v>
      </c>
      <c r="J131" s="498">
        <f>SUM(I129:I131)</f>
        <v>0</v>
      </c>
      <c r="K131" s="3"/>
      <c r="M131" s="28"/>
      <c r="N131"/>
      <c r="O131" s="28"/>
      <c r="P131" s="28"/>
      <c r="Q131" s="28"/>
    </row>
    <row r="132" spans="1:17" x14ac:dyDescent="0.3">
      <c r="A132" s="23" t="s">
        <v>448</v>
      </c>
      <c r="D132" s="1766" t="s">
        <v>2231</v>
      </c>
      <c r="E132" s="1538"/>
      <c r="F132" s="421"/>
      <c r="G132" s="473"/>
      <c r="H132" s="473"/>
      <c r="I132" s="473"/>
      <c r="J132" s="498"/>
      <c r="K132" s="3"/>
      <c r="M132" s="28"/>
      <c r="N132"/>
      <c r="O132" s="28"/>
      <c r="P132" s="28"/>
      <c r="Q132" s="28"/>
    </row>
    <row r="133" spans="1:17" x14ac:dyDescent="0.3">
      <c r="A133" s="23" t="s">
        <v>448</v>
      </c>
      <c r="D133" s="1765" t="s">
        <v>428</v>
      </c>
      <c r="E133" s="1500"/>
      <c r="F133" s="421"/>
      <c r="G133" s="919">
        <v>0</v>
      </c>
      <c r="H133" s="473">
        <f>G133</f>
        <v>0</v>
      </c>
      <c r="I133" s="919">
        <v>0</v>
      </c>
      <c r="J133" s="498">
        <v>0</v>
      </c>
      <c r="K133" s="3"/>
      <c r="M133" s="28"/>
      <c r="N133"/>
      <c r="O133" s="28"/>
      <c r="P133" s="28"/>
      <c r="Q133" s="28"/>
    </row>
    <row r="134" spans="1:17" x14ac:dyDescent="0.3">
      <c r="A134" s="23" t="s">
        <v>448</v>
      </c>
      <c r="D134" s="1765"/>
      <c r="E134" s="1500"/>
      <c r="F134" s="485"/>
      <c r="G134" s="473"/>
      <c r="H134" s="473"/>
      <c r="I134" s="473"/>
      <c r="J134" s="498"/>
      <c r="K134" s="3"/>
      <c r="M134" s="28"/>
      <c r="N134"/>
      <c r="O134" s="28"/>
      <c r="P134" s="28"/>
      <c r="Q134" s="28"/>
    </row>
    <row r="135" spans="1:17" x14ac:dyDescent="0.3">
      <c r="A135" s="23" t="str">
        <f>IF(AND(H135=0,J135=0,),"Do Not Print","Print")</f>
        <v>Print</v>
      </c>
      <c r="D135" s="1765"/>
      <c r="E135" s="1500"/>
      <c r="F135" s="485"/>
      <c r="G135" s="473"/>
      <c r="H135" s="500">
        <f>SUM(H119:H133)</f>
        <v>0</v>
      </c>
      <c r="I135" s="473"/>
      <c r="J135" s="501">
        <f>SUM(J121:J131)</f>
        <v>0</v>
      </c>
      <c r="K135" s="3"/>
      <c r="M135" s="28"/>
      <c r="N135"/>
      <c r="O135" s="28"/>
      <c r="P135" s="28"/>
      <c r="Q135" s="28"/>
    </row>
    <row r="136" spans="1:17" x14ac:dyDescent="0.3">
      <c r="A136" s="23" t="s">
        <v>448</v>
      </c>
      <c r="D136" s="1769"/>
      <c r="E136" s="1769"/>
      <c r="F136" s="1769"/>
      <c r="G136" s="1769"/>
      <c r="H136" s="1769"/>
      <c r="I136" s="1769"/>
      <c r="J136" s="1769"/>
      <c r="M136" s="28"/>
      <c r="N136" s="28"/>
      <c r="O136" s="28"/>
      <c r="P136" s="28"/>
      <c r="Q136" s="28"/>
    </row>
    <row r="137" spans="1:17" x14ac:dyDescent="0.3">
      <c r="A137" s="23" t="s">
        <v>448</v>
      </c>
      <c r="B137" s="467">
        <f>+Checklist!E60</f>
        <v>5</v>
      </c>
      <c r="D137" s="474" t="s">
        <v>344</v>
      </c>
      <c r="E137" s="480"/>
      <c r="F137" s="480"/>
      <c r="G137" s="480"/>
      <c r="H137" s="480"/>
      <c r="I137" s="481"/>
      <c r="J137" s="481"/>
      <c r="K137" s="481"/>
    </row>
    <row r="138" spans="1:17" x14ac:dyDescent="0.3">
      <c r="A138" s="23" t="s">
        <v>448</v>
      </c>
      <c r="E138" s="485"/>
      <c r="F138" s="485"/>
      <c r="G138" s="485"/>
      <c r="H138" s="485"/>
      <c r="I138" s="485"/>
      <c r="J138" s="485"/>
      <c r="M138" s="15"/>
      <c r="N138" s="28"/>
      <c r="O138" s="28"/>
      <c r="P138" s="28"/>
      <c r="Q138" s="28"/>
    </row>
    <row r="139" spans="1:17" x14ac:dyDescent="0.3">
      <c r="A139" s="23" t="s">
        <v>448</v>
      </c>
      <c r="C139" s="467" t="str">
        <f>+Checklist!E61</f>
        <v>a</v>
      </c>
      <c r="D139" s="474" t="s">
        <v>1807</v>
      </c>
      <c r="E139" s="480"/>
      <c r="F139" s="480"/>
      <c r="G139" s="480"/>
      <c r="H139" s="480"/>
      <c r="I139" s="481"/>
      <c r="J139" s="481"/>
      <c r="K139" s="481"/>
      <c r="M139" s="28"/>
      <c r="N139" s="28"/>
      <c r="O139" s="28"/>
      <c r="P139" s="28"/>
      <c r="Q139" s="28"/>
    </row>
    <row r="140" spans="1:17" x14ac:dyDescent="0.3">
      <c r="A140" s="23" t="s">
        <v>448</v>
      </c>
      <c r="D140" s="1801"/>
      <c r="E140" s="1801"/>
      <c r="F140" s="1801"/>
      <c r="G140" s="1801"/>
      <c r="H140" s="1801"/>
      <c r="I140" s="1801"/>
      <c r="J140" s="1801"/>
      <c r="M140" s="28"/>
      <c r="N140" s="28"/>
      <c r="O140" s="28"/>
      <c r="P140" s="28"/>
      <c r="Q140" s="28"/>
    </row>
    <row r="141" spans="1:17" ht="31.5" customHeight="1" x14ac:dyDescent="0.3">
      <c r="A141" s="23" t="str">
        <f>IF('Non TB - Note 3 - 9'!F41=1,"Print","Do Not Print")</f>
        <v>Print</v>
      </c>
      <c r="D141" s="1512" t="str">
        <f>IF('Non TB - Note 3 - 9'!F41=1,'Non TB - Note 3 - 9'!H41,"")</f>
        <v>Prior to Local Government Reform on 1st April 2015, expenditure for special purposes was limited under Section 40 of the Local Government Finance Act (Northern Ireland) 2011.  This section was repealed by Schedule 10 of the Local Government Act (Northern Ireland) 2014.</v>
      </c>
      <c r="E141" s="1512"/>
      <c r="F141" s="1512"/>
      <c r="G141" s="1512"/>
      <c r="H141" s="1512"/>
      <c r="I141" s="1512"/>
      <c r="J141" s="1512"/>
      <c r="K141" s="1512"/>
      <c r="M141" s="28"/>
      <c r="N141" s="28"/>
      <c r="O141" s="28"/>
      <c r="P141" s="28"/>
      <c r="Q141" s="28"/>
    </row>
    <row r="142" spans="1:17" x14ac:dyDescent="0.3">
      <c r="A142" s="23" t="s">
        <v>448</v>
      </c>
      <c r="D142" s="1547"/>
      <c r="E142" s="1547"/>
      <c r="F142" s="1547"/>
      <c r="G142" s="1547"/>
      <c r="H142" s="1547"/>
      <c r="I142" s="1547"/>
      <c r="J142" s="1547"/>
      <c r="K142" s="1547"/>
      <c r="M142" s="28"/>
      <c r="N142" s="17"/>
      <c r="O142" s="28"/>
      <c r="P142" s="28"/>
      <c r="Q142" s="28"/>
    </row>
    <row r="143" spans="1:17" ht="41.55" customHeight="1" x14ac:dyDescent="0.3">
      <c r="A143" s="23" t="str">
        <f>IF('Non TB - Note 3 - 9'!F42=1,"Print","Do Not Print")</f>
        <v>Print</v>
      </c>
      <c r="D143" s="1512" t="str">
        <f>IF('Non TB - Note 3 - 9'!F42=1,'Non TB - Note 3 - 9'!H42,"")</f>
        <v xml:space="preserve">Under Section 79 of the Local Government Act (Northern Ireland) 2014, the Council has the power to do anything that individuals generally may do.  Councils have the power to do this with or without charge.  The power of competence is not limited to benefitting the area or its residents nor is it limited by existing powers. </v>
      </c>
      <c r="E143" s="1512"/>
      <c r="F143" s="1512"/>
      <c r="G143" s="1512"/>
      <c r="H143" s="1512"/>
      <c r="I143" s="1512"/>
      <c r="J143" s="1512"/>
      <c r="K143" s="1512"/>
      <c r="M143" s="28"/>
      <c r="N143" s="28"/>
      <c r="O143" s="28"/>
      <c r="P143" s="28"/>
      <c r="Q143" s="28"/>
    </row>
    <row r="144" spans="1:17" ht="12.75" customHeight="1" x14ac:dyDescent="0.3">
      <c r="A144" s="23" t="s">
        <v>448</v>
      </c>
      <c r="D144" s="1802"/>
      <c r="E144" s="1802"/>
      <c r="F144" s="1802"/>
      <c r="G144" s="1802"/>
      <c r="H144" s="1802"/>
      <c r="I144" s="1802"/>
      <c r="J144" s="1802"/>
      <c r="K144" s="1802"/>
      <c r="M144" s="28"/>
      <c r="N144" s="28"/>
      <c r="O144" s="28"/>
      <c r="P144" s="28"/>
      <c r="Q144" s="28"/>
    </row>
    <row r="145" spans="1:17" ht="18.75" customHeight="1" x14ac:dyDescent="0.3">
      <c r="A145" s="23" t="str">
        <f>IF('Non TB - Note 3 - 9'!F43=1,"Print","Do Not Print")</f>
        <v>Print</v>
      </c>
      <c r="D145" s="1542" t="str">
        <f>IF('Non TB - Note 3 - 9'!F43=1,'Non TB - Note 3 - 9'!H43,"")</f>
        <v>The actual expenditure under the power of competence amounted to £xx during 2025/26 (£xx in 2024/25).</v>
      </c>
      <c r="E145" s="1542"/>
      <c r="F145" s="1542"/>
      <c r="G145" s="1542"/>
      <c r="H145" s="1542"/>
      <c r="I145" s="1542"/>
      <c r="J145" s="1542"/>
      <c r="K145" s="1542"/>
      <c r="M145" s="28"/>
      <c r="N145" s="28"/>
      <c r="O145" s="28"/>
      <c r="P145" s="28"/>
      <c r="Q145" s="28"/>
    </row>
    <row r="146" spans="1:17" x14ac:dyDescent="0.3">
      <c r="A146" s="23" t="s">
        <v>448</v>
      </c>
      <c r="D146" s="1547"/>
      <c r="E146" s="1547"/>
      <c r="F146" s="1547"/>
      <c r="G146" s="1547"/>
      <c r="H146" s="1547"/>
      <c r="I146" s="1547"/>
      <c r="J146" s="1547"/>
      <c r="K146" s="1547"/>
      <c r="M146" s="28"/>
      <c r="N146" s="28"/>
      <c r="O146" s="28"/>
      <c r="P146" s="28"/>
      <c r="Q146" s="28"/>
    </row>
    <row r="147" spans="1:17" x14ac:dyDescent="0.3">
      <c r="A147" s="23" t="s">
        <v>448</v>
      </c>
      <c r="D147" s="1500"/>
      <c r="E147" s="1500"/>
      <c r="F147" s="1500"/>
      <c r="G147" s="1500"/>
      <c r="H147" s="1500"/>
      <c r="I147" s="1500"/>
      <c r="J147" s="1500"/>
      <c r="K147" s="1500"/>
      <c r="M147" s="28"/>
      <c r="N147" s="28"/>
      <c r="O147" s="28"/>
      <c r="P147" s="28"/>
      <c r="Q147" s="28"/>
    </row>
    <row r="148" spans="1:17" x14ac:dyDescent="0.3">
      <c r="A148" s="23" t="s">
        <v>448</v>
      </c>
      <c r="C148" s="467" t="str">
        <f>Checklist!E62</f>
        <v>b</v>
      </c>
      <c r="D148" s="474" t="s">
        <v>255</v>
      </c>
      <c r="E148" s="480"/>
      <c r="F148" s="480"/>
      <c r="G148" s="633"/>
      <c r="H148" s="633"/>
      <c r="I148" s="481"/>
      <c r="J148" s="481"/>
      <c r="K148" s="481"/>
      <c r="M148" s="28"/>
      <c r="N148" s="28"/>
      <c r="O148" s="28"/>
      <c r="P148" s="28"/>
      <c r="Q148" s="28"/>
    </row>
    <row r="149" spans="1:17" x14ac:dyDescent="0.3">
      <c r="A149" s="23" t="s">
        <v>448</v>
      </c>
      <c r="D149" s="1547"/>
      <c r="E149" s="1547"/>
      <c r="F149" s="1547"/>
      <c r="G149" s="1547"/>
      <c r="H149" s="1547"/>
      <c r="I149" s="1547"/>
      <c r="J149" s="1547"/>
      <c r="K149" s="1547"/>
      <c r="M149" s="28"/>
      <c r="N149" s="28"/>
      <c r="O149" s="28"/>
      <c r="P149" s="28"/>
      <c r="Q149" s="28"/>
    </row>
    <row r="150" spans="1:17" ht="31.5" customHeight="1" x14ac:dyDescent="0.3">
      <c r="A150" s="23" t="str">
        <f>IF('Non TB - Note 3 - 9'!F44=1,"Print","Do Not Print")</f>
        <v>Print</v>
      </c>
      <c r="D150" s="1506" t="str">
        <f>IF('Non TB - Note 3 - 9'!F44=1,'Non TB - Note 3 - 9'!H44,"")</f>
        <v>The Council has incurred the following costs relating to the annual audit of the Statement of Accounts, certification of grant claims and other services provided by the Councils external auditors.</v>
      </c>
      <c r="E150" s="1506"/>
      <c r="F150" s="1506"/>
      <c r="G150" s="1506"/>
      <c r="H150" s="1506"/>
      <c r="I150" s="1506"/>
      <c r="J150" s="1506"/>
      <c r="K150" s="1506"/>
      <c r="M150" s="28"/>
      <c r="N150" s="28"/>
      <c r="O150" s="28"/>
      <c r="P150" s="28"/>
      <c r="Q150" s="28"/>
    </row>
    <row r="151" spans="1:17" x14ac:dyDescent="0.3">
      <c r="A151" s="23" t="s">
        <v>448</v>
      </c>
      <c r="D151" s="1500"/>
      <c r="E151" s="1500"/>
      <c r="F151" s="1500"/>
      <c r="G151" s="1500"/>
      <c r="H151" s="1500"/>
      <c r="I151" s="1500"/>
      <c r="J151" s="1500"/>
      <c r="K151" s="1500"/>
      <c r="M151" s="28"/>
      <c r="N151" s="28"/>
      <c r="O151" s="28"/>
      <c r="P151" s="28"/>
      <c r="Q151" s="28"/>
    </row>
    <row r="152" spans="1:17" x14ac:dyDescent="0.3">
      <c r="A152" s="23" t="s">
        <v>448</v>
      </c>
      <c r="D152" s="479"/>
      <c r="E152" s="480"/>
      <c r="F152" s="480"/>
      <c r="G152" s="480"/>
      <c r="H152" s="480"/>
      <c r="I152" s="486" t="str">
        <f>'Standing Data'!D34</f>
        <v>2025/26</v>
      </c>
      <c r="J152" s="948" t="str">
        <f>'Standing Data'!D52</f>
        <v>2024/25</v>
      </c>
      <c r="M152" s="28"/>
      <c r="N152" s="28"/>
      <c r="O152" s="28"/>
      <c r="P152" s="28"/>
      <c r="Q152" s="28"/>
    </row>
    <row r="153" spans="1:17" x14ac:dyDescent="0.3">
      <c r="A153" s="23" t="s">
        <v>448</v>
      </c>
      <c r="D153" s="482"/>
      <c r="E153" s="483"/>
      <c r="F153" s="483"/>
      <c r="G153" s="483"/>
      <c r="H153" s="483"/>
      <c r="I153" s="484" t="s">
        <v>450</v>
      </c>
      <c r="J153" s="484" t="s">
        <v>450</v>
      </c>
      <c r="K153" s="3"/>
      <c r="M153" s="28"/>
      <c r="N153" s="28"/>
      <c r="O153" s="28"/>
      <c r="P153" s="28"/>
      <c r="Q153" s="28"/>
    </row>
    <row r="154" spans="1:17" x14ac:dyDescent="0.3">
      <c r="A154" s="23" t="str">
        <f>IF(AND(I154=0,J154=0),"Do Not Print","Print")</f>
        <v>Do Not Print</v>
      </c>
      <c r="D154" s="1756" t="s">
        <v>255</v>
      </c>
      <c r="E154" s="1756"/>
      <c r="F154" s="1756"/>
      <c r="G154" s="1756"/>
      <c r="H154" s="1756"/>
      <c r="I154" s="589">
        <f>'Non TB - Note 3 - 9'!H45</f>
        <v>0</v>
      </c>
      <c r="J154" s="589">
        <f>'Non TB - Note 3 - 9'!I45</f>
        <v>0</v>
      </c>
      <c r="L154" s="3"/>
      <c r="M154" s="28"/>
      <c r="N154" s="28"/>
      <c r="O154" s="28"/>
      <c r="P154" s="28"/>
      <c r="Q154" s="28"/>
    </row>
    <row r="155" spans="1:17" x14ac:dyDescent="0.3">
      <c r="A155" s="23" t="str">
        <f>IF(AND(I155=0,J155=0),"Do Not Print","Print")</f>
        <v>Do Not Print</v>
      </c>
      <c r="D155" s="1756" t="s">
        <v>212</v>
      </c>
      <c r="E155" s="1756"/>
      <c r="F155" s="1756"/>
      <c r="G155" s="1756"/>
      <c r="H155" s="1756"/>
      <c r="I155" s="502">
        <f>'Non TB - Note 3 - 9'!H46</f>
        <v>0</v>
      </c>
      <c r="J155" s="502">
        <f>'Non TB - Note 3 - 9'!I46</f>
        <v>0</v>
      </c>
      <c r="M155" s="28"/>
      <c r="N155" s="28"/>
      <c r="O155" s="28"/>
      <c r="P155" s="28"/>
      <c r="Q155" s="28"/>
    </row>
    <row r="156" spans="1:17" x14ac:dyDescent="0.3">
      <c r="A156" s="23" t="str">
        <f>IF(AND(I156=0,J156=0),"Do Not Print","Print")</f>
        <v>Do Not Print</v>
      </c>
      <c r="D156" s="1756" t="s">
        <v>213</v>
      </c>
      <c r="E156" s="1756"/>
      <c r="F156" s="1756"/>
      <c r="G156" s="1756"/>
      <c r="H156" s="1756"/>
      <c r="I156" s="589">
        <f>'Non TB - Note 3 - 9'!H47</f>
        <v>0</v>
      </c>
      <c r="J156" s="589">
        <f>'Non TB - Note 3 - 9'!I47</f>
        <v>0</v>
      </c>
      <c r="M156" s="28"/>
      <c r="N156" s="28"/>
      <c r="O156" s="28"/>
      <c r="P156" s="28"/>
      <c r="Q156" s="28"/>
    </row>
    <row r="157" spans="1:17" x14ac:dyDescent="0.3">
      <c r="A157" s="23" t="s">
        <v>448</v>
      </c>
      <c r="D157" s="1756"/>
      <c r="E157" s="1756"/>
      <c r="F157" s="1756"/>
      <c r="G157" s="1756"/>
      <c r="H157" s="1756"/>
      <c r="I157" s="1756"/>
      <c r="J157" s="1756"/>
      <c r="M157" s="28"/>
      <c r="N157" s="28"/>
      <c r="O157" s="28"/>
      <c r="P157" s="28"/>
      <c r="Q157" s="28"/>
    </row>
    <row r="158" spans="1:17" x14ac:dyDescent="0.3">
      <c r="A158" s="23" t="str">
        <f>IF(AND(I158=0,J158=0),"Do Not Print","Print")</f>
        <v>Do Not Print</v>
      </c>
      <c r="D158" s="474"/>
      <c r="E158" s="481"/>
      <c r="F158" s="481"/>
      <c r="G158" s="481"/>
      <c r="H158" s="481"/>
      <c r="I158" s="475">
        <f>SUM(I154:I157)</f>
        <v>0</v>
      </c>
      <c r="J158" s="475">
        <f>SUM(J154:J157)</f>
        <v>0</v>
      </c>
      <c r="M158" s="28"/>
      <c r="N158" s="28"/>
      <c r="O158" s="28"/>
      <c r="P158" s="28"/>
      <c r="Q158" s="28"/>
    </row>
    <row r="159" spans="1:17" x14ac:dyDescent="0.3">
      <c r="A159" s="23" t="s">
        <v>448</v>
      </c>
      <c r="D159" s="1809"/>
      <c r="E159" s="1809"/>
      <c r="F159" s="1809"/>
      <c r="G159" s="1809"/>
      <c r="H159" s="1809"/>
      <c r="I159" s="1809"/>
      <c r="J159" s="1809"/>
      <c r="K159" s="1809"/>
      <c r="M159" s="28"/>
      <c r="N159" s="28"/>
      <c r="O159" s="28"/>
      <c r="P159" s="28"/>
      <c r="Q159" s="28"/>
    </row>
    <row r="160" spans="1:17" ht="20.100000000000001" customHeight="1" x14ac:dyDescent="0.3">
      <c r="A160" s="23" t="str">
        <f>IF('Non TB - Note 3 - 9'!F48=1,"Print","Do Not Print")</f>
        <v>Print</v>
      </c>
      <c r="D160" s="1506" t="str">
        <f>IF('Non TB - Note 3 - 9'!F48=1,'Non TB - Note 3 - 9'!H48,"")</f>
        <v>The other fees of £xx (2024/25 £xx ) were incurred in respect of performance audit services provided by the appointed auditor.</v>
      </c>
      <c r="E160" s="1506"/>
      <c r="F160" s="1506"/>
      <c r="G160" s="1506"/>
      <c r="H160" s="1506"/>
      <c r="I160" s="1506"/>
      <c r="J160" s="1506"/>
      <c r="K160" s="1506"/>
      <c r="M160" s="28"/>
      <c r="N160" s="28"/>
      <c r="O160" s="28"/>
      <c r="P160" s="28"/>
      <c r="Q160" s="28"/>
    </row>
    <row r="161" spans="1:17" x14ac:dyDescent="0.3">
      <c r="A161" s="3" t="str">
        <f>IF(A160="Print","Print","Do Not Print")</f>
        <v>Print</v>
      </c>
      <c r="D161" s="1500"/>
      <c r="E161" s="1500"/>
      <c r="F161" s="1500"/>
      <c r="G161" s="1500"/>
      <c r="H161" s="1500"/>
      <c r="I161" s="1500"/>
      <c r="J161" s="1500"/>
      <c r="K161" s="1500"/>
      <c r="M161" s="28"/>
      <c r="N161" s="28"/>
      <c r="O161" s="28"/>
      <c r="P161" s="28"/>
      <c r="Q161" s="28"/>
    </row>
    <row r="162" spans="1:17" x14ac:dyDescent="0.3">
      <c r="A162" s="1000" t="str">
        <f>IF(OR(A163="Print",A203="Print",A220="Print",A256="Print"),"Print","Do Not Print")</f>
        <v>Print</v>
      </c>
      <c r="B162" s="467">
        <f>Checklist!E63</f>
        <v>6</v>
      </c>
      <c r="D162" s="474" t="s">
        <v>2819</v>
      </c>
      <c r="E162" s="480"/>
      <c r="F162" s="480"/>
      <c r="G162" s="480"/>
      <c r="H162" s="480"/>
      <c r="I162" s="481"/>
      <c r="J162" s="481"/>
      <c r="K162" s="481"/>
      <c r="M162" s="28"/>
      <c r="N162" s="28"/>
      <c r="O162" s="28"/>
      <c r="P162" s="28"/>
      <c r="Q162" s="28"/>
    </row>
    <row r="163" spans="1:17" x14ac:dyDescent="0.3">
      <c r="A163" s="1000" t="str">
        <f>IF(OR(A164="Print",A203="Print"),"Print","Do Not Print")</f>
        <v>Print</v>
      </c>
      <c r="D163" s="474" t="s">
        <v>1158</v>
      </c>
      <c r="E163" s="480"/>
      <c r="F163" s="480"/>
      <c r="G163" s="480"/>
      <c r="H163" s="480"/>
      <c r="I163" s="481"/>
      <c r="J163" s="481"/>
      <c r="K163" s="481"/>
      <c r="M163" s="28"/>
      <c r="N163" s="28"/>
      <c r="O163" s="28"/>
      <c r="P163" s="28"/>
      <c r="Q163" s="28"/>
    </row>
    <row r="164" spans="1:17" x14ac:dyDescent="0.3">
      <c r="A164" s="1000" t="str">
        <f>IF(OR(A166="Print",A168="Print",A170="Print",A180="Print",A182="Print",A190="Print",A192="Print",A194="Print",A196="Print",A198="Print",A200="Print"),"Print","Do Not Print")</f>
        <v>Print</v>
      </c>
      <c r="C164" s="467" t="str">
        <f>Checklist!E64</f>
        <v>a</v>
      </c>
      <c r="D164" s="469" t="s">
        <v>2919</v>
      </c>
      <c r="E164" s="483"/>
      <c r="F164" s="483"/>
      <c r="G164" s="483"/>
      <c r="H164" s="483"/>
      <c r="I164" s="484"/>
      <c r="J164" s="484"/>
      <c r="K164" s="484"/>
      <c r="M164" s="28"/>
      <c r="N164" s="28"/>
      <c r="O164" s="28"/>
      <c r="P164" s="28"/>
      <c r="Q164" s="28"/>
    </row>
    <row r="165" spans="1:17" x14ac:dyDescent="0.3">
      <c r="A165" s="23" t="str">
        <f>IF(A164="Print","Print","Do Not Print")</f>
        <v>Print</v>
      </c>
      <c r="D165" s="1810"/>
      <c r="E165" s="1810"/>
      <c r="F165" s="1810"/>
      <c r="G165" s="1810"/>
      <c r="H165" s="1810"/>
      <c r="I165" s="1810"/>
      <c r="J165" s="1810"/>
      <c r="K165" s="1810"/>
      <c r="M165" s="28"/>
      <c r="N165" s="28"/>
      <c r="O165" s="28"/>
      <c r="P165" s="28"/>
      <c r="Q165" s="28"/>
    </row>
    <row r="166" spans="1:17" ht="25.5" customHeight="1" x14ac:dyDescent="0.3">
      <c r="A166" s="23" t="str">
        <f>IF('Non TB - Note 3 - 9'!F49=1,"Print","Do Not Print")</f>
        <v>Print</v>
      </c>
      <c r="D166" s="1506" t="str">
        <f>IF('Non TB - Note 3 - 9'!F49=1,'Non TB - Note 3 - 9'!H49,"")</f>
        <v xml:space="preserve">The Council has leased out property to a local community sports and leisure provider on a lease with a remaining term of 50 years.
</v>
      </c>
      <c r="E166" s="1506"/>
      <c r="F166" s="1506"/>
      <c r="G166" s="1506"/>
      <c r="H166" s="1506"/>
      <c r="I166" s="1506"/>
      <c r="J166" s="1506"/>
      <c r="M166" s="28"/>
      <c r="N166" s="28"/>
      <c r="O166" s="28"/>
      <c r="P166" s="28"/>
      <c r="Q166" s="28"/>
    </row>
    <row r="167" spans="1:17" ht="12.75" customHeight="1" x14ac:dyDescent="0.3">
      <c r="A167" s="23" t="str">
        <f>IF(A166="Print","Print","Do Not Print")</f>
        <v>Print</v>
      </c>
      <c r="D167" s="1811"/>
      <c r="E167" s="1811"/>
      <c r="F167" s="1811"/>
      <c r="G167" s="1811"/>
      <c r="H167" s="1811"/>
      <c r="I167" s="1811"/>
      <c r="J167" s="1811"/>
      <c r="M167" s="28"/>
      <c r="N167" s="28"/>
      <c r="O167" s="28"/>
      <c r="P167" s="28"/>
      <c r="Q167" s="28"/>
    </row>
    <row r="168" spans="1:17" ht="29.55" customHeight="1" x14ac:dyDescent="0.3">
      <c r="A168" s="23" t="str">
        <f>IF('Non TB - Note 3 - 9'!F50=1,"Print","Do Not Print")</f>
        <v>Print</v>
      </c>
      <c r="D168" s="1506" t="str">
        <f>IF('Non TB - Note 3 - 9'!F50=1,'Non TB - Note 3 - 9'!H50,"")</f>
        <v>The Council has a gross investment in the lease, made up of the minimum lease payments expected to be received over the remaining term and the residual value anticipated for the property when the lease comes to an end.</v>
      </c>
      <c r="E168" s="1506"/>
      <c r="F168" s="1506"/>
      <c r="G168" s="1506"/>
      <c r="H168" s="1506"/>
      <c r="I168" s="1506"/>
      <c r="J168" s="1506"/>
      <c r="M168" s="28"/>
      <c r="N168" s="28"/>
      <c r="O168" s="28"/>
      <c r="P168" s="28"/>
      <c r="Q168" s="28"/>
    </row>
    <row r="169" spans="1:17" ht="13.5" customHeight="1" x14ac:dyDescent="0.3">
      <c r="A169" s="23" t="str">
        <f>IF(A168="Print","Print","Do Not Print")</f>
        <v>Print</v>
      </c>
      <c r="D169" s="1506"/>
      <c r="E169" s="1506"/>
      <c r="F169" s="1506"/>
      <c r="G169" s="1506"/>
      <c r="H169" s="1506"/>
      <c r="I169" s="1506"/>
      <c r="J169" s="1506"/>
      <c r="M169" s="28"/>
      <c r="N169" s="28"/>
      <c r="O169" s="28"/>
      <c r="P169" s="28"/>
      <c r="Q169" s="28"/>
    </row>
    <row r="170" spans="1:17" ht="43.05" customHeight="1" x14ac:dyDescent="0.3">
      <c r="A170" s="23" t="str">
        <f>IF('Non TB - Note 3 - 9'!F51=1,"Print","Do Not Print")</f>
        <v>Print</v>
      </c>
      <c r="D170" s="1506" t="str">
        <f>IF('Non TB - Note 3 - 9'!F51=1,'Non TB - Note 3 - 9'!H51,"")</f>
        <v>The minimum lease payments comprise settlement of the long-term debtor for the interest in the property acquired by the lessee and finance income that will be earned by the Council in future years while the debtor remains outstanding.  The gross investment is made up of the following amounts:</v>
      </c>
      <c r="E170" s="1506"/>
      <c r="F170" s="1506"/>
      <c r="G170" s="1506"/>
      <c r="H170" s="1506"/>
      <c r="I170" s="1506"/>
      <c r="J170" s="1506"/>
      <c r="M170" s="28"/>
      <c r="N170" s="28"/>
      <c r="O170" s="28"/>
      <c r="P170" s="28"/>
      <c r="Q170" s="28"/>
    </row>
    <row r="171" spans="1:17" ht="12.75" customHeight="1" x14ac:dyDescent="0.3">
      <c r="A171" s="23" t="str">
        <f>IF(A170="Print","Print","Do Not Print")</f>
        <v>Print</v>
      </c>
      <c r="D171" s="1538"/>
      <c r="E171" s="1538"/>
      <c r="F171" s="1538"/>
      <c r="G171" s="1538"/>
      <c r="H171" s="1538"/>
      <c r="I171" s="1538"/>
      <c r="J171" s="1538"/>
      <c r="M171" s="28"/>
      <c r="N171" s="28"/>
      <c r="O171" s="28"/>
      <c r="P171" s="28"/>
      <c r="Q171" s="28"/>
    </row>
    <row r="172" spans="1:17" ht="13.5" customHeight="1" x14ac:dyDescent="0.3">
      <c r="A172" s="23" t="str">
        <f>IF(A180="Print","Print","Do Not Print")</f>
        <v>Do Not Print</v>
      </c>
      <c r="D172" s="474"/>
      <c r="E172" s="480"/>
      <c r="F172" s="480"/>
      <c r="G172" s="480"/>
      <c r="H172" s="480"/>
      <c r="I172" s="486" t="str">
        <f>'Standing Data'!D40</f>
        <v>31st March 2026</v>
      </c>
      <c r="J172" s="486" t="str">
        <f>'Standing Data'!D66</f>
        <v>31st March 2025</v>
      </c>
      <c r="M172" s="28"/>
      <c r="N172" s="28"/>
      <c r="O172" s="28"/>
      <c r="P172" s="28"/>
      <c r="Q172" s="28"/>
    </row>
    <row r="173" spans="1:17" ht="13.5" customHeight="1" x14ac:dyDescent="0.3">
      <c r="A173" s="23" t="str">
        <f>IF(A172="Print","Print","Do Not Print")</f>
        <v>Do Not Print</v>
      </c>
      <c r="D173" s="469"/>
      <c r="E173" s="483"/>
      <c r="F173" s="483"/>
      <c r="G173" s="483"/>
      <c r="H173" s="483"/>
      <c r="I173" s="484" t="s">
        <v>450</v>
      </c>
      <c r="J173" s="484" t="s">
        <v>450</v>
      </c>
      <c r="M173" s="28"/>
      <c r="N173" s="28"/>
      <c r="O173" s="28"/>
      <c r="P173" s="28"/>
      <c r="Q173" s="28"/>
    </row>
    <row r="174" spans="1:17" ht="12.75" customHeight="1" x14ac:dyDescent="0.3">
      <c r="A174" s="23" t="str">
        <f>IF(A172="Print","Print","Do Not Print")</f>
        <v>Do Not Print</v>
      </c>
      <c r="D174" s="1805"/>
      <c r="E174" s="1806"/>
      <c r="F174" s="1806"/>
      <c r="G174" s="1806"/>
      <c r="H174" s="1806"/>
      <c r="I174" s="1806"/>
      <c r="J174" s="1807"/>
      <c r="M174" s="28"/>
      <c r="N174" s="28"/>
      <c r="O174" s="28"/>
      <c r="P174" s="28"/>
      <c r="Q174" s="28"/>
    </row>
    <row r="175" spans="1:17" ht="12.75" customHeight="1" x14ac:dyDescent="0.3">
      <c r="A175" s="23" t="str">
        <f>IF(AND(I179=0,J179=0),"Do Not Print","Print")</f>
        <v>Do Not Print</v>
      </c>
      <c r="D175" s="1805" t="s">
        <v>2840</v>
      </c>
      <c r="E175" s="1806"/>
      <c r="F175" s="1806"/>
      <c r="G175" s="1806"/>
      <c r="H175" s="1807"/>
      <c r="I175" s="1808"/>
      <c r="J175" s="1807"/>
      <c r="M175" s="28"/>
      <c r="N175" s="28"/>
      <c r="O175" s="28"/>
      <c r="P175" s="28"/>
      <c r="Q175" s="28"/>
    </row>
    <row r="176" spans="1:17" ht="13.5" customHeight="1" x14ac:dyDescent="0.3">
      <c r="A176" s="23" t="str">
        <f>IF(AND(I176=0,J176=0),"Do Not Print","Print")</f>
        <v>Do Not Print</v>
      </c>
      <c r="D176" s="1738" t="s">
        <v>1562</v>
      </c>
      <c r="E176" s="1803"/>
      <c r="F176" s="1803"/>
      <c r="G176" s="1803"/>
      <c r="H176" s="1739"/>
      <c r="I176" s="503">
        <f>'Non TB - Note 3 - 9'!H52</f>
        <v>0</v>
      </c>
      <c r="J176" s="503">
        <f>'Non TB - Note 3 - 9'!I52</f>
        <v>0</v>
      </c>
      <c r="M176" s="28"/>
      <c r="N176" s="28"/>
      <c r="O176" s="28"/>
      <c r="P176" s="28"/>
      <c r="Q176" s="28"/>
    </row>
    <row r="177" spans="1:17" ht="13.5" customHeight="1" x14ac:dyDescent="0.3">
      <c r="A177" s="23" t="str">
        <f>IF(AND(I177=0,J177=0),"Do Not Print","Print")</f>
        <v>Do Not Print</v>
      </c>
      <c r="D177" s="1738" t="s">
        <v>2614</v>
      </c>
      <c r="E177" s="1803"/>
      <c r="F177" s="1803"/>
      <c r="G177" s="1803"/>
      <c r="H177" s="1739"/>
      <c r="I177" s="503">
        <f>-'Non TB - Note 3 - 9'!H53</f>
        <v>0</v>
      </c>
      <c r="J177" s="503">
        <f>-'Non TB - Note 3 - 9'!I53</f>
        <v>0</v>
      </c>
      <c r="M177" s="28"/>
      <c r="N177" s="28"/>
      <c r="O177" s="28"/>
      <c r="P177" s="28"/>
      <c r="Q177" s="28"/>
    </row>
    <row r="178" spans="1:17" ht="13.5" customHeight="1" x14ac:dyDescent="0.3">
      <c r="A178" s="23" t="str">
        <f>IF(AND(I178=0,J178=0),"Do Not Print","Print")</f>
        <v>Do Not Print</v>
      </c>
      <c r="D178" s="1738" t="s">
        <v>2587</v>
      </c>
      <c r="E178" s="1803"/>
      <c r="F178" s="1803"/>
      <c r="G178" s="1803"/>
      <c r="H178" s="1739"/>
      <c r="I178" s="503">
        <f>-'Non TB - Note 3 - 9'!H54</f>
        <v>0</v>
      </c>
      <c r="J178" s="503">
        <f>-'Non TB - Note 3 - 9'!I54</f>
        <v>0</v>
      </c>
      <c r="M178" s="28"/>
      <c r="N178" s="28"/>
      <c r="O178" s="28"/>
      <c r="P178" s="28"/>
      <c r="Q178" s="28"/>
    </row>
    <row r="179" spans="1:17" ht="12.75" customHeight="1" x14ac:dyDescent="0.3">
      <c r="A179" s="23" t="str">
        <f>IF(AND(I179=0,J179=0),"Do Not Print","Print")</f>
        <v>Do Not Print</v>
      </c>
      <c r="D179" s="1738" t="s">
        <v>2588</v>
      </c>
      <c r="E179" s="1803"/>
      <c r="F179" s="1803"/>
      <c r="G179" s="1803"/>
      <c r="H179" s="1739"/>
      <c r="I179" s="503">
        <f>-'Non TB - Note 3 - 9'!H55</f>
        <v>0</v>
      </c>
      <c r="J179" s="503">
        <f>-'Non TB - Note 3 - 9'!I55</f>
        <v>0</v>
      </c>
      <c r="M179" s="28"/>
      <c r="N179" s="28"/>
      <c r="O179" s="28"/>
      <c r="P179" s="28"/>
      <c r="Q179" s="28"/>
    </row>
    <row r="180" spans="1:17" ht="12.75" customHeight="1" x14ac:dyDescent="0.3">
      <c r="A180" s="23" t="str">
        <f>IF(AND(I180=0,J180=0),"Do Not Print","Print")</f>
        <v>Do Not Print</v>
      </c>
      <c r="D180" s="1812" t="s">
        <v>2620</v>
      </c>
      <c r="E180" s="1812"/>
      <c r="F180" s="1812"/>
      <c r="G180" s="1812"/>
      <c r="H180" s="1812"/>
      <c r="I180" s="885">
        <f>SUM(I176:I179)</f>
        <v>0</v>
      </c>
      <c r="J180" s="885">
        <f>SUM(J176:J179)</f>
        <v>0</v>
      </c>
      <c r="M180" s="28"/>
      <c r="N180" s="28"/>
      <c r="O180" s="28"/>
      <c r="P180" s="28"/>
      <c r="Q180" s="28"/>
    </row>
    <row r="181" spans="1:17" ht="12.75" customHeight="1" x14ac:dyDescent="0.3">
      <c r="A181" s="3" t="str">
        <f>IF(A180="Print","Print","Do Not Print")</f>
        <v>Do Not Print</v>
      </c>
      <c r="D181" s="1804"/>
      <c r="E181" s="1804"/>
      <c r="F181" s="1804"/>
      <c r="G181" s="1804"/>
      <c r="H181" s="1804"/>
      <c r="I181" s="1804"/>
      <c r="J181" s="1804"/>
      <c r="M181" s="28"/>
      <c r="N181" s="28"/>
      <c r="O181" s="28"/>
      <c r="P181" s="28"/>
      <c r="Q181" s="28"/>
    </row>
    <row r="182" spans="1:17" ht="12.75" customHeight="1" x14ac:dyDescent="0.3">
      <c r="A182" s="3" t="str">
        <f>IF('Non TB - Note 3 - 9'!F56=1,"Print","Do Not Print")</f>
        <v>Print</v>
      </c>
      <c r="D182" s="1500" t="str">
        <f>IF('Non TB - Note 3 - 9'!F56=1,'Non TB - Note 3 - 9'!H56,"")</f>
        <v>The gross investment in the lease and the minimum lease payments will be received over the following periods:</v>
      </c>
      <c r="E182" s="1500"/>
      <c r="F182" s="1500"/>
      <c r="G182" s="1500"/>
      <c r="H182" s="1500"/>
      <c r="I182" s="1500"/>
      <c r="J182" s="1500"/>
      <c r="M182" s="28"/>
      <c r="N182" s="28"/>
      <c r="O182" s="28"/>
      <c r="P182" s="28"/>
      <c r="Q182" s="28"/>
    </row>
    <row r="183" spans="1:17" ht="12.75" customHeight="1" x14ac:dyDescent="0.3">
      <c r="A183" s="3" t="str">
        <f>IF(A182="Print","Print","Do Not Print")</f>
        <v>Print</v>
      </c>
      <c r="D183" s="1538"/>
      <c r="E183" s="1538"/>
      <c r="F183" s="1538"/>
      <c r="G183" s="1538"/>
      <c r="H183" s="1538"/>
      <c r="I183" s="1538"/>
      <c r="J183" s="1538"/>
      <c r="M183" s="28"/>
      <c r="N183" s="28"/>
      <c r="O183" s="28"/>
      <c r="P183" s="28"/>
      <c r="Q183" s="28"/>
    </row>
    <row r="184" spans="1:17" ht="12.75" customHeight="1" x14ac:dyDescent="0.3">
      <c r="A184" s="3" t="str">
        <f>IF(A190="Print","Print","Do Not Print")</f>
        <v>Do Not Print</v>
      </c>
      <c r="D184" s="1762"/>
      <c r="E184" s="1762"/>
      <c r="F184" s="1762"/>
      <c r="G184" s="1763" t="s">
        <v>2615</v>
      </c>
      <c r="H184" s="1763"/>
      <c r="I184" s="1763" t="s">
        <v>2616</v>
      </c>
      <c r="J184" s="1763"/>
      <c r="M184" s="28"/>
      <c r="N184" s="28"/>
      <c r="O184" s="28"/>
      <c r="P184" s="28"/>
      <c r="Q184" s="28"/>
    </row>
    <row r="185" spans="1:17" ht="12.75" customHeight="1" x14ac:dyDescent="0.3">
      <c r="A185" s="3" t="str">
        <f>IF(A184="Print","Print","Do Not Print")</f>
        <v>Do Not Print</v>
      </c>
      <c r="D185" s="1761"/>
      <c r="E185" s="1761"/>
      <c r="F185" s="1761"/>
      <c r="G185" s="484" t="str">
        <f>'Standing Data'!D40</f>
        <v>31st March 2026</v>
      </c>
      <c r="H185" s="484" t="str">
        <f>'Standing Data'!D66</f>
        <v>31st March 2025</v>
      </c>
      <c r="I185" s="484" t="str">
        <f>'Standing Data'!D40</f>
        <v>31st March 2026</v>
      </c>
      <c r="J185" s="484" t="str">
        <f>'Standing Data'!D66</f>
        <v>31st March 2025</v>
      </c>
      <c r="M185" s="28"/>
      <c r="N185" s="28"/>
      <c r="O185" s="28"/>
      <c r="P185" s="28"/>
      <c r="Q185" s="28"/>
    </row>
    <row r="186" spans="1:17" ht="12.75" customHeight="1" x14ac:dyDescent="0.3">
      <c r="A186" s="3" t="str">
        <f>IF(A184="Print","Print","Do Not Print")</f>
        <v>Do Not Print</v>
      </c>
      <c r="D186" s="1761"/>
      <c r="E186" s="1761"/>
      <c r="F186" s="1761"/>
      <c r="G186" s="484" t="s">
        <v>450</v>
      </c>
      <c r="H186" s="484" t="s">
        <v>450</v>
      </c>
      <c r="I186" s="484" t="s">
        <v>450</v>
      </c>
      <c r="J186" s="484" t="s">
        <v>450</v>
      </c>
      <c r="M186" s="28"/>
      <c r="N186" s="28"/>
      <c r="O186" s="28"/>
      <c r="P186" s="28"/>
      <c r="Q186" s="28"/>
    </row>
    <row r="187" spans="1:17" ht="12.75" customHeight="1" x14ac:dyDescent="0.3">
      <c r="A187" s="3" t="str">
        <f>IF(AND(G187=0, H187=0,I187=0,J187=0),"Do Not Print","Print")</f>
        <v>Do Not Print</v>
      </c>
      <c r="D187" s="1500" t="s">
        <v>2373</v>
      </c>
      <c r="E187" s="1500"/>
      <c r="F187" s="1500"/>
      <c r="G187" s="525">
        <f>'Non TB - Note 3 - 9'!H57</f>
        <v>0</v>
      </c>
      <c r="H187" s="525">
        <f>'Non TB - Note 3 - 9'!I57</f>
        <v>0</v>
      </c>
      <c r="I187" s="525">
        <f>'Non TB - Note 3 - 9'!H60</f>
        <v>0</v>
      </c>
      <c r="J187" s="525">
        <f>'Non TB - Note 3 - 9'!I60</f>
        <v>0</v>
      </c>
      <c r="M187" s="28"/>
      <c r="N187" s="28"/>
      <c r="O187" s="28"/>
      <c r="P187" s="28"/>
      <c r="Q187" s="28"/>
    </row>
    <row r="188" spans="1:17" ht="12.75" customHeight="1" x14ac:dyDescent="0.3">
      <c r="A188" s="3" t="str">
        <f t="shared" ref="A188:A190" si="8">IF(AND(G188=0, H188=0,I188=0,J188=0),"Do Not Print","Print")</f>
        <v>Do Not Print</v>
      </c>
      <c r="D188" s="1500" t="s">
        <v>2595</v>
      </c>
      <c r="E188" s="1500"/>
      <c r="F188" s="1500"/>
      <c r="G188" s="525">
        <f>'Non TB - Note 3 - 9'!H58</f>
        <v>0</v>
      </c>
      <c r="H188" s="525">
        <f>'Non TB - Note 3 - 9'!I58</f>
        <v>0</v>
      </c>
      <c r="I188" s="525">
        <f>'Non TB - Note 3 - 9'!H61</f>
        <v>0</v>
      </c>
      <c r="J188" s="525">
        <f>'Non TB - Note 3 - 9'!I61</f>
        <v>0</v>
      </c>
      <c r="M188" s="28"/>
      <c r="N188" s="28"/>
      <c r="O188" s="28"/>
      <c r="P188" s="28"/>
      <c r="Q188" s="28"/>
    </row>
    <row r="189" spans="1:17" ht="12.75" customHeight="1" x14ac:dyDescent="0.3">
      <c r="A189" s="3" t="str">
        <f t="shared" si="8"/>
        <v>Do Not Print</v>
      </c>
      <c r="D189" s="1500" t="s">
        <v>2596</v>
      </c>
      <c r="E189" s="1500"/>
      <c r="F189" s="1500"/>
      <c r="G189" s="525">
        <f>'Non TB - Note 3 - 9'!H59</f>
        <v>0</v>
      </c>
      <c r="H189" s="525">
        <f>'Non TB - Note 3 - 9'!I59</f>
        <v>0</v>
      </c>
      <c r="I189" s="525">
        <f>'Non TB - Note 3 - 9'!H62</f>
        <v>0</v>
      </c>
      <c r="J189" s="525">
        <f>'Non TB - Note 3 - 9'!I62</f>
        <v>0</v>
      </c>
      <c r="M189" s="28"/>
      <c r="N189" s="28"/>
      <c r="O189" s="28"/>
      <c r="P189" s="28"/>
      <c r="Q189" s="28"/>
    </row>
    <row r="190" spans="1:17" ht="12.75" customHeight="1" x14ac:dyDescent="0.3">
      <c r="A190" s="3" t="str">
        <f t="shared" si="8"/>
        <v>Do Not Print</v>
      </c>
      <c r="D190" s="479"/>
      <c r="E190" s="479"/>
      <c r="F190" s="479"/>
      <c r="G190" s="885">
        <f>SUM(G187:G189)</f>
        <v>0</v>
      </c>
      <c r="H190" s="885">
        <f t="shared" ref="H190:J190" si="9">SUM(H187:H189)</f>
        <v>0</v>
      </c>
      <c r="I190" s="885">
        <f t="shared" si="9"/>
        <v>0</v>
      </c>
      <c r="J190" s="885">
        <f t="shared" si="9"/>
        <v>0</v>
      </c>
      <c r="M190" s="28"/>
      <c r="N190" s="28"/>
      <c r="O190" s="28"/>
      <c r="P190" s="28"/>
      <c r="Q190" s="28"/>
    </row>
    <row r="191" spans="1:17" ht="12.75" customHeight="1" x14ac:dyDescent="0.3">
      <c r="A191" s="3" t="str">
        <f>IF(A190="Print","Print","Do Not Print")</f>
        <v>Do Not Print</v>
      </c>
      <c r="D191" s="1538"/>
      <c r="E191" s="1538"/>
      <c r="F191" s="1538"/>
      <c r="G191" s="405"/>
      <c r="H191" s="405"/>
      <c r="I191" s="405"/>
      <c r="J191" s="405"/>
      <c r="M191" s="28"/>
      <c r="N191" s="28"/>
      <c r="O191" s="28"/>
      <c r="P191" s="28"/>
      <c r="Q191" s="28"/>
    </row>
    <row r="192" spans="1:17" ht="34.5" customHeight="1" x14ac:dyDescent="0.3">
      <c r="A192" s="23" t="str">
        <f>IF('Non TB - Note 3 - 9'!F63=1,"Print","Do Not Print")</f>
        <v>Print</v>
      </c>
      <c r="D192" s="1506" t="str">
        <f>IF('Non TB - Note 3 - 9'!F63=1,'Non TB - Note 3 - 9'!H63,"")</f>
        <v>As there is a possibility that worsening financial circumstances might result in lease payments not being made, the Council has set aside an allowance for uncollectable amounts of £x (£x at 31 March 2025).</v>
      </c>
      <c r="E192" s="1506"/>
      <c r="F192" s="1506"/>
      <c r="G192" s="1506"/>
      <c r="H192" s="1506"/>
      <c r="I192" s="1506"/>
      <c r="J192" s="1506"/>
      <c r="M192" s="28"/>
      <c r="N192" s="28"/>
      <c r="O192" s="28"/>
      <c r="P192" s="28"/>
      <c r="Q192" s="28"/>
    </row>
    <row r="193" spans="1:17" ht="13.5" customHeight="1" x14ac:dyDescent="0.3">
      <c r="A193" s="3" t="str">
        <f>IF(A192="Print","Print","Do Not Print")</f>
        <v>Print</v>
      </c>
      <c r="D193" s="1506"/>
      <c r="E193" s="1506"/>
      <c r="F193" s="1506"/>
      <c r="G193" s="1506"/>
      <c r="H193" s="1506"/>
      <c r="I193" s="1506"/>
      <c r="J193" s="1506"/>
      <c r="M193" s="28"/>
      <c r="N193" s="28"/>
      <c r="O193" s="28"/>
      <c r="P193" s="28"/>
      <c r="Q193" s="28"/>
    </row>
    <row r="194" spans="1:17" ht="33.75" customHeight="1" x14ac:dyDescent="0.3">
      <c r="A194" s="23" t="str">
        <f>IF('Non TB - Note 3 - 9'!F64=1,"Print","Do Not Print")</f>
        <v>Print</v>
      </c>
      <c r="D194" s="1506" t="str">
        <f>IF('Non TB - Note 3 - 9'!F64=1,'Non TB - Note 3 - 9'!H64,"")</f>
        <v>The minimum lease payments do not include rents that are contingent on events taking place after the lease was entered into, such as adjustments following rent reviews.  In 2025/26, £x contingent rents were receivable by the Council (2024/25 £x).</v>
      </c>
      <c r="E194" s="1506"/>
      <c r="F194" s="1506"/>
      <c r="G194" s="1506"/>
      <c r="H194" s="1506"/>
      <c r="I194" s="1506"/>
      <c r="J194" s="1506"/>
      <c r="M194" s="28"/>
      <c r="N194" s="28"/>
      <c r="O194" s="28"/>
      <c r="P194" s="28"/>
      <c r="Q194" s="28"/>
    </row>
    <row r="195" spans="1:17" ht="13.5" customHeight="1" x14ac:dyDescent="0.3">
      <c r="A195" s="3" t="str">
        <f>IF(A194="Print","Print","Do Not Print")</f>
        <v>Print</v>
      </c>
      <c r="D195" s="1506"/>
      <c r="E195" s="1506"/>
      <c r="F195" s="1506"/>
      <c r="G195" s="1506"/>
      <c r="H195" s="1506"/>
      <c r="I195" s="1506"/>
      <c r="J195" s="1506"/>
      <c r="M195" s="28"/>
      <c r="N195" s="28"/>
      <c r="O195" s="28"/>
      <c r="P195" s="28"/>
      <c r="Q195" s="28"/>
    </row>
    <row r="196" spans="1:17" ht="28.5" customHeight="1" x14ac:dyDescent="0.3">
      <c r="A196" s="23" t="str">
        <f>IF('Non TB - Note 3 - 9'!F65=1,"Print","Do Not Print")</f>
        <v>Print</v>
      </c>
      <c r="D196" s="1506" t="str">
        <f>IF('Non TB - Note 3 - 9'!F65=1,'Non TB - Note 3 - 9'!H65,"")</f>
        <v>Additional narrative</v>
      </c>
      <c r="E196" s="1506"/>
      <c r="F196" s="1506"/>
      <c r="G196" s="1506"/>
      <c r="H196" s="1506"/>
      <c r="I196" s="1506"/>
      <c r="J196" s="1506"/>
      <c r="M196" s="28"/>
      <c r="N196" s="28"/>
      <c r="O196" s="28"/>
      <c r="P196" s="28"/>
      <c r="Q196" s="28"/>
    </row>
    <row r="197" spans="1:17" ht="13.5" customHeight="1" x14ac:dyDescent="0.3">
      <c r="A197" s="3" t="str">
        <f>IF(A196="Print","Print","Do Not Print")</f>
        <v>Print</v>
      </c>
      <c r="D197" s="1506"/>
      <c r="E197" s="1506"/>
      <c r="F197" s="1506"/>
      <c r="G197" s="1506"/>
      <c r="H197" s="1506"/>
      <c r="I197" s="1506"/>
      <c r="J197" s="1506"/>
      <c r="M197" s="28"/>
      <c r="N197" s="28"/>
      <c r="O197" s="28"/>
      <c r="P197" s="28"/>
      <c r="Q197" s="28"/>
    </row>
    <row r="198" spans="1:17" ht="30" customHeight="1" x14ac:dyDescent="0.3">
      <c r="A198" s="23" t="str">
        <f>IF('Non TB - Note 3 - 9'!F66=1,"Print","Do Not Print")</f>
        <v>Print</v>
      </c>
      <c r="D198" s="1506" t="str">
        <f>IF('Non TB - Note 3 - 9'!F66=1,'Non TB - Note 3 - 9'!H66,"")</f>
        <v>Additional narrative</v>
      </c>
      <c r="E198" s="1506"/>
      <c r="F198" s="1506"/>
      <c r="G198" s="1506"/>
      <c r="H198" s="1506"/>
      <c r="I198" s="1506"/>
      <c r="J198" s="1506"/>
      <c r="M198" s="28"/>
      <c r="N198" s="28"/>
      <c r="O198" s="28"/>
      <c r="P198" s="28"/>
      <c r="Q198" s="28"/>
    </row>
    <row r="199" spans="1:17" ht="13.5" customHeight="1" x14ac:dyDescent="0.3">
      <c r="A199" s="3" t="str">
        <f>IF(A198="Print","Print","Do Not Print")</f>
        <v>Print</v>
      </c>
      <c r="D199" s="1500"/>
      <c r="E199" s="1500"/>
      <c r="F199" s="1500"/>
      <c r="G199" s="1500"/>
      <c r="H199" s="1500"/>
      <c r="I199" s="1500"/>
      <c r="J199" s="1500"/>
      <c r="M199" s="28"/>
      <c r="N199" s="28"/>
      <c r="O199" s="28"/>
      <c r="P199" s="28"/>
      <c r="Q199" s="28"/>
    </row>
    <row r="200" spans="1:17" ht="19.5" customHeight="1" x14ac:dyDescent="0.3">
      <c r="A200" s="23" t="str">
        <f>IF('Non TB - Note 3 - 9'!F67=1,"Print","Do Not Print")</f>
        <v>Print</v>
      </c>
      <c r="D200" s="1510" t="str">
        <f>IF('Non TB - Note 3 - 9'!F67=1,'Non TB - Note 3 - 9'!H67,"")</f>
        <v>Additional narrative</v>
      </c>
      <c r="E200" s="1510"/>
      <c r="F200" s="1510"/>
      <c r="G200" s="1510"/>
      <c r="H200" s="1510"/>
      <c r="I200" s="1510"/>
      <c r="J200" s="1510"/>
      <c r="K200" s="1510"/>
      <c r="M200" s="28"/>
      <c r="N200" s="28"/>
      <c r="O200" s="28"/>
      <c r="P200" s="28"/>
      <c r="Q200" s="28"/>
    </row>
    <row r="201" spans="1:17" x14ac:dyDescent="0.3">
      <c r="A201" s="3" t="str">
        <f>IF(A200="Print","Print","Do Not Print")</f>
        <v>Print</v>
      </c>
      <c r="D201" s="1510"/>
      <c r="E201" s="1510"/>
      <c r="F201" s="1510"/>
      <c r="G201" s="1510"/>
      <c r="H201" s="1510"/>
      <c r="I201" s="1510"/>
      <c r="J201" s="1510"/>
      <c r="K201" s="1510"/>
      <c r="M201" s="28"/>
      <c r="N201" s="28"/>
      <c r="O201" s="28"/>
      <c r="P201" s="28"/>
      <c r="Q201" s="28"/>
    </row>
    <row r="202" spans="1:17" x14ac:dyDescent="0.3">
      <c r="A202" s="3" t="str">
        <f>IF(A203="Print","Print","Do Not Print")</f>
        <v>Print</v>
      </c>
      <c r="D202" s="479"/>
      <c r="E202" s="480"/>
      <c r="F202" s="480"/>
      <c r="G202" s="480"/>
      <c r="H202" s="504"/>
      <c r="I202" s="504"/>
      <c r="J202" s="504"/>
      <c r="K202" s="504"/>
      <c r="M202" s="28"/>
      <c r="N202" s="28"/>
      <c r="O202" s="28"/>
      <c r="P202" s="28"/>
      <c r="Q202" s="28"/>
    </row>
    <row r="203" spans="1:17" x14ac:dyDescent="0.3">
      <c r="A203" s="23" t="str">
        <f>IF(OR(A205="Print",A207="Print",A214="Print",A216="Print"),"Print","Do Not Print")</f>
        <v>Print</v>
      </c>
      <c r="C203" s="467" t="str">
        <f>Checklist!E65</f>
        <v>b</v>
      </c>
      <c r="D203" s="469" t="s">
        <v>258</v>
      </c>
      <c r="E203" s="483"/>
      <c r="F203" s="483"/>
      <c r="G203" s="470"/>
      <c r="H203" s="505"/>
      <c r="I203" s="470"/>
      <c r="J203" s="505"/>
      <c r="K203" s="505"/>
      <c r="M203" s="28"/>
      <c r="N203" s="28"/>
      <c r="O203" s="28"/>
      <c r="P203" s="28"/>
      <c r="Q203" s="28"/>
    </row>
    <row r="204" spans="1:17" x14ac:dyDescent="0.3">
      <c r="A204" s="3" t="str">
        <f>IF(A203="Print","Print","Do Not Print")</f>
        <v>Print</v>
      </c>
      <c r="D204" s="1500"/>
      <c r="E204" s="1500"/>
      <c r="F204" s="1500"/>
      <c r="G204" s="1500"/>
      <c r="H204" s="1500"/>
      <c r="I204" s="1500"/>
      <c r="J204" s="1500"/>
      <c r="K204" s="1500"/>
      <c r="M204" s="28"/>
      <c r="N204" s="28"/>
      <c r="O204" s="28"/>
      <c r="P204" s="28"/>
      <c r="Q204" s="28"/>
    </row>
    <row r="205" spans="1:17" ht="55.5" customHeight="1" x14ac:dyDescent="0.3">
      <c r="A205" s="23" t="str">
        <f>IF('Non TB - Note 3 - 9'!F68=1,"Print","Do Not Print")</f>
        <v>Print</v>
      </c>
      <c r="D205" s="1506" t="str">
        <f>IF('Non TB - Note 3 - 9'!F68=1,'Non TB - Note 3 - 9'!H68,"")</f>
        <v>The Council leases out property and equipment under operating leases for the following purposes:
- for the provision of community services, such as sports facilities, tourism services and community centres.
- for economic development purposes to provide suitable affordable accommodation for local businesses.</v>
      </c>
      <c r="E205" s="1506"/>
      <c r="F205" s="1506"/>
      <c r="G205" s="1506"/>
      <c r="H205" s="1506"/>
      <c r="I205" s="1506"/>
      <c r="J205" s="1506"/>
      <c r="K205" s="1506"/>
      <c r="M205" s="28"/>
      <c r="N205" s="28"/>
      <c r="O205" s="28"/>
      <c r="P205" s="28"/>
      <c r="Q205" s="28"/>
    </row>
    <row r="206" spans="1:17" x14ac:dyDescent="0.3">
      <c r="A206" s="3" t="str">
        <f>IF(A205="Print","Print","Do Not Print")</f>
        <v>Print</v>
      </c>
      <c r="D206" s="1506"/>
      <c r="E206" s="1506"/>
      <c r="F206" s="1506"/>
      <c r="G206" s="1506"/>
      <c r="H206" s="1506"/>
      <c r="I206" s="1506"/>
      <c r="J206" s="1506"/>
      <c r="K206" s="1506"/>
      <c r="M206" s="28"/>
      <c r="N206" s="28"/>
      <c r="O206" s="28"/>
      <c r="P206" s="28"/>
      <c r="Q206" s="28"/>
    </row>
    <row r="207" spans="1:17" ht="22.5" customHeight="1" x14ac:dyDescent="0.3">
      <c r="A207" s="23" t="str">
        <f>IF('Non TB - Note 3 - 9'!F69=1,"Print","Do Not Print")</f>
        <v>Print</v>
      </c>
      <c r="D207" s="1506" t="str">
        <f>IF('Non TB - Note 3 - 9'!F69=1,'Non TB - Note 3 - 9'!H69,"")</f>
        <v>The future minimum lease payments due under  non-cancellable operating leases in future years are:</v>
      </c>
      <c r="E207" s="1506"/>
      <c r="F207" s="1506"/>
      <c r="G207" s="1506"/>
      <c r="H207" s="1506"/>
      <c r="I207" s="1506"/>
      <c r="J207" s="1506"/>
      <c r="K207" s="1506"/>
      <c r="M207" s="28"/>
      <c r="N207" s="28"/>
      <c r="O207" s="28"/>
      <c r="P207" s="28"/>
      <c r="Q207" s="28"/>
    </row>
    <row r="208" spans="1:17" x14ac:dyDescent="0.3">
      <c r="A208" s="3" t="str">
        <f>IF(A207="Print","Print","Do Not Print")</f>
        <v>Print</v>
      </c>
      <c r="D208" s="1506"/>
      <c r="E208" s="1506"/>
      <c r="F208" s="1506"/>
      <c r="G208" s="1506"/>
      <c r="H208" s="1506"/>
      <c r="I208" s="1506"/>
      <c r="J208" s="1506"/>
      <c r="K208" s="1506"/>
      <c r="M208" s="28"/>
      <c r="N208" s="28"/>
      <c r="O208" s="28"/>
      <c r="P208" s="28"/>
      <c r="Q208" s="28"/>
    </row>
    <row r="209" spans="1:17" x14ac:dyDescent="0.3">
      <c r="A209" s="23" t="str">
        <f>IF(A214="Print","Print","Do Not Print")</f>
        <v>Do Not Print</v>
      </c>
      <c r="D209" s="479"/>
      <c r="E209" s="480"/>
      <c r="F209" s="480"/>
      <c r="G209" s="1759" t="str">
        <f>'Standing Data'!D40</f>
        <v>31st March 2026</v>
      </c>
      <c r="H209" s="1759"/>
      <c r="I209" s="1759" t="str">
        <f>'Standing Data'!D66</f>
        <v>31st March 2025</v>
      </c>
      <c r="J209" s="1759"/>
      <c r="M209" s="28"/>
      <c r="N209" s="28"/>
      <c r="O209" s="28"/>
      <c r="P209" s="28"/>
      <c r="Q209" s="28"/>
    </row>
    <row r="210" spans="1:17" x14ac:dyDescent="0.3">
      <c r="A210" s="23" t="str">
        <f>IF(A209="Print","Print","Do Not Print")</f>
        <v>Do Not Print</v>
      </c>
      <c r="D210" s="482"/>
      <c r="E210" s="483"/>
      <c r="F210" s="483"/>
      <c r="G210" s="1760" t="s">
        <v>450</v>
      </c>
      <c r="H210" s="1760"/>
      <c r="I210" s="1760" t="s">
        <v>450</v>
      </c>
      <c r="J210" s="1760"/>
      <c r="M210" s="28"/>
      <c r="N210" s="28"/>
      <c r="O210" s="28"/>
      <c r="P210" s="28"/>
      <c r="Q210" s="28"/>
    </row>
    <row r="211" spans="1:17" x14ac:dyDescent="0.3">
      <c r="A211" s="23" t="str">
        <f>IF(AND(G211=0,I211=0),"Do Not Print","Print")</f>
        <v>Do Not Print</v>
      </c>
      <c r="D211" s="1756" t="s">
        <v>2619</v>
      </c>
      <c r="E211" s="1756"/>
      <c r="F211" s="1756"/>
      <c r="G211" s="1749">
        <f>'Non TB - Note 3 - 9'!H70</f>
        <v>0</v>
      </c>
      <c r="H211" s="1750"/>
      <c r="I211" s="1749">
        <f>'Non TB - Note 3 - 9'!I70</f>
        <v>0</v>
      </c>
      <c r="J211" s="1750"/>
      <c r="K211" s="3"/>
      <c r="L211" s="3"/>
      <c r="M211" s="3"/>
      <c r="N211" s="28"/>
      <c r="O211" s="28"/>
      <c r="P211" s="28"/>
      <c r="Q211" s="28"/>
    </row>
    <row r="212" spans="1:17" x14ac:dyDescent="0.3">
      <c r="A212" s="23" t="str">
        <f t="shared" ref="A212:A213" si="10">IF(AND(G212=0,I212=0),"Do Not Print","Print")</f>
        <v>Do Not Print</v>
      </c>
      <c r="D212" s="1756" t="s">
        <v>72</v>
      </c>
      <c r="E212" s="1756"/>
      <c r="F212" s="1756"/>
      <c r="G212" s="1749">
        <f>'Non TB - Note 3 - 9'!H71</f>
        <v>0</v>
      </c>
      <c r="H212" s="1750"/>
      <c r="I212" s="1749">
        <f>'Non TB - Note 3 - 9'!I71</f>
        <v>0</v>
      </c>
      <c r="J212" s="1750"/>
      <c r="K212" s="3"/>
      <c r="L212" s="3"/>
      <c r="M212" s="3"/>
      <c r="N212" s="28"/>
      <c r="O212" s="28"/>
      <c r="P212" s="28"/>
      <c r="Q212" s="28"/>
    </row>
    <row r="213" spans="1:17" x14ac:dyDescent="0.3">
      <c r="A213" s="23" t="str">
        <f t="shared" si="10"/>
        <v>Do Not Print</v>
      </c>
      <c r="D213" s="1756" t="s">
        <v>71</v>
      </c>
      <c r="E213" s="1756"/>
      <c r="F213" s="1756"/>
      <c r="G213" s="1749">
        <f>'Non TB - Note 3 - 9'!H72</f>
        <v>0</v>
      </c>
      <c r="H213" s="1750"/>
      <c r="I213" s="1749">
        <f>'Non TB - Note 3 - 9'!I72</f>
        <v>0</v>
      </c>
      <c r="J213" s="1750"/>
      <c r="K213" s="3"/>
      <c r="L213" s="3"/>
      <c r="M213" s="3"/>
      <c r="N213" s="28"/>
      <c r="O213" s="28"/>
      <c r="P213" s="28"/>
      <c r="Q213" s="28"/>
    </row>
    <row r="214" spans="1:17" x14ac:dyDescent="0.3">
      <c r="A214" s="23" t="str">
        <f>IF(AND(G214=0,I214=0),"Do Not Print","Print")</f>
        <v>Do Not Print</v>
      </c>
      <c r="D214" s="479"/>
      <c r="E214" s="480"/>
      <c r="F214" s="480"/>
      <c r="G214" s="1748">
        <f>SUM(G211:G213)</f>
        <v>0</v>
      </c>
      <c r="H214" s="1748"/>
      <c r="I214" s="1748">
        <f>SUM(I211:I213)</f>
        <v>0</v>
      </c>
      <c r="J214" s="1748"/>
      <c r="K214" s="3"/>
      <c r="L214" s="3"/>
      <c r="M214" s="3"/>
      <c r="N214" s="28"/>
      <c r="O214" s="28"/>
      <c r="P214" s="28"/>
      <c r="Q214" s="28"/>
    </row>
    <row r="215" spans="1:17" x14ac:dyDescent="0.3">
      <c r="A215" s="3" t="str">
        <f>IF(A214="Print","Print","Do Not Print")</f>
        <v>Do Not Print</v>
      </c>
      <c r="D215" s="1500"/>
      <c r="E215" s="1500"/>
      <c r="F215" s="1500"/>
      <c r="G215" s="1500"/>
      <c r="H215" s="1500"/>
      <c r="I215" s="1500"/>
      <c r="J215" s="1500"/>
      <c r="K215" s="1500"/>
      <c r="M215" s="28"/>
      <c r="N215" s="28"/>
      <c r="O215" s="28"/>
      <c r="P215" s="28"/>
      <c r="Q215" s="28"/>
    </row>
    <row r="216" spans="1:17" ht="26.25" customHeight="1" x14ac:dyDescent="0.3">
      <c r="A216" s="23" t="str">
        <f>IF('Non TB - Note 3 - 9'!F73=1,"Print","Do Not Print")</f>
        <v>Print</v>
      </c>
      <c r="D216" s="1512" t="str">
        <f>IF('Non TB - Note 3 - 9'!F73=1,'Non TB - Note 3 - 9'!H73,"")</f>
        <v>The minimum lease payments receivable do not include rents that are contingent on events taking place after the lease was entered into, such as adjustments following rent reviews.  In 2025/26, £x contingent rents were receivable by the Council (2024/25 £x).</v>
      </c>
      <c r="E216" s="1512"/>
      <c r="F216" s="1512"/>
      <c r="G216" s="1512"/>
      <c r="H216" s="1512"/>
      <c r="I216" s="1512"/>
      <c r="J216" s="1512"/>
      <c r="K216" s="1512"/>
      <c r="M216" s="28"/>
      <c r="N216" s="28"/>
      <c r="O216" s="28"/>
      <c r="P216" s="28"/>
      <c r="Q216" s="28"/>
    </row>
    <row r="217" spans="1:17" x14ac:dyDescent="0.3">
      <c r="A217" s="3" t="str">
        <f>IF(A216="Print","Print","Do Not Print")</f>
        <v>Print</v>
      </c>
      <c r="D217" s="1500"/>
      <c r="E217" s="1500"/>
      <c r="F217" s="1500"/>
      <c r="G217" s="1500"/>
      <c r="H217" s="1500"/>
      <c r="I217" s="1500"/>
      <c r="J217" s="1500"/>
      <c r="K217" s="1500"/>
      <c r="M217" s="28"/>
      <c r="N217" s="28"/>
      <c r="O217" s="28"/>
      <c r="P217" s="28"/>
      <c r="Q217" s="28"/>
    </row>
    <row r="218" spans="1:17" x14ac:dyDescent="0.3">
      <c r="A218" s="3" t="str">
        <f>IF(A217="Print","Print","Do Not Print")</f>
        <v>Print</v>
      </c>
      <c r="D218" s="1500"/>
      <c r="E218" s="1500"/>
      <c r="F218" s="1500"/>
      <c r="G218" s="1500"/>
      <c r="H218" s="1500"/>
      <c r="I218" s="1500"/>
      <c r="J218" s="1500"/>
      <c r="K218" s="1500"/>
      <c r="M218" s="28"/>
      <c r="N218" s="28"/>
      <c r="O218" s="28"/>
      <c r="P218" s="28"/>
      <c r="Q218" s="28"/>
    </row>
    <row r="219" spans="1:17" x14ac:dyDescent="0.3">
      <c r="A219" s="23" t="str">
        <f>IF(OR(A220="Print",A256="Print"),"Print","Do Not Print")</f>
        <v>Print</v>
      </c>
      <c r="D219" s="474" t="s">
        <v>1160</v>
      </c>
      <c r="E219" s="480"/>
      <c r="F219" s="480"/>
      <c r="G219" s="480"/>
      <c r="H219" s="480"/>
      <c r="I219" s="481"/>
      <c r="J219" s="481"/>
      <c r="K219" s="481"/>
      <c r="M219" s="28"/>
      <c r="N219" s="28"/>
      <c r="O219" s="28"/>
      <c r="P219" s="28"/>
      <c r="Q219" s="28"/>
    </row>
    <row r="220" spans="1:17" x14ac:dyDescent="0.3">
      <c r="A220" s="23" t="str">
        <f>IF(OR(A222="Print",A224="Print",A230="Print",A232="Print",A240="Print",A242="Print",A250="Print",A252="Print",A254="Print"), "Print", "Do Not Print")</f>
        <v>Print</v>
      </c>
      <c r="C220" s="467" t="str">
        <f>Checklist!E66</f>
        <v>c</v>
      </c>
      <c r="D220" s="469" t="s">
        <v>2839</v>
      </c>
      <c r="E220" s="483"/>
      <c r="F220" s="483"/>
      <c r="G220" s="483"/>
      <c r="H220" s="483"/>
      <c r="I220" s="484"/>
      <c r="J220" s="484"/>
      <c r="K220" s="484"/>
      <c r="M220" s="28"/>
      <c r="N220" s="28"/>
      <c r="O220" s="28"/>
      <c r="P220" s="28"/>
      <c r="Q220" s="28"/>
    </row>
    <row r="221" spans="1:17" x14ac:dyDescent="0.3">
      <c r="A221" s="3" t="str">
        <f>IF(A220="Print","Print","Do Not Print")</f>
        <v>Print</v>
      </c>
      <c r="D221" s="1726"/>
      <c r="E221" s="1726"/>
      <c r="F221" s="1726"/>
      <c r="G221" s="1726"/>
      <c r="H221" s="1726"/>
      <c r="I221" s="1726"/>
      <c r="J221" s="1726"/>
      <c r="K221" s="1726"/>
      <c r="M221" s="28"/>
      <c r="N221" s="28"/>
      <c r="O221" s="28"/>
      <c r="P221" s="28"/>
      <c r="Q221" s="28"/>
    </row>
    <row r="222" spans="1:17" ht="16.05" customHeight="1" x14ac:dyDescent="0.3">
      <c r="A222" s="23" t="str">
        <f>IF('Non TB - Note 3 - 9'!F74=1,"Print","Do Not Print")</f>
        <v>Print</v>
      </c>
      <c r="D222" s="1512" t="str">
        <f>IF('Non TB - Note 3 - 9'!F74=1,'Non TB - Note 3 - 9'!H74,"")</f>
        <v>The Council has acquired a number of administrative buildings and its IT and telecommunications system under leases.</v>
      </c>
      <c r="E222" s="1512"/>
      <c r="F222" s="1512"/>
      <c r="G222" s="1512"/>
      <c r="H222" s="1512"/>
      <c r="I222" s="1512"/>
      <c r="J222" s="1512"/>
      <c r="K222" s="1512"/>
      <c r="M222" s="28"/>
      <c r="N222" s="28"/>
      <c r="O222" s="28"/>
      <c r="P222" s="28"/>
      <c r="Q222" s="28"/>
    </row>
    <row r="223" spans="1:17" x14ac:dyDescent="0.3">
      <c r="A223" s="3" t="str">
        <f>IF(A222="Print","Print","Do Not Print")</f>
        <v>Print</v>
      </c>
      <c r="D223" s="1542"/>
      <c r="E223" s="1542"/>
      <c r="F223" s="1542"/>
      <c r="G223" s="1542"/>
      <c r="H223" s="1542"/>
      <c r="I223" s="1542"/>
      <c r="J223" s="1542"/>
      <c r="K223" s="1542"/>
      <c r="M223" s="28"/>
      <c r="N223" s="28"/>
      <c r="O223" s="28"/>
      <c r="P223" s="28"/>
      <c r="Q223" s="28"/>
    </row>
    <row r="224" spans="1:17" ht="15.75" customHeight="1" x14ac:dyDescent="0.3">
      <c r="A224" s="23" t="str">
        <f>IF('Non TB - Note 3 - 9'!F75=1,"Print","Do Not Print")</f>
        <v>Print</v>
      </c>
      <c r="D224" s="1512" t="str">
        <f>IF('Non TB - Note 3 - 9'!F75=1,'Non TB - Note 3 - 9'!H75,"")</f>
        <v>The assets acquired under these leases are carried as property, plant and equipment in the Balance Sheet at the following net amounts:</v>
      </c>
      <c r="E224" s="1512"/>
      <c r="F224" s="1512"/>
      <c r="G224" s="1512"/>
      <c r="H224" s="1512"/>
      <c r="I224" s="1512"/>
      <c r="J224" s="1512"/>
      <c r="K224" s="1512"/>
      <c r="M224" s="28"/>
      <c r="N224" s="28"/>
      <c r="O224" s="28"/>
      <c r="P224" s="28"/>
      <c r="Q224" s="28"/>
    </row>
    <row r="225" spans="1:17" x14ac:dyDescent="0.3">
      <c r="A225" s="3" t="str">
        <f>IF(A224="Print","Print","Do Not Print")</f>
        <v>Print</v>
      </c>
      <c r="D225" s="1542"/>
      <c r="E225" s="1542"/>
      <c r="F225" s="1542"/>
      <c r="G225" s="1542"/>
      <c r="H225" s="1542"/>
      <c r="I225" s="1542"/>
      <c r="J225" s="1542"/>
      <c r="K225" s="1542"/>
      <c r="M225" s="28"/>
      <c r="N225" s="28"/>
      <c r="O225" s="28"/>
      <c r="P225" s="28"/>
      <c r="Q225" s="28"/>
    </row>
    <row r="226" spans="1:17" x14ac:dyDescent="0.3">
      <c r="A226" s="3" t="str">
        <f>IF(A230="Print","Print","Do Not Print")</f>
        <v>Do Not Print</v>
      </c>
      <c r="D226" s="479"/>
      <c r="E226" s="480"/>
      <c r="F226" s="480"/>
      <c r="G226" s="1759" t="str">
        <f>'Standing Data'!D40</f>
        <v>31st March 2026</v>
      </c>
      <c r="H226" s="1759"/>
      <c r="I226" s="1759" t="str">
        <f>'Standing Data'!D66</f>
        <v>31st March 2025</v>
      </c>
      <c r="J226" s="1759"/>
      <c r="K226" s="402"/>
      <c r="M226" s="28"/>
      <c r="N226" s="28"/>
      <c r="O226" s="28"/>
      <c r="P226" s="28"/>
      <c r="Q226" s="28"/>
    </row>
    <row r="227" spans="1:17" x14ac:dyDescent="0.3">
      <c r="A227" s="23" t="str">
        <f>IF(A226="Print","Print","Do Not Print")</f>
        <v>Do Not Print</v>
      </c>
      <c r="D227" s="482"/>
      <c r="E227" s="483"/>
      <c r="F227" s="483"/>
      <c r="G227" s="1760" t="s">
        <v>450</v>
      </c>
      <c r="H227" s="1760"/>
      <c r="I227" s="1760" t="s">
        <v>450</v>
      </c>
      <c r="J227" s="1760"/>
      <c r="K227" s="402"/>
      <c r="M227" s="28"/>
      <c r="N227" s="28"/>
      <c r="O227" s="28"/>
      <c r="P227" s="28"/>
      <c r="Q227" s="28"/>
    </row>
    <row r="228" spans="1:17" x14ac:dyDescent="0.3">
      <c r="A228" s="23" t="str">
        <f>IF(AND(G228=0,I228=0),"Do Not Print","Print")</f>
        <v>Do Not Print</v>
      </c>
      <c r="D228" s="1756" t="s">
        <v>2601</v>
      </c>
      <c r="E228" s="1756"/>
      <c r="F228" s="1756"/>
      <c r="G228" s="1749">
        <f>'Non TB - Note 3 - 9'!H76</f>
        <v>0</v>
      </c>
      <c r="H228" s="1750"/>
      <c r="I228" s="1749">
        <f>'Non TB - Note 3 - 9'!J76</f>
        <v>0</v>
      </c>
      <c r="J228" s="1750"/>
      <c r="K228" s="402"/>
      <c r="M228" s="28"/>
      <c r="N228" s="28"/>
      <c r="O228" s="28"/>
      <c r="P228" s="28"/>
      <c r="Q228" s="28"/>
    </row>
    <row r="229" spans="1:17" x14ac:dyDescent="0.3">
      <c r="A229" s="23" t="str">
        <f t="shared" ref="A229:A230" si="11">IF(AND(G229=0,I229=0),"Do Not Print","Print")</f>
        <v>Do Not Print</v>
      </c>
      <c r="D229" s="1756" t="s">
        <v>2602</v>
      </c>
      <c r="E229" s="1756"/>
      <c r="F229" s="1756"/>
      <c r="G229" s="1749">
        <f>'Non TB - Note 3 - 9'!H77</f>
        <v>0</v>
      </c>
      <c r="H229" s="1750"/>
      <c r="I229" s="1749">
        <f>'Non TB - Note 3 - 9'!J77</f>
        <v>0</v>
      </c>
      <c r="J229" s="1750"/>
      <c r="K229" s="402"/>
      <c r="M229" s="28"/>
      <c r="N229" s="28"/>
      <c r="O229" s="28"/>
      <c r="P229" s="28"/>
      <c r="Q229" s="28"/>
    </row>
    <row r="230" spans="1:17" x14ac:dyDescent="0.3">
      <c r="A230" s="23" t="str">
        <f t="shared" si="11"/>
        <v>Do Not Print</v>
      </c>
      <c r="D230" s="479"/>
      <c r="E230" s="479"/>
      <c r="F230" s="479"/>
      <c r="G230" s="1757">
        <f>SUM(G228:H229)</f>
        <v>0</v>
      </c>
      <c r="H230" s="1758"/>
      <c r="I230" s="1757">
        <f>SUM(I228:J229)</f>
        <v>0</v>
      </c>
      <c r="J230" s="1758"/>
      <c r="K230" s="402"/>
      <c r="M230" s="28"/>
      <c r="N230" s="28"/>
      <c r="O230" s="28"/>
      <c r="P230" s="28"/>
      <c r="Q230" s="28"/>
    </row>
    <row r="231" spans="1:17" x14ac:dyDescent="0.3">
      <c r="A231" s="3" t="str">
        <f>IF(A227="Print","Print","Do Not Print")</f>
        <v>Do Not Print</v>
      </c>
      <c r="D231" s="1542"/>
      <c r="E231" s="1542"/>
      <c r="F231" s="1542"/>
      <c r="G231" s="1542"/>
      <c r="H231" s="1542"/>
      <c r="I231" s="1542"/>
      <c r="J231" s="1542"/>
      <c r="K231" s="1542"/>
      <c r="M231" s="28"/>
      <c r="N231" s="28"/>
      <c r="O231" s="28"/>
      <c r="P231" s="28"/>
      <c r="Q231" s="28"/>
    </row>
    <row r="232" spans="1:17" ht="41.1" customHeight="1" x14ac:dyDescent="0.3">
      <c r="A232" s="23" t="str">
        <f>IF('Non TB - Note 3 - 9'!F78=1,"Print","Do Not Print")</f>
        <v>Print</v>
      </c>
      <c r="D232" s="1504" t="str">
        <f>IF('Non TB - Note 3 - 9'!F78=1,'Non TB - Note 3 - 9'!H78,"")</f>
        <v>The Council is committed to making minimum payments under these leases comprising settlement of the long-term liability for the interest in the property acquired by the Council and finance costs that will be payable by the authority in future years while the liability remains outstanding.  The minimum lease payments are made up of the following amounts:</v>
      </c>
      <c r="E232" s="1504"/>
      <c r="F232" s="1504"/>
      <c r="G232" s="1504"/>
      <c r="H232" s="1504"/>
      <c r="I232" s="1504"/>
      <c r="J232" s="1504"/>
      <c r="K232" s="1504"/>
      <c r="M232" s="28"/>
      <c r="N232" s="28"/>
      <c r="O232" s="28"/>
      <c r="P232" s="28"/>
      <c r="Q232" s="28"/>
    </row>
    <row r="233" spans="1:17" x14ac:dyDescent="0.3">
      <c r="A233" s="3" t="str">
        <f>IF(A232="Print","Print","Do Not Print")</f>
        <v>Print</v>
      </c>
      <c r="D233" s="1500"/>
      <c r="E233" s="1500"/>
      <c r="F233" s="1500"/>
      <c r="G233" s="1500"/>
      <c r="H233" s="1500"/>
      <c r="I233" s="1500"/>
      <c r="J233" s="1500"/>
      <c r="K233" s="1500"/>
      <c r="M233" s="28"/>
      <c r="N233" s="28"/>
      <c r="O233" s="28"/>
      <c r="P233" s="28"/>
      <c r="Q233" s="28"/>
    </row>
    <row r="234" spans="1:17" x14ac:dyDescent="0.3">
      <c r="A234" s="23" t="str">
        <f>IF(A240="Print","Print","Do Not Print")</f>
        <v>Do Not Print</v>
      </c>
      <c r="D234" s="479"/>
      <c r="E234" s="480"/>
      <c r="F234" s="480"/>
      <c r="G234" s="1759" t="str">
        <f>'Standing Data'!D40</f>
        <v>31st March 2026</v>
      </c>
      <c r="H234" s="1759"/>
      <c r="I234" s="1759" t="str">
        <f>'Standing Data'!D66</f>
        <v>31st March 2025</v>
      </c>
      <c r="J234" s="1759"/>
      <c r="M234" s="28"/>
      <c r="N234" s="28"/>
      <c r="O234" s="28"/>
      <c r="P234" s="28"/>
      <c r="Q234" s="28"/>
    </row>
    <row r="235" spans="1:17" x14ac:dyDescent="0.3">
      <c r="A235" s="23" t="str">
        <f>IF(A234="Print","Print","Do Not Print")</f>
        <v>Do Not Print</v>
      </c>
      <c r="D235" s="482"/>
      <c r="E235" s="483"/>
      <c r="F235" s="483"/>
      <c r="G235" s="1760" t="s">
        <v>450</v>
      </c>
      <c r="H235" s="1760"/>
      <c r="I235" s="1760" t="s">
        <v>450</v>
      </c>
      <c r="J235" s="1760"/>
      <c r="M235" s="28"/>
      <c r="N235" s="28"/>
      <c r="O235" s="28"/>
      <c r="P235" s="28"/>
      <c r="Q235" s="28"/>
    </row>
    <row r="236" spans="1:17" ht="31.5" customHeight="1" x14ac:dyDescent="0.3">
      <c r="A236" s="3" t="str">
        <f>IF(A240="Print","Print","Do Not Print")</f>
        <v>Do Not Print</v>
      </c>
      <c r="D236" s="1780" t="s">
        <v>2921</v>
      </c>
      <c r="E236" s="1781"/>
      <c r="F236" s="1782"/>
      <c r="G236" s="1796"/>
      <c r="H236" s="1797"/>
      <c r="I236" s="1796"/>
      <c r="J236" s="1797"/>
      <c r="K236" s="3"/>
      <c r="L236" s="3"/>
      <c r="M236" s="3"/>
      <c r="N236" s="28"/>
      <c r="O236" s="28"/>
      <c r="P236" s="28"/>
      <c r="Q236" s="28"/>
    </row>
    <row r="237" spans="1:17" x14ac:dyDescent="0.3">
      <c r="A237" s="3" t="str">
        <f>IF(AND(G237=0,I237=0),"Do Not Print","Print")</f>
        <v>Do Not Print</v>
      </c>
      <c r="D237" s="1753" t="s">
        <v>1562</v>
      </c>
      <c r="E237" s="1754"/>
      <c r="F237" s="1755"/>
      <c r="G237" s="1746">
        <f>'Non TB - Note 3 - 9'!H79</f>
        <v>0</v>
      </c>
      <c r="H237" s="1747"/>
      <c r="I237" s="1746">
        <f>'Non TB - Note 3 - 9'!J79</f>
        <v>0</v>
      </c>
      <c r="J237" s="1747"/>
      <c r="K237" s="3"/>
      <c r="L237" s="3"/>
      <c r="M237" s="3"/>
      <c r="N237" s="28"/>
      <c r="O237" s="28"/>
      <c r="P237" s="28"/>
      <c r="Q237" s="28"/>
    </row>
    <row r="238" spans="1:17" x14ac:dyDescent="0.3">
      <c r="A238" s="3" t="str">
        <f t="shared" ref="A238:A240" si="12">IF(AND(G238=0,I238=0),"Do Not Print","Print")</f>
        <v>Do Not Print</v>
      </c>
      <c r="D238" s="1785" t="s">
        <v>2617</v>
      </c>
      <c r="E238" s="1786"/>
      <c r="F238" s="1786"/>
      <c r="G238" s="1746">
        <f>'Non TB - Note 3 - 9'!H80</f>
        <v>0</v>
      </c>
      <c r="H238" s="1747"/>
      <c r="I238" s="1746">
        <f>'Non TB - Note 3 - 9'!J80</f>
        <v>0</v>
      </c>
      <c r="J238" s="1747"/>
      <c r="K238" s="3"/>
      <c r="L238" s="3"/>
      <c r="M238" s="3"/>
      <c r="N238" s="28"/>
      <c r="O238" s="28"/>
      <c r="P238" s="28"/>
      <c r="Q238" s="28"/>
    </row>
    <row r="239" spans="1:17" x14ac:dyDescent="0.3">
      <c r="A239" s="3" t="str">
        <f>IF(AND(G239=0,I239=0),"Do Not Print","Print")</f>
        <v>Do Not Print</v>
      </c>
      <c r="D239" s="1785" t="s">
        <v>2618</v>
      </c>
      <c r="E239" s="1786"/>
      <c r="F239" s="1786"/>
      <c r="G239" s="1746">
        <f>'Non TB - Note 3 - 9'!H81</f>
        <v>0</v>
      </c>
      <c r="H239" s="1747"/>
      <c r="I239" s="1746">
        <f>'Non TB - Note 3 - 9'!J81</f>
        <v>0</v>
      </c>
      <c r="J239" s="1747"/>
      <c r="K239" s="3"/>
      <c r="L239" s="3"/>
      <c r="M239" s="3"/>
      <c r="N239" s="28"/>
      <c r="O239" s="28"/>
      <c r="P239" s="28"/>
      <c r="Q239" s="28"/>
    </row>
    <row r="240" spans="1:17" x14ac:dyDescent="0.3">
      <c r="A240" s="3" t="str">
        <f t="shared" si="12"/>
        <v>Do Not Print</v>
      </c>
      <c r="D240" s="1783" t="s">
        <v>2616</v>
      </c>
      <c r="E240" s="1783"/>
      <c r="F240" s="1784"/>
      <c r="G240" s="1757">
        <f>SUM(G237:H239)</f>
        <v>0</v>
      </c>
      <c r="H240" s="1758"/>
      <c r="I240" s="1757">
        <f>SUM(I237:J239)</f>
        <v>0</v>
      </c>
      <c r="J240" s="1758"/>
      <c r="K240" s="3"/>
      <c r="L240" s="3"/>
      <c r="M240" s="3"/>
      <c r="N240" s="28"/>
      <c r="O240" s="28"/>
      <c r="P240" s="28"/>
      <c r="Q240" s="28"/>
    </row>
    <row r="241" spans="1:17" x14ac:dyDescent="0.3">
      <c r="A241" s="23" t="str">
        <f>IF(A240="Print","Print","Do Not Print")</f>
        <v>Do Not Print</v>
      </c>
      <c r="D241" s="1538"/>
      <c r="E241" s="1538"/>
      <c r="F241" s="1538"/>
      <c r="G241" s="1538"/>
      <c r="H241" s="1538"/>
      <c r="I241" s="1538"/>
      <c r="J241" s="1538"/>
      <c r="K241" s="3"/>
      <c r="L241" s="3"/>
      <c r="M241" s="3"/>
      <c r="N241" s="28"/>
      <c r="O241" s="28"/>
      <c r="P241" s="28"/>
      <c r="Q241" s="28"/>
    </row>
    <row r="242" spans="1:17" x14ac:dyDescent="0.3">
      <c r="A242" s="23" t="str">
        <f>IF('Non TB - Note 3 - 9'!F82=1,"Print","Do Not Print")</f>
        <v>Print</v>
      </c>
      <c r="D242" s="1500" t="str">
        <f>IF('Non TB - Note 3 - 9'!F82=1,'Non TB - Note 3 - 9'!H82,"")</f>
        <v>The minimum lease payments will be payable over the following periods:</v>
      </c>
      <c r="E242" s="1500"/>
      <c r="F242" s="1500"/>
      <c r="G242" s="1500"/>
      <c r="H242" s="1500"/>
      <c r="I242" s="1500"/>
      <c r="J242" s="1500"/>
      <c r="K242" s="1500"/>
      <c r="L242" s="3"/>
      <c r="M242" s="3"/>
      <c r="N242" s="28"/>
      <c r="O242" s="28"/>
      <c r="P242" s="28"/>
      <c r="Q242" s="28"/>
    </row>
    <row r="243" spans="1:17" x14ac:dyDescent="0.3">
      <c r="A243" s="23" t="str">
        <f>IF(A242="Print","Print","Do Not Print")</f>
        <v>Print</v>
      </c>
      <c r="D243" s="1538"/>
      <c r="E243" s="1538"/>
      <c r="F243" s="1538"/>
      <c r="G243" s="1538"/>
      <c r="H243" s="1538"/>
      <c r="I243" s="1538"/>
      <c r="J243" s="1538"/>
      <c r="K243" s="1538"/>
      <c r="L243" s="3"/>
      <c r="M243" s="3"/>
      <c r="N243" s="28"/>
      <c r="O243" s="28"/>
      <c r="P243" s="28"/>
      <c r="Q243" s="28"/>
    </row>
    <row r="244" spans="1:17" x14ac:dyDescent="0.3">
      <c r="A244" s="23" t="str">
        <f>IF(A250="Print","Print","Do Not Print")</f>
        <v>Do Not Print</v>
      </c>
      <c r="D244" s="1762"/>
      <c r="E244" s="1762"/>
      <c r="F244" s="1762"/>
      <c r="G244" s="1763" t="s">
        <v>2616</v>
      </c>
      <c r="H244" s="1763"/>
      <c r="I244" s="1763" t="s">
        <v>2922</v>
      </c>
      <c r="J244" s="1763"/>
      <c r="K244" s="3"/>
      <c r="L244" s="3"/>
      <c r="M244" s="3"/>
      <c r="N244" s="28"/>
      <c r="O244" s="28"/>
      <c r="P244" s="28"/>
      <c r="Q244" s="28"/>
    </row>
    <row r="245" spans="1:17" x14ac:dyDescent="0.3">
      <c r="A245" s="23" t="str">
        <f>IF(A244="Print","Print","Do Not Print")</f>
        <v>Do Not Print</v>
      </c>
      <c r="D245" s="1761"/>
      <c r="E245" s="1761"/>
      <c r="F245" s="1761"/>
      <c r="G245" s="484" t="str">
        <f>'Standing Data'!D40</f>
        <v>31st March 2026</v>
      </c>
      <c r="H245" s="484" t="str">
        <f>'Standing Data'!D66</f>
        <v>31st March 2025</v>
      </c>
      <c r="I245" s="484" t="str">
        <f>'Standing Data'!D40</f>
        <v>31st March 2026</v>
      </c>
      <c r="J245" s="484" t="str">
        <f>'Standing Data'!D66</f>
        <v>31st March 2025</v>
      </c>
      <c r="K245" s="3"/>
      <c r="L245" s="3"/>
      <c r="M245" s="3"/>
      <c r="N245" s="28"/>
      <c r="O245" s="28"/>
      <c r="P245" s="28"/>
      <c r="Q245" s="28"/>
    </row>
    <row r="246" spans="1:17" x14ac:dyDescent="0.3">
      <c r="A246" s="23" t="str">
        <f>IF(A244="Print","Print","Do Not Print")</f>
        <v>Do Not Print</v>
      </c>
      <c r="D246" s="1761"/>
      <c r="E246" s="1761"/>
      <c r="F246" s="1761"/>
      <c r="G246" s="484" t="s">
        <v>450</v>
      </c>
      <c r="H246" s="484" t="s">
        <v>450</v>
      </c>
      <c r="I246" s="484" t="s">
        <v>450</v>
      </c>
      <c r="J246" s="484" t="s">
        <v>450</v>
      </c>
      <c r="K246" s="3"/>
      <c r="L246" s="3"/>
      <c r="M246" s="3"/>
      <c r="N246" s="28"/>
      <c r="O246" s="28"/>
      <c r="P246" s="28"/>
      <c r="Q246" s="28"/>
    </row>
    <row r="247" spans="1:17" x14ac:dyDescent="0.3">
      <c r="A247" s="23" t="str">
        <f>IF(AND(G247=0,H247=0,I247=0,J247=0),"Do Not Print","Print")</f>
        <v>Do Not Print</v>
      </c>
      <c r="D247" s="1500" t="s">
        <v>2373</v>
      </c>
      <c r="E247" s="1500"/>
      <c r="F247" s="1500"/>
      <c r="G247" s="525">
        <f>'Non TB - Note 3 - 9'!H83</f>
        <v>0</v>
      </c>
      <c r="H247" s="525">
        <f>'Non TB - Note 3 - 9'!I83</f>
        <v>0</v>
      </c>
      <c r="I247" s="525">
        <f>'Non TB - Note 3 - 9'!H86</f>
        <v>0</v>
      </c>
      <c r="J247" s="525">
        <f>'Non TB - Note 3 - 9'!I86</f>
        <v>0</v>
      </c>
      <c r="K247" s="3"/>
      <c r="L247" s="3"/>
      <c r="M247" s="3"/>
      <c r="N247" s="28"/>
      <c r="O247" s="28"/>
      <c r="P247" s="28"/>
      <c r="Q247" s="28"/>
    </row>
    <row r="248" spans="1:17" x14ac:dyDescent="0.3">
      <c r="A248" s="23" t="str">
        <f t="shared" ref="A248:A250" si="13">IF(AND(G248=0,H248=0,I248=0,J248=0),"Do Not Print","Print")</f>
        <v>Do Not Print</v>
      </c>
      <c r="D248" s="1500" t="s">
        <v>2595</v>
      </c>
      <c r="E248" s="1500"/>
      <c r="F248" s="1500"/>
      <c r="G248" s="525">
        <f>'Non TB - Note 3 - 9'!H84</f>
        <v>0</v>
      </c>
      <c r="H248" s="525">
        <f>'Non TB - Note 3 - 9'!I84</f>
        <v>0</v>
      </c>
      <c r="I248" s="525">
        <f>'Non TB - Note 3 - 9'!H87</f>
        <v>0</v>
      </c>
      <c r="J248" s="525">
        <f>'Non TB - Note 3 - 9'!I87</f>
        <v>0</v>
      </c>
      <c r="K248" s="3"/>
      <c r="L248" s="3"/>
      <c r="M248" s="3"/>
      <c r="N248" s="28"/>
      <c r="O248" s="28"/>
      <c r="P248" s="28"/>
      <c r="Q248" s="28"/>
    </row>
    <row r="249" spans="1:17" x14ac:dyDescent="0.3">
      <c r="A249" s="23" t="str">
        <f t="shared" si="13"/>
        <v>Do Not Print</v>
      </c>
      <c r="D249" s="1500" t="s">
        <v>2596</v>
      </c>
      <c r="E249" s="1500"/>
      <c r="F249" s="1500"/>
      <c r="G249" s="525">
        <f>'Non TB - Note 3 - 9'!H85</f>
        <v>0</v>
      </c>
      <c r="H249" s="525">
        <f>'Non TB - Note 3 - 9'!I85</f>
        <v>0</v>
      </c>
      <c r="I249" s="525">
        <f>'Non TB - Note 3 - 9'!H88</f>
        <v>0</v>
      </c>
      <c r="J249" s="525">
        <f>'Non TB - Note 3 - 9'!I88</f>
        <v>0</v>
      </c>
      <c r="K249" s="3"/>
      <c r="L249" s="3"/>
      <c r="M249" s="3"/>
      <c r="N249" s="28"/>
      <c r="O249" s="28"/>
      <c r="P249" s="28"/>
      <c r="Q249" s="28"/>
    </row>
    <row r="250" spans="1:17" x14ac:dyDescent="0.3">
      <c r="A250" s="23" t="str">
        <f t="shared" si="13"/>
        <v>Do Not Print</v>
      </c>
      <c r="D250" s="479"/>
      <c r="E250" s="479"/>
      <c r="F250" s="479"/>
      <c r="G250" s="885">
        <f>SUM(G247:G249)</f>
        <v>0</v>
      </c>
      <c r="H250" s="885">
        <f t="shared" ref="H250:J250" si="14">SUM(H247:H249)</f>
        <v>0</v>
      </c>
      <c r="I250" s="885">
        <f t="shared" si="14"/>
        <v>0</v>
      </c>
      <c r="J250" s="885">
        <f t="shared" si="14"/>
        <v>0</v>
      </c>
      <c r="K250" s="3"/>
      <c r="L250" s="3"/>
      <c r="M250" s="3"/>
      <c r="N250" s="28"/>
      <c r="O250" s="28"/>
      <c r="P250" s="28"/>
      <c r="Q250" s="28"/>
    </row>
    <row r="251" spans="1:17" x14ac:dyDescent="0.3">
      <c r="A251" s="3" t="str">
        <f>IF(A250="Print","Print","Do Not Print")</f>
        <v>Do Not Print</v>
      </c>
      <c r="D251" s="1538"/>
      <c r="E251" s="1538"/>
      <c r="F251" s="1538"/>
      <c r="G251" s="1538"/>
      <c r="H251" s="1538"/>
      <c r="I251" s="1538"/>
      <c r="J251" s="1538"/>
      <c r="K251" s="1538"/>
      <c r="L251" s="3"/>
      <c r="M251" s="3"/>
      <c r="N251" s="28"/>
      <c r="O251" s="28"/>
      <c r="P251" s="28"/>
      <c r="Q251" s="28"/>
    </row>
    <row r="252" spans="1:17" ht="32.25" customHeight="1" x14ac:dyDescent="0.3">
      <c r="A252" s="23" t="str">
        <f>IF('Non TB - Note 3 - 9'!F89=1,"Print","Do Not Print")</f>
        <v>Print</v>
      </c>
      <c r="D252" s="1504" t="str">
        <f>IF('Non TB - Note 3 - 9'!F89=1,'Non TB - Note 3 - 9'!H89,"")</f>
        <v>The minimum lease payments do not include rents that are contingent on events taking place after the lease was entered into, such as adjustments following rent reviews.  In 2025/26, £x contingent rents were payable by the Council (2024/25 £x).</v>
      </c>
      <c r="E252" s="1504"/>
      <c r="F252" s="1504"/>
      <c r="G252" s="1504"/>
      <c r="H252" s="1504"/>
      <c r="I252" s="1504"/>
      <c r="J252" s="1504"/>
      <c r="K252" s="1504"/>
      <c r="L252" s="3"/>
      <c r="M252" s="3"/>
      <c r="N252" s="28"/>
      <c r="O252" s="28"/>
      <c r="P252" s="28"/>
      <c r="Q252" s="28"/>
    </row>
    <row r="253" spans="1:17" x14ac:dyDescent="0.3">
      <c r="A253" s="23" t="str">
        <f>IF(A252="Print","Print","Do Not Print")</f>
        <v>Print</v>
      </c>
      <c r="D253" s="1538"/>
      <c r="E253" s="1538"/>
      <c r="F253" s="1538"/>
      <c r="G253" s="1538"/>
      <c r="H253" s="1538"/>
      <c r="I253" s="1538"/>
      <c r="J253" s="1538"/>
      <c r="K253" s="1538"/>
      <c r="L253" s="3"/>
      <c r="M253" s="3"/>
      <c r="N253" s="28"/>
      <c r="O253" s="28"/>
      <c r="P253" s="28"/>
      <c r="Q253" s="28"/>
    </row>
    <row r="254" spans="1:17" ht="34.5" customHeight="1" x14ac:dyDescent="0.3">
      <c r="A254" s="23" t="str">
        <f>IF('Non TB - Note 3 - 9'!F90=1,"Print","Do Not Print")</f>
        <v>Print</v>
      </c>
      <c r="D254" s="1504" t="str">
        <f>IF('Non TB - Note 3 - 9'!F90=1,'Non TB - Note 3 - 9'!H90,"")</f>
        <v>The Council has sub-let some of the office accommodation held under these leases.  At 31 March 2026 the minimum payments expected to be received under non-cancellable sub-leases was £x (2024/25 £x).</v>
      </c>
      <c r="E254" s="1504"/>
      <c r="F254" s="1504"/>
      <c r="G254" s="1504"/>
      <c r="H254" s="1504"/>
      <c r="I254" s="1504"/>
      <c r="J254" s="1504"/>
      <c r="K254" s="1504"/>
      <c r="L254" s="3"/>
      <c r="M254" s="3"/>
      <c r="N254" s="28"/>
      <c r="O254" s="28"/>
      <c r="P254" s="28"/>
      <c r="Q254" s="28"/>
    </row>
    <row r="255" spans="1:17" x14ac:dyDescent="0.3">
      <c r="A255" s="23" t="str">
        <f>IF(A254="Print","Print","Do Not Print")</f>
        <v>Print</v>
      </c>
      <c r="D255" s="1538"/>
      <c r="E255" s="1538"/>
      <c r="F255" s="1538"/>
      <c r="G255" s="1538"/>
      <c r="H255" s="1538"/>
      <c r="I255" s="1538"/>
      <c r="J255" s="1538"/>
      <c r="K255" s="1538"/>
      <c r="L255" s="3"/>
      <c r="M255" s="3"/>
      <c r="N255" s="28"/>
      <c r="O255" s="28"/>
      <c r="P255" s="28"/>
      <c r="Q255" s="28"/>
    </row>
    <row r="256" spans="1:17" x14ac:dyDescent="0.3">
      <c r="A256" s="23" t="str">
        <f>IF(OR(A258="Print",A260="Print",A267="Print",A269="Print",A271="Print",A278="Print"),"Print","Do Not Print")</f>
        <v>Print</v>
      </c>
      <c r="C256" s="467" t="str">
        <f>Checklist!E67</f>
        <v>d</v>
      </c>
      <c r="D256" s="469" t="s">
        <v>259</v>
      </c>
      <c r="E256" s="483"/>
      <c r="F256" s="483"/>
      <c r="G256" s="483"/>
      <c r="H256" s="483"/>
      <c r="I256" s="484"/>
      <c r="J256" s="484"/>
      <c r="K256" s="484"/>
      <c r="L256" s="3"/>
      <c r="M256" s="3"/>
      <c r="N256" s="28"/>
      <c r="O256" s="28"/>
      <c r="P256" s="28"/>
      <c r="Q256" s="28"/>
    </row>
    <row r="257" spans="1:20" x14ac:dyDescent="0.3">
      <c r="A257" s="3" t="str">
        <f>IF(A256="Print","Print","Do Not Print")</f>
        <v>Print</v>
      </c>
      <c r="D257" s="1538"/>
      <c r="E257" s="1538"/>
      <c r="F257" s="1538"/>
      <c r="G257" s="1538"/>
      <c r="H257" s="1538"/>
      <c r="I257" s="1538"/>
      <c r="J257" s="1538"/>
      <c r="K257" s="1538"/>
      <c r="L257" s="3"/>
      <c r="M257" s="3"/>
      <c r="N257" s="28"/>
      <c r="O257" s="28"/>
      <c r="P257" s="28"/>
      <c r="Q257" s="28"/>
    </row>
    <row r="258" spans="1:20" ht="13.05" customHeight="1" x14ac:dyDescent="0.3">
      <c r="A258" s="23" t="str">
        <f>IF('Non TB - Note 3 - 9'!F91=1,"Print","Do Not Print")</f>
        <v>Print</v>
      </c>
      <c r="D258" s="1512" t="str">
        <f>IF('Non TB - Note 3 - 9'!F91=1,'Non TB - Note 3 - 9'!H91,"")</f>
        <v>The Council has acquired its fleet of refuse collection vehicles by entering into operating leases, with typical lives of seven years.</v>
      </c>
      <c r="E258" s="1512"/>
      <c r="F258" s="1512"/>
      <c r="G258" s="1512"/>
      <c r="H258" s="1512"/>
      <c r="I258" s="1512"/>
      <c r="J258" s="1512"/>
      <c r="K258" s="1512"/>
      <c r="L258" s="3"/>
      <c r="M258" s="3"/>
      <c r="N258" s="28"/>
      <c r="O258" s="28"/>
      <c r="P258" s="28"/>
      <c r="Q258" s="28"/>
    </row>
    <row r="259" spans="1:20" ht="15.6" x14ac:dyDescent="0.3">
      <c r="A259" s="3" t="str">
        <f>IF(A258="Print","Print","Do Not Print")</f>
        <v>Print</v>
      </c>
      <c r="D259" s="1542"/>
      <c r="E259" s="1542"/>
      <c r="F259" s="1542"/>
      <c r="G259" s="1542"/>
      <c r="H259" s="1542"/>
      <c r="I259" s="1542"/>
      <c r="J259" s="1542"/>
      <c r="K259" s="1542"/>
      <c r="M259" s="28"/>
      <c r="N259" s="28"/>
      <c r="O259" s="28"/>
      <c r="P259" s="51"/>
      <c r="Q259" s="1794"/>
      <c r="R259" s="1795"/>
      <c r="S259" s="1794"/>
      <c r="T259" s="1795"/>
    </row>
    <row r="260" spans="1:20" ht="13.5" customHeight="1" x14ac:dyDescent="0.3">
      <c r="A260" s="23" t="str">
        <f>IF('Non TB - Note 3 - 9'!F92=1,"Print","Do Not Print")</f>
        <v>Print</v>
      </c>
      <c r="D260" s="1512" t="str">
        <f>IF('Non TB - Note 3 - 9'!F92=1,'Non TB - Note 3 - 9'!H92,"")</f>
        <v>The future minimum lease payments due under non-cancellable leases in future years are:</v>
      </c>
      <c r="E260" s="1512"/>
      <c r="F260" s="1512"/>
      <c r="G260" s="1512"/>
      <c r="H260" s="1512"/>
      <c r="I260" s="1512"/>
      <c r="J260" s="1512"/>
      <c r="K260" s="1512"/>
      <c r="M260" s="28"/>
      <c r="N260" s="28"/>
      <c r="O260" s="28"/>
      <c r="P260" s="51"/>
      <c r="Q260" s="53"/>
      <c r="R260" s="54"/>
      <c r="S260" s="53"/>
      <c r="T260" s="54"/>
    </row>
    <row r="261" spans="1:20" ht="15.6" x14ac:dyDescent="0.3">
      <c r="A261" s="3" t="str">
        <f>IF(A260="Print","Print","Do Not Print")</f>
        <v>Print</v>
      </c>
      <c r="D261" s="1542"/>
      <c r="E261" s="1542"/>
      <c r="F261" s="1542"/>
      <c r="G261" s="1542"/>
      <c r="H261" s="1542"/>
      <c r="I261" s="1542"/>
      <c r="J261" s="1542"/>
      <c r="K261" s="1542"/>
      <c r="M261" s="28"/>
      <c r="N261" s="28"/>
      <c r="O261" s="28"/>
      <c r="P261" s="51"/>
      <c r="Q261" s="55"/>
      <c r="R261" s="55"/>
      <c r="S261" s="55"/>
      <c r="T261" s="55"/>
    </row>
    <row r="262" spans="1:20" ht="15.6" x14ac:dyDescent="0.3">
      <c r="A262" s="3" t="str">
        <f>IF(A267="Print","Print","Do Not Print")</f>
        <v>Do Not Print</v>
      </c>
      <c r="D262" s="479"/>
      <c r="E262" s="480"/>
      <c r="F262" s="480"/>
      <c r="G262" s="1759" t="str">
        <f>'Standing Data'!D40</f>
        <v>31st March 2026</v>
      </c>
      <c r="H262" s="1759"/>
      <c r="I262" s="1759" t="str">
        <f>'Standing Data'!D66</f>
        <v>31st March 2025</v>
      </c>
      <c r="J262" s="1759"/>
      <c r="K262" s="402"/>
      <c r="M262" s="28"/>
      <c r="N262" s="28"/>
      <c r="O262" s="28"/>
      <c r="P262" s="51"/>
      <c r="Q262" s="55"/>
      <c r="R262" s="55"/>
      <c r="S262" s="55"/>
      <c r="T262" s="55"/>
    </row>
    <row r="263" spans="1:20" ht="15.6" x14ac:dyDescent="0.3">
      <c r="A263" s="3" t="str">
        <f>IF(A262="Print","Print","Do Not Print")</f>
        <v>Do Not Print</v>
      </c>
      <c r="D263" s="482"/>
      <c r="E263" s="483"/>
      <c r="F263" s="483"/>
      <c r="G263" s="1760" t="s">
        <v>450</v>
      </c>
      <c r="H263" s="1760"/>
      <c r="I263" s="1760" t="s">
        <v>450</v>
      </c>
      <c r="J263" s="1760"/>
      <c r="K263" s="402"/>
      <c r="M263" s="28"/>
      <c r="N263" s="28"/>
      <c r="O263" s="28"/>
      <c r="P263" s="51"/>
      <c r="Q263" s="55"/>
      <c r="R263" s="55"/>
      <c r="S263" s="55"/>
      <c r="T263" s="55"/>
    </row>
    <row r="264" spans="1:20" ht="15.6" x14ac:dyDescent="0.3">
      <c r="A264" s="3" t="str">
        <f>IF(AND(G264=0,I264=0),"Do Not Print","Print")</f>
        <v>Do Not Print</v>
      </c>
      <c r="D264" s="1756" t="s">
        <v>2619</v>
      </c>
      <c r="E264" s="1756"/>
      <c r="F264" s="1756"/>
      <c r="G264" s="1749">
        <f>'Non TB - Note 3 - 9'!H93</f>
        <v>0</v>
      </c>
      <c r="H264" s="1750"/>
      <c r="I264" s="1749">
        <f>'Non TB - Note 3 - 9'!J93</f>
        <v>0</v>
      </c>
      <c r="J264" s="1750"/>
      <c r="K264" s="402"/>
      <c r="M264" s="28"/>
      <c r="N264" s="28"/>
      <c r="O264" s="28"/>
      <c r="P264" s="51"/>
      <c r="Q264" s="55"/>
      <c r="R264" s="55"/>
      <c r="S264" s="55"/>
      <c r="T264" s="55"/>
    </row>
    <row r="265" spans="1:20" ht="15.6" x14ac:dyDescent="0.3">
      <c r="A265" s="3" t="str">
        <f t="shared" ref="A265:A267" si="15">IF(AND(G265=0,I265=0),"Do Not Print","Print")</f>
        <v>Do Not Print</v>
      </c>
      <c r="D265" s="1756" t="s">
        <v>72</v>
      </c>
      <c r="E265" s="1756"/>
      <c r="F265" s="1756"/>
      <c r="G265" s="1749">
        <f>'Non TB - Note 3 - 9'!H94</f>
        <v>0</v>
      </c>
      <c r="H265" s="1750"/>
      <c r="I265" s="1749">
        <f>'Non TB - Note 3 - 9'!J94</f>
        <v>0</v>
      </c>
      <c r="J265" s="1750"/>
      <c r="K265" s="402"/>
      <c r="M265" s="28"/>
      <c r="N265" s="28"/>
      <c r="O265" s="28"/>
      <c r="P265" s="51"/>
      <c r="Q265" s="55"/>
      <c r="R265" s="55"/>
      <c r="S265" s="55"/>
      <c r="T265" s="55"/>
    </row>
    <row r="266" spans="1:20" ht="15.6" x14ac:dyDescent="0.3">
      <c r="A266" s="3" t="str">
        <f t="shared" si="15"/>
        <v>Do Not Print</v>
      </c>
      <c r="D266" s="1756" t="s">
        <v>71</v>
      </c>
      <c r="E266" s="1756"/>
      <c r="F266" s="1756"/>
      <c r="G266" s="1749">
        <f>'Non TB - Note 3 - 9'!H95</f>
        <v>0</v>
      </c>
      <c r="H266" s="1750"/>
      <c r="I266" s="1749">
        <f>'Non TB - Note 3 - 9'!J95</f>
        <v>0</v>
      </c>
      <c r="J266" s="1750"/>
      <c r="K266" s="402"/>
      <c r="M266" s="28"/>
      <c r="N266" s="28"/>
      <c r="O266" s="28"/>
      <c r="P266" s="51"/>
      <c r="Q266" s="55"/>
      <c r="R266" s="55"/>
      <c r="S266" s="55"/>
      <c r="T266" s="55"/>
    </row>
    <row r="267" spans="1:20" ht="15.6" x14ac:dyDescent="0.3">
      <c r="A267" s="3" t="str">
        <f t="shared" si="15"/>
        <v>Do Not Print</v>
      </c>
      <c r="D267" s="479"/>
      <c r="E267" s="480"/>
      <c r="F267" s="480"/>
      <c r="G267" s="1748">
        <f>SUM(G264:G266)</f>
        <v>0</v>
      </c>
      <c r="H267" s="1748"/>
      <c r="I267" s="1748">
        <f>SUM(I264:I266)</f>
        <v>0</v>
      </c>
      <c r="J267" s="1748"/>
      <c r="K267" s="402"/>
      <c r="M267" s="28"/>
      <c r="N267" s="28"/>
      <c r="O267" s="28"/>
      <c r="P267" s="51"/>
      <c r="Q267" s="55"/>
      <c r="R267" s="55"/>
      <c r="S267" s="55"/>
      <c r="T267" s="55"/>
    </row>
    <row r="268" spans="1:20" ht="15.6" x14ac:dyDescent="0.3">
      <c r="A268" s="3" t="str">
        <f>IF(A267="Print","Print","Do Not Print")</f>
        <v>Do Not Print</v>
      </c>
      <c r="D268" s="1542"/>
      <c r="E268" s="1542"/>
      <c r="F268" s="1542"/>
      <c r="G268" s="1542"/>
      <c r="H268" s="1542"/>
      <c r="I268" s="1542"/>
      <c r="J268" s="1542"/>
      <c r="K268" s="1542"/>
      <c r="M268" s="28"/>
      <c r="N268" s="28"/>
      <c r="O268" s="28"/>
      <c r="P268" s="51"/>
      <c r="Q268" s="55"/>
      <c r="R268" s="55"/>
      <c r="S268" s="55"/>
      <c r="T268" s="55"/>
    </row>
    <row r="269" spans="1:20" ht="29.55" customHeight="1" x14ac:dyDescent="0.3">
      <c r="A269" s="3" t="str">
        <f>IF('Non TB - Note 3 - 9'!F96=1,"Print","Do Not Print")</f>
        <v>Print</v>
      </c>
      <c r="D269" s="1504" t="str">
        <f>IF('Non TB - Note 3 - 9'!F96=1,'Non TB - Note 3 - 9'!H96,"")</f>
        <v>Where assets acquired under operating leases are sub-let, disclosures is required of the future minimum sublease payments expected to be received by the Council, per paragraph 4.2.4.2(7) of the Code.</v>
      </c>
      <c r="E269" s="1504"/>
      <c r="F269" s="1504"/>
      <c r="G269" s="1504"/>
      <c r="H269" s="1504"/>
      <c r="I269" s="1504"/>
      <c r="J269" s="1504"/>
      <c r="K269" s="1504"/>
      <c r="M269" s="28"/>
      <c r="N269" s="28"/>
      <c r="O269" s="28"/>
      <c r="P269" s="51"/>
      <c r="Q269" s="55"/>
      <c r="R269" s="55"/>
      <c r="S269" s="55"/>
      <c r="T269" s="55"/>
    </row>
    <row r="270" spans="1:20" ht="15.6" x14ac:dyDescent="0.3">
      <c r="A270" s="3" t="str">
        <f>IF(A269="Print","Print","Do Not Print")</f>
        <v>Print</v>
      </c>
      <c r="D270" s="1542"/>
      <c r="E270" s="1542"/>
      <c r="F270" s="1542"/>
      <c r="G270" s="1542"/>
      <c r="H270" s="1542"/>
      <c r="I270" s="1542"/>
      <c r="J270" s="1542"/>
      <c r="K270" s="1542"/>
      <c r="M270" s="28"/>
      <c r="N270" s="28"/>
      <c r="O270" s="28"/>
      <c r="P270" s="51"/>
      <c r="Q270" s="55"/>
      <c r="R270" s="55"/>
      <c r="S270" s="55"/>
      <c r="T270" s="55"/>
    </row>
    <row r="271" spans="1:20" ht="29.1" customHeight="1" x14ac:dyDescent="0.3">
      <c r="A271" s="3" t="str">
        <f>IF('Non TB - Note 3 - 9'!F97=1,"Print","Do Not Print")</f>
        <v>Print</v>
      </c>
      <c r="D271" s="1504" t="str">
        <f>IF('Non TB - Note 3 - 9'!F97=1,'Non TB - Note 3 - 9'!H97,"")</f>
        <v>The expenditure charged to the Business Change line in the Comprehensive Income and Expenditure Statement during the year in relation to these leases was:</v>
      </c>
      <c r="E271" s="1504"/>
      <c r="F271" s="1504"/>
      <c r="G271" s="1504"/>
      <c r="H271" s="1504"/>
      <c r="I271" s="1504"/>
      <c r="J271" s="1504"/>
      <c r="K271" s="1504"/>
      <c r="M271" s="28"/>
      <c r="N271" s="28"/>
      <c r="O271" s="28"/>
      <c r="P271" s="51"/>
      <c r="Q271" s="55"/>
      <c r="R271" s="55"/>
      <c r="S271" s="55"/>
      <c r="T271" s="55"/>
    </row>
    <row r="272" spans="1:20" ht="15.6" x14ac:dyDescent="0.3">
      <c r="A272" s="3" t="str">
        <f>IF(A271="Print","Print","Do Not Print")</f>
        <v>Print</v>
      </c>
      <c r="D272" s="1542"/>
      <c r="E272" s="1542"/>
      <c r="F272" s="1542"/>
      <c r="G272" s="1542"/>
      <c r="H272" s="1542"/>
      <c r="I272" s="1542"/>
      <c r="J272" s="1542"/>
      <c r="K272" s="1542"/>
      <c r="M272" s="28"/>
      <c r="N272" s="28"/>
      <c r="O272" s="28"/>
      <c r="P272" s="51"/>
      <c r="Q272" s="55"/>
      <c r="R272" s="55"/>
      <c r="S272" s="55"/>
      <c r="T272" s="55"/>
    </row>
    <row r="273" spans="1:20" ht="15" x14ac:dyDescent="0.3">
      <c r="A273" s="23" t="str">
        <f>IF(A278="Print","Print","Do Not Print")</f>
        <v>Do Not Print</v>
      </c>
      <c r="D273" s="479"/>
      <c r="E273" s="480"/>
      <c r="F273" s="480"/>
      <c r="G273" s="1759" t="str">
        <f>'Standing Data'!D34</f>
        <v>2025/26</v>
      </c>
      <c r="H273" s="1759"/>
      <c r="I273" s="1759" t="str">
        <f>'Standing Data'!D52</f>
        <v>2024/25</v>
      </c>
      <c r="J273" s="1759"/>
      <c r="M273" s="28"/>
      <c r="N273" s="28"/>
      <c r="O273" s="28"/>
      <c r="P273" s="51"/>
      <c r="Q273" s="52"/>
      <c r="R273" s="52"/>
      <c r="S273" s="52"/>
      <c r="T273" s="52"/>
    </row>
    <row r="274" spans="1:20" ht="15" x14ac:dyDescent="0.3">
      <c r="A274" s="23" t="str">
        <f>IF(A273="Print","Print","Do Not Print")</f>
        <v>Do Not Print</v>
      </c>
      <c r="D274" s="482"/>
      <c r="E274" s="483"/>
      <c r="F274" s="483"/>
      <c r="G274" s="508" t="s">
        <v>450</v>
      </c>
      <c r="H274" s="508"/>
      <c r="I274" s="508" t="s">
        <v>450</v>
      </c>
      <c r="J274" s="508"/>
      <c r="M274" s="28"/>
      <c r="N274" s="28"/>
      <c r="O274" s="28"/>
      <c r="P274" s="51"/>
      <c r="Q274" s="52"/>
      <c r="R274" s="52"/>
      <c r="S274" s="52"/>
      <c r="T274" s="52"/>
    </row>
    <row r="275" spans="1:20" x14ac:dyDescent="0.3">
      <c r="A275" s="23" t="str">
        <f>IF(AND(G275=0,I275=0),"Do Not Print","Print")</f>
        <v>Do Not Print</v>
      </c>
      <c r="D275" s="1753" t="s">
        <v>77</v>
      </c>
      <c r="E275" s="1754"/>
      <c r="F275" s="1755"/>
      <c r="G275" s="1749">
        <f>'Non TB - Note 3 - 9'!H98</f>
        <v>0</v>
      </c>
      <c r="H275" s="1750"/>
      <c r="I275" s="1749">
        <f>'Non TB - Note 3 - 9'!I98</f>
        <v>0</v>
      </c>
      <c r="J275" s="1750"/>
      <c r="K275" s="3"/>
      <c r="L275" s="3"/>
      <c r="M275" s="3"/>
      <c r="N275" s="28"/>
      <c r="O275" s="28"/>
      <c r="P275" s="28"/>
      <c r="Q275" s="28"/>
    </row>
    <row r="276" spans="1:20" x14ac:dyDescent="0.3">
      <c r="A276" s="23" t="str">
        <f t="shared" ref="A276:A278" si="16">IF(AND(G276=0,I276=0),"Do Not Print","Print")</f>
        <v>Do Not Print</v>
      </c>
      <c r="D276" s="1753" t="s">
        <v>78</v>
      </c>
      <c r="E276" s="1754"/>
      <c r="F276" s="1755"/>
      <c r="G276" s="1746">
        <f>'Non TB - Note 3 - 9'!H99</f>
        <v>0</v>
      </c>
      <c r="H276" s="1747"/>
      <c r="I276" s="1746">
        <f>'Non TB - Note 3 - 9'!I99</f>
        <v>0</v>
      </c>
      <c r="J276" s="1747"/>
      <c r="K276" s="3"/>
      <c r="L276" s="3"/>
      <c r="M276" s="3"/>
      <c r="N276" s="28"/>
      <c r="O276" s="28"/>
      <c r="P276" s="28"/>
      <c r="Q276" s="28"/>
    </row>
    <row r="277" spans="1:20" x14ac:dyDescent="0.3">
      <c r="A277" s="23" t="str">
        <f t="shared" si="16"/>
        <v>Do Not Print</v>
      </c>
      <c r="D277" s="1753" t="s">
        <v>79</v>
      </c>
      <c r="E277" s="1754"/>
      <c r="F277" s="1755"/>
      <c r="G277" s="1746">
        <f>-'Non TB - Note 3 - 9'!H100</f>
        <v>0</v>
      </c>
      <c r="H277" s="1747"/>
      <c r="I277" s="1746">
        <f>-'Non TB - Note 3 - 9'!I100</f>
        <v>0</v>
      </c>
      <c r="J277" s="1747"/>
      <c r="K277" s="3"/>
      <c r="L277" s="3"/>
      <c r="M277" s="3"/>
      <c r="N277" s="28"/>
      <c r="O277" s="28"/>
      <c r="P277" s="28"/>
      <c r="Q277" s="28"/>
    </row>
    <row r="278" spans="1:20" x14ac:dyDescent="0.3">
      <c r="A278" s="23" t="str">
        <f t="shared" si="16"/>
        <v>Do Not Print</v>
      </c>
      <c r="D278" s="1751" t="s">
        <v>74</v>
      </c>
      <c r="E278" s="1751"/>
      <c r="F278" s="1752"/>
      <c r="G278" s="1748">
        <f>SUM(G275:G277)</f>
        <v>0</v>
      </c>
      <c r="H278" s="1748"/>
      <c r="I278" s="1748">
        <f>SUM(I275:I277)</f>
        <v>0</v>
      </c>
      <c r="J278" s="1748"/>
      <c r="M278" s="28"/>
      <c r="N278" s="28"/>
      <c r="O278" s="28"/>
      <c r="P278" s="28"/>
      <c r="Q278" s="28"/>
    </row>
    <row r="279" spans="1:20" x14ac:dyDescent="0.3">
      <c r="A279" s="3" t="str">
        <f>IF(A278="Print","Print","Do Not Print")</f>
        <v>Do Not Print</v>
      </c>
      <c r="D279" s="1500"/>
      <c r="E279" s="1500"/>
      <c r="F279" s="1500"/>
      <c r="G279" s="1500"/>
      <c r="H279" s="1500"/>
      <c r="I279" s="1500"/>
      <c r="J279" s="1500"/>
      <c r="K279" s="1500"/>
      <c r="M279" s="28"/>
      <c r="N279" s="28"/>
      <c r="O279" s="28"/>
      <c r="P279" s="28"/>
      <c r="Q279" s="28"/>
    </row>
    <row r="280" spans="1:20" x14ac:dyDescent="0.3">
      <c r="A280" s="3" t="str">
        <f>IF(A279="Print","Print","Do Not Print")</f>
        <v>Do Not Print</v>
      </c>
      <c r="D280" s="1500"/>
      <c r="E280" s="1500"/>
      <c r="F280" s="1500"/>
      <c r="G280" s="1500"/>
      <c r="H280" s="1500"/>
      <c r="I280" s="1500"/>
      <c r="J280" s="1500"/>
      <c r="K280" s="1500"/>
      <c r="M280" s="28"/>
      <c r="N280" s="28"/>
      <c r="O280" s="28"/>
      <c r="P280" s="28"/>
      <c r="Q280" s="28"/>
    </row>
    <row r="281" spans="1:20" x14ac:dyDescent="0.3">
      <c r="A281" s="23" t="str">
        <f>IF(A288="Print","Print","Do Not Print")</f>
        <v>Do Not Print</v>
      </c>
      <c r="B281" s="467">
        <f>Checklist!E68</f>
        <v>7</v>
      </c>
      <c r="D281" s="474" t="s">
        <v>260</v>
      </c>
      <c r="E281" s="474"/>
      <c r="F281" s="474"/>
      <c r="G281" s="474"/>
      <c r="H281" s="474"/>
      <c r="I281" s="481"/>
      <c r="J281" s="481"/>
      <c r="K281" s="3"/>
      <c r="L281" s="3"/>
      <c r="M281" s="3"/>
      <c r="N281" s="28"/>
      <c r="O281" s="28"/>
      <c r="P281" s="28"/>
      <c r="Q281" s="28"/>
    </row>
    <row r="282" spans="1:20" x14ac:dyDescent="0.3">
      <c r="A282" s="3" t="str">
        <f>IF(A281="Print","Print","Do Not Print")</f>
        <v>Do Not Print</v>
      </c>
      <c r="C282" s="467" t="str">
        <f>Checklist!E69</f>
        <v>a</v>
      </c>
      <c r="D282" s="474" t="s">
        <v>262</v>
      </c>
      <c r="E282" s="474"/>
      <c r="F282" s="474"/>
      <c r="G282" s="474"/>
      <c r="H282" s="474"/>
      <c r="I282" s="486" t="str">
        <f>'Standing Data'!D34</f>
        <v>2025/26</v>
      </c>
      <c r="J282" s="948" t="str">
        <f>'Standing Data'!D52</f>
        <v>2024/25</v>
      </c>
      <c r="K282" s="3"/>
      <c r="L282" s="3"/>
      <c r="M282" s="3"/>
      <c r="N282" s="28"/>
      <c r="O282" s="28"/>
      <c r="P282" s="28"/>
      <c r="Q282" s="28"/>
    </row>
    <row r="283" spans="1:20" x14ac:dyDescent="0.3">
      <c r="A283" s="23" t="str">
        <f>IF(A281="Print","Print","Do Not Print")</f>
        <v>Do Not Print</v>
      </c>
      <c r="D283" s="482"/>
      <c r="E283" s="482"/>
      <c r="F283" s="482"/>
      <c r="G283" s="482"/>
      <c r="H283" s="482"/>
      <c r="I283" s="483" t="s">
        <v>450</v>
      </c>
      <c r="J283" s="483" t="s">
        <v>450</v>
      </c>
      <c r="K283" s="3"/>
      <c r="L283" s="3"/>
      <c r="M283" s="3"/>
      <c r="N283" s="28"/>
      <c r="O283" s="28"/>
      <c r="P283" s="28"/>
      <c r="Q283" s="28"/>
    </row>
    <row r="284" spans="1:20" x14ac:dyDescent="0.3">
      <c r="A284" s="23" t="str">
        <f>IF(AND(I284=0,J284=0),"Do Not Print","Print")</f>
        <v>Do Not Print</v>
      </c>
      <c r="D284" s="1756" t="s">
        <v>214</v>
      </c>
      <c r="E284" s="1756"/>
      <c r="F284" s="1756"/>
      <c r="G284" s="1756"/>
      <c r="H284" s="1756"/>
      <c r="I284" s="920">
        <f>'Non TB - Note 3 - 9'!H101</f>
        <v>0</v>
      </c>
      <c r="J284" s="920">
        <f>'Non TB - Note 3 - 9'!I101</f>
        <v>0</v>
      </c>
      <c r="K284" s="3"/>
      <c r="L284" s="3"/>
      <c r="M284" s="3"/>
      <c r="N284" s="28"/>
      <c r="O284" s="28"/>
      <c r="P284" s="28"/>
      <c r="Q284" s="28"/>
    </row>
    <row r="285" spans="1:20" x14ac:dyDescent="0.3">
      <c r="A285" s="23" t="str">
        <f>IF(AND(I285=0,J285=0),"Do Not Print","Print")</f>
        <v>Do Not Print</v>
      </c>
      <c r="D285" s="1756" t="s">
        <v>215</v>
      </c>
      <c r="E285" s="1756"/>
      <c r="F285" s="1756"/>
      <c r="G285" s="1756"/>
      <c r="H285" s="1756"/>
      <c r="I285" s="920">
        <f>'Non TB - Note 3 - 9'!H102</f>
        <v>0</v>
      </c>
      <c r="J285" s="920">
        <f>'Non TB - Note 3 - 9'!I102</f>
        <v>0</v>
      </c>
      <c r="K285" s="3"/>
      <c r="L285" s="3"/>
      <c r="M285" s="3"/>
      <c r="N285" s="28"/>
      <c r="O285" s="28"/>
      <c r="P285" s="28"/>
      <c r="Q285" s="28"/>
    </row>
    <row r="286" spans="1:20" x14ac:dyDescent="0.3">
      <c r="A286" s="23" t="str">
        <f>IF(AND(I286=0,J286=0),"Do Not Print","Print")</f>
        <v>Do Not Print</v>
      </c>
      <c r="D286" s="1756" t="s">
        <v>216</v>
      </c>
      <c r="E286" s="1756"/>
      <c r="F286" s="1756"/>
      <c r="G286" s="1756"/>
      <c r="H286" s="1756"/>
      <c r="I286" s="920">
        <f>'Non TB - Note 3 - 9'!H103</f>
        <v>0</v>
      </c>
      <c r="J286" s="920">
        <f>'Non TB - Note 3 - 9'!I103</f>
        <v>0</v>
      </c>
      <c r="K286" s="3"/>
      <c r="L286" s="3"/>
      <c r="M286" s="3"/>
      <c r="N286" s="28"/>
      <c r="O286" s="28"/>
      <c r="P286" s="28"/>
      <c r="Q286" s="28"/>
    </row>
    <row r="287" spans="1:20" x14ac:dyDescent="0.3">
      <c r="A287" s="3" t="str">
        <f>IF(A286="Print","Print","Do Not Print")</f>
        <v>Do Not Print</v>
      </c>
      <c r="D287" s="1756"/>
      <c r="E287" s="1756"/>
      <c r="F287" s="1756"/>
      <c r="G287" s="1756"/>
      <c r="H287" s="1756"/>
      <c r="I287" s="1756"/>
      <c r="J287" s="1756"/>
      <c r="K287" s="3"/>
      <c r="L287" s="3"/>
      <c r="M287" s="3"/>
      <c r="N287" s="28"/>
      <c r="O287" s="28"/>
      <c r="P287" s="28"/>
      <c r="Q287" s="28"/>
    </row>
    <row r="288" spans="1:20" x14ac:dyDescent="0.3">
      <c r="A288" s="23" t="str">
        <f>IF(AND(I288=0,J288=0),"Do Not Print","Print")</f>
        <v>Do Not Print</v>
      </c>
      <c r="D288" s="510" t="s">
        <v>201</v>
      </c>
      <c r="E288" s="474"/>
      <c r="F288" s="474"/>
      <c r="G288" s="474"/>
      <c r="H288" s="474"/>
      <c r="I288" s="511">
        <f>SUM(I284:I286)</f>
        <v>0</v>
      </c>
      <c r="J288" s="511">
        <f>SUM(J284:J286)</f>
        <v>0</v>
      </c>
      <c r="K288" s="3"/>
      <c r="L288" s="3"/>
      <c r="M288" s="3"/>
      <c r="N288" s="28"/>
      <c r="O288" s="28"/>
      <c r="P288" s="28"/>
      <c r="Q288" s="28"/>
    </row>
    <row r="289" spans="1:17" x14ac:dyDescent="0.3">
      <c r="A289" s="3" t="str">
        <f>IF(A288="Print","Print","Do Not Print")</f>
        <v>Do Not Print</v>
      </c>
      <c r="D289" s="1777"/>
      <c r="E289" s="1777"/>
      <c r="F289" s="1777"/>
      <c r="G289" s="1777"/>
      <c r="H289" s="1777"/>
      <c r="I289" s="1777"/>
      <c r="J289" s="1777"/>
      <c r="K289" s="3"/>
      <c r="L289" s="3"/>
      <c r="M289" s="3"/>
      <c r="N289" s="28"/>
      <c r="O289" s="28"/>
      <c r="P289" s="28"/>
      <c r="Q289" s="28"/>
    </row>
    <row r="290" spans="1:17" ht="31.5" customHeight="1" x14ac:dyDescent="0.3">
      <c r="A290" s="23" t="str">
        <f>IF('Non TB - Note 3 - 9'!F104=1,"Print","Do Not Print")</f>
        <v>Print</v>
      </c>
      <c r="D290" s="1778" t="str">
        <f>IF('Non TB - Note 3 - 9'!F104=1,'Non TB - Note 3 - 9'!H104,"")</f>
        <v>In addition, agency costs during the year amounted to £xx (2024/25 £xx) and short term compensated absences during the year amounted to £xx (2024/25 £xx).</v>
      </c>
      <c r="E290" s="1778"/>
      <c r="F290" s="1778"/>
      <c r="G290" s="1778"/>
      <c r="H290" s="1778"/>
      <c r="I290" s="1778"/>
      <c r="J290" s="1778"/>
      <c r="K290" s="1778"/>
      <c r="L290" s="3"/>
      <c r="M290" s="3"/>
      <c r="N290" s="28"/>
      <c r="O290" s="28"/>
      <c r="P290" s="28"/>
      <c r="Q290" s="28"/>
    </row>
    <row r="291" spans="1:17" x14ac:dyDescent="0.3">
      <c r="A291" s="3" t="str">
        <f>IF(A290="Print","Print","Do Not Print")</f>
        <v>Print</v>
      </c>
      <c r="D291" s="1777"/>
      <c r="E291" s="1777"/>
      <c r="F291" s="1777"/>
      <c r="G291" s="1777"/>
      <c r="H291" s="1777"/>
      <c r="I291" s="1777"/>
      <c r="J291" s="1777"/>
      <c r="K291" s="1777"/>
      <c r="L291" s="3"/>
      <c r="M291" s="3"/>
      <c r="N291" s="28"/>
      <c r="O291" s="28"/>
      <c r="P291" s="28"/>
      <c r="Q291" s="28"/>
    </row>
    <row r="292" spans="1:17" ht="42.6" customHeight="1" x14ac:dyDescent="0.3">
      <c r="A292" s="23" t="str">
        <f>IF('Non TB - Note 3 - 9'!F105=1,"Print","Do Not Print")</f>
        <v>Print</v>
      </c>
      <c r="D292" s="1779" t="str">
        <f>IF('Non TB - Note 3 - 9'!F105=1,'Non TB - Note 3 - 9'!H105,"")</f>
        <v xml:space="preserve">The Council's current contribution rate to NILGOSC scheme is xx% plus a Deficit Recovery Contribution of £xx .
At last actuarial valuation dated 31st March 20xx the funds assets meet xx% of liabilities at that date (20xx-xx%).
</v>
      </c>
      <c r="E292" s="1779"/>
      <c r="F292" s="1779"/>
      <c r="G292" s="1779"/>
      <c r="H292" s="1779"/>
      <c r="I292" s="1779"/>
      <c r="J292" s="1779"/>
      <c r="K292" s="1779"/>
      <c r="L292" s="3"/>
      <c r="M292" s="3"/>
      <c r="N292" s="28"/>
      <c r="O292" s="28"/>
      <c r="P292" s="28"/>
      <c r="Q292" s="28"/>
    </row>
    <row r="293" spans="1:17" x14ac:dyDescent="0.3">
      <c r="A293" s="3" t="str">
        <f>IF(A292="Print","Print","Do Not Print")</f>
        <v>Print</v>
      </c>
      <c r="D293" s="1777"/>
      <c r="E293" s="1777"/>
      <c r="F293" s="1777"/>
      <c r="G293" s="1777"/>
      <c r="H293" s="1777"/>
      <c r="I293" s="1777"/>
      <c r="J293" s="1777"/>
      <c r="K293" s="1777"/>
      <c r="L293" s="3"/>
      <c r="M293" s="3"/>
      <c r="N293" s="28"/>
      <c r="O293" s="28"/>
      <c r="P293" s="28"/>
      <c r="Q293" s="28"/>
    </row>
    <row r="294" spans="1:17" x14ac:dyDescent="0.3">
      <c r="A294" s="3" t="str">
        <f>IF(A293="Print","Print","Do Not Print")</f>
        <v>Print</v>
      </c>
      <c r="D294" s="1500"/>
      <c r="E294" s="1500"/>
      <c r="F294" s="1500"/>
      <c r="G294" s="1500"/>
      <c r="H294" s="1500"/>
      <c r="I294" s="1500"/>
      <c r="J294" s="1500"/>
      <c r="K294" s="1500"/>
      <c r="L294" s="3"/>
      <c r="M294" s="3"/>
      <c r="N294" s="28"/>
      <c r="O294" s="28"/>
      <c r="P294" s="28"/>
      <c r="Q294" s="28"/>
    </row>
    <row r="295" spans="1:17" x14ac:dyDescent="0.3">
      <c r="A295" s="23" t="str">
        <f>IF('Non TB - Note 3 - 9'!F106=1,"Print","Do Not Print")</f>
        <v>Print</v>
      </c>
      <c r="D295" s="1538" t="str">
        <f>IF('Non TB - Note 3 - 9'!F106=1,'Non TB - Note 3 - 9'!H106,"")</f>
        <v>Average Number of Employees - where FTE represents fulltime equivalent employees</v>
      </c>
      <c r="E295" s="1538"/>
      <c r="F295" s="1538"/>
      <c r="G295" s="1538"/>
      <c r="H295" s="1538"/>
      <c r="I295" s="1538"/>
      <c r="J295" s="1538"/>
      <c r="K295" s="1538"/>
      <c r="L295" s="3"/>
      <c r="M295" s="3"/>
      <c r="N295" s="28"/>
      <c r="O295" s="28"/>
      <c r="P295" s="28"/>
      <c r="Q295" s="28"/>
    </row>
    <row r="296" spans="1:17" x14ac:dyDescent="0.3">
      <c r="A296" s="3" t="str">
        <f>IF(A295="Print","Print","Do Not Print")</f>
        <v>Print</v>
      </c>
      <c r="D296" s="1500"/>
      <c r="E296" s="1500"/>
      <c r="F296" s="1500"/>
      <c r="G296" s="1500"/>
      <c r="H296" s="1500"/>
      <c r="I296" s="1500"/>
      <c r="J296" s="1500"/>
      <c r="M296" s="28"/>
      <c r="N296" s="28"/>
      <c r="O296" s="28"/>
      <c r="P296" s="28"/>
      <c r="Q296" s="28"/>
    </row>
    <row r="297" spans="1:17" x14ac:dyDescent="0.3">
      <c r="A297" s="23" t="str">
        <f>IF(AND(A331="Do Not Print",A339="Do Not Print",A352="Do Not Print",A354="Do Not Print"),"Do Not Print","Print")</f>
        <v>Print</v>
      </c>
      <c r="C297" s="467" t="str">
        <f>Checklist!E70</f>
        <v>b</v>
      </c>
      <c r="D297" s="474" t="s">
        <v>264</v>
      </c>
      <c r="E297" s="474"/>
      <c r="F297" s="474"/>
      <c r="G297" s="474"/>
      <c r="H297" s="474"/>
      <c r="I297" s="486" t="str">
        <f>I282</f>
        <v>2025/26</v>
      </c>
      <c r="J297" s="948" t="str">
        <f>J282</f>
        <v>2024/25</v>
      </c>
      <c r="K297" s="3"/>
      <c r="M297" s="28"/>
      <c r="N297" s="28"/>
      <c r="O297" s="28"/>
      <c r="P297" s="28"/>
      <c r="Q297" s="28"/>
    </row>
    <row r="298" spans="1:17" x14ac:dyDescent="0.3">
      <c r="A298" s="23" t="str">
        <f>IF(A297="Print","Print","Do Not Print")</f>
        <v>Print</v>
      </c>
      <c r="D298" s="482"/>
      <c r="E298" s="482"/>
      <c r="F298" s="482"/>
      <c r="G298" s="482"/>
      <c r="H298" s="482"/>
      <c r="I298" s="483" t="s">
        <v>80</v>
      </c>
      <c r="J298" s="483" t="s">
        <v>80</v>
      </c>
      <c r="M298" s="28"/>
      <c r="N298" s="28"/>
      <c r="O298" s="28"/>
      <c r="P298" s="28"/>
      <c r="Q298" s="28"/>
    </row>
    <row r="299" spans="1:17" x14ac:dyDescent="0.3">
      <c r="A299" s="23" t="str">
        <f>IF(A297="Print","Print","Do Not Print")</f>
        <v>Print</v>
      </c>
      <c r="D299" s="1756"/>
      <c r="E299" s="1756"/>
      <c r="F299" s="1756"/>
      <c r="G299" s="1756"/>
      <c r="H299" s="1756"/>
      <c r="I299" s="519"/>
      <c r="J299" s="519"/>
      <c r="K299" s="3"/>
      <c r="M299" s="28"/>
      <c r="N299" s="28"/>
      <c r="O299" s="28"/>
      <c r="P299" s="28"/>
      <c r="Q299" s="28"/>
    </row>
    <row r="300" spans="1:17" x14ac:dyDescent="0.3">
      <c r="A300" s="23" t="str">
        <f>IF(AND(I300=0,J300=0),"Do Not Print","Print")</f>
        <v>Do Not Print</v>
      </c>
      <c r="D300" s="1756" t="str">
        <f>'Input -CIES'!E7</f>
        <v>CIES Line 1</v>
      </c>
      <c r="E300" s="1756"/>
      <c r="F300" s="1756"/>
      <c r="G300" s="1756"/>
      <c r="H300" s="1756"/>
      <c r="I300" s="519">
        <f>'Non TB - Note 3 - 9'!H107</f>
        <v>0</v>
      </c>
      <c r="J300" s="519">
        <f>'Non TB - Note 3 - 9'!I107</f>
        <v>0</v>
      </c>
      <c r="K300" s="3"/>
      <c r="M300" s="28"/>
      <c r="N300" s="28"/>
      <c r="O300" s="28"/>
      <c r="P300" s="28"/>
      <c r="Q300" s="28"/>
    </row>
    <row r="301" spans="1:17" x14ac:dyDescent="0.3">
      <c r="A301" s="23" t="str">
        <f t="shared" ref="A301:A329" si="17">IF(AND(I301=0,J301=0),"Do Not Print","Print")</f>
        <v>Do Not Print</v>
      </c>
      <c r="D301" s="1756" t="str">
        <f>'Input -CIES'!E8</f>
        <v>CIES Line 2</v>
      </c>
      <c r="E301" s="1756"/>
      <c r="F301" s="1756"/>
      <c r="G301" s="1756"/>
      <c r="H301" s="1756"/>
      <c r="I301" s="519">
        <f>'Non TB - Note 3 - 9'!H108</f>
        <v>0</v>
      </c>
      <c r="J301" s="519">
        <f>'Non TB - Note 3 - 9'!I108</f>
        <v>0</v>
      </c>
      <c r="K301" s="3"/>
      <c r="M301" s="28"/>
      <c r="N301" s="28"/>
      <c r="O301" s="28"/>
      <c r="P301" s="28"/>
      <c r="Q301" s="28"/>
    </row>
    <row r="302" spans="1:17" x14ac:dyDescent="0.3">
      <c r="A302" s="23" t="str">
        <f t="shared" si="17"/>
        <v>Do Not Print</v>
      </c>
      <c r="D302" s="1756" t="str">
        <f>'Input -CIES'!E9</f>
        <v>CIES Line 3</v>
      </c>
      <c r="E302" s="1756"/>
      <c r="F302" s="1756"/>
      <c r="G302" s="1756"/>
      <c r="H302" s="1756"/>
      <c r="I302" s="519">
        <f>'Non TB - Note 3 - 9'!H109</f>
        <v>0</v>
      </c>
      <c r="J302" s="519">
        <f>'Non TB - Note 3 - 9'!I109</f>
        <v>0</v>
      </c>
      <c r="K302" s="3"/>
      <c r="M302" s="28"/>
      <c r="N302" s="28"/>
      <c r="O302" s="28"/>
      <c r="P302" s="28"/>
      <c r="Q302" s="28"/>
    </row>
    <row r="303" spans="1:17" x14ac:dyDescent="0.3">
      <c r="A303" s="23" t="str">
        <f t="shared" si="17"/>
        <v>Do Not Print</v>
      </c>
      <c r="D303" s="1756" t="str">
        <f>'Input -CIES'!E10</f>
        <v>CIES Line 4</v>
      </c>
      <c r="E303" s="1756"/>
      <c r="F303" s="1756"/>
      <c r="G303" s="1756"/>
      <c r="H303" s="1756"/>
      <c r="I303" s="519">
        <f>'Non TB - Note 3 - 9'!H110</f>
        <v>0</v>
      </c>
      <c r="J303" s="519">
        <f>'Non TB - Note 3 - 9'!I110</f>
        <v>0</v>
      </c>
      <c r="K303" s="3"/>
      <c r="M303" s="28"/>
      <c r="N303" s="28"/>
      <c r="O303" s="28"/>
      <c r="P303" s="28"/>
      <c r="Q303" s="28"/>
    </row>
    <row r="304" spans="1:17" x14ac:dyDescent="0.3">
      <c r="A304" s="23" t="str">
        <f t="shared" si="17"/>
        <v>Do Not Print</v>
      </c>
      <c r="D304" s="1756" t="str">
        <f>'Input -CIES'!E11</f>
        <v>CIES Line 5</v>
      </c>
      <c r="E304" s="1756"/>
      <c r="F304" s="1756"/>
      <c r="G304" s="1756"/>
      <c r="H304" s="1756"/>
      <c r="I304" s="519">
        <f>'Non TB - Note 3 - 9'!H111</f>
        <v>0</v>
      </c>
      <c r="J304" s="519">
        <f>'Non TB - Note 3 - 9'!I111</f>
        <v>0</v>
      </c>
      <c r="K304" s="3"/>
      <c r="M304" s="28"/>
      <c r="N304" s="28"/>
      <c r="O304" s="28"/>
      <c r="P304" s="28"/>
      <c r="Q304" s="28"/>
    </row>
    <row r="305" spans="1:17" x14ac:dyDescent="0.3">
      <c r="A305" s="23" t="str">
        <f t="shared" si="17"/>
        <v>Do Not Print</v>
      </c>
      <c r="D305" s="1756" t="str">
        <f>'Input -CIES'!E12</f>
        <v>CIES Line 6</v>
      </c>
      <c r="E305" s="1756"/>
      <c r="F305" s="1756"/>
      <c r="G305" s="1756"/>
      <c r="H305" s="1756"/>
      <c r="I305" s="519">
        <f>'Non TB - Note 3 - 9'!H112</f>
        <v>0</v>
      </c>
      <c r="J305" s="519">
        <f>'Non TB - Note 3 - 9'!I112</f>
        <v>0</v>
      </c>
      <c r="K305" s="3"/>
      <c r="M305" s="28"/>
      <c r="N305" s="28"/>
      <c r="O305" s="28"/>
      <c r="P305" s="28"/>
      <c r="Q305" s="28"/>
    </row>
    <row r="306" spans="1:17" x14ac:dyDescent="0.3">
      <c r="A306" s="23" t="str">
        <f t="shared" si="17"/>
        <v>Do Not Print</v>
      </c>
      <c r="D306" s="1756" t="str">
        <f>'Input -CIES'!E13</f>
        <v>CIES Line 7</v>
      </c>
      <c r="E306" s="1756"/>
      <c r="F306" s="1756"/>
      <c r="G306" s="1756"/>
      <c r="H306" s="1756"/>
      <c r="I306" s="519">
        <f>'Non TB - Note 3 - 9'!H113</f>
        <v>0</v>
      </c>
      <c r="J306" s="519">
        <f>'Non TB - Note 3 - 9'!I113</f>
        <v>0</v>
      </c>
      <c r="K306" s="3"/>
      <c r="M306" s="28"/>
      <c r="N306" s="28"/>
      <c r="O306" s="28"/>
      <c r="P306" s="28"/>
      <c r="Q306" s="28"/>
    </row>
    <row r="307" spans="1:17" x14ac:dyDescent="0.3">
      <c r="A307" s="23" t="str">
        <f t="shared" si="17"/>
        <v>Do Not Print</v>
      </c>
      <c r="D307" s="1756" t="str">
        <f>'Input -CIES'!E14</f>
        <v>CIES Line 8</v>
      </c>
      <c r="E307" s="1756"/>
      <c r="F307" s="1756"/>
      <c r="G307" s="1756"/>
      <c r="H307" s="1756"/>
      <c r="I307" s="519">
        <f>'Non TB - Note 3 - 9'!H114</f>
        <v>0</v>
      </c>
      <c r="J307" s="519">
        <f>'Non TB - Note 3 - 9'!I114</f>
        <v>0</v>
      </c>
      <c r="K307" s="3"/>
      <c r="M307" s="28"/>
      <c r="N307" s="28"/>
      <c r="O307" s="28"/>
      <c r="P307" s="28"/>
      <c r="Q307" s="28"/>
    </row>
    <row r="308" spans="1:17" x14ac:dyDescent="0.3">
      <c r="A308" s="23" t="str">
        <f t="shared" si="17"/>
        <v>Do Not Print</v>
      </c>
      <c r="D308" s="1756" t="str">
        <f>'Input -CIES'!E15</f>
        <v>CIES Line 9</v>
      </c>
      <c r="E308" s="1756"/>
      <c r="F308" s="1756"/>
      <c r="G308" s="1756"/>
      <c r="H308" s="1756"/>
      <c r="I308" s="519">
        <f>'Non TB - Note 3 - 9'!H115</f>
        <v>0</v>
      </c>
      <c r="J308" s="519">
        <f>'Non TB - Note 3 - 9'!I115</f>
        <v>0</v>
      </c>
      <c r="K308" s="3"/>
      <c r="M308" s="28"/>
      <c r="N308" s="28"/>
      <c r="O308" s="28"/>
      <c r="P308" s="28"/>
      <c r="Q308" s="28"/>
    </row>
    <row r="309" spans="1:17" x14ac:dyDescent="0.3">
      <c r="A309" s="23" t="str">
        <f t="shared" si="17"/>
        <v>Do Not Print</v>
      </c>
      <c r="D309" s="1756" t="str">
        <f>'Input -CIES'!E16</f>
        <v>CIES Line 10</v>
      </c>
      <c r="E309" s="1756"/>
      <c r="F309" s="1756"/>
      <c r="G309" s="1756"/>
      <c r="H309" s="1756"/>
      <c r="I309" s="519">
        <f>'Non TB - Note 3 - 9'!H116</f>
        <v>0</v>
      </c>
      <c r="J309" s="519">
        <f>'Non TB - Note 3 - 9'!I116</f>
        <v>0</v>
      </c>
      <c r="K309" s="3"/>
      <c r="M309" s="28"/>
      <c r="N309" s="28"/>
      <c r="O309" s="28"/>
      <c r="P309" s="28"/>
      <c r="Q309" s="28"/>
    </row>
    <row r="310" spans="1:17" x14ac:dyDescent="0.3">
      <c r="A310" s="23" t="str">
        <f t="shared" si="17"/>
        <v>Do Not Print</v>
      </c>
      <c r="D310" s="1756" t="str">
        <f>'Input -CIES'!E17</f>
        <v>CIES Line 11</v>
      </c>
      <c r="E310" s="1756"/>
      <c r="F310" s="1756"/>
      <c r="G310" s="1756"/>
      <c r="H310" s="1756"/>
      <c r="I310" s="519">
        <f>'Non TB - Note 3 - 9'!H117</f>
        <v>0</v>
      </c>
      <c r="J310" s="519">
        <f>'Non TB - Note 3 - 9'!I117</f>
        <v>0</v>
      </c>
      <c r="K310" s="3"/>
      <c r="M310" s="28"/>
      <c r="N310" s="28"/>
      <c r="O310" s="28"/>
      <c r="P310" s="28"/>
      <c r="Q310" s="28"/>
    </row>
    <row r="311" spans="1:17" x14ac:dyDescent="0.3">
      <c r="A311" s="23" t="str">
        <f t="shared" si="17"/>
        <v>Do Not Print</v>
      </c>
      <c r="D311" s="1756" t="str">
        <f>'Input -CIES'!E18</f>
        <v>CIES Line 12</v>
      </c>
      <c r="E311" s="1756"/>
      <c r="F311" s="1756"/>
      <c r="G311" s="1756"/>
      <c r="H311" s="1756"/>
      <c r="I311" s="519">
        <f>'Non TB - Note 3 - 9'!H118</f>
        <v>0</v>
      </c>
      <c r="J311" s="519">
        <f>'Non TB - Note 3 - 9'!I118</f>
        <v>0</v>
      </c>
      <c r="K311" s="3"/>
      <c r="M311" s="28"/>
      <c r="N311" s="28"/>
      <c r="O311" s="28"/>
      <c r="P311" s="28"/>
      <c r="Q311" s="28"/>
    </row>
    <row r="312" spans="1:17" x14ac:dyDescent="0.3">
      <c r="A312" s="23" t="str">
        <f t="shared" si="17"/>
        <v>Do Not Print</v>
      </c>
      <c r="D312" s="1756" t="str">
        <f>'Input -CIES'!E19</f>
        <v>CIES Line 13</v>
      </c>
      <c r="E312" s="1756"/>
      <c r="F312" s="1756"/>
      <c r="G312" s="1756"/>
      <c r="H312" s="1756"/>
      <c r="I312" s="519">
        <f>'Non TB - Note 3 - 9'!H119</f>
        <v>0</v>
      </c>
      <c r="J312" s="519">
        <f>'Non TB - Note 3 - 9'!I119</f>
        <v>0</v>
      </c>
      <c r="K312" s="3"/>
      <c r="M312" s="28"/>
      <c r="N312" s="28"/>
      <c r="O312" s="28"/>
      <c r="P312" s="28"/>
      <c r="Q312" s="28"/>
    </row>
    <row r="313" spans="1:17" x14ac:dyDescent="0.3">
      <c r="A313" s="23" t="str">
        <f t="shared" si="17"/>
        <v>Do Not Print</v>
      </c>
      <c r="D313" s="1756" t="str">
        <f>'Input -CIES'!E20</f>
        <v>CIES Line 14</v>
      </c>
      <c r="E313" s="1756"/>
      <c r="F313" s="1756"/>
      <c r="G313" s="1756"/>
      <c r="H313" s="1756"/>
      <c r="I313" s="519">
        <f>'Non TB - Note 3 - 9'!H120</f>
        <v>0</v>
      </c>
      <c r="J313" s="519">
        <f>'Non TB - Note 3 - 9'!I120</f>
        <v>0</v>
      </c>
      <c r="K313" s="3"/>
      <c r="M313" s="28"/>
      <c r="N313" s="28"/>
      <c r="O313" s="28"/>
      <c r="P313" s="28"/>
      <c r="Q313" s="28"/>
    </row>
    <row r="314" spans="1:17" x14ac:dyDescent="0.3">
      <c r="A314" s="23" t="str">
        <f t="shared" si="17"/>
        <v>Do Not Print</v>
      </c>
      <c r="D314" s="1756" t="str">
        <f>'Input -CIES'!E21</f>
        <v>CIES Line 15</v>
      </c>
      <c r="E314" s="1756"/>
      <c r="F314" s="1756"/>
      <c r="G314" s="1756"/>
      <c r="H314" s="1756"/>
      <c r="I314" s="519">
        <f>'Non TB - Note 3 - 9'!H121</f>
        <v>0</v>
      </c>
      <c r="J314" s="519">
        <f>'Non TB - Note 3 - 9'!I121</f>
        <v>0</v>
      </c>
      <c r="K314" s="3"/>
      <c r="M314" s="28"/>
      <c r="N314" s="28"/>
      <c r="O314" s="28"/>
      <c r="P314" s="28"/>
      <c r="Q314" s="28"/>
    </row>
    <row r="315" spans="1:17" x14ac:dyDescent="0.3">
      <c r="A315" s="23" t="str">
        <f t="shared" si="17"/>
        <v>Do Not Print</v>
      </c>
      <c r="D315" s="1756" t="str">
        <f>'Input -CIES'!E22</f>
        <v>CIES Line 16</v>
      </c>
      <c r="E315" s="1756"/>
      <c r="F315" s="1756"/>
      <c r="G315" s="1756"/>
      <c r="H315" s="1756"/>
      <c r="I315" s="519">
        <f>'Non TB - Note 3 - 9'!H122</f>
        <v>0</v>
      </c>
      <c r="J315" s="519">
        <f>'Non TB - Note 3 - 9'!I122</f>
        <v>0</v>
      </c>
      <c r="K315" s="3"/>
      <c r="M315" s="28"/>
      <c r="N315" s="28"/>
      <c r="O315" s="28"/>
      <c r="P315" s="28"/>
      <c r="Q315" s="28"/>
    </row>
    <row r="316" spans="1:17" x14ac:dyDescent="0.3">
      <c r="A316" s="23" t="str">
        <f t="shared" si="17"/>
        <v>Do Not Print</v>
      </c>
      <c r="D316" s="1756" t="str">
        <f>'Input -CIES'!E23</f>
        <v>CIES Line 17</v>
      </c>
      <c r="E316" s="1756"/>
      <c r="F316" s="1756"/>
      <c r="G316" s="1756"/>
      <c r="H316" s="1756"/>
      <c r="I316" s="519">
        <f>'Non TB - Note 3 - 9'!H123</f>
        <v>0</v>
      </c>
      <c r="J316" s="519">
        <f>'Non TB - Note 3 - 9'!I123</f>
        <v>0</v>
      </c>
      <c r="K316" s="3"/>
      <c r="M316" s="28"/>
      <c r="N316" s="28"/>
      <c r="O316" s="28"/>
      <c r="P316" s="28"/>
      <c r="Q316" s="28"/>
    </row>
    <row r="317" spans="1:17" x14ac:dyDescent="0.3">
      <c r="A317" s="23" t="str">
        <f t="shared" si="17"/>
        <v>Do Not Print</v>
      </c>
      <c r="D317" s="1756" t="str">
        <f>'Input -CIES'!E24</f>
        <v>CIES Line 18</v>
      </c>
      <c r="E317" s="1756"/>
      <c r="F317" s="1756"/>
      <c r="G317" s="1756"/>
      <c r="H317" s="1756"/>
      <c r="I317" s="519">
        <f>'Non TB - Note 3 - 9'!H124</f>
        <v>0</v>
      </c>
      <c r="J317" s="519">
        <f>'Non TB - Note 3 - 9'!I124</f>
        <v>0</v>
      </c>
      <c r="K317" s="3"/>
      <c r="M317" s="28"/>
      <c r="N317" s="28"/>
      <c r="O317" s="28"/>
      <c r="P317" s="28"/>
      <c r="Q317" s="28"/>
    </row>
    <row r="318" spans="1:17" x14ac:dyDescent="0.3">
      <c r="A318" s="23" t="str">
        <f t="shared" si="17"/>
        <v>Do Not Print</v>
      </c>
      <c r="D318" s="1756" t="str">
        <f>'Input -CIES'!E25</f>
        <v>CIES Line 19</v>
      </c>
      <c r="E318" s="1756"/>
      <c r="F318" s="1756"/>
      <c r="G318" s="1756"/>
      <c r="H318" s="1756"/>
      <c r="I318" s="519">
        <f>'Non TB - Note 3 - 9'!H125</f>
        <v>0</v>
      </c>
      <c r="J318" s="519">
        <f>'Non TB - Note 3 - 9'!I125</f>
        <v>0</v>
      </c>
      <c r="K318" s="3"/>
      <c r="M318" s="28"/>
      <c r="N318" s="28"/>
      <c r="O318" s="28"/>
      <c r="P318" s="28"/>
      <c r="Q318" s="28"/>
    </row>
    <row r="319" spans="1:17" x14ac:dyDescent="0.3">
      <c r="A319" s="23" t="str">
        <f t="shared" si="17"/>
        <v>Do Not Print</v>
      </c>
      <c r="D319" s="1756" t="str">
        <f>'Input -CIES'!E26</f>
        <v>CIES Line 20</v>
      </c>
      <c r="E319" s="1756"/>
      <c r="F319" s="1756"/>
      <c r="G319" s="1756"/>
      <c r="H319" s="1756"/>
      <c r="I319" s="519">
        <f>'Non TB - Note 3 - 9'!H126</f>
        <v>0</v>
      </c>
      <c r="J319" s="519">
        <f>'Non TB - Note 3 - 9'!I126</f>
        <v>0</v>
      </c>
      <c r="K319" s="3"/>
      <c r="M319" s="28"/>
      <c r="N319" s="28"/>
      <c r="O319" s="28"/>
      <c r="P319" s="28"/>
      <c r="Q319" s="28"/>
    </row>
    <row r="320" spans="1:17" x14ac:dyDescent="0.3">
      <c r="A320" s="23" t="str">
        <f t="shared" si="17"/>
        <v>Do Not Print</v>
      </c>
      <c r="D320" s="1756" t="str">
        <f>'Input -CIES'!E27</f>
        <v>CIES Line 21</v>
      </c>
      <c r="E320" s="1756"/>
      <c r="F320" s="1756"/>
      <c r="G320" s="1756"/>
      <c r="H320" s="1756"/>
      <c r="I320" s="519">
        <f>'Non TB - Note 3 - 9'!H127</f>
        <v>0</v>
      </c>
      <c r="J320" s="519">
        <f>'Non TB - Note 3 - 9'!I127</f>
        <v>0</v>
      </c>
      <c r="K320" s="3"/>
      <c r="M320" s="28"/>
      <c r="N320" s="28"/>
      <c r="O320" s="28"/>
      <c r="P320" s="28"/>
      <c r="Q320" s="28"/>
    </row>
    <row r="321" spans="1:17" x14ac:dyDescent="0.3">
      <c r="A321" s="23" t="str">
        <f t="shared" si="17"/>
        <v>Do Not Print</v>
      </c>
      <c r="D321" s="1756" t="str">
        <f>'Input -CIES'!E28</f>
        <v>CIES Line 22</v>
      </c>
      <c r="E321" s="1756"/>
      <c r="F321" s="1756"/>
      <c r="G321" s="1756"/>
      <c r="H321" s="1756"/>
      <c r="I321" s="519">
        <f>'Non TB - Note 3 - 9'!H128</f>
        <v>0</v>
      </c>
      <c r="J321" s="519">
        <f>'Non TB - Note 3 - 9'!I128</f>
        <v>0</v>
      </c>
      <c r="K321" s="3"/>
      <c r="M321" s="28"/>
      <c r="N321" s="28"/>
      <c r="O321" s="28"/>
      <c r="P321" s="28"/>
      <c r="Q321" s="28"/>
    </row>
    <row r="322" spans="1:17" x14ac:dyDescent="0.3">
      <c r="A322" s="23" t="str">
        <f t="shared" si="17"/>
        <v>Do Not Print</v>
      </c>
      <c r="D322" s="1756" t="str">
        <f>'Input -CIES'!E29</f>
        <v>CIES Line 23</v>
      </c>
      <c r="E322" s="1756"/>
      <c r="F322" s="1756"/>
      <c r="G322" s="1756"/>
      <c r="H322" s="1756"/>
      <c r="I322" s="519">
        <f>'Non TB - Note 3 - 9'!H129</f>
        <v>0</v>
      </c>
      <c r="J322" s="519">
        <f>'Non TB - Note 3 - 9'!I129</f>
        <v>0</v>
      </c>
      <c r="K322" s="3"/>
      <c r="M322" s="28"/>
      <c r="N322" s="28"/>
      <c r="O322" s="28"/>
      <c r="P322" s="28"/>
      <c r="Q322" s="28"/>
    </row>
    <row r="323" spans="1:17" x14ac:dyDescent="0.3">
      <c r="A323" s="23" t="str">
        <f t="shared" si="17"/>
        <v>Do Not Print</v>
      </c>
      <c r="D323" s="1756" t="str">
        <f>'Input -CIES'!E30</f>
        <v>CIES Line 24</v>
      </c>
      <c r="E323" s="1756"/>
      <c r="F323" s="1756"/>
      <c r="G323" s="1756"/>
      <c r="H323" s="1756"/>
      <c r="I323" s="519">
        <f>'Non TB - Note 3 - 9'!H130</f>
        <v>0</v>
      </c>
      <c r="J323" s="519">
        <f>'Non TB - Note 3 - 9'!I130</f>
        <v>0</v>
      </c>
      <c r="K323" s="3"/>
      <c r="M323" s="28"/>
      <c r="N323" s="28"/>
      <c r="O323" s="28"/>
      <c r="P323" s="28"/>
      <c r="Q323" s="28"/>
    </row>
    <row r="324" spans="1:17" x14ac:dyDescent="0.3">
      <c r="A324" s="23" t="str">
        <f t="shared" si="17"/>
        <v>Do Not Print</v>
      </c>
      <c r="D324" s="1756" t="str">
        <f>'Input -CIES'!E31</f>
        <v>CIES Line 25</v>
      </c>
      <c r="E324" s="1756"/>
      <c r="F324" s="1756"/>
      <c r="G324" s="1756"/>
      <c r="H324" s="1756"/>
      <c r="I324" s="519">
        <f>'Non TB - Note 3 - 9'!H131</f>
        <v>0</v>
      </c>
      <c r="J324" s="519">
        <f>'Non TB - Note 3 - 9'!I131</f>
        <v>0</v>
      </c>
      <c r="K324" s="3"/>
      <c r="M324" s="28"/>
      <c r="N324" s="28"/>
      <c r="O324" s="28"/>
      <c r="P324" s="28"/>
      <c r="Q324" s="28"/>
    </row>
    <row r="325" spans="1:17" x14ac:dyDescent="0.3">
      <c r="A325" s="23" t="str">
        <f t="shared" si="17"/>
        <v>Do Not Print</v>
      </c>
      <c r="D325" s="1756" t="str">
        <f>'Input -CIES'!E32</f>
        <v>CIES Line 26</v>
      </c>
      <c r="E325" s="1756"/>
      <c r="F325" s="1756"/>
      <c r="G325" s="1756"/>
      <c r="H325" s="1756"/>
      <c r="I325" s="519">
        <f>'Non TB - Note 3 - 9'!H132</f>
        <v>0</v>
      </c>
      <c r="J325" s="519">
        <f>'Non TB - Note 3 - 9'!I132</f>
        <v>0</v>
      </c>
      <c r="K325" s="3"/>
      <c r="M325" s="28"/>
      <c r="N325" s="28"/>
      <c r="O325" s="28"/>
      <c r="P325" s="28"/>
      <c r="Q325" s="28"/>
    </row>
    <row r="326" spans="1:17" x14ac:dyDescent="0.3">
      <c r="A326" s="23" t="str">
        <f t="shared" si="17"/>
        <v>Do Not Print</v>
      </c>
      <c r="D326" s="1756" t="str">
        <f>'Input -CIES'!E33</f>
        <v>CIES Line 27</v>
      </c>
      <c r="E326" s="1756"/>
      <c r="F326" s="1756"/>
      <c r="G326" s="1756"/>
      <c r="H326" s="1756"/>
      <c r="I326" s="519">
        <f>'Non TB - Note 3 - 9'!H133</f>
        <v>0</v>
      </c>
      <c r="J326" s="519">
        <f>'Non TB - Note 3 - 9'!I133</f>
        <v>0</v>
      </c>
      <c r="K326" s="3"/>
      <c r="M326" s="28"/>
      <c r="N326" s="28"/>
      <c r="O326" s="28"/>
      <c r="P326" s="28"/>
      <c r="Q326" s="28"/>
    </row>
    <row r="327" spans="1:17" x14ac:dyDescent="0.3">
      <c r="A327" s="23" t="str">
        <f t="shared" si="17"/>
        <v>Do Not Print</v>
      </c>
      <c r="D327" s="1756" t="str">
        <f>'Input -CIES'!E34</f>
        <v>CIES Line 28</v>
      </c>
      <c r="E327" s="1756"/>
      <c r="F327" s="1756"/>
      <c r="G327" s="1756"/>
      <c r="H327" s="1756"/>
      <c r="I327" s="519">
        <f>'Non TB - Note 3 - 9'!H134</f>
        <v>0</v>
      </c>
      <c r="J327" s="519">
        <f>'Non TB - Note 3 - 9'!I134</f>
        <v>0</v>
      </c>
      <c r="K327" s="3"/>
      <c r="M327" s="28"/>
      <c r="N327" s="28"/>
      <c r="O327" s="28"/>
      <c r="P327" s="28"/>
      <c r="Q327" s="28"/>
    </row>
    <row r="328" spans="1:17" x14ac:dyDescent="0.3">
      <c r="A328" s="23" t="str">
        <f t="shared" si="17"/>
        <v>Do Not Print</v>
      </c>
      <c r="D328" s="1756" t="str">
        <f>'Input -CIES'!E35</f>
        <v>CIES Line 29</v>
      </c>
      <c r="E328" s="1756"/>
      <c r="F328" s="1756"/>
      <c r="G328" s="1756"/>
      <c r="H328" s="1756"/>
      <c r="I328" s="519">
        <f>'Non TB - Note 3 - 9'!H135</f>
        <v>0</v>
      </c>
      <c r="J328" s="519">
        <f>'Non TB - Note 3 - 9'!I135</f>
        <v>0</v>
      </c>
      <c r="K328" s="3"/>
      <c r="M328" s="28"/>
      <c r="N328" s="28"/>
      <c r="O328" s="28"/>
      <c r="P328" s="28"/>
      <c r="Q328" s="28"/>
    </row>
    <row r="329" spans="1:17" x14ac:dyDescent="0.3">
      <c r="A329" s="23" t="str">
        <f t="shared" si="17"/>
        <v>Do Not Print</v>
      </c>
      <c r="D329" s="1756" t="str">
        <f>'Input -CIES'!E36</f>
        <v>CIES Line 30</v>
      </c>
      <c r="E329" s="1756"/>
      <c r="F329" s="1756"/>
      <c r="G329" s="1756"/>
      <c r="H329" s="1756"/>
      <c r="I329" s="519">
        <f>'Non TB - Note 3 - 9'!H136</f>
        <v>0</v>
      </c>
      <c r="J329" s="519">
        <f>'Non TB - Note 3 - 9'!I136</f>
        <v>0</v>
      </c>
      <c r="K329" s="3"/>
      <c r="M329" s="28"/>
      <c r="N329" s="28"/>
      <c r="O329" s="28"/>
      <c r="P329" s="28"/>
      <c r="Q329" s="28"/>
    </row>
    <row r="330" spans="1:17" x14ac:dyDescent="0.3">
      <c r="A330" s="3" t="s">
        <v>448</v>
      </c>
      <c r="D330" s="1753"/>
      <c r="E330" s="1754"/>
      <c r="F330" s="1754"/>
      <c r="G330" s="1754"/>
      <c r="H330" s="1754"/>
      <c r="I330" s="1754"/>
      <c r="J330" s="1755"/>
      <c r="K330" s="3"/>
      <c r="M330" s="28"/>
      <c r="N330" s="28"/>
      <c r="O330" s="28"/>
      <c r="P330" s="28"/>
      <c r="Q330" s="28"/>
    </row>
    <row r="331" spans="1:17" x14ac:dyDescent="0.3">
      <c r="A331" s="3" t="s">
        <v>448</v>
      </c>
      <c r="D331" s="474" t="s">
        <v>81</v>
      </c>
      <c r="E331" s="474"/>
      <c r="F331" s="474"/>
      <c r="G331" s="474"/>
      <c r="H331" s="474"/>
      <c r="I331" s="511">
        <f>SUM(I300:I329)</f>
        <v>0</v>
      </c>
      <c r="J331" s="511">
        <f>SUM(J300:J329)</f>
        <v>0</v>
      </c>
      <c r="M331" s="28"/>
      <c r="N331" s="28"/>
      <c r="O331" s="28"/>
      <c r="P331" s="28"/>
      <c r="Q331" s="28"/>
    </row>
    <row r="332" spans="1:17" x14ac:dyDescent="0.3">
      <c r="A332" s="3" t="str">
        <f>IF(A331="Print","Print","Do Not Print")</f>
        <v>Print</v>
      </c>
      <c r="D332" s="1500"/>
      <c r="E332" s="1500"/>
      <c r="F332" s="1500"/>
      <c r="G332" s="1500"/>
      <c r="H332" s="1500"/>
      <c r="I332" s="1500"/>
      <c r="J332" s="1500"/>
      <c r="M332" s="28"/>
      <c r="N332" s="28"/>
      <c r="O332" s="28"/>
      <c r="P332" s="28"/>
      <c r="Q332" s="28"/>
    </row>
    <row r="333" spans="1:17" x14ac:dyDescent="0.3">
      <c r="A333" s="3" t="str">
        <f>IF(A332="Print","Print","Do Not Print")</f>
        <v>Print</v>
      </c>
      <c r="D333" s="1500"/>
      <c r="E333" s="1500"/>
      <c r="F333" s="1500"/>
      <c r="G333" s="1500"/>
      <c r="H333" s="1500"/>
      <c r="I333" s="1500"/>
      <c r="J333" s="1500"/>
      <c r="M333" s="28"/>
      <c r="N333" s="28"/>
      <c r="O333" s="28"/>
      <c r="P333" s="28"/>
      <c r="Q333" s="28"/>
    </row>
    <row r="334" spans="1:17" x14ac:dyDescent="0.3">
      <c r="A334" s="3" t="s">
        <v>448</v>
      </c>
      <c r="D334" s="474"/>
      <c r="E334" s="474"/>
      <c r="F334" s="474"/>
      <c r="G334" s="474"/>
      <c r="H334" s="474"/>
      <c r="I334" s="486" t="str">
        <f>I297</f>
        <v>2025/26</v>
      </c>
      <c r="J334" s="948" t="str">
        <f>J297</f>
        <v>2024/25</v>
      </c>
      <c r="M334" s="28"/>
      <c r="N334" s="28"/>
      <c r="O334" s="28"/>
      <c r="P334" s="28"/>
      <c r="Q334" s="28"/>
    </row>
    <row r="335" spans="1:17" x14ac:dyDescent="0.3">
      <c r="A335" s="3" t="s">
        <v>448</v>
      </c>
      <c r="D335" s="482"/>
      <c r="E335" s="482"/>
      <c r="F335" s="482"/>
      <c r="G335" s="482"/>
      <c r="H335" s="482"/>
      <c r="I335" s="512" t="s">
        <v>82</v>
      </c>
      <c r="J335" s="512" t="s">
        <v>82</v>
      </c>
      <c r="M335" s="28"/>
      <c r="N335" s="28"/>
      <c r="O335" s="28"/>
      <c r="P335" s="28"/>
      <c r="Q335" s="28"/>
    </row>
    <row r="336" spans="1:17" x14ac:dyDescent="0.3">
      <c r="A336" s="23" t="str">
        <f>IF(AND(I336=0,J336=0),"Do Not Print","Print")</f>
        <v>Do Not Print</v>
      </c>
      <c r="D336" s="1756" t="s">
        <v>217</v>
      </c>
      <c r="E336" s="1756"/>
      <c r="F336" s="1756"/>
      <c r="G336" s="1756"/>
      <c r="H336" s="1756"/>
      <c r="I336" s="524">
        <f>'Non TB - Note 3 - 9'!H137</f>
        <v>0</v>
      </c>
      <c r="J336" s="524">
        <f>'Non TB - Note 3 - 9'!I137</f>
        <v>0</v>
      </c>
      <c r="K336" s="3"/>
      <c r="L336" s="3"/>
      <c r="M336" s="3"/>
      <c r="N336" s="28"/>
      <c r="O336" s="28"/>
      <c r="P336" s="28"/>
      <c r="Q336" s="28"/>
    </row>
    <row r="337" spans="1:17" x14ac:dyDescent="0.3">
      <c r="A337" s="23" t="str">
        <f>IF(AND(I337=0,J337=0),"Do Not Print","Print")</f>
        <v>Do Not Print</v>
      </c>
      <c r="D337" s="1756" t="s">
        <v>218</v>
      </c>
      <c r="E337" s="1756"/>
      <c r="F337" s="1756"/>
      <c r="G337" s="1756"/>
      <c r="H337" s="1756"/>
      <c r="I337" s="524">
        <f>'Non TB - Note 3 - 9'!H138</f>
        <v>0</v>
      </c>
      <c r="J337" s="524">
        <f>'Non TB - Note 3 - 9'!I138</f>
        <v>0</v>
      </c>
      <c r="K337" s="3"/>
      <c r="L337" s="3"/>
      <c r="M337" s="3"/>
      <c r="N337" s="28"/>
      <c r="O337" s="28"/>
      <c r="P337" s="28"/>
      <c r="Q337" s="28"/>
    </row>
    <row r="338" spans="1:17" x14ac:dyDescent="0.3">
      <c r="A338" s="3" t="str">
        <f>IF(A337="Print","Print","Do Not Print")</f>
        <v>Do Not Print</v>
      </c>
      <c r="D338" s="1753"/>
      <c r="E338" s="1754"/>
      <c r="F338" s="1754"/>
      <c r="G338" s="1754"/>
      <c r="H338" s="1754"/>
      <c r="I338" s="1754"/>
      <c r="J338" s="1755"/>
      <c r="K338" s="3"/>
      <c r="L338" s="3"/>
      <c r="M338" s="3"/>
      <c r="N338" s="28"/>
      <c r="O338" s="28"/>
      <c r="P338" s="28"/>
      <c r="Q338" s="28"/>
    </row>
    <row r="339" spans="1:17" x14ac:dyDescent="0.3">
      <c r="A339" s="23" t="str">
        <f>IF(AND(I339=0,J339=0),"Do Not Print","Print")</f>
        <v>Do Not Print</v>
      </c>
      <c r="D339" s="474" t="s">
        <v>81</v>
      </c>
      <c r="E339" s="474"/>
      <c r="F339" s="474"/>
      <c r="G339" s="474"/>
      <c r="H339" s="474"/>
      <c r="I339" s="511">
        <f>SUM(I336:I337)</f>
        <v>0</v>
      </c>
      <c r="J339" s="511">
        <f>SUM(J336:J337)</f>
        <v>0</v>
      </c>
      <c r="K339" s="3"/>
      <c r="L339" s="3"/>
      <c r="M339" s="3"/>
      <c r="N339" s="28"/>
      <c r="O339" s="28"/>
      <c r="P339" s="28"/>
      <c r="Q339" s="28"/>
    </row>
    <row r="340" spans="1:17" x14ac:dyDescent="0.3">
      <c r="A340" s="3" t="str">
        <f>IF(A339="Print","Print","Do Not Print")</f>
        <v>Do Not Print</v>
      </c>
      <c r="D340" s="1500"/>
      <c r="E340" s="1500"/>
      <c r="F340" s="1500"/>
      <c r="G340" s="1500"/>
      <c r="H340" s="1500"/>
      <c r="I340" s="1500"/>
      <c r="J340" s="1500"/>
      <c r="K340" s="3"/>
      <c r="L340" s="3"/>
      <c r="M340" s="3"/>
      <c r="N340" s="28"/>
      <c r="O340" s="28"/>
      <c r="P340" s="28"/>
      <c r="Q340" s="28"/>
    </row>
    <row r="341" spans="1:17" x14ac:dyDescent="0.3">
      <c r="A341" s="3" t="str">
        <f>IF(A340="Print","Print","Do Not Print")</f>
        <v>Do Not Print</v>
      </c>
      <c r="D341" s="1500"/>
      <c r="E341" s="1500"/>
      <c r="F341" s="1500"/>
      <c r="G341" s="1500"/>
      <c r="H341" s="1500"/>
      <c r="I341" s="1500"/>
      <c r="J341" s="1500"/>
      <c r="K341" s="3"/>
      <c r="L341" s="3"/>
      <c r="M341" s="3"/>
      <c r="N341" s="28"/>
      <c r="O341" s="28"/>
      <c r="P341" s="28"/>
      <c r="Q341" s="28"/>
    </row>
    <row r="342" spans="1:17" x14ac:dyDescent="0.3">
      <c r="A342" s="3" t="s">
        <v>448</v>
      </c>
      <c r="C342" s="467" t="str">
        <f>Checklist!E71</f>
        <v>c</v>
      </c>
      <c r="D342" s="474" t="s">
        <v>1467</v>
      </c>
      <c r="E342" s="474"/>
      <c r="F342" s="474"/>
      <c r="G342" s="474"/>
      <c r="H342" s="474"/>
      <c r="I342" s="486" t="str">
        <f>I334</f>
        <v>2025/26</v>
      </c>
      <c r="J342" s="486" t="str">
        <f>J334</f>
        <v>2024/25</v>
      </c>
      <c r="K342" s="3"/>
      <c r="L342" s="3"/>
      <c r="M342" s="3"/>
      <c r="N342" s="28"/>
      <c r="O342" s="28"/>
      <c r="P342" s="28"/>
      <c r="Q342" s="28"/>
    </row>
    <row r="343" spans="1:17" x14ac:dyDescent="0.3">
      <c r="A343" s="3" t="s">
        <v>448</v>
      </c>
      <c r="D343" s="482"/>
      <c r="E343" s="482"/>
      <c r="F343" s="482"/>
      <c r="G343" s="482"/>
      <c r="H343" s="482"/>
      <c r="I343" s="483" t="s">
        <v>450</v>
      </c>
      <c r="J343" s="483" t="s">
        <v>450</v>
      </c>
      <c r="K343" s="3"/>
      <c r="L343" s="3"/>
      <c r="M343" s="3"/>
      <c r="N343" s="28"/>
      <c r="O343" s="28"/>
      <c r="P343" s="28"/>
      <c r="Q343" s="28"/>
    </row>
    <row r="344" spans="1:17" x14ac:dyDescent="0.3">
      <c r="A344" s="23" t="str">
        <f t="shared" ref="A344:A350" si="18">IF(AND(I344=0,J344=0),"Do Not Print","Print")</f>
        <v>Do Not Print</v>
      </c>
      <c r="D344" s="1753" t="s">
        <v>219</v>
      </c>
      <c r="E344" s="1754"/>
      <c r="F344" s="1754"/>
      <c r="G344" s="1754"/>
      <c r="H344" s="1755"/>
      <c r="I344" s="519">
        <f>'Non TB - Note 3 - 9'!H139</f>
        <v>0</v>
      </c>
      <c r="J344" s="519">
        <f>'Non TB - Note 3 - 9'!I139</f>
        <v>0</v>
      </c>
      <c r="K344" s="3"/>
      <c r="L344" s="3"/>
      <c r="M344" s="3"/>
      <c r="N344" s="28"/>
      <c r="O344" s="28"/>
      <c r="P344" s="28"/>
      <c r="Q344" s="28"/>
    </row>
    <row r="345" spans="1:17" x14ac:dyDescent="0.3">
      <c r="A345" s="23" t="str">
        <f t="shared" si="18"/>
        <v>Do Not Print</v>
      </c>
      <c r="D345" s="1753" t="s">
        <v>220</v>
      </c>
      <c r="E345" s="1754"/>
      <c r="F345" s="1754"/>
      <c r="G345" s="1754"/>
      <c r="H345" s="1755"/>
      <c r="I345" s="519">
        <f>'Non TB - Note 3 - 9'!H140</f>
        <v>0</v>
      </c>
      <c r="J345" s="519">
        <f>'Non TB - Note 3 - 9'!I140</f>
        <v>0</v>
      </c>
      <c r="K345" s="3"/>
      <c r="L345" s="3"/>
      <c r="M345" s="3"/>
      <c r="N345" s="28"/>
      <c r="O345" s="28"/>
      <c r="P345" s="28"/>
      <c r="Q345" s="28"/>
    </row>
    <row r="346" spans="1:17" x14ac:dyDescent="0.3">
      <c r="A346" s="23" t="str">
        <f t="shared" si="18"/>
        <v>Do Not Print</v>
      </c>
      <c r="D346" s="1753" t="s">
        <v>221</v>
      </c>
      <c r="E346" s="1754"/>
      <c r="F346" s="1754"/>
      <c r="G346" s="1754"/>
      <c r="H346" s="1755"/>
      <c r="I346" s="519">
        <f>'Non TB - Note 3 - 9'!H141</f>
        <v>0</v>
      </c>
      <c r="J346" s="519">
        <f>'Non TB - Note 3 - 9'!I141</f>
        <v>0</v>
      </c>
      <c r="K346" s="3"/>
      <c r="L346" s="3"/>
      <c r="M346" s="3"/>
      <c r="N346" s="28"/>
      <c r="O346" s="28"/>
      <c r="P346" s="28"/>
      <c r="Q346" s="28"/>
    </row>
    <row r="347" spans="1:17" x14ac:dyDescent="0.3">
      <c r="A347" s="3" t="s">
        <v>448</v>
      </c>
      <c r="D347" s="1753" t="s">
        <v>1468</v>
      </c>
      <c r="E347" s="1754"/>
      <c r="F347" s="1754"/>
      <c r="G347" s="1754"/>
      <c r="H347" s="1755"/>
      <c r="I347" s="519">
        <f>'Non TB - Note 3 - 9'!H142</f>
        <v>0</v>
      </c>
      <c r="J347" s="519">
        <f>'Non TB - Note 3 - 9'!I142</f>
        <v>0</v>
      </c>
      <c r="K347" s="3"/>
      <c r="L347" s="3"/>
      <c r="M347" s="3"/>
      <c r="N347" s="28"/>
      <c r="O347" s="28"/>
      <c r="P347" s="28"/>
      <c r="Q347" s="28"/>
    </row>
    <row r="348" spans="1:17" x14ac:dyDescent="0.3">
      <c r="A348" s="3" t="s">
        <v>448</v>
      </c>
      <c r="D348" s="1753" t="s">
        <v>1575</v>
      </c>
      <c r="E348" s="1754"/>
      <c r="F348" s="1754"/>
      <c r="G348" s="1754"/>
      <c r="H348" s="1755"/>
      <c r="I348" s="519">
        <f>'Non TB - Note 3 - 9'!H143</f>
        <v>0</v>
      </c>
      <c r="J348" s="519">
        <f>'Non TB - Note 3 - 9'!I143</f>
        <v>0</v>
      </c>
      <c r="K348" s="3"/>
      <c r="L348" s="3"/>
      <c r="M348" s="3"/>
      <c r="N348" s="28"/>
      <c r="O348" s="28"/>
      <c r="P348" s="28"/>
      <c r="Q348" s="28"/>
    </row>
    <row r="349" spans="1:17" x14ac:dyDescent="0.3">
      <c r="A349" s="23" t="str">
        <f t="shared" si="18"/>
        <v>Do Not Print</v>
      </c>
      <c r="D349" s="1753" t="s">
        <v>1576</v>
      </c>
      <c r="E349" s="1754"/>
      <c r="F349" s="1754"/>
      <c r="G349" s="1754"/>
      <c r="H349" s="1755"/>
      <c r="I349" s="519">
        <f>'Non TB - Note 3 - 9'!H144</f>
        <v>0</v>
      </c>
      <c r="J349" s="519">
        <f>'Non TB - Note 3 - 9'!I144</f>
        <v>0</v>
      </c>
      <c r="K349" s="3"/>
      <c r="L349" s="3"/>
      <c r="M349" s="3"/>
      <c r="N349" s="28"/>
      <c r="O349" s="28"/>
      <c r="P349" s="28"/>
      <c r="Q349" s="28"/>
    </row>
    <row r="350" spans="1:17" x14ac:dyDescent="0.3">
      <c r="A350" s="23" t="str">
        <f t="shared" si="18"/>
        <v>Do Not Print</v>
      </c>
      <c r="D350" s="1753" t="s">
        <v>1577</v>
      </c>
      <c r="E350" s="1754"/>
      <c r="F350" s="1754"/>
      <c r="G350" s="1754"/>
      <c r="H350" s="1755"/>
      <c r="I350" s="519">
        <f>'Non TB - Note 3 - 9'!H145</f>
        <v>0</v>
      </c>
      <c r="J350" s="519">
        <f>'Non TB - Note 3 - 9'!I145</f>
        <v>0</v>
      </c>
      <c r="K350" s="3"/>
      <c r="L350" s="3"/>
      <c r="M350" s="3"/>
      <c r="N350" s="28"/>
      <c r="O350" s="28"/>
      <c r="P350" s="28"/>
      <c r="Q350" s="28"/>
    </row>
    <row r="351" spans="1:17" x14ac:dyDescent="0.3">
      <c r="A351" s="3" t="str">
        <f>IF(A347="Print","Print","Do Not Print")</f>
        <v>Print</v>
      </c>
      <c r="D351" s="1753"/>
      <c r="E351" s="1754"/>
      <c r="F351" s="1754"/>
      <c r="G351" s="1754"/>
      <c r="H351" s="1754"/>
      <c r="I351" s="1754"/>
      <c r="J351" s="1755"/>
      <c r="M351" s="28"/>
      <c r="N351" s="28"/>
      <c r="O351" s="28"/>
      <c r="P351" s="28"/>
      <c r="Q351" s="28"/>
    </row>
    <row r="352" spans="1:17" x14ac:dyDescent="0.3">
      <c r="A352" s="23" t="str">
        <f>IF(AND(I352=0,J352=0),"Do Not Print","Print")</f>
        <v>Do Not Print</v>
      </c>
      <c r="D352" s="474" t="s">
        <v>81</v>
      </c>
      <c r="E352" s="474"/>
      <c r="F352" s="474"/>
      <c r="G352" s="474"/>
      <c r="H352" s="474"/>
      <c r="I352" s="511">
        <f>SUM(I344:I350)</f>
        <v>0</v>
      </c>
      <c r="J352" s="511">
        <f>SUM(J344:J350)</f>
        <v>0</v>
      </c>
      <c r="M352" s="3"/>
      <c r="N352" s="28"/>
      <c r="O352" s="28"/>
      <c r="P352" s="28"/>
      <c r="Q352" s="28"/>
    </row>
    <row r="353" spans="1:17" x14ac:dyDescent="0.3">
      <c r="A353" s="3" t="s">
        <v>448</v>
      </c>
      <c r="D353" s="1500"/>
      <c r="E353" s="1500"/>
      <c r="F353" s="1500"/>
      <c r="G353" s="1500"/>
      <c r="H353" s="1500"/>
      <c r="I353" s="1500"/>
      <c r="J353" s="1500"/>
      <c r="M353" s="28"/>
      <c r="N353" s="28"/>
      <c r="O353" s="28"/>
      <c r="P353" s="28"/>
      <c r="Q353" s="28"/>
    </row>
    <row r="354" spans="1:17" x14ac:dyDescent="0.3">
      <c r="A354" s="3" t="s">
        <v>448</v>
      </c>
      <c r="C354" s="467" t="str">
        <f>Checklist!E72</f>
        <v>d</v>
      </c>
      <c r="D354" s="474" t="s">
        <v>1469</v>
      </c>
      <c r="E354" s="474"/>
      <c r="F354" s="474"/>
      <c r="G354" s="474"/>
      <c r="H354" s="474"/>
      <c r="I354" s="474"/>
      <c r="J354" s="474"/>
      <c r="M354" s="28"/>
      <c r="N354" s="28"/>
      <c r="O354" s="28"/>
      <c r="P354" s="28"/>
      <c r="Q354" s="28"/>
    </row>
    <row r="355" spans="1:17" x14ac:dyDescent="0.3">
      <c r="A355" s="3" t="s">
        <v>448</v>
      </c>
      <c r="D355" s="1500"/>
      <c r="E355" s="1500"/>
      <c r="F355" s="1500"/>
      <c r="G355" s="1500"/>
      <c r="H355" s="1500"/>
      <c r="I355" s="1500"/>
      <c r="J355" s="1500"/>
      <c r="M355" s="28"/>
      <c r="N355" s="28"/>
      <c r="O355" s="28"/>
      <c r="P355" s="28"/>
      <c r="Q355" s="28"/>
    </row>
    <row r="356" spans="1:17" x14ac:dyDescent="0.3">
      <c r="A356" s="3" t="s">
        <v>448</v>
      </c>
      <c r="D356" s="474"/>
      <c r="E356" s="474"/>
      <c r="F356" s="474"/>
      <c r="G356" s="474"/>
      <c r="H356" s="474"/>
      <c r="I356" s="486" t="str">
        <f>I342</f>
        <v>2025/26</v>
      </c>
      <c r="J356" s="486" t="str">
        <f>J342</f>
        <v>2024/25</v>
      </c>
      <c r="M356" s="28"/>
      <c r="N356" s="77"/>
      <c r="O356" s="419"/>
      <c r="P356" s="419"/>
      <c r="Q356" s="419"/>
    </row>
    <row r="357" spans="1:17" x14ac:dyDescent="0.3">
      <c r="A357" s="3" t="s">
        <v>448</v>
      </c>
      <c r="D357" s="482"/>
      <c r="E357" s="482"/>
      <c r="F357" s="482"/>
      <c r="G357" s="482"/>
      <c r="H357" s="482"/>
      <c r="I357" s="483" t="s">
        <v>450</v>
      </c>
      <c r="J357" s="483" t="s">
        <v>450</v>
      </c>
      <c r="M357" s="28"/>
      <c r="N357" s="77"/>
      <c r="O357" s="419"/>
      <c r="P357" s="419"/>
      <c r="Q357" s="419"/>
    </row>
    <row r="358" spans="1:17" x14ac:dyDescent="0.3">
      <c r="A358" s="23" t="str">
        <f t="shared" ref="A358:A368" si="19">IF(AND(I358=0,J358=0),"Do Not Print","Print")</f>
        <v>Do Not Print</v>
      </c>
      <c r="D358" s="1753" t="s">
        <v>222</v>
      </c>
      <c r="E358" s="1754"/>
      <c r="F358" s="1754"/>
      <c r="G358" s="1754"/>
      <c r="H358" s="1755"/>
      <c r="I358" s="514">
        <f>'Non TB - Note 3 - 9'!H146</f>
        <v>0</v>
      </c>
      <c r="J358" s="503">
        <f>'Non TB - Note 3 - 9'!I146</f>
        <v>0</v>
      </c>
      <c r="K358" s="3"/>
      <c r="M358" s="28"/>
      <c r="N358" s="77"/>
      <c r="O358" s="419"/>
      <c r="P358" s="419"/>
      <c r="Q358" s="419"/>
    </row>
    <row r="359" spans="1:17" x14ac:dyDescent="0.3">
      <c r="A359" s="23" t="str">
        <f t="shared" si="19"/>
        <v>Do Not Print</v>
      </c>
      <c r="D359" s="1753" t="s">
        <v>223</v>
      </c>
      <c r="E359" s="1754"/>
      <c r="F359" s="1754"/>
      <c r="G359" s="1754"/>
      <c r="H359" s="1755"/>
      <c r="I359" s="921">
        <f>Text!E367</f>
        <v>0</v>
      </c>
      <c r="J359" s="921">
        <f>Text!I367</f>
        <v>0</v>
      </c>
      <c r="K359" s="3"/>
      <c r="M359" s="28"/>
      <c r="N359" s="77"/>
      <c r="O359" s="419"/>
      <c r="P359" s="419"/>
      <c r="Q359" s="419"/>
    </row>
    <row r="360" spans="1:17" x14ac:dyDescent="0.3">
      <c r="A360" s="23" t="str">
        <f t="shared" si="19"/>
        <v>Do Not Print</v>
      </c>
      <c r="D360" s="1753" t="s">
        <v>224</v>
      </c>
      <c r="E360" s="1754"/>
      <c r="F360" s="1754"/>
      <c r="G360" s="1754"/>
      <c r="H360" s="1755"/>
      <c r="I360" s="921">
        <f>Text!E369+Text!E370</f>
        <v>0</v>
      </c>
      <c r="J360" s="921">
        <f>Text!I369+Text!I370</f>
        <v>0</v>
      </c>
      <c r="K360" s="3"/>
      <c r="M360" s="28"/>
      <c r="N360" s="77"/>
      <c r="O360" s="419"/>
      <c r="P360" s="419"/>
      <c r="Q360" s="419"/>
    </row>
    <row r="361" spans="1:17" x14ac:dyDescent="0.3">
      <c r="A361" s="23" t="str">
        <f t="shared" si="19"/>
        <v>Do Not Print</v>
      </c>
      <c r="D361" s="1753" t="s">
        <v>225</v>
      </c>
      <c r="E361" s="1754"/>
      <c r="F361" s="1754"/>
      <c r="G361" s="1754"/>
      <c r="H361" s="1755"/>
      <c r="I361" s="921">
        <f>Text!E368</f>
        <v>0</v>
      </c>
      <c r="J361" s="921">
        <f>Text!I368</f>
        <v>0</v>
      </c>
      <c r="K361" s="3"/>
      <c r="M361" s="28"/>
      <c r="N361" s="77"/>
      <c r="O361" s="419"/>
      <c r="P361" s="419"/>
      <c r="Q361" s="419"/>
    </row>
    <row r="362" spans="1:17" x14ac:dyDescent="0.3">
      <c r="A362" s="23" t="str">
        <f t="shared" si="19"/>
        <v>Do Not Print</v>
      </c>
      <c r="D362" s="1753" t="s">
        <v>226</v>
      </c>
      <c r="E362" s="1754"/>
      <c r="F362" s="1754"/>
      <c r="G362" s="1754"/>
      <c r="H362" s="1755"/>
      <c r="I362" s="517">
        <f>'Non TB - Note 3 - 9'!H147</f>
        <v>0</v>
      </c>
      <c r="J362" s="516">
        <f>'Non TB - Note 3 - 9'!I147</f>
        <v>0</v>
      </c>
      <c r="K362" s="3"/>
      <c r="M362" s="28"/>
      <c r="N362" s="77"/>
      <c r="O362" s="419"/>
      <c r="P362" s="419"/>
      <c r="Q362" s="419"/>
    </row>
    <row r="363" spans="1:17" x14ac:dyDescent="0.3">
      <c r="A363" s="23" t="str">
        <f t="shared" si="19"/>
        <v>Do Not Print</v>
      </c>
      <c r="D363" s="1753" t="s">
        <v>227</v>
      </c>
      <c r="E363" s="1754"/>
      <c r="F363" s="1754"/>
      <c r="G363" s="1754"/>
      <c r="H363" s="1755"/>
      <c r="I363" s="872">
        <f>'Non TB - Note 3 - 9'!H148</f>
        <v>0</v>
      </c>
      <c r="J363" s="922">
        <f>'Non TB - Note 3 - 9'!I148</f>
        <v>0</v>
      </c>
      <c r="K363" s="3"/>
      <c r="M363" s="28"/>
      <c r="N363" s="77"/>
      <c r="O363" s="419"/>
      <c r="P363" s="419"/>
      <c r="Q363" s="419"/>
    </row>
    <row r="364" spans="1:17" x14ac:dyDescent="0.3">
      <c r="A364" s="23" t="str">
        <f t="shared" si="19"/>
        <v>Do Not Print</v>
      </c>
      <c r="D364" s="1753" t="s">
        <v>228</v>
      </c>
      <c r="E364" s="1754"/>
      <c r="F364" s="1754"/>
      <c r="G364" s="1754"/>
      <c r="H364" s="1755"/>
      <c r="I364" s="921">
        <f>Text!E371</f>
        <v>0</v>
      </c>
      <c r="J364" s="921">
        <f>Text!I371</f>
        <v>0</v>
      </c>
      <c r="K364" s="3"/>
      <c r="M364" s="28"/>
      <c r="N364" s="77"/>
      <c r="O364" s="419"/>
      <c r="P364" s="419"/>
      <c r="Q364" s="419"/>
    </row>
    <row r="365" spans="1:17" x14ac:dyDescent="0.3">
      <c r="A365" s="23" t="str">
        <f t="shared" si="19"/>
        <v>Do Not Print</v>
      </c>
      <c r="D365" s="1753" t="s">
        <v>229</v>
      </c>
      <c r="E365" s="1754"/>
      <c r="F365" s="1754"/>
      <c r="G365" s="1754"/>
      <c r="H365" s="1755"/>
      <c r="I365" s="921">
        <f>Text!E374</f>
        <v>0</v>
      </c>
      <c r="J365" s="921">
        <f>Text!I374</f>
        <v>0</v>
      </c>
      <c r="K365" s="3"/>
      <c r="M365" s="28"/>
      <c r="N365" s="28"/>
      <c r="O365" s="28"/>
      <c r="P365" s="28"/>
      <c r="Q365" s="28"/>
    </row>
    <row r="366" spans="1:17" x14ac:dyDescent="0.3">
      <c r="A366" s="23" t="str">
        <f t="shared" si="19"/>
        <v>Do Not Print</v>
      </c>
      <c r="D366" s="1753" t="s">
        <v>230</v>
      </c>
      <c r="E366" s="1754"/>
      <c r="F366" s="1754"/>
      <c r="G366" s="1754"/>
      <c r="H366" s="1755"/>
      <c r="I366" s="515">
        <f>Text!E372+Text!E373</f>
        <v>0</v>
      </c>
      <c r="J366" s="515">
        <f>Text!I372+Text!I373</f>
        <v>0</v>
      </c>
      <c r="K366" s="3"/>
      <c r="M366" s="28"/>
      <c r="N366" s="28"/>
      <c r="O366" s="28"/>
      <c r="P366" s="28"/>
      <c r="Q366" s="28"/>
    </row>
    <row r="367" spans="1:17" x14ac:dyDescent="0.3">
      <c r="A367" s="23" t="str">
        <f t="shared" si="19"/>
        <v>Do Not Print</v>
      </c>
      <c r="D367" s="1753" t="s">
        <v>1505</v>
      </c>
      <c r="E367" s="1754"/>
      <c r="F367" s="1754"/>
      <c r="G367" s="1754"/>
      <c r="H367" s="1755"/>
      <c r="I367" s="503">
        <f>'Non TB - Note 3 - 9'!H150</f>
        <v>0</v>
      </c>
      <c r="J367" s="503">
        <f>'Non TB - Note 3 - 9'!I150</f>
        <v>0</v>
      </c>
      <c r="K367" s="3"/>
      <c r="M367" s="28"/>
      <c r="N367" s="28"/>
      <c r="O367" s="28"/>
      <c r="P367" s="28"/>
      <c r="Q367" s="28"/>
    </row>
    <row r="368" spans="1:17" x14ac:dyDescent="0.3">
      <c r="A368" s="23" t="str">
        <f t="shared" si="19"/>
        <v>Do Not Print</v>
      </c>
      <c r="D368" s="1753" t="s">
        <v>1470</v>
      </c>
      <c r="E368" s="1754"/>
      <c r="F368" s="1754"/>
      <c r="G368" s="1754"/>
      <c r="H368" s="1755"/>
      <c r="I368" s="503">
        <f>'Non TB - Note 3 - 9'!H151</f>
        <v>0</v>
      </c>
      <c r="J368" s="503">
        <f>'Non TB - Note 3 - 9'!I151</f>
        <v>0</v>
      </c>
      <c r="K368" s="3"/>
      <c r="M368" s="28"/>
      <c r="N368" s="28"/>
      <c r="O368" s="28"/>
      <c r="P368" s="28"/>
      <c r="Q368" s="28"/>
    </row>
    <row r="369" spans="1:17" x14ac:dyDescent="0.3">
      <c r="A369" s="3" t="str">
        <f>IF(A368="Print","Print","Do Not Print")</f>
        <v>Do Not Print</v>
      </c>
      <c r="D369" s="1753"/>
      <c r="E369" s="1754"/>
      <c r="F369" s="1754"/>
      <c r="G369" s="1754"/>
      <c r="H369" s="1754"/>
      <c r="I369" s="1754"/>
      <c r="J369" s="1755"/>
      <c r="M369" s="28"/>
      <c r="N369" s="28"/>
      <c r="O369" s="28"/>
      <c r="P369" s="28"/>
      <c r="Q369" s="28"/>
    </row>
    <row r="370" spans="1:17" x14ac:dyDescent="0.3">
      <c r="A370" s="23" t="str">
        <f>IF(AND(I370=0,J370=0),"Do Not Print","Print")</f>
        <v>Do Not Print</v>
      </c>
      <c r="D370" s="474" t="s">
        <v>74</v>
      </c>
      <c r="E370" s="474"/>
      <c r="F370" s="474"/>
      <c r="G370" s="474"/>
      <c r="H370" s="474"/>
      <c r="I370" s="511">
        <f>SUM(I358:I368)</f>
        <v>0</v>
      </c>
      <c r="J370" s="511">
        <f>SUM(J358:J368)</f>
        <v>0</v>
      </c>
      <c r="M370" s="28"/>
      <c r="N370" s="28"/>
      <c r="O370" s="28"/>
      <c r="P370" s="28"/>
      <c r="Q370" s="28"/>
    </row>
    <row r="371" spans="1:17" x14ac:dyDescent="0.3">
      <c r="A371" s="3" t="str">
        <f>IF(A370="Print","Print","Do Not Print")</f>
        <v>Do Not Print</v>
      </c>
      <c r="D371" s="1500"/>
      <c r="E371" s="1500"/>
      <c r="F371" s="1500"/>
      <c r="G371" s="1500"/>
      <c r="H371" s="1500"/>
      <c r="I371" s="1500"/>
      <c r="J371" s="1500"/>
      <c r="M371" s="28"/>
      <c r="N371" s="28"/>
      <c r="O371" s="28"/>
      <c r="P371" s="28"/>
      <c r="Q371" s="28"/>
    </row>
    <row r="372" spans="1:17" x14ac:dyDescent="0.3">
      <c r="A372" s="23" t="str">
        <f>IF('Non TB - Note 3 - 9'!F152=1,"Print","Do Not Print")</f>
        <v>Print</v>
      </c>
      <c r="C372" s="467" t="str">
        <f>Checklist!E73</f>
        <v>e</v>
      </c>
      <c r="D372" s="474" t="str">
        <f>IF('Non TB - Note 3 - 9'!F152=1,'Non TB - Note 3 - 9'!E152,"")</f>
        <v>Northern Ireland Civil Service Pension Arrangements</v>
      </c>
      <c r="E372" s="474"/>
      <c r="F372" s="474"/>
      <c r="G372" s="474"/>
      <c r="H372" s="474"/>
      <c r="I372" s="481"/>
      <c r="J372" s="481"/>
      <c r="K372" s="481"/>
      <c r="M372" s="28"/>
      <c r="N372" s="28"/>
      <c r="O372" s="28"/>
      <c r="P372" s="28"/>
      <c r="Q372" s="28"/>
    </row>
    <row r="373" spans="1:17" x14ac:dyDescent="0.3">
      <c r="A373" s="3" t="str">
        <f>IF(A372="Print","Print","Do Not Print")</f>
        <v>Print</v>
      </c>
      <c r="D373" s="1500"/>
      <c r="E373" s="1500"/>
      <c r="F373" s="1500"/>
      <c r="G373" s="1500"/>
      <c r="H373" s="1500"/>
      <c r="I373" s="1500"/>
      <c r="J373" s="1500"/>
      <c r="K373" s="1500"/>
      <c r="M373" s="28"/>
      <c r="N373" s="28"/>
      <c r="O373" s="28"/>
      <c r="P373" s="28"/>
      <c r="Q373" s="28"/>
    </row>
    <row r="374" spans="1:17" ht="27.75" customHeight="1" x14ac:dyDescent="0.3">
      <c r="A374" s="23" t="str">
        <f>IF('Non TB - Note 3 - 9'!F152=1,"Print","Do Not Print")</f>
        <v>Print</v>
      </c>
      <c r="D374" s="1506" t="str">
        <f>IF('Non TB - Note 3 - 9'!F152=1,'Non TB - Note 3 - 9'!H152,"")</f>
        <v>As a result of Reform on 1st April 2015, staff transferred from Central Government to the Council are members of the Northern Ireland Civil Service Pension Scheme.</v>
      </c>
      <c r="E374" s="1506"/>
      <c r="F374" s="1506"/>
      <c r="G374" s="1506"/>
      <c r="H374" s="1506"/>
      <c r="I374" s="1506"/>
      <c r="J374" s="1506"/>
      <c r="K374" s="1506"/>
      <c r="M374" s="28"/>
      <c r="N374" s="28"/>
      <c r="O374" s="28"/>
      <c r="P374" s="28"/>
      <c r="Q374" s="28"/>
    </row>
    <row r="375" spans="1:17" x14ac:dyDescent="0.3">
      <c r="A375" s="3" t="str">
        <f>IF(A374="Print","Print","Do Not Print")</f>
        <v>Print</v>
      </c>
      <c r="D375" s="1500"/>
      <c r="E375" s="1500"/>
      <c r="F375" s="1500"/>
      <c r="G375" s="1500"/>
      <c r="H375" s="1500"/>
      <c r="I375" s="1500"/>
      <c r="J375" s="1500"/>
      <c r="K375" s="1500"/>
      <c r="M375" s="28"/>
      <c r="N375" s="28"/>
      <c r="O375" s="28"/>
      <c r="P375" s="28"/>
      <c r="Q375" s="28"/>
    </row>
    <row r="376" spans="1:17" ht="57" customHeight="1" x14ac:dyDescent="0.3">
      <c r="A376" s="23" t="str">
        <f>IF('Non TB - Note 3 - 9'!F153=1,"Print","Do Not Print")</f>
        <v>Print</v>
      </c>
      <c r="D376" s="1506" t="str">
        <f>IF('Non TB - Note 3 - 9'!F153=1,'Non TB - Note 3 - 9'!H153,"")</f>
        <v xml:space="preserve">The Northern Ireland Civil Service Pension arrangements are unfunded multi-employer defined benefit schemes but the Department for Communities is unable to identify its share of the underlying assets and liabilities. The most up to date actuarial valuation was carried out as at 31 March 20xx. This valuation is then reviewed by the Scheme Actuary and updated to reflect current conditions and rolled forward to the reporting date of the DOF Superannuation and Other Allowances Resource Accounts as at 31 March 2026. </v>
      </c>
      <c r="E376" s="1506"/>
      <c r="F376" s="1506"/>
      <c r="G376" s="1506"/>
      <c r="H376" s="1506"/>
      <c r="I376" s="1506"/>
      <c r="J376" s="1506"/>
      <c r="K376" s="1506"/>
      <c r="M376" s="28"/>
      <c r="N376" s="28"/>
      <c r="O376" s="28"/>
      <c r="P376" s="28"/>
      <c r="Q376" s="28"/>
    </row>
    <row r="377" spans="1:17" x14ac:dyDescent="0.3">
      <c r="A377" s="3" t="str">
        <f>IF(A376="Print","Print","Do Not Print")</f>
        <v>Print</v>
      </c>
      <c r="D377" s="1500"/>
      <c r="E377" s="1500"/>
      <c r="F377" s="1500"/>
      <c r="G377" s="1500"/>
      <c r="H377" s="1500"/>
      <c r="I377" s="1500"/>
      <c r="J377" s="1500"/>
      <c r="K377" s="1500"/>
      <c r="M377" s="28"/>
      <c r="N377" s="28"/>
      <c r="O377" s="28"/>
      <c r="P377" s="28"/>
      <c r="Q377" s="28"/>
    </row>
    <row r="378" spans="1:17" ht="96.6" customHeight="1" x14ac:dyDescent="0.3">
      <c r="A378" s="23" t="str">
        <f>IF('Non TB - Note 3 - 9'!F154=1,"Print","Do Not Print")</f>
        <v>Print</v>
      </c>
      <c r="D378" s="1506" t="str">
        <f>IF('Non TB - Note 3 - 9'!F154=1,'Non TB - Note 3 - 9'!H154,"")</f>
        <v>For 2025/26, employers’ contributions of £xx were payable to the NICS pension arrangements at one of four rates in the range xx% to xx% of pensionable pay, based on salary bands. 
The scheme’s Actuary reviews employer contributions every four years following a full scheme valuation. A new scheme funding valuation based on data as at 31 March 20xx was completed by the Actuary during 20xx-xx. This valuation was used to determine employer contribution rates for the introduction of a new career average earning scheme from April 20xx. The contribution rates are set to meet the cost of the benefits accruing during 2025/26 to be paid when the member retires, and not the benefits paid during this period to existing pensioners.</v>
      </c>
      <c r="E378" s="1506"/>
      <c r="F378" s="1506"/>
      <c r="G378" s="1506"/>
      <c r="H378" s="1506"/>
      <c r="I378" s="1506"/>
      <c r="J378" s="1506"/>
      <c r="K378" s="1506"/>
      <c r="M378" s="28"/>
      <c r="N378" s="28"/>
      <c r="O378" s="28"/>
      <c r="P378" s="28"/>
      <c r="Q378" s="28"/>
    </row>
    <row r="379" spans="1:17" x14ac:dyDescent="0.3">
      <c r="A379" s="3" t="str">
        <f>IF(A378="Print","Print","Do Not Print")</f>
        <v>Print</v>
      </c>
      <c r="D379" s="1500"/>
      <c r="E379" s="1500"/>
      <c r="F379" s="1500"/>
      <c r="G379" s="1500"/>
      <c r="H379" s="1500"/>
      <c r="I379" s="1500"/>
      <c r="J379" s="1500"/>
      <c r="K379" s="1500"/>
      <c r="M379" s="28"/>
      <c r="N379" s="28"/>
      <c r="O379" s="28"/>
      <c r="P379" s="28"/>
      <c r="Q379" s="28"/>
    </row>
    <row r="380" spans="1:17" ht="68.55" customHeight="1" x14ac:dyDescent="0.3">
      <c r="A380" s="23" t="str">
        <f>IF('Non TB - Note 3 - 9'!F155=1,"Print","Do Not Print")</f>
        <v>Print</v>
      </c>
      <c r="D380" s="1506" t="str">
        <f>IF('Non TB - Note 3 - 9'!F155=1,'Non TB - Note 3 - 9'!H155,"")</f>
        <v xml:space="preserve">Employees can opt to open a partnership pension account, a stakeholder pension with an employer contribution. Employer’s contributions of £xx,xxx  were paid to one or more of a panel of three appointed stakeholder pension providers. Employer contributions are age related and range from xx% to xx% of pensionable pay. Employers also match employee contributions up to xx% of pensionable pay. In addition, employer contributions of £xx: xx% of pensionable pay, were payable to the PCSPS(NI) to cover the cost of the future provision of lump sum benefits on death in service and ill health retirement of these employees. </v>
      </c>
      <c r="E380" s="1506"/>
      <c r="F380" s="1506"/>
      <c r="G380" s="1506"/>
      <c r="H380" s="1506"/>
      <c r="I380" s="1506"/>
      <c r="J380" s="1506"/>
      <c r="K380" s="1506"/>
      <c r="M380" s="28"/>
      <c r="N380" s="28"/>
      <c r="O380" s="28"/>
      <c r="P380" s="28"/>
      <c r="Q380" s="28"/>
    </row>
    <row r="381" spans="1:17" x14ac:dyDescent="0.3">
      <c r="A381" s="3" t="str">
        <f>IF(A380="Print","Print","Do Not Print")</f>
        <v>Print</v>
      </c>
      <c r="D381" s="1500"/>
      <c r="E381" s="1500"/>
      <c r="F381" s="1500"/>
      <c r="G381" s="1500"/>
      <c r="H381" s="1500"/>
      <c r="I381" s="1500"/>
      <c r="J381" s="1500"/>
      <c r="K381" s="1500"/>
      <c r="M381" s="28"/>
      <c r="N381" s="28"/>
      <c r="O381" s="28"/>
      <c r="P381" s="28"/>
      <c r="Q381" s="28"/>
    </row>
    <row r="382" spans="1:17" ht="18" customHeight="1" x14ac:dyDescent="0.3">
      <c r="A382" s="23" t="str">
        <f>IF('Non TB - Note 3 - 9'!F156=1,"Print","Do Not Print")</f>
        <v>Print</v>
      </c>
      <c r="D382" s="1506" t="str">
        <f>IF('Non TB - Note 3 - 9'!F156=1,'Non TB - Note 3 - 9'!H156,"")</f>
        <v xml:space="preserve">Contributions due to the partnership pension providers at the reporting period to date were £xx. Contributions prepaid at that date were £xx. </v>
      </c>
      <c r="E382" s="1506"/>
      <c r="F382" s="1506"/>
      <c r="G382" s="1506"/>
      <c r="H382" s="1506"/>
      <c r="I382" s="1506"/>
      <c r="J382" s="1506"/>
      <c r="K382" s="1506"/>
      <c r="M382" s="28"/>
      <c r="N382" s="28"/>
      <c r="O382" s="28"/>
      <c r="P382" s="28"/>
      <c r="Q382" s="28"/>
    </row>
    <row r="383" spans="1:17" x14ac:dyDescent="0.3">
      <c r="A383" s="3" t="str">
        <f>IF(A382="Print","Print","Do Not Print")</f>
        <v>Print</v>
      </c>
      <c r="D383" s="1500"/>
      <c r="E383" s="1500"/>
      <c r="F383" s="1500"/>
      <c r="G383" s="1500"/>
      <c r="H383" s="1500"/>
      <c r="I383" s="1500"/>
      <c r="J383" s="1500"/>
      <c r="K383" s="1500"/>
      <c r="M383" s="28"/>
      <c r="N383" s="28"/>
      <c r="O383" s="28"/>
      <c r="P383" s="28"/>
      <c r="Q383" s="28"/>
    </row>
    <row r="384" spans="1:17" ht="17.55" customHeight="1" x14ac:dyDescent="0.3">
      <c r="A384" s="23" t="str">
        <f>IF('Non TB - Note 3 - 9'!F157=1,"Print","Do Not Print")</f>
        <v>Print</v>
      </c>
      <c r="D384" s="1504" t="str">
        <f>IF('Non TB - Note 3 - 9'!F157=1,'Non TB - Note 3 - 9'!H157,"")</f>
        <v xml:space="preserve">No persons retired early on ill-health grounds as such the actuarial cost for employees for the early payment of retirement benefits was £nil. </v>
      </c>
      <c r="E384" s="1504"/>
      <c r="F384" s="1504"/>
      <c r="G384" s="1504"/>
      <c r="H384" s="1504"/>
      <c r="I384" s="1504"/>
      <c r="J384" s="1504"/>
      <c r="K384" s="1504"/>
      <c r="M384" s="28"/>
      <c r="N384" s="28"/>
      <c r="O384" s="28"/>
      <c r="P384" s="28"/>
      <c r="Q384" s="28"/>
    </row>
    <row r="385" spans="1:17" ht="12.75" customHeight="1" x14ac:dyDescent="0.3">
      <c r="A385" s="3" t="str">
        <f>IF(A384="Print","Print","Do Not Print")</f>
        <v>Print</v>
      </c>
      <c r="D385" s="1504"/>
      <c r="E385" s="1504"/>
      <c r="F385" s="1504"/>
      <c r="G385" s="1504"/>
      <c r="H385" s="1504"/>
      <c r="I385" s="1504"/>
      <c r="J385" s="1504"/>
      <c r="K385" s="1504"/>
      <c r="M385" s="28"/>
      <c r="N385" s="28"/>
      <c r="O385" s="28"/>
      <c r="P385" s="28"/>
      <c r="Q385" s="28"/>
    </row>
    <row r="386" spans="1:17" ht="12.75" customHeight="1" x14ac:dyDescent="0.3">
      <c r="A386" s="23" t="str">
        <f>IF('Non TB - Note 3 - 9'!F158=1,"Print","Do Not Print")</f>
        <v>Print</v>
      </c>
      <c r="D386" s="1504" t="str">
        <f>IF('Non TB - Note 3 - 9'!F158=1,'Non TB - Note 3 - 9'!H158,"")</f>
        <v>Council specific disclosure</v>
      </c>
      <c r="E386" s="1504"/>
      <c r="F386" s="1504"/>
      <c r="G386" s="1504"/>
      <c r="H386" s="1504"/>
      <c r="I386" s="1504"/>
      <c r="J386" s="1504"/>
      <c r="K386" s="1504"/>
      <c r="M386" s="28"/>
      <c r="N386" s="28"/>
      <c r="O386" s="28"/>
      <c r="P386" s="28"/>
      <c r="Q386" s="28"/>
    </row>
    <row r="387" spans="1:17" ht="12.75" customHeight="1" x14ac:dyDescent="0.3">
      <c r="A387" s="3" t="str">
        <f>IF(A386="Print","Print","Do Not Print")</f>
        <v>Print</v>
      </c>
      <c r="D387" s="1504"/>
      <c r="E387" s="1504"/>
      <c r="F387" s="1504"/>
      <c r="G387" s="1504"/>
      <c r="H387" s="1504"/>
      <c r="I387" s="1504"/>
      <c r="J387" s="1504"/>
      <c r="K387" s="1504"/>
      <c r="M387" s="28"/>
      <c r="N387" s="28"/>
      <c r="O387" s="28"/>
      <c r="P387" s="28"/>
      <c r="Q387" s="28"/>
    </row>
    <row r="388" spans="1:17" x14ac:dyDescent="0.3">
      <c r="A388" s="3" t="str">
        <f>IF(A387="Print","Print","Do Not Print")</f>
        <v>Print</v>
      </c>
      <c r="D388" s="1500"/>
      <c r="E388" s="1500"/>
      <c r="F388" s="1500"/>
      <c r="G388" s="1500"/>
      <c r="H388" s="1500"/>
      <c r="I388" s="1500"/>
      <c r="J388" s="1500"/>
      <c r="K388" s="1500"/>
      <c r="M388" s="28"/>
      <c r="N388" s="28"/>
      <c r="O388" s="28"/>
      <c r="P388" s="28"/>
      <c r="Q388" s="28"/>
    </row>
    <row r="389" spans="1:17" x14ac:dyDescent="0.3">
      <c r="A389" s="3" t="str">
        <f>IF(OR(A398="Print",A407="Print"),"Print","Do Not Print")</f>
        <v>Do Not Print</v>
      </c>
      <c r="B389" s="467">
        <f>Checklist!E74</f>
        <v>8</v>
      </c>
      <c r="D389" s="474" t="s">
        <v>2676</v>
      </c>
      <c r="E389" s="474"/>
      <c r="F389" s="474"/>
      <c r="G389" s="474"/>
      <c r="H389" s="474"/>
      <c r="I389" s="481"/>
      <c r="J389" s="481"/>
      <c r="K389" s="481"/>
      <c r="M389" s="28"/>
      <c r="N389" s="28"/>
      <c r="O389" s="28"/>
      <c r="P389" s="28"/>
      <c r="Q389" s="28"/>
    </row>
    <row r="390" spans="1:17" x14ac:dyDescent="0.3">
      <c r="A390" s="3" t="str">
        <f>IF(A389="Print","Print","Do Not Print")</f>
        <v>Do Not Print</v>
      </c>
      <c r="D390" s="476"/>
      <c r="E390" s="472"/>
      <c r="F390" s="472"/>
      <c r="G390" s="472"/>
      <c r="H390" s="472"/>
      <c r="I390" s="518"/>
      <c r="J390" s="518"/>
      <c r="M390" s="28"/>
      <c r="N390" s="28"/>
      <c r="O390" s="28"/>
      <c r="P390" s="28"/>
      <c r="Q390" s="28"/>
    </row>
    <row r="391" spans="1:17" x14ac:dyDescent="0.3">
      <c r="A391" s="3" t="str">
        <f>IF(A398="Print","Print","Do Not Print")</f>
        <v>Do Not Print</v>
      </c>
      <c r="C391" s="467" t="str">
        <f>Checklist!E75</f>
        <v>a</v>
      </c>
      <c r="D391" s="474" t="s">
        <v>2923</v>
      </c>
      <c r="E391" s="474"/>
      <c r="F391" s="474"/>
      <c r="G391" s="474"/>
      <c r="H391" s="474"/>
      <c r="I391" s="481"/>
      <c r="J391" s="481"/>
      <c r="K391" s="481"/>
      <c r="M391" s="28"/>
      <c r="N391" s="28"/>
      <c r="O391" s="28"/>
      <c r="P391" s="28"/>
      <c r="Q391" s="28"/>
    </row>
    <row r="392" spans="1:17" x14ac:dyDescent="0.3">
      <c r="A392" s="3" t="str">
        <f>IF(A391="Print","Print","Do Not Print")</f>
        <v>Do Not Print</v>
      </c>
      <c r="D392" s="405"/>
      <c r="E392" s="472"/>
      <c r="F392" s="472"/>
      <c r="G392" s="472"/>
      <c r="H392" s="472"/>
      <c r="I392" s="518"/>
      <c r="J392" s="518"/>
      <c r="M392" s="28"/>
      <c r="N392" s="28"/>
      <c r="O392" s="28"/>
      <c r="P392" s="28"/>
      <c r="Q392" s="28"/>
    </row>
    <row r="393" spans="1:17" x14ac:dyDescent="0.3">
      <c r="A393" s="3" t="str">
        <f>IF(A398="Print","Print","Do Not Print")</f>
        <v>Do Not Print</v>
      </c>
      <c r="D393" s="479"/>
      <c r="E393" s="486" t="str">
        <f>I334</f>
        <v>2025/26</v>
      </c>
      <c r="F393" s="486" t="str">
        <f>J334</f>
        <v>2024/25</v>
      </c>
      <c r="G393" s="472"/>
      <c r="H393" s="883"/>
      <c r="I393" s="884"/>
      <c r="J393" s="884"/>
      <c r="K393" s="204"/>
      <c r="M393" s="28"/>
      <c r="N393" s="28"/>
      <c r="O393" s="28"/>
      <c r="P393" s="28"/>
      <c r="Q393" s="28"/>
    </row>
    <row r="394" spans="1:17" x14ac:dyDescent="0.3">
      <c r="A394" s="3" t="str">
        <f>IF(A398="Print","Print","Do Not Print")</f>
        <v>Do Not Print</v>
      </c>
      <c r="D394" s="482"/>
      <c r="E394" s="483" t="s">
        <v>450</v>
      </c>
      <c r="F394" s="483" t="s">
        <v>450</v>
      </c>
      <c r="G394" s="472"/>
      <c r="H394" s="883"/>
      <c r="I394" s="884"/>
      <c r="J394" s="884"/>
      <c r="K394" s="204"/>
      <c r="M394" s="28"/>
      <c r="N394" s="28"/>
      <c r="O394" s="28"/>
      <c r="P394" s="28"/>
      <c r="Q394" s="28"/>
    </row>
    <row r="395" spans="1:17" ht="18.75" customHeight="1" x14ac:dyDescent="0.3">
      <c r="A395" s="3" t="str">
        <f>IF(AND(E395=0,F395=0),"Do Not Print","Print")</f>
        <v>Do Not Print</v>
      </c>
      <c r="D395" s="507" t="s">
        <v>1528</v>
      </c>
      <c r="E395" s="519">
        <f>'Det CIES'!P47</f>
        <v>0</v>
      </c>
      <c r="F395" s="519">
        <f>'Det CIES'!S47</f>
        <v>0</v>
      </c>
      <c r="H395" s="883"/>
      <c r="I395" s="884"/>
      <c r="J395" s="884"/>
      <c r="K395" s="204"/>
      <c r="M395" s="28"/>
      <c r="N395" s="28"/>
      <c r="O395" s="28"/>
      <c r="P395" s="28"/>
      <c r="Q395" s="28"/>
    </row>
    <row r="396" spans="1:17" ht="45.75" customHeight="1" x14ac:dyDescent="0.3">
      <c r="A396" s="3" t="str">
        <f>IF(AND(E396=0,F396=0),"Do Not Print","Print")</f>
        <v>Do Not Print</v>
      </c>
      <c r="D396" s="507" t="s">
        <v>2924</v>
      </c>
      <c r="E396" s="519">
        <f>-('Note 11'!P17-'Note 11'!P32)-('Notes 11c to 24'!I208)-'Notes 3 to 10'!E472</f>
        <v>0</v>
      </c>
      <c r="F396" s="519">
        <f>-('Note 11'!P50-'Note 11'!P66)-('Notes 11c to 24'!I239)-'Notes 3 to 10'!F472</f>
        <v>0</v>
      </c>
      <c r="H396" s="525"/>
      <c r="I396" s="884"/>
      <c r="J396" s="884"/>
      <c r="K396" s="204"/>
      <c r="M396" s="28"/>
      <c r="N396" s="28"/>
      <c r="O396" s="28"/>
      <c r="P396" s="28"/>
      <c r="Q396" s="28"/>
    </row>
    <row r="397" spans="1:17" x14ac:dyDescent="0.3">
      <c r="A397" s="3" t="str">
        <f>IF(A398="Print","Print","Do Not Print")</f>
        <v>Do Not Print</v>
      </c>
      <c r="D397" s="476"/>
      <c r="E397" s="520"/>
      <c r="F397" s="520"/>
      <c r="G397" s="472"/>
      <c r="H397" s="883"/>
      <c r="I397" s="884"/>
      <c r="J397" s="884"/>
      <c r="K397" s="204"/>
      <c r="M397" s="28"/>
      <c r="N397" s="28"/>
      <c r="O397" s="28"/>
      <c r="P397" s="28"/>
      <c r="Q397" s="28"/>
    </row>
    <row r="398" spans="1:17" x14ac:dyDescent="0.3">
      <c r="A398" s="3" t="str">
        <f>IF(AND(E398=0,F398=0),"Do Not Print","Print")</f>
        <v>Do Not Print</v>
      </c>
      <c r="D398" s="476"/>
      <c r="E398" s="521">
        <f>SUM(E395:E396)</f>
        <v>0</v>
      </c>
      <c r="F398" s="521">
        <f>SUM(F395:F396)</f>
        <v>0</v>
      </c>
      <c r="G398" s="472"/>
      <c r="H398" s="472"/>
      <c r="I398" s="518"/>
      <c r="J398" s="518"/>
      <c r="M398" s="28"/>
      <c r="N398" s="28"/>
      <c r="O398" s="28"/>
      <c r="P398" s="28"/>
      <c r="Q398" s="28"/>
    </row>
    <row r="399" spans="1:17" x14ac:dyDescent="0.3">
      <c r="A399" s="3" t="str">
        <f>IF(A398="Print","Print","Do Not Print")</f>
        <v>Do Not Print</v>
      </c>
      <c r="D399" s="476"/>
      <c r="E399" s="472"/>
      <c r="F399" s="472"/>
      <c r="G399" s="472"/>
      <c r="H399" s="472"/>
      <c r="I399" s="518"/>
      <c r="J399" s="518"/>
      <c r="M399" s="28"/>
      <c r="N399" s="28"/>
      <c r="O399" s="28"/>
      <c r="P399" s="28"/>
      <c r="Q399" s="28"/>
    </row>
    <row r="400" spans="1:17" s="3" customFormat="1" ht="13.5" customHeight="1" x14ac:dyDescent="0.3">
      <c r="A400" s="3" t="str">
        <f>IF(A407="Print","Print","Do Not Print")</f>
        <v>Do Not Print</v>
      </c>
      <c r="B400" s="522"/>
      <c r="C400" s="522" t="str">
        <f>Checklist!E76</f>
        <v>b</v>
      </c>
      <c r="D400" s="1793" t="s">
        <v>273</v>
      </c>
      <c r="E400" s="1793"/>
      <c r="F400" s="1793"/>
      <c r="G400" s="1793"/>
      <c r="H400" s="1793"/>
      <c r="I400" s="1793"/>
      <c r="J400" s="1793"/>
      <c r="K400" s="1793"/>
      <c r="M400" s="15"/>
      <c r="N400" s="15"/>
      <c r="O400" s="15"/>
      <c r="P400" s="15"/>
      <c r="Q400" s="15"/>
    </row>
    <row r="401" spans="1:17" s="3" customFormat="1" x14ac:dyDescent="0.3">
      <c r="A401" s="3" t="str">
        <f>IF(A400="Print","Print","Do Not Print")</f>
        <v>Do Not Print</v>
      </c>
      <c r="B401" s="522"/>
      <c r="C401" s="522"/>
      <c r="D401" s="405"/>
      <c r="E401" s="401"/>
      <c r="F401" s="401"/>
      <c r="G401" s="401"/>
      <c r="H401" s="401"/>
      <c r="I401" s="523"/>
      <c r="J401" s="523"/>
      <c r="M401" s="15"/>
      <c r="N401" s="15"/>
      <c r="O401" s="15"/>
      <c r="P401" s="15"/>
      <c r="Q401" s="15"/>
    </row>
    <row r="402" spans="1:17" s="3" customFormat="1" x14ac:dyDescent="0.3">
      <c r="A402" s="3" t="str">
        <f>IF(A400="Print","Print","Do Not Print")</f>
        <v>Do Not Print</v>
      </c>
      <c r="B402" s="522"/>
      <c r="C402" s="522"/>
      <c r="D402" s="479"/>
      <c r="E402" s="486" t="str">
        <f>I334</f>
        <v>2025/26</v>
      </c>
      <c r="F402" s="486" t="str">
        <f>J334</f>
        <v>2024/25</v>
      </c>
      <c r="G402" s="401"/>
      <c r="H402" s="401"/>
      <c r="I402" s="523"/>
      <c r="J402" s="523"/>
      <c r="M402" s="15"/>
      <c r="N402" s="15"/>
      <c r="O402" s="15"/>
      <c r="P402" s="15"/>
      <c r="Q402" s="15"/>
    </row>
    <row r="403" spans="1:17" s="3" customFormat="1" x14ac:dyDescent="0.3">
      <c r="A403" s="3" t="str">
        <f>IF(A400="Print","Print","Do Not Print")</f>
        <v>Do Not Print</v>
      </c>
      <c r="B403" s="522"/>
      <c r="C403" s="522"/>
      <c r="D403" s="482"/>
      <c r="E403" s="483" t="s">
        <v>450</v>
      </c>
      <c r="F403" s="483" t="s">
        <v>450</v>
      </c>
      <c r="G403" s="401"/>
      <c r="H403" s="525"/>
      <c r="I403" s="477"/>
      <c r="J403" s="477"/>
      <c r="K403" s="185"/>
      <c r="M403" s="15"/>
      <c r="N403" s="15"/>
      <c r="O403" s="15"/>
      <c r="P403" s="15"/>
      <c r="Q403" s="15"/>
    </row>
    <row r="404" spans="1:17" s="3" customFormat="1" x14ac:dyDescent="0.3">
      <c r="A404" s="3" t="str">
        <f>IF(AND(E404=0,F404=0),"Do Not Print","Print")</f>
        <v>Do Not Print</v>
      </c>
      <c r="B404" s="522"/>
      <c r="C404" s="522"/>
      <c r="D404" s="506" t="s">
        <v>1529</v>
      </c>
      <c r="E404" s="524">
        <f>'Det CIES'!P49</f>
        <v>0</v>
      </c>
      <c r="F404" s="524">
        <f>'Det CIES'!S49</f>
        <v>0</v>
      </c>
      <c r="G404" s="401"/>
      <c r="H404" s="525"/>
      <c r="I404" s="477"/>
      <c r="J404" s="477"/>
      <c r="K404" s="185"/>
      <c r="M404" s="15"/>
      <c r="N404" s="15"/>
      <c r="O404" s="15"/>
      <c r="P404" s="15"/>
      <c r="Q404" s="15"/>
    </row>
    <row r="405" spans="1:17" s="3" customFormat="1" x14ac:dyDescent="0.3">
      <c r="A405" s="3" t="str">
        <f>IF(AND(E405=0,F405=0),"Do Not Print","Print")</f>
        <v>Do Not Print</v>
      </c>
      <c r="B405" s="522"/>
      <c r="C405" s="522"/>
      <c r="D405" s="506" t="s">
        <v>1530</v>
      </c>
      <c r="E405" s="524">
        <f>'Det CIES'!P48</f>
        <v>0</v>
      </c>
      <c r="F405" s="524">
        <f>'Det CIES'!S48</f>
        <v>0</v>
      </c>
      <c r="G405" s="401"/>
      <c r="H405" s="525"/>
      <c r="I405" s="477"/>
      <c r="J405" s="477"/>
      <c r="K405" s="185"/>
      <c r="M405" s="15"/>
      <c r="N405" s="15"/>
      <c r="O405" s="15"/>
      <c r="P405" s="15"/>
      <c r="Q405" s="15"/>
    </row>
    <row r="406" spans="1:17" s="3" customFormat="1" x14ac:dyDescent="0.3">
      <c r="A406" s="3" t="str">
        <f>IF(A405="Print","Print","Do Not Print")</f>
        <v>Do Not Print</v>
      </c>
      <c r="B406" s="522"/>
      <c r="C406" s="522"/>
      <c r="D406" s="405"/>
      <c r="E406" s="525"/>
      <c r="F406" s="525"/>
      <c r="G406" s="401"/>
      <c r="H406" s="525"/>
      <c r="I406" s="477"/>
      <c r="J406" s="477"/>
      <c r="K406" s="185"/>
      <c r="M406" s="15"/>
      <c r="N406" s="15"/>
      <c r="O406" s="15"/>
      <c r="P406" s="15"/>
      <c r="Q406" s="15"/>
    </row>
    <row r="407" spans="1:17" s="3" customFormat="1" x14ac:dyDescent="0.3">
      <c r="A407" s="3" t="str">
        <f>IF(AND(E407=0,F407=0),"Do Not Print","Print")</f>
        <v>Do Not Print</v>
      </c>
      <c r="B407" s="522"/>
      <c r="C407" s="522"/>
      <c r="D407" s="405"/>
      <c r="E407" s="526">
        <f>SUM(E404:E405)</f>
        <v>0</v>
      </c>
      <c r="F407" s="526">
        <f>SUM(F404:F405)</f>
        <v>0</v>
      </c>
      <c r="G407" s="401"/>
      <c r="H407" s="525"/>
      <c r="I407" s="477"/>
      <c r="J407" s="477"/>
      <c r="K407" s="185"/>
      <c r="M407" s="15"/>
      <c r="N407" s="15"/>
      <c r="O407" s="15"/>
      <c r="P407" s="15"/>
      <c r="Q407" s="15"/>
    </row>
    <row r="408" spans="1:17" s="3" customFormat="1" x14ac:dyDescent="0.3">
      <c r="A408" s="3" t="str">
        <f>IF(A407="Print","Print","Do Not Print")</f>
        <v>Do Not Print</v>
      </c>
      <c r="B408" s="522"/>
      <c r="C408" s="522"/>
      <c r="D408" s="405"/>
      <c r="E408" s="401"/>
      <c r="F408" s="401"/>
      <c r="G408" s="401"/>
      <c r="H408" s="525"/>
      <c r="I408" s="477"/>
      <c r="J408" s="477"/>
      <c r="K408" s="185"/>
      <c r="M408" s="15"/>
      <c r="N408" s="15"/>
      <c r="O408" s="15"/>
      <c r="P408" s="15"/>
      <c r="Q408" s="15"/>
    </row>
    <row r="409" spans="1:17" x14ac:dyDescent="0.3">
      <c r="A409" s="3" t="str">
        <f>IF(A414="Print","Print","Do Not Print")</f>
        <v>Do Not Print</v>
      </c>
      <c r="D409" s="474" t="s">
        <v>161</v>
      </c>
      <c r="E409" s="479"/>
      <c r="F409" s="479"/>
      <c r="G409" s="479"/>
      <c r="H409" s="885"/>
      <c r="I409" s="886" t="str">
        <f>I334</f>
        <v>2025/26</v>
      </c>
      <c r="J409" s="886" t="str">
        <f>J334</f>
        <v>2024/25</v>
      </c>
      <c r="K409" s="204"/>
      <c r="M409" s="28"/>
      <c r="N409" s="28"/>
      <c r="O409" s="28"/>
      <c r="P409" s="28"/>
      <c r="Q409" s="28"/>
    </row>
    <row r="410" spans="1:17" x14ac:dyDescent="0.3">
      <c r="A410" s="3" t="str">
        <f>IF(A409="Print","Print","Do Not Print")</f>
        <v>Do Not Print</v>
      </c>
      <c r="D410" s="482"/>
      <c r="E410" s="482"/>
      <c r="F410" s="482"/>
      <c r="G410" s="482"/>
      <c r="H410" s="887"/>
      <c r="I410" s="888" t="s">
        <v>450</v>
      </c>
      <c r="J410" s="888" t="s">
        <v>450</v>
      </c>
      <c r="K410" s="185"/>
      <c r="M410" s="28"/>
      <c r="N410" s="28"/>
      <c r="O410" s="28"/>
      <c r="P410" s="28"/>
      <c r="Q410" s="28"/>
    </row>
    <row r="411" spans="1:17" ht="21.75" customHeight="1" x14ac:dyDescent="0.3">
      <c r="A411" s="23" t="str">
        <f>IF(AND(I411=0,J411=0),"Do Not Print","Print")</f>
        <v>Do Not Print</v>
      </c>
      <c r="D411" s="1756" t="s">
        <v>2925</v>
      </c>
      <c r="E411" s="1756"/>
      <c r="F411" s="1756"/>
      <c r="G411" s="1756"/>
      <c r="H411" s="1790"/>
      <c r="I411" s="524">
        <f>E398</f>
        <v>0</v>
      </c>
      <c r="J411" s="524">
        <f>F398</f>
        <v>0</v>
      </c>
      <c r="K411" s="185"/>
      <c r="M411" s="28"/>
      <c r="N411" s="28"/>
      <c r="O411" s="28"/>
      <c r="P411" s="28"/>
      <c r="Q411" s="28"/>
    </row>
    <row r="412" spans="1:17" x14ac:dyDescent="0.3">
      <c r="A412" s="23" t="str">
        <f>IF(AND(I412=0,J412=0),"Do Not Print","Print")</f>
        <v>Do Not Print</v>
      </c>
      <c r="D412" s="1756" t="s">
        <v>2926</v>
      </c>
      <c r="E412" s="1756"/>
      <c r="F412" s="1756"/>
      <c r="G412" s="1756"/>
      <c r="H412" s="1790"/>
      <c r="I412" s="524">
        <f>E407</f>
        <v>0</v>
      </c>
      <c r="J412" s="524">
        <f>F407</f>
        <v>0</v>
      </c>
      <c r="K412" s="204"/>
      <c r="M412" s="28"/>
      <c r="N412" s="28"/>
      <c r="O412" s="28"/>
      <c r="P412" s="28"/>
      <c r="Q412" s="28"/>
    </row>
    <row r="413" spans="1:17" x14ac:dyDescent="0.3">
      <c r="A413" s="3" t="str">
        <f>IF(A412="Print","Print","Do Not Print")</f>
        <v>Do Not Print</v>
      </c>
      <c r="D413" s="1500"/>
      <c r="E413" s="1500"/>
      <c r="F413" s="1500"/>
      <c r="G413" s="1500"/>
      <c r="H413" s="1791"/>
      <c r="I413" s="1791"/>
      <c r="J413" s="1791"/>
      <c r="K413" s="204"/>
      <c r="M413" s="28"/>
      <c r="N413" s="28"/>
      <c r="O413" s="28"/>
      <c r="P413" s="28"/>
      <c r="Q413" s="28"/>
    </row>
    <row r="414" spans="1:17" ht="17.25" customHeight="1" x14ac:dyDescent="0.3">
      <c r="A414" s="23" t="str">
        <f>IF(AND(I414=0,J414=0),"Do Not Print","Print")</f>
        <v>Do Not Print</v>
      </c>
      <c r="D414" s="479"/>
      <c r="E414" s="479"/>
      <c r="F414" s="479"/>
      <c r="G414" s="479"/>
      <c r="H414" s="885"/>
      <c r="I414" s="511">
        <f>SUM(I411:I412)</f>
        <v>0</v>
      </c>
      <c r="J414" s="511">
        <f>SUM(J411:J412)</f>
        <v>0</v>
      </c>
      <c r="K414" s="204"/>
      <c r="M414" s="28"/>
      <c r="N414" s="28"/>
      <c r="O414" s="28"/>
      <c r="P414" s="28"/>
      <c r="Q414" s="28"/>
    </row>
    <row r="415" spans="1:17" x14ac:dyDescent="0.3">
      <c r="A415" s="3" t="str">
        <f>IF(A414="Print","Print","Do Not Print")</f>
        <v>Do Not Print</v>
      </c>
      <c r="H415" s="525"/>
      <c r="I415" s="525"/>
      <c r="J415" s="525"/>
      <c r="K415" s="204"/>
      <c r="M415" s="28"/>
      <c r="N415" s="28"/>
      <c r="O415" s="28"/>
      <c r="P415" s="28"/>
      <c r="Q415" s="28"/>
    </row>
    <row r="416" spans="1:17" x14ac:dyDescent="0.3">
      <c r="A416" s="3" t="str">
        <f>IF(A415="Print","Print","Do Not Print")</f>
        <v>Do Not Print</v>
      </c>
      <c r="M416" s="28"/>
      <c r="N416" s="28"/>
      <c r="O416" s="28"/>
      <c r="P416" s="28"/>
      <c r="Q416" s="28"/>
    </row>
    <row r="417" spans="1:17" x14ac:dyDescent="0.3">
      <c r="A417" s="3" t="str">
        <f>IF(OR(A429="Print",A444="Print",A452="Print",A461="Print",A476="Print"),"Print","Do Not Print")</f>
        <v>Do Not Print</v>
      </c>
      <c r="B417" s="467">
        <f>Checklist!E77</f>
        <v>9</v>
      </c>
      <c r="D417" s="474" t="s">
        <v>164</v>
      </c>
      <c r="E417" s="474"/>
      <c r="F417" s="474"/>
      <c r="G417" s="474"/>
      <c r="H417" s="474"/>
      <c r="I417" s="481"/>
      <c r="J417" s="481"/>
      <c r="K417" s="481"/>
      <c r="M417" s="28"/>
      <c r="N417" s="28"/>
      <c r="O417" s="28"/>
      <c r="P417" s="28"/>
      <c r="Q417" s="28"/>
    </row>
    <row r="418" spans="1:17" x14ac:dyDescent="0.3">
      <c r="A418" s="3" t="str">
        <f>IF(A417="Print","Print","Do Not Print")</f>
        <v>Do Not Print</v>
      </c>
      <c r="D418" s="405"/>
      <c r="G418" s="523"/>
      <c r="H418" s="523"/>
      <c r="I418" s="523"/>
      <c r="J418" s="523"/>
      <c r="M418" s="28"/>
      <c r="N418" s="28"/>
      <c r="O418" s="28"/>
      <c r="P418" s="28"/>
      <c r="Q418" s="28"/>
    </row>
    <row r="419" spans="1:17" x14ac:dyDescent="0.3">
      <c r="A419" s="3" t="str">
        <f>IF(A429="Print","Print","Do Not Print")</f>
        <v>Do Not Print</v>
      </c>
      <c r="C419" s="467" t="str">
        <f>Checklist!E78</f>
        <v>a</v>
      </c>
      <c r="D419" s="474" t="s">
        <v>275</v>
      </c>
      <c r="E419" s="474"/>
      <c r="F419" s="474"/>
      <c r="G419" s="474"/>
      <c r="H419" s="474"/>
      <c r="I419" s="481"/>
      <c r="J419" s="481"/>
      <c r="K419" s="481"/>
      <c r="M419" s="28"/>
      <c r="N419" s="28"/>
      <c r="O419" s="28"/>
      <c r="P419" s="28"/>
      <c r="Q419" s="28"/>
    </row>
    <row r="420" spans="1:17" x14ac:dyDescent="0.3">
      <c r="A420" s="3" t="str">
        <f>IF(A419="Print","Print","Do Not Print")</f>
        <v>Do Not Print</v>
      </c>
      <c r="D420" s="405"/>
      <c r="G420" s="523"/>
      <c r="H420" s="523"/>
      <c r="I420" s="523"/>
      <c r="J420" s="523"/>
      <c r="M420" s="28"/>
      <c r="N420" s="28"/>
      <c r="O420" s="28"/>
      <c r="P420" s="28"/>
      <c r="Q420" s="28"/>
    </row>
    <row r="421" spans="1:17" x14ac:dyDescent="0.3">
      <c r="A421" s="3" t="str">
        <f>IF(A420="Print","Print","Do Not Print")</f>
        <v>Do Not Print</v>
      </c>
      <c r="D421" s="479"/>
      <c r="E421" s="486" t="str">
        <f>I356</f>
        <v>2025/26</v>
      </c>
      <c r="F421" s="486" t="str">
        <f>J356</f>
        <v>2024/25</v>
      </c>
      <c r="G421" s="523"/>
      <c r="H421" s="523"/>
      <c r="I421" s="523"/>
      <c r="J421" s="523"/>
      <c r="M421" s="28"/>
      <c r="N421" s="28"/>
      <c r="O421" s="28"/>
      <c r="P421" s="28"/>
      <c r="Q421" s="28"/>
    </row>
    <row r="422" spans="1:17" x14ac:dyDescent="0.3">
      <c r="A422" s="3" t="str">
        <f>IF(A421="Print","Print","Do Not Print")</f>
        <v>Do Not Print</v>
      </c>
      <c r="D422" s="482"/>
      <c r="E422" s="483" t="s">
        <v>450</v>
      </c>
      <c r="F422" s="483" t="s">
        <v>450</v>
      </c>
      <c r="G422" s="523"/>
      <c r="H422" s="523"/>
      <c r="I422" s="523"/>
      <c r="J422" s="523"/>
      <c r="M422" s="28"/>
      <c r="N422" s="28"/>
      <c r="O422" s="28"/>
      <c r="P422" s="28"/>
      <c r="Q422" s="28"/>
    </row>
    <row r="423" spans="1:17" ht="12" customHeight="1" x14ac:dyDescent="0.3">
      <c r="A423" s="3" t="str">
        <f>IF(AND(E423=0,F423=0),"Do Not Print","Print")</f>
        <v>Do Not Print</v>
      </c>
      <c r="D423" s="527" t="s">
        <v>2967</v>
      </c>
      <c r="E423" s="519">
        <f>'Det CIES'!P55</f>
        <v>0</v>
      </c>
      <c r="F423" s="519">
        <f>'Det CIES'!S55</f>
        <v>0</v>
      </c>
      <c r="G423" s="523"/>
      <c r="H423" s="523"/>
      <c r="I423" s="523"/>
      <c r="J423" s="523"/>
      <c r="M423" s="28"/>
      <c r="N423" s="28"/>
      <c r="O423" s="28"/>
      <c r="P423" s="28"/>
      <c r="Q423" s="28"/>
    </row>
    <row r="424" spans="1:17" ht="12" customHeight="1" x14ac:dyDescent="0.3">
      <c r="A424" s="3" t="str">
        <f>IF(AND(E424=0,F424=0),"Do Not Print","Print")</f>
        <v>Do Not Print</v>
      </c>
      <c r="D424" s="527" t="s">
        <v>166</v>
      </c>
      <c r="E424" s="519">
        <f>'Det CIES'!P56</f>
        <v>0</v>
      </c>
      <c r="F424" s="519">
        <f>'Det CIES'!S56</f>
        <v>0</v>
      </c>
      <c r="G424" s="523"/>
      <c r="H424" s="523"/>
      <c r="I424" s="523"/>
      <c r="J424" s="523"/>
      <c r="M424" s="28"/>
      <c r="N424" s="28"/>
      <c r="O424" s="28"/>
      <c r="P424" s="28"/>
      <c r="Q424" s="28"/>
    </row>
    <row r="425" spans="1:17" ht="12" customHeight="1" x14ac:dyDescent="0.3">
      <c r="A425" s="3" t="str">
        <f>IF(AND(E425=0,F425=0),"Do Not Print","Print")</f>
        <v>Do Not Print</v>
      </c>
      <c r="D425" s="527" t="s">
        <v>168</v>
      </c>
      <c r="E425" s="519">
        <f>'Det CIES'!P57</f>
        <v>0</v>
      </c>
      <c r="F425" s="519">
        <f>'Det CIES'!S57</f>
        <v>0</v>
      </c>
      <c r="I425" s="523"/>
      <c r="J425" s="523"/>
      <c r="M425" s="28"/>
      <c r="N425" s="28"/>
      <c r="O425" s="28"/>
      <c r="P425" s="28"/>
      <c r="Q425" s="28"/>
    </row>
    <row r="426" spans="1:17" ht="12" customHeight="1" x14ac:dyDescent="0.3">
      <c r="A426" s="3" t="str">
        <f>IF(AND(E426=0,F426=0),"Do Not Print","Print")</f>
        <v>Do Not Print</v>
      </c>
      <c r="D426" s="528" t="s">
        <v>170</v>
      </c>
      <c r="E426" s="519">
        <f>'Det CIES'!P58</f>
        <v>0</v>
      </c>
      <c r="F426" s="519">
        <f>'Det CIES'!S58</f>
        <v>0</v>
      </c>
      <c r="I426" s="523"/>
      <c r="J426" s="523"/>
      <c r="M426" s="28"/>
      <c r="N426" s="28"/>
      <c r="O426" s="28"/>
      <c r="P426" s="28"/>
      <c r="Q426" s="28"/>
    </row>
    <row r="427" spans="1:17" ht="12" customHeight="1" x14ac:dyDescent="0.3">
      <c r="A427" s="3" t="str">
        <f>IF(AND(E427=0,F427=0),"Do Not Print","Print")</f>
        <v>Do Not Print</v>
      </c>
      <c r="D427" s="527" t="s">
        <v>172</v>
      </c>
      <c r="E427" s="519">
        <f>'Det CIES'!P59</f>
        <v>0</v>
      </c>
      <c r="F427" s="519">
        <f>'Det CIES'!S59</f>
        <v>0</v>
      </c>
      <c r="I427" s="523"/>
      <c r="J427" s="523"/>
      <c r="M427" s="28"/>
      <c r="N427" s="28"/>
      <c r="O427" s="28"/>
      <c r="P427" s="28"/>
      <c r="Q427" s="28"/>
    </row>
    <row r="428" spans="1:17" x14ac:dyDescent="0.3">
      <c r="A428" s="3" t="str">
        <f>IF(A429="Print","Print","Do Not Print")</f>
        <v>Do Not Print</v>
      </c>
      <c r="D428" s="405"/>
      <c r="E428" s="525"/>
      <c r="F428" s="525"/>
      <c r="I428" s="523"/>
      <c r="J428" s="523"/>
      <c r="M428" s="28"/>
      <c r="N428" s="28"/>
      <c r="O428" s="28"/>
      <c r="P428" s="28"/>
      <c r="Q428" s="28"/>
    </row>
    <row r="429" spans="1:17" x14ac:dyDescent="0.3">
      <c r="A429" s="3" t="str">
        <f>IF(AND(E429=0,F429=0),"Do Not Print","Print")</f>
        <v>Do Not Print</v>
      </c>
      <c r="D429" s="405"/>
      <c r="E429" s="521">
        <f>SUM(E423:E427)</f>
        <v>0</v>
      </c>
      <c r="F429" s="521">
        <f>SUM(F423:F427)</f>
        <v>0</v>
      </c>
      <c r="I429" s="523"/>
      <c r="J429" s="523"/>
      <c r="M429" s="28"/>
      <c r="N429" s="28"/>
      <c r="O429" s="28"/>
      <c r="P429" s="28"/>
      <c r="Q429" s="28"/>
    </row>
    <row r="430" spans="1:17" x14ac:dyDescent="0.3">
      <c r="A430" s="3" t="str">
        <f>IF(A429="Print","Print","Do Not Print")</f>
        <v>Do Not Print</v>
      </c>
      <c r="D430" s="405"/>
      <c r="I430" s="523"/>
      <c r="J430" s="523"/>
      <c r="M430" s="28"/>
      <c r="N430" s="28"/>
      <c r="O430" s="28"/>
      <c r="P430" s="28"/>
      <c r="Q430" s="28"/>
    </row>
    <row r="431" spans="1:17" x14ac:dyDescent="0.3">
      <c r="A431" s="3" t="str">
        <f>IF(A444="Print","Print","Do Not Print")</f>
        <v>Do Not Print</v>
      </c>
      <c r="C431" s="467" t="str">
        <f>Checklist!E79</f>
        <v>b</v>
      </c>
      <c r="D431" s="474" t="s">
        <v>119</v>
      </c>
      <c r="E431" s="474"/>
      <c r="F431" s="474"/>
      <c r="G431" s="474"/>
      <c r="H431" s="474"/>
      <c r="I431" s="481"/>
      <c r="J431" s="481"/>
      <c r="K431" s="481"/>
      <c r="M431" s="28"/>
      <c r="N431" s="28"/>
      <c r="O431" s="28"/>
      <c r="P431" s="28"/>
      <c r="Q431" s="28"/>
    </row>
    <row r="432" spans="1:17" x14ac:dyDescent="0.3">
      <c r="A432" s="3" t="str">
        <f>IF(A431="Print","Print","Do Not Print")</f>
        <v>Do Not Print</v>
      </c>
      <c r="D432" s="405"/>
      <c r="I432" s="523"/>
      <c r="J432" s="523"/>
      <c r="M432" s="28"/>
      <c r="N432" s="28"/>
      <c r="O432" s="28"/>
      <c r="P432" s="28"/>
      <c r="Q432" s="28"/>
    </row>
    <row r="433" spans="1:17" x14ac:dyDescent="0.3">
      <c r="A433" s="3" t="str">
        <f>IF(A432="Print","Print","Do Not Print")</f>
        <v>Do Not Print</v>
      </c>
      <c r="D433" s="479"/>
      <c r="E433" s="486" t="str">
        <f>I334</f>
        <v>2025/26</v>
      </c>
      <c r="F433" s="486" t="str">
        <f>J334</f>
        <v>2024/25</v>
      </c>
      <c r="I433" s="523"/>
      <c r="J433" s="523"/>
      <c r="M433" s="28"/>
      <c r="N433" s="28"/>
      <c r="O433" s="28"/>
      <c r="P433" s="28"/>
      <c r="Q433" s="28"/>
    </row>
    <row r="434" spans="1:17" x14ac:dyDescent="0.3">
      <c r="A434" s="3" t="str">
        <f>IF(A433="Print","Print","Do Not Print")</f>
        <v>Do Not Print</v>
      </c>
      <c r="D434" s="482"/>
      <c r="E434" s="483" t="s">
        <v>450</v>
      </c>
      <c r="F434" s="483" t="s">
        <v>450</v>
      </c>
      <c r="I434" s="523"/>
      <c r="J434" s="523"/>
      <c r="M434" s="28"/>
      <c r="N434" s="28"/>
      <c r="O434" s="28"/>
      <c r="P434" s="28"/>
      <c r="Q434" s="28"/>
    </row>
    <row r="435" spans="1:17" ht="16.5" customHeight="1" x14ac:dyDescent="0.3">
      <c r="A435" s="3" t="str">
        <f>IF(AND(E435=0,F435=0),"Do Not Print","Print")</f>
        <v>Do Not Print</v>
      </c>
      <c r="D435" s="506" t="s">
        <v>1531</v>
      </c>
      <c r="E435" s="519">
        <f>-'Det CIES'!P64</f>
        <v>0</v>
      </c>
      <c r="F435" s="519">
        <f>-'Det CIES'!S64</f>
        <v>0</v>
      </c>
      <c r="I435" s="523"/>
      <c r="J435" s="523"/>
      <c r="M435" s="28"/>
      <c r="N435" s="28"/>
      <c r="O435" s="28"/>
      <c r="P435" s="28"/>
      <c r="Q435" s="28"/>
    </row>
    <row r="436" spans="1:17" x14ac:dyDescent="0.3">
      <c r="A436" s="3" t="str">
        <f>IF(AND(E436=0,F436=0),"Do Not Print","Print")</f>
        <v>Do Not Print</v>
      </c>
      <c r="D436" s="506" t="s">
        <v>174</v>
      </c>
      <c r="E436" s="519">
        <f>-'Det CIES'!P65</f>
        <v>0</v>
      </c>
      <c r="F436" s="519">
        <f>-'Det CIES'!S65</f>
        <v>0</v>
      </c>
      <c r="I436" s="523"/>
      <c r="J436" s="523"/>
      <c r="M436" s="28"/>
      <c r="N436" s="28"/>
      <c r="O436" s="28"/>
      <c r="P436" s="28"/>
      <c r="Q436" s="28"/>
    </row>
    <row r="437" spans="1:17" x14ac:dyDescent="0.3">
      <c r="A437" s="3" t="str">
        <f>IF(AND(E437=0,F437=0),"Do Not Print","Print")</f>
        <v>Do Not Print</v>
      </c>
      <c r="D437" s="506" t="s">
        <v>175</v>
      </c>
      <c r="E437" s="519">
        <f>-'Det CIES'!P66</f>
        <v>0</v>
      </c>
      <c r="F437" s="519">
        <f>-'Det CIES'!S66</f>
        <v>0</v>
      </c>
      <c r="I437" s="523"/>
      <c r="J437" s="523"/>
      <c r="M437" s="28"/>
      <c r="N437" s="28"/>
      <c r="O437" s="28"/>
      <c r="P437" s="28"/>
      <c r="Q437" s="28"/>
    </row>
    <row r="438" spans="1:17" x14ac:dyDescent="0.3">
      <c r="A438" s="3" t="str">
        <f>IF(OR(A439="Print",A440="Print",A441="Print",A442="Print"),"Print","Do Not Print")</f>
        <v>Do Not Print</v>
      </c>
      <c r="D438" s="529" t="s">
        <v>180</v>
      </c>
      <c r="E438" s="519"/>
      <c r="F438" s="519"/>
      <c r="I438" s="523"/>
      <c r="J438" s="523"/>
      <c r="M438" s="28"/>
      <c r="N438" s="28"/>
      <c r="O438" s="28"/>
      <c r="P438" s="28"/>
      <c r="Q438" s="28"/>
    </row>
    <row r="439" spans="1:17" x14ac:dyDescent="0.3">
      <c r="A439" s="3" t="str">
        <f>IF(AND(E439=0,F439=0),"Do Not Print","Print")</f>
        <v>Do Not Print</v>
      </c>
      <c r="D439" s="506" t="s">
        <v>423</v>
      </c>
      <c r="E439" s="519">
        <f>-'Det CIES'!P67</f>
        <v>0</v>
      </c>
      <c r="F439" s="519">
        <f>-'Det CIES'!S67</f>
        <v>0</v>
      </c>
      <c r="G439" s="523"/>
      <c r="H439" s="523"/>
      <c r="I439" s="523"/>
      <c r="J439" s="523"/>
      <c r="M439" s="28"/>
      <c r="N439" s="28"/>
      <c r="O439" s="28"/>
      <c r="P439" s="28"/>
      <c r="Q439" s="28"/>
    </row>
    <row r="440" spans="1:17" x14ac:dyDescent="0.3">
      <c r="A440" s="3" t="str">
        <f>IF(AND(E440=0,F440=0),"Do Not Print","Print")</f>
        <v>Do Not Print</v>
      </c>
      <c r="D440" s="506" t="s">
        <v>1532</v>
      </c>
      <c r="E440" s="519">
        <f>-'Det CIES'!P68</f>
        <v>0</v>
      </c>
      <c r="F440" s="519">
        <f>-'Det CIES'!S68</f>
        <v>0</v>
      </c>
      <c r="H440" s="523"/>
      <c r="I440" s="523"/>
      <c r="J440" s="523"/>
      <c r="M440" s="28"/>
      <c r="N440" s="28"/>
      <c r="O440" s="28"/>
      <c r="P440" s="28"/>
      <c r="Q440" s="28"/>
    </row>
    <row r="441" spans="1:17" x14ac:dyDescent="0.3">
      <c r="A441" s="3" t="str">
        <f>IF(AND(E441=0,F441=0),"Do Not Print","Print")</f>
        <v>Do Not Print</v>
      </c>
      <c r="D441" s="506" t="s">
        <v>1533</v>
      </c>
      <c r="E441" s="519">
        <f>-'Det CIES'!P69</f>
        <v>0</v>
      </c>
      <c r="F441" s="519">
        <f>-'Det CIES'!S69</f>
        <v>0</v>
      </c>
      <c r="H441" s="523"/>
      <c r="I441" s="523"/>
      <c r="J441" s="523"/>
      <c r="M441" s="28"/>
      <c r="N441" s="28"/>
      <c r="O441" s="28"/>
      <c r="P441" s="28"/>
      <c r="Q441" s="28"/>
    </row>
    <row r="442" spans="1:17" x14ac:dyDescent="0.3">
      <c r="A442" s="3" t="str">
        <f>IF(AND(E442=0,F442=0),"Do Not Print","Print")</f>
        <v>Do Not Print</v>
      </c>
      <c r="D442" s="506" t="s">
        <v>181</v>
      </c>
      <c r="E442" s="519">
        <f>-'Det CIES'!P71</f>
        <v>0</v>
      </c>
      <c r="F442" s="519">
        <f>-'Det CIES'!S71</f>
        <v>0</v>
      </c>
      <c r="H442" s="523"/>
      <c r="I442" s="523"/>
      <c r="J442" s="523"/>
      <c r="M442" s="28"/>
      <c r="N442" s="28"/>
      <c r="O442" s="28"/>
      <c r="P442" s="28"/>
      <c r="Q442" s="28"/>
    </row>
    <row r="443" spans="1:17" x14ac:dyDescent="0.3">
      <c r="A443" s="3" t="str">
        <f>IF(A444="Print","Print","Do Not Print")</f>
        <v>Do Not Print</v>
      </c>
      <c r="D443" s="405"/>
      <c r="E443" s="525"/>
      <c r="F443" s="525"/>
      <c r="H443" s="523"/>
      <c r="I443" s="523"/>
      <c r="J443" s="523"/>
      <c r="M443" s="28"/>
      <c r="N443" s="28"/>
      <c r="O443" s="28"/>
      <c r="P443" s="28"/>
      <c r="Q443" s="28"/>
    </row>
    <row r="444" spans="1:17" x14ac:dyDescent="0.3">
      <c r="A444" s="3" t="str">
        <f>IF(AND(E444=0,F444=0),"Do Not Print","Print")</f>
        <v>Do Not Print</v>
      </c>
      <c r="D444" s="405"/>
      <c r="E444" s="521">
        <f>E435+E439+E440+E441+E442+E436+E437</f>
        <v>0</v>
      </c>
      <c r="F444" s="521">
        <f>F435+F439+F440+F441+F442+F436+F437</f>
        <v>0</v>
      </c>
      <c r="H444" s="523"/>
      <c r="I444" s="523"/>
      <c r="J444" s="523"/>
      <c r="M444" s="28"/>
      <c r="N444" s="28"/>
      <c r="O444" s="28"/>
      <c r="P444" s="28"/>
      <c r="Q444" s="28"/>
    </row>
    <row r="445" spans="1:17" x14ac:dyDescent="0.3">
      <c r="A445" s="3" t="str">
        <f>IF(A444="Print","Print","Do Not Print")</f>
        <v>Do Not Print</v>
      </c>
      <c r="D445" s="405"/>
      <c r="G445" s="523"/>
      <c r="H445" s="523"/>
      <c r="I445" s="523"/>
      <c r="J445" s="523"/>
      <c r="M445" s="28"/>
      <c r="N445" s="28"/>
      <c r="O445" s="28"/>
      <c r="P445" s="28"/>
      <c r="Q445" s="28"/>
    </row>
    <row r="446" spans="1:17" x14ac:dyDescent="0.3">
      <c r="A446" s="3" t="str">
        <f>IF(A452="Print","Print","Do Not Print")</f>
        <v>Do Not Print</v>
      </c>
      <c r="C446" s="467" t="str">
        <f>Checklist!E80</f>
        <v>c</v>
      </c>
      <c r="D446" s="474" t="s">
        <v>2677</v>
      </c>
      <c r="E446" s="474"/>
      <c r="F446" s="474"/>
      <c r="G446" s="474"/>
      <c r="H446" s="474"/>
      <c r="I446" s="481"/>
      <c r="J446" s="481"/>
      <c r="K446" s="481"/>
      <c r="M446" s="28"/>
      <c r="N446" s="28"/>
      <c r="O446" s="28"/>
      <c r="P446" s="28"/>
      <c r="Q446" s="28"/>
    </row>
    <row r="447" spans="1:17" x14ac:dyDescent="0.3">
      <c r="A447" s="3" t="str">
        <f>IF(A446="Print","Print","Do Not Print")</f>
        <v>Do Not Print</v>
      </c>
      <c r="D447" s="405"/>
      <c r="G447" s="523"/>
      <c r="H447" s="523"/>
      <c r="I447" s="523"/>
      <c r="J447" s="523"/>
      <c r="M447" s="28"/>
      <c r="N447" s="28"/>
      <c r="O447" s="28"/>
      <c r="P447" s="28"/>
      <c r="Q447" s="28"/>
    </row>
    <row r="448" spans="1:17" x14ac:dyDescent="0.3">
      <c r="A448" s="3" t="str">
        <f>IF(A447="Print","Print","Do Not Print")</f>
        <v>Do Not Print</v>
      </c>
      <c r="D448" s="479"/>
      <c r="E448" s="486" t="str">
        <f>I334</f>
        <v>2025/26</v>
      </c>
      <c r="F448" s="486" t="str">
        <f>J334</f>
        <v>2024/25</v>
      </c>
      <c r="G448" s="523"/>
      <c r="H448" s="523"/>
      <c r="I448" s="523"/>
      <c r="J448" s="523"/>
      <c r="M448" s="28"/>
      <c r="N448" s="28"/>
      <c r="O448" s="28"/>
      <c r="P448" s="28"/>
      <c r="Q448" s="28"/>
    </row>
    <row r="449" spans="1:17" x14ac:dyDescent="0.3">
      <c r="A449" s="3" t="str">
        <f>IF(A448="Print","Print","Do Not Print")</f>
        <v>Do Not Print</v>
      </c>
      <c r="D449" s="482"/>
      <c r="E449" s="483" t="s">
        <v>450</v>
      </c>
      <c r="F449" s="483" t="s">
        <v>450</v>
      </c>
      <c r="G449" s="523"/>
      <c r="H449" s="523"/>
      <c r="I449" s="523"/>
      <c r="J449" s="523"/>
      <c r="M449" s="28"/>
      <c r="N449" s="28"/>
      <c r="O449" s="28"/>
      <c r="P449" s="28"/>
      <c r="Q449" s="28"/>
    </row>
    <row r="450" spans="1:17" ht="28.05" customHeight="1" x14ac:dyDescent="0.3">
      <c r="A450" s="3" t="str">
        <f>IF(AND(E450=0,F450=0),"Do Not Print","Print")</f>
        <v>Do Not Print</v>
      </c>
      <c r="D450" s="507" t="s">
        <v>948</v>
      </c>
      <c r="E450" s="519">
        <f>'Notes 11c to 24'!J1032</f>
        <v>0</v>
      </c>
      <c r="F450" s="519">
        <f>'Notes 11c to 24'!K1032</f>
        <v>0</v>
      </c>
      <c r="H450" s="523"/>
      <c r="I450" s="523"/>
      <c r="J450" s="523"/>
      <c r="M450" s="28"/>
      <c r="N450" s="28"/>
      <c r="O450" s="28"/>
      <c r="P450" s="28"/>
      <c r="Q450" s="28"/>
    </row>
    <row r="451" spans="1:17" x14ac:dyDescent="0.3">
      <c r="A451" s="3" t="str">
        <f>IF(A450="Print","Print","Do Not Print")</f>
        <v>Do Not Print</v>
      </c>
      <c r="D451" s="405"/>
      <c r="E451" s="520"/>
      <c r="F451" s="520"/>
      <c r="G451" s="523"/>
      <c r="H451" s="523"/>
      <c r="I451" s="523"/>
      <c r="J451" s="523"/>
      <c r="M451" s="28"/>
      <c r="N451" s="28"/>
      <c r="O451" s="28"/>
      <c r="P451" s="28"/>
      <c r="Q451" s="28"/>
    </row>
    <row r="452" spans="1:17" x14ac:dyDescent="0.3">
      <c r="A452" s="3" t="str">
        <f>IF(AND(E452=0,F452=0),"Do Not Print","Print")</f>
        <v>Do Not Print</v>
      </c>
      <c r="D452" s="405"/>
      <c r="E452" s="521">
        <f>E450</f>
        <v>0</v>
      </c>
      <c r="F452" s="521">
        <f>F450</f>
        <v>0</v>
      </c>
      <c r="G452" s="523"/>
      <c r="H452" s="523"/>
      <c r="I452" s="523"/>
      <c r="J452" s="523"/>
      <c r="M452" s="28"/>
      <c r="N452" s="28"/>
      <c r="O452" s="28"/>
      <c r="P452" s="28"/>
      <c r="Q452" s="28"/>
    </row>
    <row r="453" spans="1:17" x14ac:dyDescent="0.3">
      <c r="A453" s="3" t="str">
        <f>IF(A452="Print","Print","Do Not Print")</f>
        <v>Do Not Print</v>
      </c>
      <c r="D453" s="405"/>
      <c r="G453" s="523"/>
      <c r="H453" s="523"/>
      <c r="I453" s="523"/>
      <c r="J453" s="523"/>
      <c r="M453" s="28"/>
      <c r="N453" s="28"/>
      <c r="O453" s="28"/>
      <c r="P453" s="28"/>
      <c r="Q453" s="28"/>
    </row>
    <row r="454" spans="1:17" ht="13.5" customHeight="1" x14ac:dyDescent="0.3">
      <c r="A454" s="3" t="str">
        <f>IF(A461="Print","Print","Do Not Print")</f>
        <v>Do Not Print</v>
      </c>
      <c r="C454" s="467" t="str">
        <f>Checklist!E81</f>
        <v>d</v>
      </c>
      <c r="D454" s="1793" t="s">
        <v>279</v>
      </c>
      <c r="E454" s="1793"/>
      <c r="F454" s="1793"/>
      <c r="G454" s="1793"/>
      <c r="H454" s="1793"/>
      <c r="I454" s="1793"/>
      <c r="J454" s="1793"/>
      <c r="K454" s="1793"/>
      <c r="M454" s="28"/>
      <c r="N454" s="28"/>
      <c r="O454" s="28"/>
      <c r="P454" s="28"/>
      <c r="Q454" s="28"/>
    </row>
    <row r="455" spans="1:17" x14ac:dyDescent="0.3">
      <c r="A455" s="3" t="str">
        <f>IF(A454="Print","Print","Do Not Print")</f>
        <v>Do Not Print</v>
      </c>
      <c r="D455" s="405"/>
      <c r="G455" s="523"/>
      <c r="H455" s="523"/>
      <c r="I455" s="523"/>
      <c r="J455" s="523"/>
      <c r="M455" s="28"/>
      <c r="N455" s="28"/>
      <c r="O455" s="28"/>
      <c r="P455" s="28"/>
      <c r="Q455" s="28"/>
    </row>
    <row r="456" spans="1:17" x14ac:dyDescent="0.3">
      <c r="A456" s="3" t="str">
        <f>IF(A455="Print","Print","Do Not Print")</f>
        <v>Do Not Print</v>
      </c>
      <c r="D456" s="479"/>
      <c r="E456" s="486" t="str">
        <f>I342</f>
        <v>2025/26</v>
      </c>
      <c r="F456" s="486" t="str">
        <f>J342</f>
        <v>2024/25</v>
      </c>
      <c r="G456" s="523"/>
      <c r="H456" s="523"/>
      <c r="I456" s="523"/>
      <c r="J456" s="523"/>
      <c r="M456" s="28"/>
      <c r="N456" s="28"/>
      <c r="O456" s="28"/>
      <c r="P456" s="28"/>
      <c r="Q456" s="28"/>
    </row>
    <row r="457" spans="1:17" x14ac:dyDescent="0.3">
      <c r="A457" s="3" t="str">
        <f>IF(A456="Print","Print","Do Not Print")</f>
        <v>Do Not Print</v>
      </c>
      <c r="D457" s="482"/>
      <c r="E457" s="483" t="s">
        <v>450</v>
      </c>
      <c r="F457" s="483" t="s">
        <v>450</v>
      </c>
      <c r="G457" s="523"/>
      <c r="H457" s="523"/>
      <c r="I457" s="523"/>
      <c r="J457" s="523"/>
      <c r="K457" s="523"/>
      <c r="M457" s="28"/>
      <c r="N457" s="28"/>
      <c r="O457" s="28"/>
      <c r="P457" s="28"/>
      <c r="Q457" s="28"/>
    </row>
    <row r="458" spans="1:17" x14ac:dyDescent="0.3">
      <c r="A458" s="3" t="str">
        <f>IF(AND(E458=0,F458=0),"Do Not Print","Print")</f>
        <v>Do Not Print</v>
      </c>
      <c r="D458" s="506" t="s">
        <v>1534</v>
      </c>
      <c r="E458" s="519">
        <f>-'Det CIES'!P79</f>
        <v>0</v>
      </c>
      <c r="F458" s="519">
        <f>-'Det CIES'!S79</f>
        <v>0</v>
      </c>
      <c r="G458" s="525"/>
      <c r="H458" s="525"/>
      <c r="I458" s="477"/>
      <c r="J458" s="477"/>
      <c r="K458" s="204"/>
      <c r="M458" s="28"/>
      <c r="N458" s="28"/>
      <c r="O458" s="28"/>
      <c r="P458" s="28"/>
      <c r="Q458" s="28"/>
    </row>
    <row r="459" spans="1:17" x14ac:dyDescent="0.3">
      <c r="A459" s="3" t="str">
        <f>IF(AND(E459=0,F459=0),"Do Not Print","Print")</f>
        <v>Do Not Print</v>
      </c>
      <c r="D459" s="506" t="s">
        <v>1530</v>
      </c>
      <c r="E459" s="519">
        <f>'Det CIES'!P78</f>
        <v>0</v>
      </c>
      <c r="F459" s="519">
        <f>'Det CIES'!S78</f>
        <v>0</v>
      </c>
      <c r="G459" s="525"/>
      <c r="H459" s="525"/>
      <c r="I459" s="477"/>
      <c r="J459" s="477"/>
      <c r="K459" s="204"/>
      <c r="M459" s="28"/>
      <c r="N459" s="28"/>
      <c r="O459" s="28"/>
      <c r="P459" s="28"/>
      <c r="Q459" s="28"/>
    </row>
    <row r="460" spans="1:17" x14ac:dyDescent="0.3">
      <c r="A460" s="3" t="str">
        <f>IF(A461="Print","Print","Do Not Print")</f>
        <v>Do Not Print</v>
      </c>
      <c r="E460" s="520"/>
      <c r="F460" s="520"/>
      <c r="G460" s="525"/>
      <c r="H460" s="525"/>
      <c r="I460" s="477"/>
      <c r="J460" s="477"/>
      <c r="K460" s="204"/>
      <c r="M460" s="28"/>
      <c r="N460" s="28"/>
      <c r="O460" s="28"/>
      <c r="P460" s="28"/>
      <c r="Q460" s="28"/>
    </row>
    <row r="461" spans="1:17" x14ac:dyDescent="0.3">
      <c r="A461" s="3" t="str">
        <f>IF(AND(E461=0,F461=0),"Do Not Print","Print")</f>
        <v>Do Not Print</v>
      </c>
      <c r="D461" s="401" t="s">
        <v>1535</v>
      </c>
      <c r="E461" s="521">
        <f>E458-E459</f>
        <v>0</v>
      </c>
      <c r="F461" s="521">
        <f>F458-F459</f>
        <v>0</v>
      </c>
      <c r="G461" s="523"/>
      <c r="H461" s="523"/>
      <c r="I461" s="523"/>
      <c r="J461" s="523"/>
      <c r="M461" s="28"/>
      <c r="N461" s="28"/>
      <c r="O461" s="28"/>
      <c r="P461" s="28"/>
      <c r="Q461" s="28"/>
    </row>
    <row r="462" spans="1:17" x14ac:dyDescent="0.3">
      <c r="A462" s="3" t="str">
        <f>IF(A461="Print","Print","Do Not Print")</f>
        <v>Do Not Print</v>
      </c>
      <c r="D462" s="405"/>
      <c r="G462" s="523"/>
      <c r="H462" s="523"/>
      <c r="I462" s="523"/>
      <c r="J462" s="523"/>
      <c r="M462" s="28"/>
      <c r="N462" s="28"/>
      <c r="O462" s="28"/>
      <c r="P462" s="28"/>
      <c r="Q462" s="28"/>
    </row>
    <row r="463" spans="1:17" ht="13.5" customHeight="1" x14ac:dyDescent="0.3">
      <c r="A463" s="3" t="str">
        <f>IF(A476="Print","Print","Do Not Print")</f>
        <v>Do Not Print</v>
      </c>
      <c r="C463" s="467" t="str">
        <f>Checklist!E82</f>
        <v>e</v>
      </c>
      <c r="D463" s="1793" t="s">
        <v>280</v>
      </c>
      <c r="E463" s="1793"/>
      <c r="F463" s="1793"/>
      <c r="G463" s="1793"/>
      <c r="H463" s="1793"/>
      <c r="I463" s="1793"/>
      <c r="J463" s="1793"/>
      <c r="K463" s="1793"/>
      <c r="M463" s="28"/>
      <c r="N463" s="28"/>
      <c r="O463" s="28"/>
      <c r="P463" s="28"/>
      <c r="Q463" s="28"/>
    </row>
    <row r="464" spans="1:17" x14ac:dyDescent="0.3">
      <c r="A464" s="3" t="str">
        <f>IF(A463="Print","Print","Do Not Print")</f>
        <v>Do Not Print</v>
      </c>
      <c r="D464" s="405"/>
      <c r="G464" s="523"/>
      <c r="H464" s="523"/>
      <c r="I464" s="523"/>
      <c r="J464" s="523"/>
      <c r="M464" s="28"/>
      <c r="N464" s="28"/>
      <c r="O464" s="28"/>
      <c r="P464" s="28"/>
      <c r="Q464" s="28"/>
    </row>
    <row r="465" spans="1:17" x14ac:dyDescent="0.3">
      <c r="A465" s="3" t="str">
        <f>IF(A464="Print","Print","Do Not Print")</f>
        <v>Do Not Print</v>
      </c>
      <c r="D465" s="479"/>
      <c r="E465" s="486" t="str">
        <f>I342</f>
        <v>2025/26</v>
      </c>
      <c r="F465" s="486" t="str">
        <f>J342</f>
        <v>2024/25</v>
      </c>
      <c r="G465" s="472"/>
      <c r="H465" s="523"/>
      <c r="I465" s="523"/>
      <c r="J465" s="523"/>
      <c r="M465" s="28"/>
      <c r="N465" s="28"/>
      <c r="O465" s="28"/>
      <c r="P465" s="28"/>
      <c r="Q465" s="28"/>
    </row>
    <row r="466" spans="1:17" ht="26.4" x14ac:dyDescent="0.3">
      <c r="A466" s="3" t="str">
        <f>IF(A463="Print","Print","Do Not Print")</f>
        <v>Do Not Print</v>
      </c>
      <c r="D466" s="530" t="s">
        <v>1536</v>
      </c>
      <c r="E466" s="483" t="s">
        <v>450</v>
      </c>
      <c r="F466" s="483" t="s">
        <v>450</v>
      </c>
      <c r="H466" s="523"/>
      <c r="I466" s="523"/>
      <c r="J466" s="523"/>
      <c r="M466" s="28"/>
      <c r="N466" s="28"/>
      <c r="O466" s="28"/>
      <c r="P466" s="28"/>
      <c r="Q466" s="28"/>
    </row>
    <row r="467" spans="1:17" x14ac:dyDescent="0.3">
      <c r="A467" s="3" t="str">
        <f>IF(AND(E467=0,F467=0),"Do Not Print","Print")</f>
        <v>Do Not Print</v>
      </c>
      <c r="D467" s="531" t="s">
        <v>1537</v>
      </c>
      <c r="E467" s="532">
        <f>'Det CIES'!P84</f>
        <v>0</v>
      </c>
      <c r="F467" s="519">
        <f>'Det CIES'!S84</f>
        <v>0</v>
      </c>
      <c r="I467" s="523"/>
      <c r="J467" s="523"/>
      <c r="M467" s="28"/>
      <c r="N467" s="28"/>
      <c r="O467" s="28"/>
      <c r="P467" s="28"/>
      <c r="Q467" s="28"/>
    </row>
    <row r="468" spans="1:17" x14ac:dyDescent="0.3">
      <c r="A468" s="3" t="str">
        <f>IF(AND(E468=0,F468=0),"Do Not Print","Print")</f>
        <v>Do Not Print</v>
      </c>
      <c r="D468" s="533" t="s">
        <v>1530</v>
      </c>
      <c r="E468" s="532">
        <f>'Det CIES'!P85</f>
        <v>0</v>
      </c>
      <c r="F468" s="519">
        <f>'Det CIES'!S85</f>
        <v>0</v>
      </c>
      <c r="I468" s="523"/>
      <c r="J468" s="523"/>
      <c r="M468" s="28"/>
      <c r="N468" s="28"/>
      <c r="O468" s="28"/>
      <c r="P468" s="28"/>
      <c r="Q468" s="28"/>
    </row>
    <row r="469" spans="1:17" ht="27" x14ac:dyDescent="0.3">
      <c r="A469" s="3" t="str">
        <f>IF(AND(E469=0,F469=0),"Do Not Print","Print")</f>
        <v>Do Not Print</v>
      </c>
      <c r="D469" s="534" t="s">
        <v>1538</v>
      </c>
      <c r="E469" s="532">
        <f>SUM(E467:E468)</f>
        <v>0</v>
      </c>
      <c r="F469" s="519">
        <f>SUM(F467:F468)</f>
        <v>0</v>
      </c>
      <c r="I469" s="523"/>
      <c r="J469" s="523"/>
      <c r="M469" s="28"/>
      <c r="N469" s="28"/>
      <c r="O469" s="28"/>
      <c r="P469" s="28"/>
      <c r="Q469" s="28"/>
    </row>
    <row r="470" spans="1:17" ht="26.4" x14ac:dyDescent="0.3">
      <c r="A470" s="3" t="str">
        <f>IF(A473="Print","Print","Do Not Print")</f>
        <v>Do Not Print</v>
      </c>
      <c r="D470" s="535" t="s">
        <v>1539</v>
      </c>
      <c r="E470" s="536"/>
      <c r="F470" s="524"/>
      <c r="I470" s="523"/>
      <c r="J470" s="523"/>
      <c r="M470" s="28"/>
      <c r="N470" s="28"/>
      <c r="O470" s="28"/>
      <c r="P470" s="28"/>
      <c r="Q470" s="28"/>
    </row>
    <row r="471" spans="1:17" x14ac:dyDescent="0.3">
      <c r="A471" s="3" t="str">
        <f>IF(AND(E471=0,F471=0),"Do Not Print","Print")</f>
        <v>Do Not Print</v>
      </c>
      <c r="D471" s="533" t="s">
        <v>1528</v>
      </c>
      <c r="E471" s="532">
        <f>'Det CIES'!P89</f>
        <v>0</v>
      </c>
      <c r="F471" s="519">
        <f>'Det CIES'!S89</f>
        <v>0</v>
      </c>
      <c r="I471" s="523"/>
      <c r="J471" s="523"/>
      <c r="M471" s="28"/>
      <c r="N471" s="28"/>
      <c r="O471" s="28"/>
      <c r="P471" s="28"/>
      <c r="Q471" s="28"/>
    </row>
    <row r="472" spans="1:17" ht="27" x14ac:dyDescent="0.3">
      <c r="A472" s="3" t="str">
        <f>IF(AND(E472=0,F472=0),"Do Not Print","Print")</f>
        <v>Do Not Print</v>
      </c>
      <c r="D472" s="533" t="s">
        <v>1540</v>
      </c>
      <c r="E472" s="532">
        <f>'Det CIES'!P90</f>
        <v>0</v>
      </c>
      <c r="F472" s="519">
        <f>'Det CIES'!S90</f>
        <v>0</v>
      </c>
      <c r="I472" s="523"/>
      <c r="J472" s="523"/>
      <c r="M472" s="28"/>
      <c r="N472" s="28"/>
      <c r="O472" s="28"/>
      <c r="P472" s="28"/>
      <c r="Q472" s="28"/>
    </row>
    <row r="473" spans="1:17" ht="27" x14ac:dyDescent="0.3">
      <c r="A473" s="3" t="str">
        <f>IF(AND(E473=0,F473=0),"Do Not Print","Print")</f>
        <v>Do Not Print</v>
      </c>
      <c r="D473" s="534" t="s">
        <v>1541</v>
      </c>
      <c r="E473" s="532">
        <f>SUM(E471:E472)</f>
        <v>0</v>
      </c>
      <c r="F473" s="519">
        <f>SUM(F471:F472)</f>
        <v>0</v>
      </c>
      <c r="I473" s="523"/>
      <c r="J473" s="523"/>
      <c r="M473" s="28"/>
      <c r="N473" s="28"/>
      <c r="O473" s="28"/>
      <c r="P473" s="28"/>
      <c r="Q473" s="28"/>
    </row>
    <row r="474" spans="1:17" x14ac:dyDescent="0.3">
      <c r="A474" s="3" t="str">
        <f>IF(A473="Print","Print","Do Not Print")</f>
        <v>Do Not Print</v>
      </c>
      <c r="D474" s="535"/>
      <c r="E474" s="536"/>
      <c r="F474" s="524"/>
      <c r="I474" s="523"/>
      <c r="J474" s="523"/>
      <c r="M474" s="28"/>
      <c r="N474" s="28"/>
      <c r="O474" s="28"/>
      <c r="P474" s="28"/>
      <c r="Q474" s="28"/>
    </row>
    <row r="475" spans="1:17" ht="26.4" x14ac:dyDescent="0.3">
      <c r="A475" s="3" t="str">
        <f>IF(AND(E475=0,F475=0),"Do Not Print","Print")</f>
        <v>Do Not Print</v>
      </c>
      <c r="D475" s="537" t="s">
        <v>85</v>
      </c>
      <c r="E475" s="532">
        <f>'Det CIES'!P93</f>
        <v>0</v>
      </c>
      <c r="F475" s="519">
        <f>'Det CIES'!S93</f>
        <v>0</v>
      </c>
      <c r="I475" s="523"/>
      <c r="J475" s="523"/>
      <c r="M475" s="28"/>
      <c r="N475" s="28"/>
      <c r="O475" s="28"/>
      <c r="P475" s="28"/>
      <c r="Q475" s="28"/>
    </row>
    <row r="476" spans="1:17" x14ac:dyDescent="0.3">
      <c r="A476" s="3" t="str">
        <f>IF(AND(E476=0,F476=0),"Do Not Print","Print")</f>
        <v>Do Not Print</v>
      </c>
      <c r="D476" s="405"/>
      <c r="E476" s="538">
        <f>E475+E473+E469</f>
        <v>0</v>
      </c>
      <c r="F476" s="538">
        <f>F475+F473+F469</f>
        <v>0</v>
      </c>
      <c r="I476" s="523"/>
      <c r="J476" s="523"/>
      <c r="M476" s="28"/>
      <c r="N476" s="28"/>
      <c r="O476" s="28"/>
      <c r="P476" s="28"/>
      <c r="Q476" s="28"/>
    </row>
    <row r="477" spans="1:17" x14ac:dyDescent="0.3">
      <c r="A477" s="3" t="str">
        <f>IF(A476="Print","Print","Do Not Print")</f>
        <v>Do Not Print</v>
      </c>
      <c r="D477" s="405"/>
      <c r="I477" s="523"/>
      <c r="J477" s="523"/>
      <c r="M477" s="28"/>
      <c r="N477" s="28"/>
      <c r="O477" s="28"/>
      <c r="P477" s="28"/>
      <c r="Q477" s="28"/>
    </row>
    <row r="478" spans="1:17" x14ac:dyDescent="0.3">
      <c r="A478" s="3" t="str">
        <f>IF(A477="Print","Print","Do Not Print")</f>
        <v>Do Not Print</v>
      </c>
      <c r="D478" s="405"/>
      <c r="I478" s="523"/>
      <c r="J478" s="523"/>
      <c r="M478" s="28"/>
      <c r="N478" s="28"/>
      <c r="O478" s="28"/>
      <c r="P478" s="28"/>
      <c r="Q478" s="28"/>
    </row>
    <row r="479" spans="1:17" ht="26.4" x14ac:dyDescent="0.3">
      <c r="A479" s="3" t="str">
        <f>IF(A489="Print","Print","Do Not Print")</f>
        <v>Do Not Print</v>
      </c>
      <c r="D479" s="539" t="s">
        <v>164</v>
      </c>
      <c r="E479" s="1763" t="str">
        <f>I356</f>
        <v>2025/26</v>
      </c>
      <c r="F479" s="1763"/>
      <c r="G479" s="1763"/>
      <c r="H479" s="1763" t="str">
        <f>J356</f>
        <v>2024/25</v>
      </c>
      <c r="I479" s="1763"/>
      <c r="J479" s="1763"/>
      <c r="K479" s="3"/>
      <c r="M479" s="28"/>
      <c r="N479" s="28"/>
      <c r="O479" s="28"/>
      <c r="P479" s="28"/>
      <c r="Q479" s="28"/>
    </row>
    <row r="480" spans="1:17" ht="26.4" x14ac:dyDescent="0.3">
      <c r="A480" s="3" t="str">
        <f>IF(A489="Print","Print","Do Not Print")</f>
        <v>Do Not Print</v>
      </c>
      <c r="D480" s="482"/>
      <c r="E480" s="470" t="s">
        <v>340</v>
      </c>
      <c r="F480" s="470" t="s">
        <v>341</v>
      </c>
      <c r="G480" s="470" t="s">
        <v>342</v>
      </c>
      <c r="H480" s="470" t="s">
        <v>340</v>
      </c>
      <c r="I480" s="470" t="s">
        <v>341</v>
      </c>
      <c r="J480" s="470" t="s">
        <v>342</v>
      </c>
      <c r="M480" s="28"/>
      <c r="N480" s="28"/>
      <c r="O480" s="28"/>
      <c r="P480" s="28"/>
      <c r="Q480" s="28"/>
    </row>
    <row r="481" spans="1:17" x14ac:dyDescent="0.3">
      <c r="A481" s="3" t="str">
        <f>IF(A489="Print","Print","Do Not Print")</f>
        <v>Do Not Print</v>
      </c>
      <c r="D481" s="482"/>
      <c r="E481" s="483" t="s">
        <v>450</v>
      </c>
      <c r="F481" s="483" t="s">
        <v>450</v>
      </c>
      <c r="G481" s="483" t="s">
        <v>450</v>
      </c>
      <c r="H481" s="483" t="s">
        <v>450</v>
      </c>
      <c r="I481" s="483" t="s">
        <v>450</v>
      </c>
      <c r="J481" s="483" t="s">
        <v>450</v>
      </c>
      <c r="M481" s="28"/>
      <c r="N481" s="28"/>
      <c r="O481" s="28"/>
      <c r="P481" s="28"/>
      <c r="Q481" s="28"/>
    </row>
    <row r="482" spans="1:17" ht="27" x14ac:dyDescent="0.3">
      <c r="A482" s="23" t="str">
        <f>IF(AND(E482=0,F482=0,G482=0,H482=0,I482=0,J482=0),"Do Not Print","Print")</f>
        <v>Do Not Print</v>
      </c>
      <c r="D482" s="507" t="s">
        <v>275</v>
      </c>
      <c r="E482" s="524">
        <f>E429</f>
        <v>0</v>
      </c>
      <c r="F482" s="524">
        <v>0</v>
      </c>
      <c r="G482" s="524">
        <f t="shared" ref="G482:G487" si="20">E482+F482</f>
        <v>0</v>
      </c>
      <c r="H482" s="524">
        <f>F429</f>
        <v>0</v>
      </c>
      <c r="I482" s="524">
        <v>0</v>
      </c>
      <c r="J482" s="524">
        <f t="shared" ref="J482:J487" si="21">H482+I482</f>
        <v>0</v>
      </c>
      <c r="K482" s="3"/>
      <c r="L482" s="3"/>
      <c r="M482" s="3"/>
      <c r="N482" s="28"/>
      <c r="O482" s="28"/>
      <c r="P482" s="28"/>
      <c r="Q482" s="28"/>
    </row>
    <row r="483" spans="1:17" ht="15.75" customHeight="1" x14ac:dyDescent="0.3">
      <c r="A483" s="23" t="str">
        <f t="shared" ref="A483:A489" si="22">IF(AND(E483=0,F483=0,G483=0,H483=0,I483=0,J483=0),"Do Not Print","Print")</f>
        <v>Do Not Print</v>
      </c>
      <c r="D483" s="506" t="s">
        <v>277</v>
      </c>
      <c r="E483" s="524">
        <v>0</v>
      </c>
      <c r="F483" s="524">
        <f>-E444</f>
        <v>0</v>
      </c>
      <c r="G483" s="524">
        <f t="shared" si="20"/>
        <v>0</v>
      </c>
      <c r="H483" s="524">
        <v>0</v>
      </c>
      <c r="I483" s="524">
        <f>-F444</f>
        <v>0</v>
      </c>
      <c r="J483" s="524">
        <f t="shared" si="21"/>
        <v>0</v>
      </c>
      <c r="K483" s="3"/>
      <c r="L483" s="3"/>
      <c r="M483" s="3"/>
      <c r="N483" s="28"/>
      <c r="O483" s="28"/>
      <c r="P483" s="28"/>
      <c r="Q483" s="28"/>
    </row>
    <row r="484" spans="1:17" ht="16.05" customHeight="1" x14ac:dyDescent="0.3">
      <c r="A484" s="23" t="str">
        <f t="shared" si="22"/>
        <v>Do Not Print</v>
      </c>
      <c r="D484" s="506" t="s">
        <v>83</v>
      </c>
      <c r="E484" s="524">
        <f>E452</f>
        <v>0</v>
      </c>
      <c r="F484" s="524">
        <v>0</v>
      </c>
      <c r="G484" s="524">
        <f t="shared" si="20"/>
        <v>0</v>
      </c>
      <c r="H484" s="524">
        <f>F452</f>
        <v>0</v>
      </c>
      <c r="I484" s="524">
        <v>0</v>
      </c>
      <c r="J484" s="524">
        <f t="shared" si="21"/>
        <v>0</v>
      </c>
      <c r="K484" s="3"/>
      <c r="L484" s="3"/>
      <c r="M484" s="3"/>
      <c r="N484" s="28"/>
      <c r="O484" s="28"/>
      <c r="P484" s="28"/>
      <c r="Q484" s="28"/>
    </row>
    <row r="485" spans="1:17" ht="27" x14ac:dyDescent="0.3">
      <c r="A485" s="23" t="str">
        <f t="shared" si="22"/>
        <v>Do Not Print</v>
      </c>
      <c r="D485" s="507" t="s">
        <v>279</v>
      </c>
      <c r="E485" s="524">
        <f>E459</f>
        <v>0</v>
      </c>
      <c r="F485" s="524">
        <f>E458</f>
        <v>0</v>
      </c>
      <c r="G485" s="524">
        <f t="shared" si="20"/>
        <v>0</v>
      </c>
      <c r="H485" s="524">
        <f>F459</f>
        <v>0</v>
      </c>
      <c r="I485" s="524">
        <f>F458</f>
        <v>0</v>
      </c>
      <c r="J485" s="524">
        <f t="shared" si="21"/>
        <v>0</v>
      </c>
      <c r="K485" s="3"/>
      <c r="L485" s="3"/>
      <c r="M485" s="3"/>
      <c r="N485" s="28"/>
      <c r="O485" s="28"/>
      <c r="P485" s="28"/>
      <c r="Q485" s="28"/>
    </row>
    <row r="486" spans="1:17" x14ac:dyDescent="0.3">
      <c r="A486" s="23" t="str">
        <f t="shared" si="22"/>
        <v>Do Not Print</v>
      </c>
      <c r="D486" s="506" t="s">
        <v>84</v>
      </c>
      <c r="E486" s="524">
        <f>E468+IF(E473&gt;0,E473,0)</f>
        <v>0</v>
      </c>
      <c r="F486" s="524">
        <f>E467+IF(E473&lt;0,E473,0)</f>
        <v>0</v>
      </c>
      <c r="G486" s="524">
        <f t="shared" si="20"/>
        <v>0</v>
      </c>
      <c r="H486" s="524">
        <f>F468+IF(F473&gt;0,F473,0)</f>
        <v>0</v>
      </c>
      <c r="I486" s="524">
        <f>(F467+IF(F473&lt;0,F473,0))</f>
        <v>0</v>
      </c>
      <c r="J486" s="524">
        <f t="shared" si="21"/>
        <v>0</v>
      </c>
      <c r="K486" s="3"/>
      <c r="L486" s="3"/>
      <c r="M486" s="3"/>
      <c r="N486" s="28"/>
      <c r="O486" s="28"/>
      <c r="P486" s="28"/>
      <c r="Q486" s="28"/>
    </row>
    <row r="487" spans="1:17" ht="27" x14ac:dyDescent="0.3">
      <c r="A487" s="23" t="str">
        <f t="shared" si="22"/>
        <v>Do Not Print</v>
      </c>
      <c r="D487" s="507" t="s">
        <v>85</v>
      </c>
      <c r="E487" s="524">
        <f>IF(E475&gt;0,E475,0)</f>
        <v>0</v>
      </c>
      <c r="F487" s="524">
        <f>-IF(E475&lt;0,E475,0)</f>
        <v>0</v>
      </c>
      <c r="G487" s="524">
        <f t="shared" si="20"/>
        <v>0</v>
      </c>
      <c r="H487" s="524">
        <f>IF(F475&gt;0,F475,0)</f>
        <v>0</v>
      </c>
      <c r="I487" s="524">
        <f>IF(F475&lt;0,F475,0)</f>
        <v>0</v>
      </c>
      <c r="J487" s="524">
        <f t="shared" si="21"/>
        <v>0</v>
      </c>
      <c r="K487" s="3"/>
      <c r="L487" s="3"/>
      <c r="M487" s="3"/>
      <c r="N487" s="28"/>
      <c r="O487" s="28"/>
      <c r="P487" s="28"/>
      <c r="Q487" s="28"/>
    </row>
    <row r="488" spans="1:17" x14ac:dyDescent="0.3">
      <c r="A488" s="3" t="str">
        <f>IF(A487="Print","Print","Do Not Print")</f>
        <v>Do Not Print</v>
      </c>
      <c r="D488" s="1792"/>
      <c r="E488" s="1792"/>
      <c r="F488" s="1792"/>
      <c r="G488" s="1792"/>
      <c r="H488" s="1792"/>
      <c r="I488" s="1792"/>
      <c r="J488" s="1792"/>
      <c r="K488" s="3"/>
      <c r="L488" s="3"/>
      <c r="M488" s="3"/>
      <c r="N488" s="28"/>
      <c r="O488" s="28"/>
      <c r="P488" s="28"/>
      <c r="Q488" s="28"/>
    </row>
    <row r="489" spans="1:17" ht="15.75" customHeight="1" x14ac:dyDescent="0.3">
      <c r="A489" s="23" t="str">
        <f t="shared" si="22"/>
        <v>Do Not Print</v>
      </c>
      <c r="D489" s="479"/>
      <c r="E489" s="511">
        <f t="shared" ref="E489:J489" si="23">SUM(E482:E487)</f>
        <v>0</v>
      </c>
      <c r="F489" s="511">
        <f t="shared" si="23"/>
        <v>0</v>
      </c>
      <c r="G489" s="511">
        <f t="shared" si="23"/>
        <v>0</v>
      </c>
      <c r="H489" s="511">
        <f t="shared" si="23"/>
        <v>0</v>
      </c>
      <c r="I489" s="511">
        <f t="shared" si="23"/>
        <v>0</v>
      </c>
      <c r="J489" s="511">
        <f t="shared" si="23"/>
        <v>0</v>
      </c>
      <c r="K489" s="3"/>
      <c r="L489" s="3"/>
      <c r="M489" s="3"/>
      <c r="N489" s="28"/>
      <c r="O489" s="28"/>
      <c r="P489" s="28"/>
      <c r="Q489" s="28"/>
    </row>
    <row r="490" spans="1:17" x14ac:dyDescent="0.3">
      <c r="A490" s="3" t="str">
        <f>IF(A489="Print","Print","Do Not Print")</f>
        <v>Do Not Print</v>
      </c>
      <c r="K490" s="3"/>
      <c r="L490" s="3"/>
      <c r="M490" s="3"/>
      <c r="N490" s="28"/>
      <c r="O490" s="28"/>
      <c r="P490" s="28"/>
      <c r="Q490" s="28"/>
    </row>
    <row r="491" spans="1:17" x14ac:dyDescent="0.3">
      <c r="A491" s="3" t="str">
        <f>IF(A490="Print","Print","Do Not Print")</f>
        <v>Do Not Print</v>
      </c>
      <c r="M491" s="28"/>
      <c r="N491" s="28"/>
      <c r="O491" s="28"/>
      <c r="P491" s="28"/>
      <c r="Q491" s="28"/>
    </row>
    <row r="492" spans="1:17" ht="17.25" customHeight="1" x14ac:dyDescent="0.3">
      <c r="A492" s="3" t="str">
        <f>IF(OR(A501="Print",A523="Print",A532="Print",A543="Print"),"Print","Do Not Print")</f>
        <v>Do Not Print</v>
      </c>
      <c r="B492" s="467">
        <f>Checklist!E83</f>
        <v>10</v>
      </c>
      <c r="D492" s="474" t="s">
        <v>86</v>
      </c>
      <c r="E492" s="474"/>
      <c r="F492" s="474"/>
      <c r="G492" s="474"/>
      <c r="H492" s="474"/>
      <c r="I492" s="481"/>
      <c r="J492" s="481"/>
      <c r="K492" s="481"/>
      <c r="M492" s="28"/>
      <c r="N492" s="28"/>
      <c r="O492" s="28"/>
      <c r="P492" s="28"/>
      <c r="Q492" s="28"/>
    </row>
    <row r="493" spans="1:17" x14ac:dyDescent="0.3">
      <c r="A493" s="3" t="str">
        <f>IF(A492="Print","Print","Do Not Print")</f>
        <v>Do Not Print</v>
      </c>
      <c r="D493" s="405"/>
      <c r="M493" s="28"/>
      <c r="N493" s="28"/>
      <c r="O493" s="28"/>
      <c r="P493" s="28"/>
      <c r="Q493" s="28"/>
    </row>
    <row r="494" spans="1:17" ht="17.25" customHeight="1" x14ac:dyDescent="0.3">
      <c r="A494" s="3" t="str">
        <f>IF(A501="Print","Print","Do Not Print")</f>
        <v>Do Not Print</v>
      </c>
      <c r="C494" s="467" t="str">
        <f>Checklist!E84</f>
        <v>a</v>
      </c>
      <c r="D494" s="474" t="s">
        <v>665</v>
      </c>
      <c r="E494" s="474"/>
      <c r="F494" s="474"/>
      <c r="G494" s="474"/>
      <c r="H494" s="474"/>
      <c r="I494" s="481"/>
      <c r="J494" s="481"/>
      <c r="K494" s="481"/>
      <c r="M494" s="28"/>
      <c r="N494" s="28"/>
      <c r="O494" s="28"/>
      <c r="P494" s="28"/>
      <c r="Q494" s="28"/>
    </row>
    <row r="495" spans="1:17" x14ac:dyDescent="0.3">
      <c r="A495" s="3" t="str">
        <f>IF(A494="Print","Print","Do Not Print")</f>
        <v>Do Not Print</v>
      </c>
      <c r="D495" s="405"/>
      <c r="M495" s="28"/>
      <c r="N495" s="28"/>
      <c r="O495" s="28"/>
      <c r="P495" s="28"/>
      <c r="Q495" s="28"/>
    </row>
    <row r="496" spans="1:17" x14ac:dyDescent="0.3">
      <c r="A496" s="3" t="str">
        <f>IF(A495="Print","Print","Do Not Print")</f>
        <v>Do Not Print</v>
      </c>
      <c r="D496" s="479"/>
      <c r="E496" s="486" t="str">
        <f>I342</f>
        <v>2025/26</v>
      </c>
      <c r="F496" s="486" t="str">
        <f>J342</f>
        <v>2024/25</v>
      </c>
      <c r="M496" s="28"/>
      <c r="N496" s="28"/>
      <c r="O496" s="28"/>
      <c r="P496" s="28"/>
      <c r="Q496" s="28"/>
    </row>
    <row r="497" spans="1:17" x14ac:dyDescent="0.3">
      <c r="A497" s="3" t="str">
        <f>IF(A496="Print","Print","Do Not Print")</f>
        <v>Do Not Print</v>
      </c>
      <c r="D497" s="482"/>
      <c r="E497" s="483" t="s">
        <v>450</v>
      </c>
      <c r="F497" s="483" t="s">
        <v>450</v>
      </c>
      <c r="M497" s="28"/>
      <c r="N497" s="28"/>
      <c r="O497" s="28"/>
      <c r="P497" s="28"/>
      <c r="Q497" s="28"/>
    </row>
    <row r="498" spans="1:17" ht="15.75" customHeight="1" x14ac:dyDescent="0.3">
      <c r="A498" s="3" t="str">
        <f>IF(AND(E498=0,F498=0),"Do Not Print","Print")</f>
        <v>Do Not Print</v>
      </c>
      <c r="D498" s="506" t="s">
        <v>874</v>
      </c>
      <c r="E498" s="540">
        <f>'Det CIES'!P120</f>
        <v>0</v>
      </c>
      <c r="F498" s="519">
        <f>'Det CIES'!S120</f>
        <v>0</v>
      </c>
      <c r="G498" s="402"/>
      <c r="M498" s="28"/>
      <c r="N498" s="28"/>
      <c r="O498" s="28"/>
      <c r="P498" s="28"/>
      <c r="Q498" s="28"/>
    </row>
    <row r="499" spans="1:17" x14ac:dyDescent="0.3">
      <c r="A499" s="3" t="str">
        <f>IF(AND(E499=0,F499=0),"Do Not Print","Print")</f>
        <v>Do Not Print</v>
      </c>
      <c r="D499" s="506" t="s">
        <v>373</v>
      </c>
      <c r="E499" s="540">
        <f>'Det CIES'!P121</f>
        <v>0</v>
      </c>
      <c r="F499" s="540">
        <f>'Det CIES'!P121</f>
        <v>0</v>
      </c>
      <c r="M499" s="28"/>
      <c r="N499" s="28"/>
      <c r="O499" s="28"/>
      <c r="P499" s="28"/>
      <c r="Q499" s="28"/>
    </row>
    <row r="500" spans="1:17" x14ac:dyDescent="0.3">
      <c r="A500" s="3" t="str">
        <f>IF(A501="Print","Print","Do Not Print")</f>
        <v>Do Not Print</v>
      </c>
      <c r="E500" s="541"/>
      <c r="F500" s="541"/>
      <c r="M500" s="28"/>
      <c r="N500" s="28"/>
      <c r="O500" s="28"/>
      <c r="P500" s="28"/>
      <c r="Q500" s="28"/>
    </row>
    <row r="501" spans="1:17" x14ac:dyDescent="0.3">
      <c r="A501" s="3" t="str">
        <f>IF(AND(E501=0,F501=0),"Do Not Print","Print")</f>
        <v>Do Not Print</v>
      </c>
      <c r="E501" s="542">
        <f>SUM(E498:E499)</f>
        <v>0</v>
      </c>
      <c r="F501" s="542">
        <f>SUM(F498:F499)</f>
        <v>0</v>
      </c>
      <c r="M501" s="28"/>
      <c r="N501" s="28"/>
      <c r="O501" s="28"/>
      <c r="P501" s="28"/>
      <c r="Q501" s="28"/>
    </row>
    <row r="502" spans="1:17" x14ac:dyDescent="0.3">
      <c r="A502" s="3" t="str">
        <f>IF(A501="Print","Print","Do Not Print")</f>
        <v>Do Not Print</v>
      </c>
      <c r="E502" s="1029"/>
      <c r="F502" s="1029"/>
      <c r="M502" s="28"/>
      <c r="N502" s="28"/>
      <c r="O502" s="28"/>
      <c r="P502" s="28"/>
      <c r="Q502" s="28"/>
    </row>
    <row r="503" spans="1:17" x14ac:dyDescent="0.3">
      <c r="A503" s="3" t="s">
        <v>593</v>
      </c>
      <c r="C503" s="467" t="str">
        <f>Checklist!E85</f>
        <v>b</v>
      </c>
      <c r="D503" s="474" t="s">
        <v>2085</v>
      </c>
      <c r="E503" s="474"/>
      <c r="F503" s="474"/>
      <c r="G503" s="474"/>
      <c r="H503" s="474"/>
      <c r="I503" s="481"/>
      <c r="J503" s="481"/>
      <c r="K503" s="481"/>
      <c r="M503" s="28"/>
      <c r="N503" s="28"/>
      <c r="O503" s="28"/>
      <c r="P503" s="28"/>
      <c r="Q503" s="28"/>
    </row>
    <row r="504" spans="1:17" x14ac:dyDescent="0.3">
      <c r="A504" s="3" t="str">
        <f>IF(A503="Print","Print","Do Not Print")</f>
        <v>Do Not Print</v>
      </c>
      <c r="E504" s="1029"/>
      <c r="F504" s="1029"/>
      <c r="M504" s="28"/>
      <c r="N504" s="28"/>
      <c r="O504" s="28"/>
      <c r="P504" s="28"/>
      <c r="Q504" s="28"/>
    </row>
    <row r="505" spans="1:17" x14ac:dyDescent="0.3">
      <c r="A505" s="3" t="str">
        <f>IF(A503="Print","Print","Do Not Print")</f>
        <v>Do Not Print</v>
      </c>
      <c r="D505" s="479"/>
      <c r="E505" s="486" t="str">
        <f>I334</f>
        <v>2025/26</v>
      </c>
      <c r="F505" s="486" t="str">
        <f>J334</f>
        <v>2024/25</v>
      </c>
      <c r="M505" s="28"/>
      <c r="N505" s="28"/>
      <c r="O505" s="28"/>
      <c r="P505" s="28"/>
      <c r="Q505" s="28"/>
    </row>
    <row r="506" spans="1:17" x14ac:dyDescent="0.3">
      <c r="A506" s="3" t="str">
        <f>IF(A503="Print","Print","Do Not Print")</f>
        <v>Do Not Print</v>
      </c>
      <c r="D506" s="482"/>
      <c r="E506" s="483" t="s">
        <v>450</v>
      </c>
      <c r="F506" s="483" t="s">
        <v>450</v>
      </c>
      <c r="M506" s="28"/>
      <c r="N506" s="28"/>
      <c r="O506" s="28"/>
      <c r="P506" s="28"/>
      <c r="Q506" s="28"/>
    </row>
    <row r="507" spans="1:17" ht="30" customHeight="1" x14ac:dyDescent="0.3">
      <c r="A507" s="3" t="str">
        <f>IF(AND(E507=0,F507=0),"Do Not Print","Print")</f>
        <v>Do Not Print</v>
      </c>
      <c r="D507" s="876" t="s">
        <v>1543</v>
      </c>
      <c r="E507" s="931">
        <f>'Non TB - Note 3 - 9'!H159</f>
        <v>0</v>
      </c>
      <c r="F507" s="931">
        <f>'Non TB - Note 3 - 9'!I159</f>
        <v>0</v>
      </c>
      <c r="M507" s="28"/>
      <c r="N507" s="28"/>
      <c r="O507" s="28"/>
      <c r="P507" s="28"/>
      <c r="Q507" s="28"/>
    </row>
    <row r="508" spans="1:17" x14ac:dyDescent="0.3">
      <c r="A508" s="3" t="str">
        <f>IF(AND(E508=0,F508=0),"Do Not Print","Print")</f>
        <v>Do Not Print</v>
      </c>
      <c r="D508" s="506" t="s">
        <v>373</v>
      </c>
      <c r="E508" s="931">
        <f>'Non TB - Note 3 - 9'!H160</f>
        <v>0</v>
      </c>
      <c r="F508" s="931">
        <f>'Non TB - Note 3 - 9'!I160</f>
        <v>0</v>
      </c>
      <c r="M508" s="28"/>
      <c r="N508" s="28"/>
      <c r="O508" s="28"/>
      <c r="P508" s="28"/>
      <c r="Q508" s="28"/>
    </row>
    <row r="509" spans="1:17" x14ac:dyDescent="0.3">
      <c r="A509" s="3" t="str">
        <f>IF(A508="Print","Print","Do Not Print")</f>
        <v>Do Not Print</v>
      </c>
      <c r="E509" s="541"/>
      <c r="F509" s="541"/>
      <c r="M509" s="28"/>
      <c r="N509" s="28"/>
      <c r="O509" s="28"/>
      <c r="P509" s="28"/>
      <c r="Q509" s="28"/>
    </row>
    <row r="510" spans="1:17" x14ac:dyDescent="0.3">
      <c r="A510" s="3" t="str">
        <f>IF(A501="Print","Print","Do Not Print")</f>
        <v>Do Not Print</v>
      </c>
      <c r="E510" s="542">
        <f>SUM(E507:E508)</f>
        <v>0</v>
      </c>
      <c r="F510" s="542">
        <f>SUM(F507:F508)</f>
        <v>0</v>
      </c>
      <c r="M510" s="28"/>
      <c r="N510" s="28"/>
      <c r="O510" s="28"/>
      <c r="P510" s="28"/>
      <c r="Q510" s="28"/>
    </row>
    <row r="511" spans="1:17" x14ac:dyDescent="0.3">
      <c r="A511" s="3" t="str">
        <f>IF(A510="Print","Print","Do Not Print")</f>
        <v>Do Not Print</v>
      </c>
      <c r="D511" s="1500"/>
      <c r="E511" s="1500"/>
      <c r="F511" s="1500"/>
      <c r="G511" s="1500"/>
      <c r="H511" s="1500"/>
      <c r="I511" s="1500"/>
      <c r="J511" s="1500"/>
      <c r="K511" s="1500"/>
      <c r="M511" s="28"/>
      <c r="N511" s="28"/>
      <c r="O511" s="28"/>
      <c r="P511" s="28"/>
      <c r="Q511" s="28"/>
    </row>
    <row r="512" spans="1:17" ht="31.05" customHeight="1" x14ac:dyDescent="0.3">
      <c r="A512" s="3" t="str">
        <f>IF('Non TB - Note 3 - 9'!F161=1,"Print","Do Not Print")</f>
        <v>Print</v>
      </c>
      <c r="D512" s="1504" t="str">
        <f>IF('Non TB - Note 3 - 9'!F161=1,'Non TB - Note 3 - 9'!H161,"")</f>
        <v>These Revenue Grants appear in the Planning and Development Service line of the Comprehensive Income and Expenditure Statement rather than Taxation and Non-Specific Grant Income line. Hence they are not included in the total at the bottom of Note 9.</v>
      </c>
      <c r="E512" s="1504"/>
      <c r="F512" s="1504"/>
      <c r="G512" s="1504"/>
      <c r="H512" s="1504"/>
      <c r="I512" s="1504"/>
      <c r="J512" s="1504"/>
      <c r="K512" s="1504"/>
      <c r="M512" s="28"/>
      <c r="N512" s="28"/>
      <c r="O512" s="28"/>
      <c r="P512" s="28"/>
      <c r="Q512" s="28"/>
    </row>
    <row r="513" spans="1:17" x14ac:dyDescent="0.3">
      <c r="A513" s="3" t="str">
        <f>IF(A512="Print","Print","Do Not Print")</f>
        <v>Print</v>
      </c>
      <c r="D513" s="1500"/>
      <c r="E513" s="1500"/>
      <c r="F513" s="1500"/>
      <c r="G513" s="1500"/>
      <c r="H513" s="1500"/>
      <c r="I513" s="1500"/>
      <c r="J513" s="1500"/>
      <c r="K513" s="1500"/>
      <c r="M513" s="28"/>
      <c r="N513" s="28"/>
      <c r="O513" s="28"/>
      <c r="P513" s="28"/>
      <c r="Q513" s="28"/>
    </row>
    <row r="514" spans="1:17" ht="15.75" customHeight="1" x14ac:dyDescent="0.3">
      <c r="A514" s="3" t="str">
        <f>IF(A523="Print","Print","Do Not Print")</f>
        <v>Do Not Print</v>
      </c>
      <c r="C514" s="467" t="str">
        <f>Checklist!E86</f>
        <v>c</v>
      </c>
      <c r="D514" s="474" t="s">
        <v>1542</v>
      </c>
      <c r="E514" s="474"/>
      <c r="F514" s="474"/>
      <c r="G514" s="474"/>
      <c r="H514" s="474"/>
      <c r="I514" s="481"/>
      <c r="J514" s="481"/>
      <c r="K514" s="481"/>
      <c r="M514" s="28"/>
      <c r="N514" s="28"/>
      <c r="O514" s="28"/>
      <c r="P514" s="28"/>
      <c r="Q514" s="28"/>
    </row>
    <row r="515" spans="1:17" x14ac:dyDescent="0.3">
      <c r="A515" s="3" t="str">
        <f>IF(A514="Print","Print","Do Not Print")</f>
        <v>Do Not Print</v>
      </c>
      <c r="D515" s="405"/>
      <c r="M515" s="28"/>
      <c r="N515" s="28"/>
      <c r="O515" s="28"/>
      <c r="P515" s="28"/>
      <c r="Q515" s="28"/>
    </row>
    <row r="516" spans="1:17" x14ac:dyDescent="0.3">
      <c r="A516" s="3" t="str">
        <f>IF(A515="Print","Print","Do Not Print")</f>
        <v>Do Not Print</v>
      </c>
      <c r="D516" s="479"/>
      <c r="E516" s="486" t="str">
        <f>I342</f>
        <v>2025/26</v>
      </c>
      <c r="F516" s="486" t="str">
        <f>J342</f>
        <v>2024/25</v>
      </c>
      <c r="M516" s="28"/>
      <c r="N516" s="28"/>
      <c r="O516" s="28"/>
      <c r="P516" s="28"/>
      <c r="Q516" s="28"/>
    </row>
    <row r="517" spans="1:17" x14ac:dyDescent="0.3">
      <c r="A517" s="3" t="str">
        <f>IF(A516="Print","Print","Do Not Print")</f>
        <v>Do Not Print</v>
      </c>
      <c r="D517" s="482"/>
      <c r="E517" s="483" t="s">
        <v>450</v>
      </c>
      <c r="F517" s="483" t="s">
        <v>450</v>
      </c>
      <c r="M517" s="28"/>
      <c r="N517" s="28"/>
      <c r="O517" s="28"/>
      <c r="P517" s="28"/>
      <c r="Q517" s="28"/>
    </row>
    <row r="518" spans="1:17" ht="30.75" customHeight="1" x14ac:dyDescent="0.3">
      <c r="A518" s="3" t="str">
        <f>IF(AND(E518=0,F518=0),"Do Not Print","Print")</f>
        <v>Do Not Print</v>
      </c>
      <c r="D518" s="876" t="s">
        <v>1543</v>
      </c>
      <c r="E518" s="931">
        <f>'Det CIES'!P126</f>
        <v>0</v>
      </c>
      <c r="F518" s="931">
        <f>'Det CIES'!S126</f>
        <v>0</v>
      </c>
      <c r="M518" s="28"/>
      <c r="N518" s="28"/>
      <c r="O518" s="28"/>
      <c r="P518" s="28"/>
      <c r="Q518" s="28"/>
    </row>
    <row r="519" spans="1:17" ht="28.05" customHeight="1" x14ac:dyDescent="0.3">
      <c r="A519" s="3" t="str">
        <f>IF(AND(E519=0,F519=0),"Do Not Print","Print")</f>
        <v>Do Not Print</v>
      </c>
      <c r="D519" s="507" t="s">
        <v>953</v>
      </c>
      <c r="E519" s="540">
        <f>'Det CIES'!P127</f>
        <v>0</v>
      </c>
      <c r="F519" s="540">
        <f>'Det CIES'!S127</f>
        <v>0</v>
      </c>
      <c r="M519" s="28"/>
      <c r="N519" s="28"/>
      <c r="O519" s="28"/>
      <c r="P519" s="28"/>
      <c r="Q519" s="28"/>
    </row>
    <row r="520" spans="1:17" x14ac:dyDescent="0.3">
      <c r="A520" s="3" t="str">
        <f>IF(AND(E520=0,F520=0),"Do Not Print","Print")</f>
        <v>Do Not Print</v>
      </c>
      <c r="D520" s="507" t="s">
        <v>954</v>
      </c>
      <c r="E520" s="540">
        <f>'Det CIES'!P128</f>
        <v>0</v>
      </c>
      <c r="F520" s="540">
        <f>'Det CIES'!S128</f>
        <v>0</v>
      </c>
      <c r="M520" s="28"/>
      <c r="N520" s="28"/>
      <c r="O520" s="28"/>
      <c r="P520" s="28"/>
      <c r="Q520" s="28"/>
    </row>
    <row r="521" spans="1:17" ht="27" x14ac:dyDescent="0.3">
      <c r="A521" s="3" t="str">
        <f>IF(AND(E521=0,F521=0),"Do Not Print","Print")</f>
        <v>Do Not Print</v>
      </c>
      <c r="D521" s="507" t="s">
        <v>955</v>
      </c>
      <c r="E521" s="540">
        <f>'Det CIES'!P129</f>
        <v>0</v>
      </c>
      <c r="F521" s="540">
        <f>'Det CIES'!S129</f>
        <v>0</v>
      </c>
      <c r="M521" s="28"/>
      <c r="N521" s="28"/>
      <c r="O521" s="28"/>
      <c r="P521" s="28"/>
      <c r="Q521" s="28"/>
    </row>
    <row r="522" spans="1:17" x14ac:dyDescent="0.3">
      <c r="A522" s="3" t="str">
        <f>IF(A523="Print","Print","Do Not Print")</f>
        <v>Do Not Print</v>
      </c>
      <c r="E522" s="525"/>
      <c r="F522" s="525"/>
      <c r="M522" s="28"/>
      <c r="N522" s="28"/>
      <c r="O522" s="28"/>
      <c r="P522" s="28"/>
      <c r="Q522" s="28"/>
    </row>
    <row r="523" spans="1:17" x14ac:dyDescent="0.3">
      <c r="A523" s="3" t="str">
        <f>IF(AND(E523=0,F523=0),"Do Not Print","Print")</f>
        <v>Do Not Print</v>
      </c>
      <c r="E523" s="542">
        <f>SUM(E518:E521)</f>
        <v>0</v>
      </c>
      <c r="F523" s="542">
        <f>SUM(F518:F521)</f>
        <v>0</v>
      </c>
      <c r="M523" s="28"/>
      <c r="N523" s="28"/>
      <c r="O523" s="28"/>
      <c r="P523" s="28"/>
      <c r="Q523" s="28"/>
    </row>
    <row r="524" spans="1:17" x14ac:dyDescent="0.3">
      <c r="A524" s="3" t="str">
        <f>IF(A523="Print","Print","Do Not Print")</f>
        <v>Do Not Print</v>
      </c>
      <c r="M524" s="28"/>
      <c r="N524" s="28"/>
      <c r="O524" s="28"/>
      <c r="P524" s="28"/>
      <c r="Q524" s="28"/>
    </row>
    <row r="525" spans="1:17" ht="14.25" customHeight="1" x14ac:dyDescent="0.3">
      <c r="A525" s="3" t="str">
        <f>IF(A532="Print","Print","Do Not Print")</f>
        <v>Do Not Print</v>
      </c>
      <c r="C525" s="467" t="str">
        <f>Checklist!E87</f>
        <v>d</v>
      </c>
      <c r="D525" s="474" t="s">
        <v>1552</v>
      </c>
      <c r="E525" s="474"/>
      <c r="F525" s="474"/>
      <c r="G525" s="474"/>
      <c r="H525" s="474"/>
      <c r="I525" s="481"/>
      <c r="J525" s="481"/>
      <c r="K525" s="481"/>
      <c r="M525" s="28"/>
      <c r="N525" s="28"/>
      <c r="O525" s="28"/>
      <c r="P525" s="28"/>
      <c r="Q525" s="28"/>
    </row>
    <row r="526" spans="1:17" x14ac:dyDescent="0.3">
      <c r="A526" s="3" t="str">
        <f>IF(A525="Print","Print","Do Not Print")</f>
        <v>Do Not Print</v>
      </c>
      <c r="M526" s="28"/>
      <c r="N526" s="28"/>
      <c r="O526" s="28"/>
      <c r="P526" s="28"/>
      <c r="Q526" s="28"/>
    </row>
    <row r="527" spans="1:17" x14ac:dyDescent="0.3">
      <c r="A527" s="3" t="str">
        <f>IF(A532="Print","Print","Do Not Print")</f>
        <v>Do Not Print</v>
      </c>
      <c r="D527" s="479"/>
      <c r="E527" s="486" t="str">
        <f>I356</f>
        <v>2025/26</v>
      </c>
      <c r="F527" s="486" t="str">
        <f>J356</f>
        <v>2024/25</v>
      </c>
      <c r="M527" s="28"/>
      <c r="N527" s="28"/>
      <c r="O527" s="28"/>
      <c r="P527" s="28"/>
      <c r="Q527" s="28"/>
    </row>
    <row r="528" spans="1:17" x14ac:dyDescent="0.3">
      <c r="A528" s="3" t="str">
        <f>IF(A532="Print","Print","Do Not Print")</f>
        <v>Do Not Print</v>
      </c>
      <c r="D528" s="482"/>
      <c r="E528" s="483" t="s">
        <v>450</v>
      </c>
      <c r="F528" s="483" t="s">
        <v>450</v>
      </c>
      <c r="M528" s="28"/>
      <c r="N528" s="28"/>
      <c r="O528" s="28"/>
      <c r="P528" s="28"/>
      <c r="Q528" s="28"/>
    </row>
    <row r="529" spans="1:17" ht="40.200000000000003" x14ac:dyDescent="0.3">
      <c r="A529" s="3" t="str">
        <f>IF(AND(E529=0,F529=0),"Do Not Print","Print")</f>
        <v>Do Not Print</v>
      </c>
      <c r="D529" s="507" t="s">
        <v>1544</v>
      </c>
      <c r="E529" s="540">
        <f>'Det CIES'!P130</f>
        <v>0</v>
      </c>
      <c r="F529" s="540">
        <f>'Det CIES'!S130</f>
        <v>0</v>
      </c>
      <c r="M529" s="28"/>
      <c r="N529" s="28"/>
      <c r="O529" s="28"/>
      <c r="P529" s="28"/>
      <c r="Q529" s="28"/>
    </row>
    <row r="530" spans="1:17" x14ac:dyDescent="0.3">
      <c r="A530" s="3" t="str">
        <f>IF(AND(E530=0,F530=0),"Do Not Print","Print")</f>
        <v>Do Not Print</v>
      </c>
      <c r="D530" s="506" t="s">
        <v>373</v>
      </c>
      <c r="E530" s="540">
        <f>'Det CIES'!P131</f>
        <v>0</v>
      </c>
      <c r="F530" s="540">
        <f>'Det CIES'!S131</f>
        <v>0</v>
      </c>
      <c r="M530" s="28"/>
      <c r="N530" s="28"/>
      <c r="O530" s="28"/>
      <c r="P530" s="28"/>
      <c r="Q530" s="28"/>
    </row>
    <row r="531" spans="1:17" x14ac:dyDescent="0.3">
      <c r="A531" s="3" t="str">
        <f>IF(A532="Print","Print","Do Not Print")</f>
        <v>Do Not Print</v>
      </c>
      <c r="E531" s="543"/>
      <c r="F531" s="543"/>
      <c r="M531" s="28"/>
      <c r="N531" s="28"/>
      <c r="O531" s="28"/>
      <c r="P531" s="28"/>
      <c r="Q531" s="28"/>
    </row>
    <row r="532" spans="1:17" x14ac:dyDescent="0.3">
      <c r="A532" s="3" t="str">
        <f>IF(AND(E532=0,F532=0),"Do Not Print","Print")</f>
        <v>Do Not Print</v>
      </c>
      <c r="E532" s="542">
        <f>SUM(E529:E530)</f>
        <v>0</v>
      </c>
      <c r="F532" s="542">
        <f>SUM(F529:F530)</f>
        <v>0</v>
      </c>
      <c r="M532" s="28"/>
      <c r="N532" s="28"/>
      <c r="O532" s="28"/>
      <c r="P532" s="28"/>
      <c r="Q532" s="28"/>
    </row>
    <row r="533" spans="1:17" x14ac:dyDescent="0.3">
      <c r="A533" s="3" t="str">
        <f>IF(A532="Print","Print","Do Not Print")</f>
        <v>Do Not Print</v>
      </c>
      <c r="M533" s="28"/>
      <c r="N533" s="28"/>
      <c r="O533" s="28"/>
      <c r="P533" s="28"/>
      <c r="Q533" s="28"/>
    </row>
    <row r="534" spans="1:17" x14ac:dyDescent="0.3">
      <c r="A534" s="3" t="str">
        <f>IF(A543="Print","Print","Do Not Print")</f>
        <v>Do Not Print</v>
      </c>
      <c r="C534" s="467" t="str">
        <f>Checklist!E88</f>
        <v>e</v>
      </c>
      <c r="D534" s="474" t="s">
        <v>286</v>
      </c>
      <c r="E534" s="474"/>
      <c r="F534" s="474"/>
      <c r="G534" s="474"/>
      <c r="H534" s="474"/>
      <c r="I534" s="481"/>
      <c r="J534" s="481"/>
      <c r="K534" s="481"/>
      <c r="M534" s="28"/>
      <c r="N534" s="28"/>
      <c r="O534" s="28"/>
      <c r="P534" s="28"/>
      <c r="Q534" s="28"/>
    </row>
    <row r="535" spans="1:17" x14ac:dyDescent="0.3">
      <c r="A535" s="3" t="str">
        <f>IF(A534="Print","Print","Do Not Print")</f>
        <v>Do Not Print</v>
      </c>
      <c r="D535" s="405"/>
      <c r="M535" s="28"/>
      <c r="N535" s="28"/>
      <c r="O535" s="28"/>
      <c r="P535" s="28"/>
      <c r="Q535" s="28"/>
    </row>
    <row r="536" spans="1:17" ht="15.75" customHeight="1" x14ac:dyDescent="0.3">
      <c r="A536" s="3" t="str">
        <f>IF(A543="Print","Print","Do Not Print")</f>
        <v>Do Not Print</v>
      </c>
      <c r="D536" s="479"/>
      <c r="E536" s="486" t="str">
        <f>I356</f>
        <v>2025/26</v>
      </c>
      <c r="F536" s="486" t="str">
        <f>J356</f>
        <v>2024/25</v>
      </c>
      <c r="M536" s="28"/>
      <c r="N536" s="28"/>
      <c r="O536" s="28"/>
      <c r="P536" s="28"/>
      <c r="Q536" s="28"/>
    </row>
    <row r="537" spans="1:17" x14ac:dyDescent="0.3">
      <c r="A537" s="3" t="str">
        <f>IF(A543="Print","Print","Do Not Print")</f>
        <v>Do Not Print</v>
      </c>
      <c r="D537" s="482"/>
      <c r="E537" s="483" t="s">
        <v>450</v>
      </c>
      <c r="F537" s="483" t="s">
        <v>450</v>
      </c>
      <c r="M537" s="28"/>
      <c r="N537" s="28"/>
      <c r="O537" s="28"/>
      <c r="P537" s="28"/>
      <c r="Q537" s="28"/>
    </row>
    <row r="538" spans="1:17" ht="19.5" customHeight="1" x14ac:dyDescent="0.3">
      <c r="A538" s="3" t="str">
        <f>IF(AND(E538=0,F538=0),"Do Not Print","Print")</f>
        <v>Do Not Print</v>
      </c>
      <c r="D538" s="506" t="s">
        <v>1545</v>
      </c>
      <c r="E538" s="540">
        <f>'Det CIES'!P112</f>
        <v>0</v>
      </c>
      <c r="F538" s="540">
        <f>'Det CIES'!S112</f>
        <v>0</v>
      </c>
      <c r="M538" s="28"/>
      <c r="N538" s="28"/>
      <c r="O538" s="28"/>
      <c r="P538" s="28"/>
      <c r="Q538" s="28"/>
    </row>
    <row r="539" spans="1:17" x14ac:dyDescent="0.3">
      <c r="A539" s="3" t="str">
        <f>IF(AND(E539=0,F539=0),"Do Not Print","Print")</f>
        <v>Do Not Print</v>
      </c>
      <c r="D539" s="506" t="s">
        <v>1546</v>
      </c>
      <c r="E539" s="540">
        <f>'Det CIES'!P114</f>
        <v>0</v>
      </c>
      <c r="F539" s="540">
        <f>'Det CIES'!S114</f>
        <v>0</v>
      </c>
      <c r="M539" s="28"/>
      <c r="N539" s="28"/>
      <c r="O539" s="28"/>
      <c r="P539" s="28"/>
      <c r="Q539" s="28"/>
    </row>
    <row r="540" spans="1:17" x14ac:dyDescent="0.3">
      <c r="A540" s="3" t="str">
        <f>IF(AND(E540=0,F540=0),"Do Not Print","Print")</f>
        <v>Do Not Print</v>
      </c>
      <c r="D540" s="506" t="s">
        <v>950</v>
      </c>
      <c r="E540" s="540">
        <f>'Det CIES'!P113</f>
        <v>0</v>
      </c>
      <c r="F540" s="540">
        <f>'Det CIES'!S113</f>
        <v>0</v>
      </c>
      <c r="M540" s="28"/>
      <c r="N540" s="28"/>
      <c r="O540" s="28"/>
      <c r="P540" s="28"/>
      <c r="Q540" s="28"/>
    </row>
    <row r="541" spans="1:17" x14ac:dyDescent="0.3">
      <c r="A541" s="3" t="str">
        <f>IF(AND(E541=0,F541=0),"Do Not Print","Print")</f>
        <v>Do Not Print</v>
      </c>
      <c r="D541" s="506" t="s">
        <v>1547</v>
      </c>
      <c r="E541" s="540">
        <f>'Det CIES'!P115</f>
        <v>0</v>
      </c>
      <c r="F541" s="540">
        <f>'Det CIES'!S115</f>
        <v>0</v>
      </c>
      <c r="M541" s="28"/>
      <c r="N541" s="28"/>
      <c r="O541" s="28"/>
      <c r="P541" s="28"/>
      <c r="Q541" s="28"/>
    </row>
    <row r="542" spans="1:17" x14ac:dyDescent="0.3">
      <c r="A542" s="3" t="str">
        <f>IF(A543="Print","Print","Do Not Print")</f>
        <v>Do Not Print</v>
      </c>
      <c r="E542" s="543"/>
      <c r="F542" s="543"/>
      <c r="M542" s="28"/>
      <c r="N542" s="28"/>
      <c r="O542" s="28"/>
      <c r="P542" s="28"/>
      <c r="Q542" s="28"/>
    </row>
    <row r="543" spans="1:17" x14ac:dyDescent="0.3">
      <c r="A543" s="3" t="str">
        <f>IF(AND(E543=0,F543=0),"Do Not Print","Print")</f>
        <v>Do Not Print</v>
      </c>
      <c r="E543" s="542">
        <f>SUM(E538:E541)</f>
        <v>0</v>
      </c>
      <c r="F543" s="542">
        <f>SUM(F538:F541)</f>
        <v>0</v>
      </c>
      <c r="M543" s="28"/>
      <c r="N543" s="28"/>
      <c r="O543" s="28"/>
      <c r="P543" s="28"/>
      <c r="Q543" s="28"/>
    </row>
    <row r="544" spans="1:17" x14ac:dyDescent="0.3">
      <c r="A544" s="3" t="str">
        <f>IF(A543="Print","Print","Do Not Print")</f>
        <v>Do Not Print</v>
      </c>
      <c r="M544" s="28"/>
      <c r="N544" s="28"/>
      <c r="O544" s="28"/>
      <c r="P544" s="28"/>
      <c r="Q544" s="28"/>
    </row>
    <row r="545" spans="1:17" x14ac:dyDescent="0.3">
      <c r="A545" s="3" t="str">
        <f>IF(A544="Print","Print","Do Not Print")</f>
        <v>Do Not Print</v>
      </c>
      <c r="M545" s="28"/>
      <c r="N545" s="28"/>
      <c r="O545" s="28"/>
      <c r="P545" s="28"/>
      <c r="Q545" s="28"/>
    </row>
    <row r="546" spans="1:17" ht="16.5" customHeight="1" x14ac:dyDescent="0.3">
      <c r="A546" s="3" t="str">
        <f>IF(A552="Print","Print","Do Not Print")</f>
        <v>Do Not Print</v>
      </c>
      <c r="D546" s="474" t="s">
        <v>86</v>
      </c>
      <c r="E546" s="479"/>
      <c r="F546" s="479"/>
      <c r="G546" s="479"/>
      <c r="H546" s="479"/>
      <c r="I546" s="486" t="str">
        <f>I356</f>
        <v>2025/26</v>
      </c>
      <c r="J546" s="486" t="str">
        <f>J356</f>
        <v>2024/25</v>
      </c>
      <c r="K546" s="3"/>
      <c r="M546" s="28"/>
      <c r="N546" s="28"/>
      <c r="O546" s="28"/>
      <c r="P546" s="28"/>
      <c r="Q546" s="28"/>
    </row>
    <row r="547" spans="1:17" x14ac:dyDescent="0.3">
      <c r="A547" s="3" t="str">
        <f>IF(A552="Print","Print","Do Not Print")</f>
        <v>Do Not Print</v>
      </c>
      <c r="D547" s="471"/>
      <c r="E547" s="471"/>
      <c r="F547" s="471"/>
      <c r="G547" s="471"/>
      <c r="H547" s="471"/>
      <c r="I547" s="483" t="s">
        <v>450</v>
      </c>
      <c r="J547" s="483" t="s">
        <v>450</v>
      </c>
      <c r="K547" s="3"/>
      <c r="M547" s="28"/>
      <c r="N547" s="28"/>
      <c r="O547" s="28"/>
      <c r="P547" s="28"/>
      <c r="Q547" s="28"/>
    </row>
    <row r="548" spans="1:17" ht="16.5" customHeight="1" x14ac:dyDescent="0.3">
      <c r="A548" s="23" t="str">
        <f>IF(AND(I548=0,J548=0),"Do Not Print","Print")</f>
        <v>Do Not Print</v>
      </c>
      <c r="D548" s="1787" t="s">
        <v>1112</v>
      </c>
      <c r="E548" s="1788"/>
      <c r="F548" s="1788"/>
      <c r="G548" s="1788"/>
      <c r="H548" s="1789"/>
      <c r="I548" s="524">
        <f>E543</f>
        <v>0</v>
      </c>
      <c r="J548" s="524">
        <f>F543</f>
        <v>0</v>
      </c>
      <c r="K548" s="3"/>
      <c r="M548" s="28"/>
      <c r="N548" s="28"/>
      <c r="O548" s="28"/>
      <c r="P548" s="28"/>
      <c r="Q548" s="28"/>
    </row>
    <row r="549" spans="1:17" ht="15.75" customHeight="1" x14ac:dyDescent="0.3">
      <c r="A549" s="23" t="str">
        <f>IF(AND(I549=0,J549=0),"Do Not Print","Print")</f>
        <v>Do Not Print</v>
      </c>
      <c r="D549" s="1787" t="s">
        <v>665</v>
      </c>
      <c r="E549" s="1788"/>
      <c r="F549" s="1788"/>
      <c r="G549" s="1788"/>
      <c r="H549" s="1789"/>
      <c r="I549" s="524">
        <f>E501</f>
        <v>0</v>
      </c>
      <c r="J549" s="524">
        <f>F501</f>
        <v>0</v>
      </c>
      <c r="K549" s="3"/>
      <c r="M549" s="28"/>
      <c r="N549" s="28"/>
      <c r="O549" s="28"/>
      <c r="P549" s="28"/>
      <c r="Q549" s="28"/>
    </row>
    <row r="550" spans="1:17" ht="17.25" customHeight="1" x14ac:dyDescent="0.3">
      <c r="A550" s="23" t="str">
        <f>IF(AND(I550=0,J550=0),"Do Not Print","Print")</f>
        <v>Do Not Print</v>
      </c>
      <c r="D550" s="1787" t="s">
        <v>1111</v>
      </c>
      <c r="E550" s="1788"/>
      <c r="F550" s="1788"/>
      <c r="G550" s="1788"/>
      <c r="H550" s="1789"/>
      <c r="I550" s="524">
        <f>E532+E523</f>
        <v>0</v>
      </c>
      <c r="J550" s="524">
        <f>F532+F523</f>
        <v>0</v>
      </c>
      <c r="K550" s="3"/>
      <c r="M550" s="117" t="str">
        <f>I356</f>
        <v>2025/26</v>
      </c>
      <c r="N550" s="117" t="str">
        <f>J356</f>
        <v>2024/25</v>
      </c>
      <c r="O550" s="28"/>
      <c r="P550" s="28"/>
      <c r="Q550" s="28"/>
    </row>
    <row r="551" spans="1:17" x14ac:dyDescent="0.3">
      <c r="A551" s="3" t="str">
        <f>IF(A552="Print","Print","Do Not Print")</f>
        <v>Do Not Print</v>
      </c>
      <c r="I551" s="525"/>
      <c r="J551" s="525"/>
      <c r="M551" s="30" t="s">
        <v>450</v>
      </c>
      <c r="N551" s="30" t="s">
        <v>450</v>
      </c>
      <c r="O551" s="28"/>
      <c r="P551" s="28"/>
      <c r="Q551" s="28"/>
    </row>
    <row r="552" spans="1:17" ht="14.4" x14ac:dyDescent="0.3">
      <c r="A552" s="23" t="str">
        <f>IF(AND(I552=0,J552=0),"Do Not Print","Print")</f>
        <v>Do Not Print</v>
      </c>
      <c r="D552" s="479"/>
      <c r="E552" s="479"/>
      <c r="F552" s="479"/>
      <c r="G552" s="479"/>
      <c r="H552" s="479"/>
      <c r="I552" s="511">
        <f>SUM(I548:I550)</f>
        <v>0</v>
      </c>
      <c r="J552" s="511">
        <f>SUM(J548:J550)</f>
        <v>0</v>
      </c>
      <c r="K552" s="104"/>
      <c r="L552" s="104"/>
      <c r="M552" s="205">
        <f>E501+E523+E532+E543-I552</f>
        <v>0</v>
      </c>
      <c r="N552" s="205">
        <f>F501+F523+F532+F543-J552</f>
        <v>0</v>
      </c>
      <c r="O552" s="28"/>
      <c r="P552" s="28"/>
      <c r="Q552" s="28"/>
    </row>
    <row r="553" spans="1:17" x14ac:dyDescent="0.3">
      <c r="A553" s="3" t="str">
        <f>IF(A552="Print","Print","Do Not Print")</f>
        <v>Do Not Print</v>
      </c>
      <c r="I553" s="544"/>
      <c r="J553" s="544"/>
      <c r="M553" s="28"/>
      <c r="N553" s="28"/>
      <c r="O553" s="28"/>
      <c r="P553" s="28"/>
      <c r="Q553" s="28"/>
    </row>
    <row r="554" spans="1:17" x14ac:dyDescent="0.3">
      <c r="A554" s="3" t="str">
        <f>IF(A552="Print","Print","Do Not Print")</f>
        <v>Do Not Print</v>
      </c>
      <c r="M554" s="28"/>
      <c r="N554" s="28"/>
      <c r="O554" s="28"/>
      <c r="P554" s="28"/>
      <c r="Q554" s="28"/>
    </row>
    <row r="636" spans="4:11" x14ac:dyDescent="0.3">
      <c r="D636" s="875"/>
    </row>
    <row r="637" spans="4:11" x14ac:dyDescent="0.3">
      <c r="D637" s="875"/>
    </row>
    <row r="638" spans="4:11" x14ac:dyDescent="0.3">
      <c r="D638" s="875"/>
    </row>
    <row r="639" spans="4:11" x14ac:dyDescent="0.3">
      <c r="D639" s="875"/>
    </row>
    <row r="640" spans="4:11" x14ac:dyDescent="0.3">
      <c r="D640" s="1500"/>
      <c r="E640" s="1500"/>
      <c r="F640" s="1500"/>
      <c r="G640" s="1500"/>
      <c r="H640" s="1500"/>
      <c r="I640" s="1500"/>
      <c r="J640" s="1500"/>
      <c r="K640" s="1500"/>
    </row>
    <row r="890" spans="11:11" x14ac:dyDescent="0.3">
      <c r="K890" s="23">
        <f>J870</f>
        <v>0</v>
      </c>
    </row>
    <row r="985" spans="9:11" x14ac:dyDescent="0.3">
      <c r="I985" s="900"/>
      <c r="J985" s="900"/>
      <c r="K985" s="904"/>
    </row>
  </sheetData>
  <autoFilter ref="A3:U556" xr:uid="{00000000-0009-0000-0000-00001A000000}"/>
  <mergeCells count="456">
    <mergeCell ref="D78:E78"/>
    <mergeCell ref="D79:E79"/>
    <mergeCell ref="G76:H76"/>
    <mergeCell ref="G77:H77"/>
    <mergeCell ref="G78:H78"/>
    <mergeCell ref="G79:H79"/>
    <mergeCell ref="I76:J76"/>
    <mergeCell ref="I77:J77"/>
    <mergeCell ref="I78:J78"/>
    <mergeCell ref="I79:J79"/>
    <mergeCell ref="D68:E68"/>
    <mergeCell ref="D70:E70"/>
    <mergeCell ref="D71:E71"/>
    <mergeCell ref="G74:H74"/>
    <mergeCell ref="I74:J74"/>
    <mergeCell ref="G75:H75"/>
    <mergeCell ref="I75:J75"/>
    <mergeCell ref="D76:E76"/>
    <mergeCell ref="D77:E77"/>
    <mergeCell ref="D72:K72"/>
    <mergeCell ref="G61:H61"/>
    <mergeCell ref="I61:J61"/>
    <mergeCell ref="D64:E64"/>
    <mergeCell ref="D66:E66"/>
    <mergeCell ref="D67:E67"/>
    <mergeCell ref="D57:E57"/>
    <mergeCell ref="G53:H53"/>
    <mergeCell ref="G54:H54"/>
    <mergeCell ref="G55:H55"/>
    <mergeCell ref="G57:H57"/>
    <mergeCell ref="I53:J53"/>
    <mergeCell ref="I54:J54"/>
    <mergeCell ref="I55:J55"/>
    <mergeCell ref="I57:J57"/>
    <mergeCell ref="G56:H56"/>
    <mergeCell ref="I56:J56"/>
    <mergeCell ref="D47:K47"/>
    <mergeCell ref="G51:H51"/>
    <mergeCell ref="I51:J51"/>
    <mergeCell ref="G52:H52"/>
    <mergeCell ref="I52:J52"/>
    <mergeCell ref="D53:E53"/>
    <mergeCell ref="D54:E54"/>
    <mergeCell ref="D55:E55"/>
    <mergeCell ref="D56:E56"/>
    <mergeCell ref="G21:H21"/>
    <mergeCell ref="I21:J21"/>
    <mergeCell ref="D27:E27"/>
    <mergeCell ref="D28:E28"/>
    <mergeCell ref="D29:E29"/>
    <mergeCell ref="D30:E30"/>
    <mergeCell ref="D14:E14"/>
    <mergeCell ref="D15:E15"/>
    <mergeCell ref="D16:E16"/>
    <mergeCell ref="D17:E17"/>
    <mergeCell ref="D18:E18"/>
    <mergeCell ref="D19:E19"/>
    <mergeCell ref="D20:E20"/>
    <mergeCell ref="D22:E22"/>
    <mergeCell ref="D21:E21"/>
    <mergeCell ref="D349:H349"/>
    <mergeCell ref="D350:H350"/>
    <mergeCell ref="D351:J351"/>
    <mergeCell ref="D358:H358"/>
    <mergeCell ref="I20:J20"/>
    <mergeCell ref="I22:J22"/>
    <mergeCell ref="G12:H12"/>
    <mergeCell ref="I12:J12"/>
    <mergeCell ref="G13:H13"/>
    <mergeCell ref="I13:J13"/>
    <mergeCell ref="G14:H14"/>
    <mergeCell ref="G15:H15"/>
    <mergeCell ref="G16:H16"/>
    <mergeCell ref="G17:H17"/>
    <mergeCell ref="G18:H18"/>
    <mergeCell ref="G19:H19"/>
    <mergeCell ref="G20:H20"/>
    <mergeCell ref="G22:H22"/>
    <mergeCell ref="I14:J14"/>
    <mergeCell ref="I15:J15"/>
    <mergeCell ref="I16:J16"/>
    <mergeCell ref="I17:J17"/>
    <mergeCell ref="I18:J18"/>
    <mergeCell ref="I19:J19"/>
    <mergeCell ref="D640:K640"/>
    <mergeCell ref="D177:H177"/>
    <mergeCell ref="D178:H178"/>
    <mergeCell ref="D179:H179"/>
    <mergeCell ref="E479:G479"/>
    <mergeCell ref="H479:J479"/>
    <mergeCell ref="D218:K218"/>
    <mergeCell ref="D221:K221"/>
    <mergeCell ref="D318:H318"/>
    <mergeCell ref="D306:H306"/>
    <mergeCell ref="D307:H307"/>
    <mergeCell ref="D308:H308"/>
    <mergeCell ref="D309:H309"/>
    <mergeCell ref="D310:H310"/>
    <mergeCell ref="D311:H311"/>
    <mergeCell ref="D312:H312"/>
    <mergeCell ref="D313:H313"/>
    <mergeCell ref="D314:H314"/>
    <mergeCell ref="D359:H359"/>
    <mergeCell ref="D360:H360"/>
    <mergeCell ref="D361:H361"/>
    <mergeCell ref="D362:H362"/>
    <mergeCell ref="D353:J353"/>
    <mergeCell ref="D347:H347"/>
    <mergeCell ref="D159:K159"/>
    <mergeCell ref="D160:K160"/>
    <mergeCell ref="D161:K161"/>
    <mergeCell ref="D165:K165"/>
    <mergeCell ref="D168:J168"/>
    <mergeCell ref="D166:J166"/>
    <mergeCell ref="D167:J167"/>
    <mergeCell ref="D180:H180"/>
    <mergeCell ref="D212:F212"/>
    <mergeCell ref="D206:K206"/>
    <mergeCell ref="D207:K207"/>
    <mergeCell ref="D208:K208"/>
    <mergeCell ref="D211:F211"/>
    <mergeCell ref="G209:H209"/>
    <mergeCell ref="I209:J209"/>
    <mergeCell ref="D193:J193"/>
    <mergeCell ref="D194:J194"/>
    <mergeCell ref="D195:J195"/>
    <mergeCell ref="D196:J196"/>
    <mergeCell ref="D199:J199"/>
    <mergeCell ref="D198:J198"/>
    <mergeCell ref="D200:K200"/>
    <mergeCell ref="D201:K201"/>
    <mergeCell ref="D204:K204"/>
    <mergeCell ref="D176:H176"/>
    <mergeCell ref="D169:J169"/>
    <mergeCell ref="D171:J171"/>
    <mergeCell ref="D181:J181"/>
    <mergeCell ref="D192:J192"/>
    <mergeCell ref="D175:H175"/>
    <mergeCell ref="D197:J197"/>
    <mergeCell ref="D170:J170"/>
    <mergeCell ref="D174:J174"/>
    <mergeCell ref="D182:J182"/>
    <mergeCell ref="D183:J183"/>
    <mergeCell ref="I184:J184"/>
    <mergeCell ref="G184:H184"/>
    <mergeCell ref="D184:F184"/>
    <mergeCell ref="D185:F185"/>
    <mergeCell ref="D186:F186"/>
    <mergeCell ref="D187:F187"/>
    <mergeCell ref="I175:J175"/>
    <mergeCell ref="D188:F188"/>
    <mergeCell ref="D189:F189"/>
    <mergeCell ref="D191:F191"/>
    <mergeCell ref="D155:H155"/>
    <mergeCell ref="D140:J140"/>
    <mergeCell ref="D154:H154"/>
    <mergeCell ref="D144:K144"/>
    <mergeCell ref="D145:K145"/>
    <mergeCell ref="D146:K146"/>
    <mergeCell ref="D147:K147"/>
    <mergeCell ref="D149:K149"/>
    <mergeCell ref="D150:K150"/>
    <mergeCell ref="D151:K151"/>
    <mergeCell ref="D142:K142"/>
    <mergeCell ref="D143:K143"/>
    <mergeCell ref="D120:E120"/>
    <mergeCell ref="D121:E121"/>
    <mergeCell ref="D122:E122"/>
    <mergeCell ref="D123:E123"/>
    <mergeCell ref="D124:E124"/>
    <mergeCell ref="D125:E125"/>
    <mergeCell ref="D131:E131"/>
    <mergeCell ref="D134:E134"/>
    <mergeCell ref="D135:E135"/>
    <mergeCell ref="D133:E133"/>
    <mergeCell ref="N97:O97"/>
    <mergeCell ref="N102:O102"/>
    <mergeCell ref="D94:E94"/>
    <mergeCell ref="D95:E95"/>
    <mergeCell ref="D99:E99"/>
    <mergeCell ref="D100:E100"/>
    <mergeCell ref="D101:E101"/>
    <mergeCell ref="D112:E112"/>
    <mergeCell ref="D104:E104"/>
    <mergeCell ref="D105:E105"/>
    <mergeCell ref="D106:E106"/>
    <mergeCell ref="D107:E107"/>
    <mergeCell ref="D108:E108"/>
    <mergeCell ref="D109:E109"/>
    <mergeCell ref="D98:E98"/>
    <mergeCell ref="D103:E103"/>
    <mergeCell ref="D97:E97"/>
    <mergeCell ref="D110:E110"/>
    <mergeCell ref="D102:E102"/>
    <mergeCell ref="D96:E96"/>
    <mergeCell ref="D111:E111"/>
    <mergeCell ref="Q259:R259"/>
    <mergeCell ref="S259:T259"/>
    <mergeCell ref="I273:J273"/>
    <mergeCell ref="G273:H273"/>
    <mergeCell ref="D232:K232"/>
    <mergeCell ref="D233:K233"/>
    <mergeCell ref="D257:K257"/>
    <mergeCell ref="D258:K258"/>
    <mergeCell ref="D259:K259"/>
    <mergeCell ref="D260:K260"/>
    <mergeCell ref="D261:K261"/>
    <mergeCell ref="G236:H236"/>
    <mergeCell ref="G237:H237"/>
    <mergeCell ref="G238:H238"/>
    <mergeCell ref="G239:H239"/>
    <mergeCell ref="G240:H240"/>
    <mergeCell ref="I236:J236"/>
    <mergeCell ref="I237:J237"/>
    <mergeCell ref="D246:F246"/>
    <mergeCell ref="D247:F247"/>
    <mergeCell ref="D251:K251"/>
    <mergeCell ref="D252:K252"/>
    <mergeCell ref="D253:K253"/>
    <mergeCell ref="I238:J238"/>
    <mergeCell ref="D373:K373"/>
    <mergeCell ref="D374:K374"/>
    <mergeCell ref="D375:K375"/>
    <mergeCell ref="D376:K376"/>
    <mergeCell ref="D377:K377"/>
    <mergeCell ref="D378:K378"/>
    <mergeCell ref="D277:F277"/>
    <mergeCell ref="D301:H301"/>
    <mergeCell ref="D302:H302"/>
    <mergeCell ref="D338:J338"/>
    <mergeCell ref="D336:H336"/>
    <mergeCell ref="D337:H337"/>
    <mergeCell ref="D344:H344"/>
    <mergeCell ref="D345:H345"/>
    <mergeCell ref="D341:J341"/>
    <mergeCell ref="D319:H319"/>
    <mergeCell ref="D320:H320"/>
    <mergeCell ref="D321:H321"/>
    <mergeCell ref="D322:H322"/>
    <mergeCell ref="D323:H323"/>
    <mergeCell ref="D324:H324"/>
    <mergeCell ref="D325:H325"/>
    <mergeCell ref="D326:H326"/>
    <mergeCell ref="D348:H348"/>
    <mergeCell ref="D549:H549"/>
    <mergeCell ref="D550:H550"/>
    <mergeCell ref="D548:H548"/>
    <mergeCell ref="D411:H411"/>
    <mergeCell ref="D412:H412"/>
    <mergeCell ref="D413:J413"/>
    <mergeCell ref="D488:J488"/>
    <mergeCell ref="D379:K379"/>
    <mergeCell ref="D384:K384"/>
    <mergeCell ref="D511:K511"/>
    <mergeCell ref="D512:K512"/>
    <mergeCell ref="D513:K513"/>
    <mergeCell ref="D380:K380"/>
    <mergeCell ref="D382:K382"/>
    <mergeCell ref="D381:K381"/>
    <mergeCell ref="D383:K383"/>
    <mergeCell ref="D385:K385"/>
    <mergeCell ref="D386:K386"/>
    <mergeCell ref="D387:K387"/>
    <mergeCell ref="D388:K388"/>
    <mergeCell ref="D400:K400"/>
    <mergeCell ref="D454:K454"/>
    <mergeCell ref="D463:K463"/>
    <mergeCell ref="D371:J371"/>
    <mergeCell ref="D355:J355"/>
    <mergeCell ref="D366:H366"/>
    <mergeCell ref="D367:H367"/>
    <mergeCell ref="D368:H368"/>
    <mergeCell ref="D369:J369"/>
    <mergeCell ref="D279:K279"/>
    <mergeCell ref="D280:K280"/>
    <mergeCell ref="D236:F236"/>
    <mergeCell ref="D237:F237"/>
    <mergeCell ref="D248:F248"/>
    <mergeCell ref="D240:F240"/>
    <mergeCell ref="D363:H363"/>
    <mergeCell ref="D364:H364"/>
    <mergeCell ref="D365:H365"/>
    <mergeCell ref="D328:H328"/>
    <mergeCell ref="D329:H329"/>
    <mergeCell ref="D333:J333"/>
    <mergeCell ref="D340:J340"/>
    <mergeCell ref="D332:J332"/>
    <mergeCell ref="D346:H346"/>
    <mergeCell ref="D238:F238"/>
    <mergeCell ref="D239:F239"/>
    <mergeCell ref="D242:K242"/>
    <mergeCell ref="D157:J157"/>
    <mergeCell ref="D156:H156"/>
    <mergeCell ref="D330:J330"/>
    <mergeCell ref="D284:H284"/>
    <mergeCell ref="D285:H285"/>
    <mergeCell ref="D286:H286"/>
    <mergeCell ref="D287:J287"/>
    <mergeCell ref="D289:J289"/>
    <mergeCell ref="D295:K295"/>
    <mergeCell ref="D290:K290"/>
    <mergeCell ref="D291:K291"/>
    <mergeCell ref="D292:K292"/>
    <mergeCell ref="D293:K293"/>
    <mergeCell ref="D294:K294"/>
    <mergeCell ref="D296:J296"/>
    <mergeCell ref="D303:H303"/>
    <mergeCell ref="D304:H304"/>
    <mergeCell ref="D305:H305"/>
    <mergeCell ref="D299:H299"/>
    <mergeCell ref="D300:H300"/>
    <mergeCell ref="D315:H315"/>
    <mergeCell ref="D316:H316"/>
    <mergeCell ref="D317:H317"/>
    <mergeCell ref="D327:H327"/>
    <mergeCell ref="D31:E31"/>
    <mergeCell ref="G31:H31"/>
    <mergeCell ref="I31:J31"/>
    <mergeCell ref="G23:H23"/>
    <mergeCell ref="I23:J23"/>
    <mergeCell ref="G24:H24"/>
    <mergeCell ref="I24:J24"/>
    <mergeCell ref="G25:H25"/>
    <mergeCell ref="G26:H26"/>
    <mergeCell ref="G27:H27"/>
    <mergeCell ref="G28:H28"/>
    <mergeCell ref="G29:H29"/>
    <mergeCell ref="G30:H30"/>
    <mergeCell ref="I25:J25"/>
    <mergeCell ref="I26:J26"/>
    <mergeCell ref="I27:J27"/>
    <mergeCell ref="I28:J28"/>
    <mergeCell ref="I29:J29"/>
    <mergeCell ref="I30:J30"/>
    <mergeCell ref="D25:E25"/>
    <mergeCell ref="D26:E26"/>
    <mergeCell ref="D45:E45"/>
    <mergeCell ref="G42:H42"/>
    <mergeCell ref="G43:H43"/>
    <mergeCell ref="G44:H44"/>
    <mergeCell ref="I42:J42"/>
    <mergeCell ref="I43:J43"/>
    <mergeCell ref="I44:J44"/>
    <mergeCell ref="G45:H45"/>
    <mergeCell ref="I45:J45"/>
    <mergeCell ref="D33:E33"/>
    <mergeCell ref="G33:H33"/>
    <mergeCell ref="I33:J33"/>
    <mergeCell ref="G40:H40"/>
    <mergeCell ref="I40:J40"/>
    <mergeCell ref="G41:H41"/>
    <mergeCell ref="I41:J41"/>
    <mergeCell ref="D42:E42"/>
    <mergeCell ref="D43:E43"/>
    <mergeCell ref="D81:K81"/>
    <mergeCell ref="D82:K82"/>
    <mergeCell ref="D83:K83"/>
    <mergeCell ref="D84:K84"/>
    <mergeCell ref="D85:K85"/>
    <mergeCell ref="D86:K86"/>
    <mergeCell ref="D88:K88"/>
    <mergeCell ref="D89:K89"/>
    <mergeCell ref="D141:K141"/>
    <mergeCell ref="D127:E127"/>
    <mergeCell ref="D128:E128"/>
    <mergeCell ref="D129:E129"/>
    <mergeCell ref="D130:E130"/>
    <mergeCell ref="I90:J90"/>
    <mergeCell ref="D93:E93"/>
    <mergeCell ref="D116:E116"/>
    <mergeCell ref="D114:E114"/>
    <mergeCell ref="D136:J136"/>
    <mergeCell ref="D92:J92"/>
    <mergeCell ref="D126:E126"/>
    <mergeCell ref="G90:H90"/>
    <mergeCell ref="D118:E118"/>
    <mergeCell ref="D119:E119"/>
    <mergeCell ref="D132:E132"/>
    <mergeCell ref="G210:H210"/>
    <mergeCell ref="G211:H211"/>
    <mergeCell ref="G212:H212"/>
    <mergeCell ref="G213:H213"/>
    <mergeCell ref="I211:J211"/>
    <mergeCell ref="I212:J212"/>
    <mergeCell ref="I213:J213"/>
    <mergeCell ref="D205:K205"/>
    <mergeCell ref="G230:H230"/>
    <mergeCell ref="I230:J230"/>
    <mergeCell ref="I210:J210"/>
    <mergeCell ref="I227:J227"/>
    <mergeCell ref="D215:K215"/>
    <mergeCell ref="D216:K216"/>
    <mergeCell ref="D217:K217"/>
    <mergeCell ref="D213:F213"/>
    <mergeCell ref="G265:H265"/>
    <mergeCell ref="I265:J265"/>
    <mergeCell ref="G234:H234"/>
    <mergeCell ref="I234:J234"/>
    <mergeCell ref="G235:H235"/>
    <mergeCell ref="I235:J235"/>
    <mergeCell ref="G214:H214"/>
    <mergeCell ref="I214:J214"/>
    <mergeCell ref="G226:H226"/>
    <mergeCell ref="I226:J226"/>
    <mergeCell ref="G227:H227"/>
    <mergeCell ref="D231:K231"/>
    <mergeCell ref="D228:F228"/>
    <mergeCell ref="G228:H228"/>
    <mergeCell ref="I228:J228"/>
    <mergeCell ref="D229:F229"/>
    <mergeCell ref="G229:H229"/>
    <mergeCell ref="I229:J229"/>
    <mergeCell ref="D222:K222"/>
    <mergeCell ref="D223:K223"/>
    <mergeCell ref="D224:K224"/>
    <mergeCell ref="D225:K225"/>
    <mergeCell ref="D266:F266"/>
    <mergeCell ref="G266:H266"/>
    <mergeCell ref="I266:J266"/>
    <mergeCell ref="G267:H267"/>
    <mergeCell ref="I267:J267"/>
    <mergeCell ref="I239:J239"/>
    <mergeCell ref="I240:J240"/>
    <mergeCell ref="D254:K254"/>
    <mergeCell ref="D255:K255"/>
    <mergeCell ref="G262:H262"/>
    <mergeCell ref="I262:J262"/>
    <mergeCell ref="G263:H263"/>
    <mergeCell ref="I263:J263"/>
    <mergeCell ref="D264:F264"/>
    <mergeCell ref="G264:H264"/>
    <mergeCell ref="I264:J264"/>
    <mergeCell ref="D243:K243"/>
    <mergeCell ref="D241:J241"/>
    <mergeCell ref="D249:F249"/>
    <mergeCell ref="D245:F245"/>
    <mergeCell ref="D244:F244"/>
    <mergeCell ref="G244:H244"/>
    <mergeCell ref="I244:J244"/>
    <mergeCell ref="D265:F265"/>
    <mergeCell ref="G277:H277"/>
    <mergeCell ref="G278:H278"/>
    <mergeCell ref="I275:J275"/>
    <mergeCell ref="I276:J276"/>
    <mergeCell ref="I277:J277"/>
    <mergeCell ref="I278:J278"/>
    <mergeCell ref="D268:K268"/>
    <mergeCell ref="D269:K269"/>
    <mergeCell ref="D270:K270"/>
    <mergeCell ref="D271:K271"/>
    <mergeCell ref="D272:K272"/>
    <mergeCell ref="D278:F278"/>
    <mergeCell ref="D275:F275"/>
    <mergeCell ref="D276:F276"/>
    <mergeCell ref="G275:H275"/>
    <mergeCell ref="G276:H276"/>
  </mergeCells>
  <phoneticPr fontId="9" type="noConversion"/>
  <pageMargins left="0.70866141732283472" right="0.70866141732283472" top="0.74803149606299213" bottom="0.74803149606299213" header="0.31496062992125984" footer="0.31496062992125984"/>
  <pageSetup paperSize="9" scale="65" fitToHeight="0" orientation="portrait" r:id="rId1"/>
  <headerFooter>
    <oddFooter>&amp;R&amp;P</oddFooter>
  </headerFooter>
  <rowBreaks count="3" manualBreakCount="3">
    <brk id="115" min="1" max="10" man="1"/>
    <brk id="371" min="1" max="10" man="1"/>
    <brk id="445" min="1" max="10" man="1"/>
  </rowBreaks>
  <ignoredErrors>
    <ignoredError sqref="I99 A125 A168:A169 A514:A554 A301:A302 A332:A346 A434:A468 A510 A495:A497 A499:A501 A387:A432 A349:A385 A192 A231:A233 A241 A281 A215:A218 A279:A280 A283:A297 A258:A261 A235 A222:A225 A205:A209 A194:A201 A469:A492" formula="1"/>
    <ignoredError sqref="I359:J361 I364:J366"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R954"/>
  <sheetViews>
    <sheetView view="pageBreakPreview" topLeftCell="B65" zoomScaleNormal="110" zoomScaleSheetLayoutView="100" workbookViewId="0">
      <selection activeCell="D9" sqref="D9"/>
    </sheetView>
  </sheetViews>
  <sheetFormatPr defaultRowHeight="13.8" x14ac:dyDescent="0.3"/>
  <cols>
    <col min="1" max="1" width="14.88671875" customWidth="1"/>
    <col min="2" max="2" width="3.88671875" style="401" customWidth="1"/>
    <col min="3" max="3" width="2.6640625" style="401" customWidth="1"/>
    <col min="4" max="4" width="25.88671875" style="401" customWidth="1"/>
    <col min="5" max="5" width="12.44140625" style="401" customWidth="1"/>
    <col min="6" max="6" width="14.6640625" style="401" customWidth="1"/>
    <col min="7" max="7" width="12.5546875" style="401" customWidth="1"/>
    <col min="8" max="8" width="11.33203125" style="401" customWidth="1"/>
    <col min="9" max="9" width="11.88671875" style="401" customWidth="1"/>
    <col min="10" max="10" width="14.6640625" style="401" customWidth="1"/>
    <col min="11" max="11" width="12.109375" style="401" customWidth="1"/>
    <col min="12" max="12" width="13.5546875" style="401" bestFit="1" customWidth="1"/>
    <col min="13" max="13" width="12.88671875" style="405" customWidth="1"/>
    <col min="14" max="14" width="10.5546875" style="401" bestFit="1" customWidth="1"/>
    <col min="15" max="15" width="9.33203125" style="401" customWidth="1"/>
    <col min="16" max="16" width="12.6640625" style="405" customWidth="1"/>
    <col min="17" max="18" width="10" bestFit="1" customWidth="1"/>
  </cols>
  <sheetData>
    <row r="1" spans="1:17" x14ac:dyDescent="0.3">
      <c r="A1" t="s">
        <v>448</v>
      </c>
      <c r="D1" s="545" t="s">
        <v>448</v>
      </c>
      <c r="E1" s="545" t="str">
        <f t="shared" ref="E1:K1" si="0">IF(E21+E55+E58+E71=0,"Do Not Print","Print")</f>
        <v>Do Not Print</v>
      </c>
      <c r="F1" s="545" t="str">
        <f t="shared" si="0"/>
        <v>Do Not Print</v>
      </c>
      <c r="G1" s="545" t="str">
        <f t="shared" si="0"/>
        <v>Do Not Print</v>
      </c>
      <c r="H1" s="545" t="str">
        <f t="shared" si="0"/>
        <v>Do Not Print</v>
      </c>
      <c r="I1" s="545" t="str">
        <f t="shared" si="0"/>
        <v>Do Not Print</v>
      </c>
      <c r="J1" s="545" t="str">
        <f t="shared" si="0"/>
        <v>Do Not Print</v>
      </c>
      <c r="K1" s="545" t="str">
        <f t="shared" si="0"/>
        <v>Do Not Print</v>
      </c>
      <c r="L1" s="545" t="s">
        <v>448</v>
      </c>
      <c r="M1" s="546" t="str">
        <f>IF(M21+M55+M58+M71=0,"Do Not Print","Print")</f>
        <v>Do Not Print</v>
      </c>
      <c r="N1" s="545" t="str">
        <f>IF(N21+N55+N58+N71=0,"Do Not Print","Print")</f>
        <v>Do Not Print</v>
      </c>
      <c r="O1" s="545" t="str">
        <f>IF(O21+O55+O58+O71=0,"Do Not Print","Print")</f>
        <v>Do Not Print</v>
      </c>
      <c r="P1" s="546" t="str">
        <f>IF(P21+P55+P58+P71=0,"Do Not Print","Print")</f>
        <v>Do Not Print</v>
      </c>
    </row>
    <row r="2" spans="1:17" x14ac:dyDescent="0.3">
      <c r="A2" s="10" t="s">
        <v>448</v>
      </c>
      <c r="B2" s="545"/>
      <c r="C2" s="545"/>
    </row>
    <row r="3" spans="1:17" x14ac:dyDescent="0.3">
      <c r="A3" s="10" t="s">
        <v>448</v>
      </c>
      <c r="B3" s="545"/>
      <c r="C3" s="545"/>
      <c r="D3" s="467" t="str">
        <f>'Standing Data'!$D$4</f>
        <v>NAME OF COUNCIL</v>
      </c>
    </row>
    <row r="4" spans="1:17" x14ac:dyDescent="0.3">
      <c r="A4" s="10" t="s">
        <v>448</v>
      </c>
      <c r="B4" s="545"/>
      <c r="C4" s="545"/>
      <c r="D4" s="467" t="str">
        <f>'Standing Data'!$D$28</f>
        <v>Notes to the Financial Statements</v>
      </c>
    </row>
    <row r="5" spans="1:17" x14ac:dyDescent="0.3">
      <c r="A5" s="10" t="s">
        <v>448</v>
      </c>
      <c r="B5" s="545"/>
      <c r="C5" s="545"/>
      <c r="D5" s="467" t="str">
        <f>'Standing Data'!$D$32</f>
        <v>FOR THE YEAR ENDED 31 March 2026</v>
      </c>
    </row>
    <row r="6" spans="1:17" ht="13.5" customHeight="1" x14ac:dyDescent="0.3">
      <c r="A6" s="10" t="s">
        <v>448</v>
      </c>
      <c r="B6" s="585">
        <f>Checklist!E89</f>
        <v>11</v>
      </c>
      <c r="C6" s="585" t="str">
        <f>Checklist!E90</f>
        <v>a</v>
      </c>
      <c r="D6" s="1816" t="s">
        <v>2678</v>
      </c>
      <c r="E6" s="1816"/>
      <c r="F6" s="1816"/>
      <c r="G6" s="1816"/>
      <c r="H6" s="1816"/>
      <c r="I6" s="1816"/>
      <c r="J6" s="1816"/>
      <c r="K6" s="1816"/>
      <c r="L6" s="1816"/>
      <c r="M6" s="1816"/>
      <c r="N6" s="1816"/>
      <c r="O6" s="1816"/>
      <c r="P6" s="1816"/>
    </row>
    <row r="7" spans="1:17" ht="42" customHeight="1" x14ac:dyDescent="0.3">
      <c r="A7" s="10" t="s">
        <v>448</v>
      </c>
      <c r="B7" s="545"/>
      <c r="C7" s="545"/>
      <c r="D7" s="547" t="s">
        <v>96</v>
      </c>
      <c r="E7" s="548" t="s">
        <v>91</v>
      </c>
      <c r="F7" s="548" t="s">
        <v>681</v>
      </c>
      <c r="G7" s="548" t="s">
        <v>901</v>
      </c>
      <c r="H7" s="548" t="s">
        <v>1062</v>
      </c>
      <c r="I7" s="548" t="s">
        <v>97</v>
      </c>
      <c r="J7" s="548" t="s">
        <v>725</v>
      </c>
      <c r="K7" s="548" t="s">
        <v>98</v>
      </c>
      <c r="L7" s="548" t="s">
        <v>92</v>
      </c>
      <c r="M7" s="548" t="s">
        <v>99</v>
      </c>
      <c r="N7" s="548" t="s">
        <v>741</v>
      </c>
      <c r="O7" s="548" t="s">
        <v>903</v>
      </c>
      <c r="P7" s="548" t="s">
        <v>592</v>
      </c>
    </row>
    <row r="8" spans="1:17" ht="12" customHeight="1" x14ac:dyDescent="0.3">
      <c r="A8" s="10" t="s">
        <v>448</v>
      </c>
      <c r="B8" s="545"/>
      <c r="C8" s="545"/>
      <c r="D8" s="549"/>
      <c r="E8" s="550" t="s">
        <v>450</v>
      </c>
      <c r="F8" s="550" t="s">
        <v>450</v>
      </c>
      <c r="G8" s="550" t="s">
        <v>450</v>
      </c>
      <c r="H8" s="550" t="s">
        <v>450</v>
      </c>
      <c r="I8" s="550" t="s">
        <v>450</v>
      </c>
      <c r="J8" s="550" t="s">
        <v>450</v>
      </c>
      <c r="K8" s="550" t="s">
        <v>450</v>
      </c>
      <c r="L8" s="550" t="s">
        <v>450</v>
      </c>
      <c r="M8" s="551" t="s">
        <v>450</v>
      </c>
      <c r="N8" s="550" t="s">
        <v>450</v>
      </c>
      <c r="O8" s="550" t="s">
        <v>450</v>
      </c>
      <c r="P8" s="551" t="s">
        <v>450</v>
      </c>
    </row>
    <row r="9" spans="1:17" ht="14.1" customHeight="1" x14ac:dyDescent="0.3">
      <c r="A9" s="10" t="str">
        <f>IF(AND(E9=0,F9=0,G9=0,H9=0,I9=0,J9=0,K9=0,L9=0,M9=0,N9=0,O9=0,P9=0),"Do Not Print","Print")</f>
        <v>Do Not Print</v>
      </c>
      <c r="B9" s="545"/>
      <c r="C9" s="545"/>
      <c r="D9" s="552" t="str">
        <f>'Standing Data'!D48</f>
        <v>Balance as at 1 April 2025</v>
      </c>
      <c r="E9" s="553">
        <f>'Det BS '!J7</f>
        <v>0</v>
      </c>
      <c r="F9" s="553">
        <f>'Det BS '!J31</f>
        <v>0</v>
      </c>
      <c r="G9" s="553">
        <f>'Det BS '!J55</f>
        <v>0</v>
      </c>
      <c r="H9" s="553">
        <f>'Det BS '!J79</f>
        <v>0</v>
      </c>
      <c r="I9" s="553">
        <f>'Det BS '!J103</f>
        <v>0</v>
      </c>
      <c r="J9" s="553">
        <f>'Det BS '!J127</f>
        <v>0</v>
      </c>
      <c r="K9" s="553">
        <f>'Det BS '!J151</f>
        <v>0</v>
      </c>
      <c r="L9" s="553">
        <f>'Det BS '!J175</f>
        <v>0</v>
      </c>
      <c r="M9" s="554">
        <f>SUM(E9:L9)</f>
        <v>0</v>
      </c>
      <c r="N9" s="553">
        <f>'Det BS '!J199</f>
        <v>0</v>
      </c>
      <c r="O9" s="553">
        <f>'Notes 11c to 24'!K201</f>
        <v>0</v>
      </c>
      <c r="P9" s="554">
        <f>M9+SUM(N9:O9)</f>
        <v>0</v>
      </c>
      <c r="Q9" s="3"/>
    </row>
    <row r="10" spans="1:17" ht="44.25" customHeight="1" x14ac:dyDescent="0.3">
      <c r="A10" s="10" t="str">
        <f t="shared" ref="A10:A21" si="1">IF(AND(E10=0,F10=0,G10=0,H10=0,I10=0,J10=0,K10=0,L10=0,M10=0,N10=0,O10=0,P10=0),"Do Not Print","Print")</f>
        <v>Do Not Print</v>
      </c>
      <c r="B10" s="545"/>
      <c r="C10" s="545"/>
      <c r="D10" s="555" t="s">
        <v>101</v>
      </c>
      <c r="E10" s="553">
        <f>'Det BS '!J$8</f>
        <v>0</v>
      </c>
      <c r="F10" s="553">
        <f>'Det BS '!J$32</f>
        <v>0</v>
      </c>
      <c r="G10" s="553">
        <f>'Det BS '!J$56</f>
        <v>0</v>
      </c>
      <c r="H10" s="553">
        <f>'Det BS '!J$80</f>
        <v>0</v>
      </c>
      <c r="I10" s="553">
        <f>'Det BS '!J$104</f>
        <v>0</v>
      </c>
      <c r="J10" s="553">
        <f>'Det BS '!J$128</f>
        <v>0</v>
      </c>
      <c r="K10" s="553">
        <f>'Det BS '!J$152</f>
        <v>0</v>
      </c>
      <c r="L10" s="553">
        <f>'Det BS '!J$176</f>
        <v>0</v>
      </c>
      <c r="M10" s="554">
        <f>SUM(E10:L10)</f>
        <v>0</v>
      </c>
      <c r="N10" s="553">
        <f>'Det BS '!J$200</f>
        <v>0</v>
      </c>
      <c r="O10" s="553">
        <f>'Notes 11c to 24'!K202</f>
        <v>0</v>
      </c>
      <c r="P10" s="554">
        <f>M10+SUM(N10:O10)</f>
        <v>0</v>
      </c>
      <c r="Q10" s="3"/>
    </row>
    <row r="11" spans="1:17" ht="16.5" customHeight="1" x14ac:dyDescent="0.3">
      <c r="A11" s="10" t="str">
        <f t="shared" si="1"/>
        <v>Do Not Print</v>
      </c>
      <c r="B11" s="545"/>
      <c r="C11" s="545"/>
      <c r="D11" s="556" t="str">
        <f>D9</f>
        <v>Balance as at 1 April 2025</v>
      </c>
      <c r="E11" s="557">
        <f>SUM(E9:E10)</f>
        <v>0</v>
      </c>
      <c r="F11" s="557">
        <f t="shared" ref="F11:P11" si="2">SUM(F9:F10)</f>
        <v>0</v>
      </c>
      <c r="G11" s="557">
        <f t="shared" si="2"/>
        <v>0</v>
      </c>
      <c r="H11" s="557">
        <f t="shared" si="2"/>
        <v>0</v>
      </c>
      <c r="I11" s="557">
        <f t="shared" si="2"/>
        <v>0</v>
      </c>
      <c r="J11" s="557">
        <f t="shared" si="2"/>
        <v>0</v>
      </c>
      <c r="K11" s="557">
        <f t="shared" si="2"/>
        <v>0</v>
      </c>
      <c r="L11" s="557">
        <f t="shared" si="2"/>
        <v>0</v>
      </c>
      <c r="M11" s="557">
        <f t="shared" si="2"/>
        <v>0</v>
      </c>
      <c r="N11" s="557">
        <f t="shared" si="2"/>
        <v>0</v>
      </c>
      <c r="O11" s="557">
        <f t="shared" si="2"/>
        <v>0</v>
      </c>
      <c r="P11" s="557">
        <f t="shared" si="2"/>
        <v>0</v>
      </c>
      <c r="Q11" s="3"/>
    </row>
    <row r="12" spans="1:17" ht="17.25" customHeight="1" x14ac:dyDescent="0.3">
      <c r="A12" s="10" t="str">
        <f t="shared" si="1"/>
        <v>Do Not Print</v>
      </c>
      <c r="B12" s="545"/>
      <c r="C12" s="545"/>
      <c r="D12" s="555" t="s">
        <v>1559</v>
      </c>
      <c r="E12" s="553">
        <f>'Det BS '!J$9</f>
        <v>0</v>
      </c>
      <c r="F12" s="553">
        <f>'Det BS '!J$33</f>
        <v>0</v>
      </c>
      <c r="G12" s="553">
        <f>'Det BS '!J$57</f>
        <v>0</v>
      </c>
      <c r="H12" s="553">
        <f>'Det BS '!J81</f>
        <v>0</v>
      </c>
      <c r="I12" s="553">
        <f>'Det BS '!J$105</f>
        <v>0</v>
      </c>
      <c r="J12" s="553">
        <f>'Det BS '!J$129</f>
        <v>0</v>
      </c>
      <c r="K12" s="553">
        <f>'Det BS '!J$153</f>
        <v>0</v>
      </c>
      <c r="L12" s="553">
        <f>'Det BS '!J$177</f>
        <v>0</v>
      </c>
      <c r="M12" s="554">
        <f>SUM(E12:L12)</f>
        <v>0</v>
      </c>
      <c r="N12" s="553">
        <f>'Det BS '!J$201</f>
        <v>0</v>
      </c>
      <c r="O12" s="553">
        <f>'Notes 11c to 24'!K203</f>
        <v>0</v>
      </c>
      <c r="P12" s="554">
        <f t="shared" ref="P12:P21" si="3">M12+SUM(N12:O12)</f>
        <v>0</v>
      </c>
      <c r="Q12" s="3"/>
    </row>
    <row r="13" spans="1:17" x14ac:dyDescent="0.3">
      <c r="A13" s="10" t="str">
        <f t="shared" si="1"/>
        <v>Do Not Print</v>
      </c>
      <c r="B13" s="545"/>
      <c r="C13" s="545"/>
      <c r="D13" s="555" t="s">
        <v>103</v>
      </c>
      <c r="E13" s="553">
        <f>'Det BS '!J$10</f>
        <v>0</v>
      </c>
      <c r="F13" s="553">
        <f>'Det BS '!J$34</f>
        <v>0</v>
      </c>
      <c r="G13" s="553">
        <f>'Det BS '!J$58</f>
        <v>0</v>
      </c>
      <c r="H13" s="553">
        <f>'Det BS '!J$82</f>
        <v>0</v>
      </c>
      <c r="I13" s="553">
        <f>'Det BS '!J$106</f>
        <v>0</v>
      </c>
      <c r="J13" s="553">
        <f>'Det BS '!J$130</f>
        <v>0</v>
      </c>
      <c r="K13" s="553">
        <f>'Det BS '!J$154</f>
        <v>0</v>
      </c>
      <c r="L13" s="553">
        <f>'Det BS '!J$178</f>
        <v>0</v>
      </c>
      <c r="M13" s="554">
        <f>SUM(E13:L13)</f>
        <v>0</v>
      </c>
      <c r="N13" s="553">
        <f>'Det BS '!J$202</f>
        <v>0</v>
      </c>
      <c r="O13" s="553">
        <f>'Notes 11c to 24'!K204</f>
        <v>0</v>
      </c>
      <c r="P13" s="554">
        <f t="shared" si="3"/>
        <v>0</v>
      </c>
      <c r="Q13" s="3"/>
    </row>
    <row r="14" spans="1:17" ht="45.75" customHeight="1" x14ac:dyDescent="0.3">
      <c r="A14" s="10" t="str">
        <f t="shared" si="1"/>
        <v>Do Not Print</v>
      </c>
      <c r="B14" s="545"/>
      <c r="C14" s="545"/>
      <c r="D14" s="555" t="s">
        <v>2959</v>
      </c>
      <c r="E14" s="553">
        <f>'Det BS '!J11</f>
        <v>0</v>
      </c>
      <c r="F14" s="553">
        <f>'Det BS '!J35</f>
        <v>0</v>
      </c>
      <c r="G14" s="553">
        <f>'Det BS '!J59</f>
        <v>0</v>
      </c>
      <c r="H14" s="553">
        <f>'Det BS '!J83</f>
        <v>0</v>
      </c>
      <c r="I14" s="553">
        <f>'Det BS '!J108</f>
        <v>0</v>
      </c>
      <c r="J14" s="553">
        <f>'Det BS '!J131</f>
        <v>0</v>
      </c>
      <c r="K14" s="553">
        <f>'Det BS '!J155</f>
        <v>0</v>
      </c>
      <c r="L14" s="553">
        <f>'Det BS '!J179</f>
        <v>0</v>
      </c>
      <c r="M14" s="554">
        <f t="shared" ref="M14:M20" si="4">SUM(E14:L14)</f>
        <v>0</v>
      </c>
      <c r="N14" s="553">
        <f>'Det BS '!J203</f>
        <v>0</v>
      </c>
      <c r="O14" s="553">
        <f>'Notes 11c to 24'!K205</f>
        <v>0</v>
      </c>
      <c r="P14" s="554">
        <f t="shared" si="3"/>
        <v>0</v>
      </c>
    </row>
    <row r="15" spans="1:17" ht="57" customHeight="1" x14ac:dyDescent="0.3">
      <c r="A15" s="10" t="str">
        <f t="shared" si="1"/>
        <v>Do Not Print</v>
      </c>
      <c r="B15" s="545"/>
      <c r="C15" s="545"/>
      <c r="D15" s="555" t="s">
        <v>2958</v>
      </c>
      <c r="E15" s="553">
        <f>'Det BS '!J12</f>
        <v>0</v>
      </c>
      <c r="F15" s="553">
        <f>'Det BS '!J36</f>
        <v>0</v>
      </c>
      <c r="G15" s="553">
        <f>'Det BS '!J60</f>
        <v>0</v>
      </c>
      <c r="H15" s="553">
        <f>'Det BS '!J84</f>
        <v>0</v>
      </c>
      <c r="I15" s="553">
        <f>'Det BS '!J109</f>
        <v>0</v>
      </c>
      <c r="J15" s="553">
        <f>'Det BS '!J132</f>
        <v>0</v>
      </c>
      <c r="K15" s="553">
        <f>'Det BS '!J156</f>
        <v>0</v>
      </c>
      <c r="L15" s="553">
        <f>'Det BS '!J180</f>
        <v>0</v>
      </c>
      <c r="M15" s="554">
        <f t="shared" si="4"/>
        <v>0</v>
      </c>
      <c r="N15" s="553">
        <f>'Det BS '!J204</f>
        <v>0</v>
      </c>
      <c r="O15" s="553">
        <f>'Notes 11c to 24'!K206</f>
        <v>0</v>
      </c>
      <c r="P15" s="554">
        <f t="shared" si="3"/>
        <v>0</v>
      </c>
    </row>
    <row r="16" spans="1:17" ht="42.75" customHeight="1" x14ac:dyDescent="0.3">
      <c r="A16" s="10" t="str">
        <f t="shared" si="1"/>
        <v>Do Not Print</v>
      </c>
      <c r="B16" s="545"/>
      <c r="C16" s="545"/>
      <c r="D16" s="555" t="s">
        <v>1089</v>
      </c>
      <c r="E16" s="553">
        <f>'Det BS '!J$13</f>
        <v>0</v>
      </c>
      <c r="F16" s="553">
        <f>'Det BS '!J$37</f>
        <v>0</v>
      </c>
      <c r="G16" s="553">
        <f>'Det BS '!J$61</f>
        <v>0</v>
      </c>
      <c r="H16" s="553">
        <f>'Det BS '!J$85</f>
        <v>0</v>
      </c>
      <c r="I16" s="553">
        <f>'Det BS '!J$110</f>
        <v>0</v>
      </c>
      <c r="J16" s="553">
        <f>'Det BS '!J$133</f>
        <v>0</v>
      </c>
      <c r="K16" s="553">
        <f>'Det BS '!J$157</f>
        <v>0</v>
      </c>
      <c r="L16" s="553">
        <f>'Det BS '!J$181</f>
        <v>0</v>
      </c>
      <c r="M16" s="554">
        <f t="shared" si="4"/>
        <v>0</v>
      </c>
      <c r="N16" s="553">
        <f>'Det BS '!J$205</f>
        <v>0</v>
      </c>
      <c r="O16" s="553">
        <f>'Notes 11c to 24'!K207</f>
        <v>0</v>
      </c>
      <c r="P16" s="554">
        <f t="shared" si="3"/>
        <v>0</v>
      </c>
    </row>
    <row r="17" spans="1:18" ht="16.5" customHeight="1" x14ac:dyDescent="0.3">
      <c r="A17" s="10" t="str">
        <f t="shared" si="1"/>
        <v>Do Not Print</v>
      </c>
      <c r="B17" s="545"/>
      <c r="C17" s="545"/>
      <c r="D17" s="555" t="s">
        <v>105</v>
      </c>
      <c r="E17" s="553">
        <f>'Det BS '!J14</f>
        <v>0</v>
      </c>
      <c r="F17" s="553">
        <f>'Det BS '!J38</f>
        <v>0</v>
      </c>
      <c r="G17" s="553">
        <f>'Det BS '!J62</f>
        <v>0</v>
      </c>
      <c r="H17" s="553">
        <f>'Det BS '!J86</f>
        <v>0</v>
      </c>
      <c r="I17" s="553">
        <f>'Det BS '!J107</f>
        <v>0</v>
      </c>
      <c r="J17" s="553">
        <f>'Det BS '!J134</f>
        <v>0</v>
      </c>
      <c r="K17" s="553">
        <f>'Det BS '!J158</f>
        <v>0</v>
      </c>
      <c r="L17" s="553">
        <f>'Det BS '!J182</f>
        <v>0</v>
      </c>
      <c r="M17" s="554">
        <f t="shared" si="4"/>
        <v>0</v>
      </c>
      <c r="N17" s="553">
        <f>'Det BS '!J206</f>
        <v>0</v>
      </c>
      <c r="O17" s="553">
        <f>'Notes 11c to 24'!K208</f>
        <v>0</v>
      </c>
      <c r="P17" s="554">
        <f t="shared" si="3"/>
        <v>0</v>
      </c>
    </row>
    <row r="18" spans="1:18" ht="13.05" customHeight="1" x14ac:dyDescent="0.3">
      <c r="A18" s="10" t="str">
        <f t="shared" si="1"/>
        <v>Do Not Print</v>
      </c>
      <c r="B18" s="545"/>
      <c r="C18" s="545"/>
      <c r="D18" s="555" t="s">
        <v>106</v>
      </c>
      <c r="E18" s="553">
        <f>'Det BS '!J15</f>
        <v>0</v>
      </c>
      <c r="F18" s="553">
        <f>'Det BS '!J39</f>
        <v>0</v>
      </c>
      <c r="G18" s="553">
        <f>'Det BS '!J63</f>
        <v>0</v>
      </c>
      <c r="H18" s="553">
        <f>'Det BS '!J87</f>
        <v>0</v>
      </c>
      <c r="I18" s="553">
        <f>'Det BS '!J111</f>
        <v>0</v>
      </c>
      <c r="J18" s="553">
        <f>'Det BS '!J135</f>
        <v>0</v>
      </c>
      <c r="K18" s="553">
        <f>'Det BS '!J159</f>
        <v>0</v>
      </c>
      <c r="L18" s="553">
        <f>'Det BS '!J183</f>
        <v>0</v>
      </c>
      <c r="M18" s="554">
        <f t="shared" si="4"/>
        <v>0</v>
      </c>
      <c r="N18" s="553">
        <f>'Det BS '!J207</f>
        <v>0</v>
      </c>
      <c r="O18" s="553">
        <f>'Notes 11c to 24'!K209</f>
        <v>0</v>
      </c>
      <c r="P18" s="554">
        <f t="shared" si="3"/>
        <v>0</v>
      </c>
    </row>
    <row r="19" spans="1:18" ht="18" customHeight="1" x14ac:dyDescent="0.3">
      <c r="A19" s="10" t="str">
        <f t="shared" si="1"/>
        <v>Do Not Print</v>
      </c>
      <c r="B19" s="545"/>
      <c r="C19" s="545"/>
      <c r="D19" s="555" t="s">
        <v>107</v>
      </c>
      <c r="E19" s="553">
        <f>'Det BS '!J16</f>
        <v>0</v>
      </c>
      <c r="F19" s="553">
        <f>'Det BS '!J40</f>
        <v>0</v>
      </c>
      <c r="G19" s="553">
        <f>'Det BS '!J64</f>
        <v>0</v>
      </c>
      <c r="H19" s="553">
        <f>'Det BS '!J88</f>
        <v>0</v>
      </c>
      <c r="I19" s="553">
        <f>'Det BS '!J112</f>
        <v>0</v>
      </c>
      <c r="J19" s="553">
        <f>'Det BS '!J136</f>
        <v>0</v>
      </c>
      <c r="K19" s="553">
        <f>'Det BS '!J160</f>
        <v>0</v>
      </c>
      <c r="L19" s="553">
        <f>'Det BS '!J184</f>
        <v>0</v>
      </c>
      <c r="M19" s="554">
        <f>SUM(E19:L19)</f>
        <v>0</v>
      </c>
      <c r="N19" s="553">
        <f>'Det BS '!J208</f>
        <v>0</v>
      </c>
      <c r="O19" s="553">
        <f>'Notes 11c to 24'!K210</f>
        <v>0</v>
      </c>
      <c r="P19" s="554">
        <f t="shared" si="3"/>
        <v>0</v>
      </c>
    </row>
    <row r="20" spans="1:18" ht="26.4" x14ac:dyDescent="0.3">
      <c r="A20" s="10" t="str">
        <f t="shared" si="1"/>
        <v>Do Not Print</v>
      </c>
      <c r="B20" s="545"/>
      <c r="D20" s="555" t="s">
        <v>2995</v>
      </c>
      <c r="E20" s="553">
        <f>'Det BS '!J17</f>
        <v>0</v>
      </c>
      <c r="F20" s="553">
        <f>'Det BS '!J41</f>
        <v>0</v>
      </c>
      <c r="G20" s="553">
        <f>'Det BS '!J65</f>
        <v>0</v>
      </c>
      <c r="H20" s="553">
        <f>'Det BS '!J89</f>
        <v>0</v>
      </c>
      <c r="I20" s="553">
        <f>'Det BS '!J113</f>
        <v>0</v>
      </c>
      <c r="J20" s="553">
        <f>'Det BS '!J137</f>
        <v>0</v>
      </c>
      <c r="K20" s="553">
        <f>'Det BS '!J161</f>
        <v>0</v>
      </c>
      <c r="L20" s="553">
        <f>'Det BS '!J185</f>
        <v>0</v>
      </c>
      <c r="M20" s="554">
        <f t="shared" si="4"/>
        <v>0</v>
      </c>
      <c r="N20" s="553">
        <f>'Det BS '!J209</f>
        <v>0</v>
      </c>
      <c r="O20" s="553">
        <f>'Notes 11c to 24'!K211</f>
        <v>0</v>
      </c>
      <c r="P20" s="554">
        <f t="shared" si="3"/>
        <v>0</v>
      </c>
    </row>
    <row r="21" spans="1:18" s="6" customFormat="1" ht="15.6" customHeight="1" x14ac:dyDescent="0.3">
      <c r="A21" s="10" t="str">
        <f t="shared" si="1"/>
        <v>Do Not Print</v>
      </c>
      <c r="B21" s="546"/>
      <c r="C21" s="546"/>
      <c r="D21" s="552" t="str">
        <f>'Standing Data'!D46</f>
        <v>Balance as at 31 March 2026</v>
      </c>
      <c r="E21" s="554">
        <f t="shared" ref="E21:O21" si="5">SUM(E11:E20)</f>
        <v>0</v>
      </c>
      <c r="F21" s="554">
        <f t="shared" si="5"/>
        <v>0</v>
      </c>
      <c r="G21" s="554">
        <f t="shared" si="5"/>
        <v>0</v>
      </c>
      <c r="H21" s="554">
        <f t="shared" si="5"/>
        <v>0</v>
      </c>
      <c r="I21" s="554">
        <f>SUM(I11:I20)</f>
        <v>0</v>
      </c>
      <c r="J21" s="554">
        <f t="shared" si="5"/>
        <v>0</v>
      </c>
      <c r="K21" s="554">
        <f t="shared" si="5"/>
        <v>0</v>
      </c>
      <c r="L21" s="554">
        <f t="shared" si="5"/>
        <v>0</v>
      </c>
      <c r="M21" s="554">
        <f t="shared" si="5"/>
        <v>0</v>
      </c>
      <c r="N21" s="554">
        <f t="shared" si="5"/>
        <v>0</v>
      </c>
      <c r="O21" s="554">
        <f t="shared" si="5"/>
        <v>0</v>
      </c>
      <c r="P21" s="554">
        <f t="shared" si="3"/>
        <v>0</v>
      </c>
    </row>
    <row r="22" spans="1:18" ht="35.4" x14ac:dyDescent="0.3">
      <c r="A22" s="10" t="s">
        <v>448</v>
      </c>
      <c r="B22" s="545"/>
      <c r="C22" s="545"/>
      <c r="D22" s="712" t="s">
        <v>108</v>
      </c>
      <c r="E22" s="548" t="s">
        <v>91</v>
      </c>
      <c r="F22" s="548" t="s">
        <v>681</v>
      </c>
      <c r="G22" s="548" t="s">
        <v>901</v>
      </c>
      <c r="H22" s="548" t="s">
        <v>1062</v>
      </c>
      <c r="I22" s="548" t="s">
        <v>97</v>
      </c>
      <c r="J22" s="548" t="s">
        <v>725</v>
      </c>
      <c r="K22" s="548" t="s">
        <v>98</v>
      </c>
      <c r="L22" s="548" t="s">
        <v>92</v>
      </c>
      <c r="M22" s="548" t="s">
        <v>99</v>
      </c>
      <c r="N22" s="548" t="s">
        <v>741</v>
      </c>
      <c r="O22" s="548" t="s">
        <v>903</v>
      </c>
      <c r="P22" s="548" t="s">
        <v>100</v>
      </c>
    </row>
    <row r="23" spans="1:18" ht="15" customHeight="1" x14ac:dyDescent="0.3">
      <c r="A23" s="10" t="s">
        <v>448</v>
      </c>
      <c r="B23" s="545"/>
      <c r="C23" s="545"/>
      <c r="D23" s="559"/>
      <c r="E23" s="550" t="s">
        <v>450</v>
      </c>
      <c r="F23" s="550" t="s">
        <v>450</v>
      </c>
      <c r="G23" s="550" t="s">
        <v>450</v>
      </c>
      <c r="H23" s="550" t="s">
        <v>450</v>
      </c>
      <c r="I23" s="550" t="s">
        <v>450</v>
      </c>
      <c r="J23" s="550" t="s">
        <v>450</v>
      </c>
      <c r="K23" s="550" t="s">
        <v>450</v>
      </c>
      <c r="L23" s="550" t="s">
        <v>450</v>
      </c>
      <c r="M23" s="551" t="s">
        <v>450</v>
      </c>
      <c r="N23" s="550" t="s">
        <v>450</v>
      </c>
      <c r="O23" s="550" t="s">
        <v>450</v>
      </c>
      <c r="P23" s="551" t="s">
        <v>450</v>
      </c>
    </row>
    <row r="24" spans="1:18" ht="18.75" customHeight="1" x14ac:dyDescent="0.3">
      <c r="A24" s="10" t="str">
        <f>IF(AND(E24=0,F24=0,G24=0,H24=0,I24=0,J24=0,K24=0,L24=0,M24=0,N24=0,O24=0,P24=0),"Do Not Print","Print")</f>
        <v>Do Not Print</v>
      </c>
      <c r="B24" s="545"/>
      <c r="C24" s="545"/>
      <c r="D24" s="560" t="str">
        <f>D11</f>
        <v>Balance as at 1 April 2025</v>
      </c>
      <c r="E24" s="553">
        <f>'Det BS '!J$18</f>
        <v>0</v>
      </c>
      <c r="F24" s="553">
        <f>'Det BS '!J$42</f>
        <v>0</v>
      </c>
      <c r="G24" s="553">
        <f>'Det BS '!J$66</f>
        <v>0</v>
      </c>
      <c r="H24" s="553">
        <f>'Det BS '!J$90</f>
        <v>0</v>
      </c>
      <c r="I24" s="553">
        <f>'Det BS '!J$114</f>
        <v>0</v>
      </c>
      <c r="J24" s="553">
        <f>'Det BS '!J$138</f>
        <v>0</v>
      </c>
      <c r="K24" s="553">
        <f>'Det BS '!J$162</f>
        <v>0</v>
      </c>
      <c r="L24" s="553">
        <f>'Det BS '!J$186</f>
        <v>0</v>
      </c>
      <c r="M24" s="554">
        <f>SUM(E24:L24)</f>
        <v>0</v>
      </c>
      <c r="N24" s="553">
        <f>'Det BS '!J$210</f>
        <v>0</v>
      </c>
      <c r="O24" s="553">
        <f>'Notes 11c to 24'!K215</f>
        <v>0</v>
      </c>
      <c r="P24" s="554">
        <f>M24+SUM(N24:O24)</f>
        <v>0</v>
      </c>
    </row>
    <row r="25" spans="1:18" ht="39.6" x14ac:dyDescent="0.3">
      <c r="A25" s="10" t="str">
        <f t="shared" ref="A25:A36" si="6">IF(AND(E25=0,F25=0,G25=0,H25=0,I25=0,J25=0,K25=0,L25=0,M25=0,N25=0,O25=0,P25=0),"Do Not Print","Print")</f>
        <v>Do Not Print</v>
      </c>
      <c r="B25" s="545"/>
      <c r="C25" s="545"/>
      <c r="D25" s="555" t="s">
        <v>101</v>
      </c>
      <c r="E25" s="553">
        <f>'Det BS '!J$19</f>
        <v>0</v>
      </c>
      <c r="F25" s="553">
        <f>'Det BS '!J$43</f>
        <v>0</v>
      </c>
      <c r="G25" s="553">
        <f>'Det BS '!J$67</f>
        <v>0</v>
      </c>
      <c r="H25" s="553">
        <f>'Det BS '!J$91</f>
        <v>0</v>
      </c>
      <c r="I25" s="553">
        <f>'Det BS '!J$115</f>
        <v>0</v>
      </c>
      <c r="J25" s="553">
        <f>'Det BS '!J$139</f>
        <v>0</v>
      </c>
      <c r="K25" s="553">
        <f>'Det BS '!J$163</f>
        <v>0</v>
      </c>
      <c r="L25" s="553">
        <f>'Det BS '!J$187</f>
        <v>0</v>
      </c>
      <c r="M25" s="554">
        <f>SUM(E25:L25)</f>
        <v>0</v>
      </c>
      <c r="N25" s="553">
        <f>'Det BS '!J$211</f>
        <v>0</v>
      </c>
      <c r="O25" s="553">
        <f>'Notes 11c to 24'!K216</f>
        <v>0</v>
      </c>
      <c r="P25" s="554">
        <f>M25+SUM(N25:O25)</f>
        <v>0</v>
      </c>
    </row>
    <row r="26" spans="1:18" x14ac:dyDescent="0.3">
      <c r="A26" s="10" t="str">
        <f t="shared" si="6"/>
        <v>Do Not Print</v>
      </c>
      <c r="B26" s="545"/>
      <c r="C26" s="545"/>
      <c r="D26" s="561" t="str">
        <f>D11</f>
        <v>Balance as at 1 April 2025</v>
      </c>
      <c r="E26" s="557">
        <f>SUM(E24:E25)</f>
        <v>0</v>
      </c>
      <c r="F26" s="557">
        <f t="shared" ref="F26:P26" si="7">SUM(F24:F25)</f>
        <v>0</v>
      </c>
      <c r="G26" s="557">
        <f t="shared" si="7"/>
        <v>0</v>
      </c>
      <c r="H26" s="557">
        <f t="shared" si="7"/>
        <v>0</v>
      </c>
      <c r="I26" s="557">
        <f t="shared" si="7"/>
        <v>0</v>
      </c>
      <c r="J26" s="557">
        <f t="shared" si="7"/>
        <v>0</v>
      </c>
      <c r="K26" s="557">
        <f t="shared" si="7"/>
        <v>0</v>
      </c>
      <c r="L26" s="557">
        <f t="shared" si="7"/>
        <v>0</v>
      </c>
      <c r="M26" s="557">
        <f t="shared" si="7"/>
        <v>0</v>
      </c>
      <c r="N26" s="557">
        <f t="shared" si="7"/>
        <v>0</v>
      </c>
      <c r="O26" s="557">
        <f t="shared" si="7"/>
        <v>0</v>
      </c>
      <c r="P26" s="557">
        <f t="shared" si="7"/>
        <v>0</v>
      </c>
    </row>
    <row r="27" spans="1:18" ht="15.6" customHeight="1" x14ac:dyDescent="0.3">
      <c r="A27" s="10" t="str">
        <f t="shared" si="6"/>
        <v>Do Not Print</v>
      </c>
      <c r="B27" s="545"/>
      <c r="D27" s="562" t="s">
        <v>109</v>
      </c>
      <c r="E27" s="553">
        <f>'Det BS '!J$20</f>
        <v>0</v>
      </c>
      <c r="F27" s="553">
        <f>'Det BS '!J$44</f>
        <v>0</v>
      </c>
      <c r="G27" s="553">
        <f>'Det BS '!J$68</f>
        <v>0</v>
      </c>
      <c r="H27" s="553">
        <f>'Det BS '!J$92</f>
        <v>0</v>
      </c>
      <c r="I27" s="553">
        <f>'Det BS '!J$116</f>
        <v>0</v>
      </c>
      <c r="J27" s="553">
        <f>'Det BS '!J$140</f>
        <v>0</v>
      </c>
      <c r="K27" s="553">
        <f>'Det BS '!J$164</f>
        <v>0</v>
      </c>
      <c r="L27" s="553">
        <f>'Det BS '!J$188</f>
        <v>0</v>
      </c>
      <c r="M27" s="554">
        <f t="shared" ref="M27:M35" si="8">SUM(E27:L27)</f>
        <v>0</v>
      </c>
      <c r="N27" s="553">
        <f>'Det BS '!J$212</f>
        <v>0</v>
      </c>
      <c r="O27" s="553">
        <f>'Det BS '!J$270</f>
        <v>0</v>
      </c>
      <c r="P27" s="554">
        <f>M27+SUM(N27:O27)</f>
        <v>0</v>
      </c>
      <c r="R27" s="165"/>
    </row>
    <row r="28" spans="1:18" ht="27" customHeight="1" x14ac:dyDescent="0.3">
      <c r="A28" s="10" t="str">
        <f t="shared" si="6"/>
        <v>Do Not Print</v>
      </c>
      <c r="B28" s="545"/>
      <c r="C28" s="545"/>
      <c r="D28" s="555" t="s">
        <v>110</v>
      </c>
      <c r="E28" s="553">
        <f>'Det BS '!J$21</f>
        <v>0</v>
      </c>
      <c r="F28" s="553">
        <f>'Det BS '!J$45</f>
        <v>0</v>
      </c>
      <c r="G28" s="553">
        <f>'Det BS '!J$69</f>
        <v>0</v>
      </c>
      <c r="H28" s="553">
        <f>'Det BS '!J$93</f>
        <v>0</v>
      </c>
      <c r="I28" s="553">
        <f>'Det BS '!J$117</f>
        <v>0</v>
      </c>
      <c r="J28" s="553">
        <f>'Det BS '!J$141</f>
        <v>0</v>
      </c>
      <c r="K28" s="553">
        <f>'Det BS '!J$165</f>
        <v>0</v>
      </c>
      <c r="L28" s="553">
        <f>'Det BS '!J$189</f>
        <v>0</v>
      </c>
      <c r="M28" s="554">
        <f t="shared" si="8"/>
        <v>0</v>
      </c>
      <c r="N28" s="553">
        <f>'Det BS '!J$213</f>
        <v>0</v>
      </c>
      <c r="O28" s="553">
        <f>'Det BS '!J$271</f>
        <v>0</v>
      </c>
      <c r="P28" s="554">
        <f>M28+SUM(N28:O28)</f>
        <v>0</v>
      </c>
      <c r="Q28" s="3"/>
    </row>
    <row r="29" spans="1:18" ht="52.8" x14ac:dyDescent="0.3">
      <c r="A29" s="10" t="str">
        <f t="shared" si="6"/>
        <v>Do Not Print</v>
      </c>
      <c r="B29" s="545"/>
      <c r="C29" s="545"/>
      <c r="D29" s="555" t="s">
        <v>111</v>
      </c>
      <c r="E29" s="553">
        <f>'Det BS '!J$22</f>
        <v>0</v>
      </c>
      <c r="F29" s="553">
        <f>'Det BS '!J$46</f>
        <v>0</v>
      </c>
      <c r="G29" s="553">
        <f>'Det BS '!J$70</f>
        <v>0</v>
      </c>
      <c r="H29" s="553">
        <f>'Det BS '!J$94</f>
        <v>0</v>
      </c>
      <c r="I29" s="553">
        <f>'Det BS '!J$118</f>
        <v>0</v>
      </c>
      <c r="J29" s="553">
        <f>'Det BS '!J$142</f>
        <v>0</v>
      </c>
      <c r="K29" s="553">
        <f>'Det BS '!J$166</f>
        <v>0</v>
      </c>
      <c r="L29" s="553">
        <f>'Det BS '!J$190</f>
        <v>0</v>
      </c>
      <c r="M29" s="554">
        <f t="shared" si="8"/>
        <v>0</v>
      </c>
      <c r="N29" s="553">
        <f>'Det BS '!J$214</f>
        <v>0</v>
      </c>
      <c r="O29" s="553">
        <f>'Det BS '!J$272</f>
        <v>0</v>
      </c>
      <c r="P29" s="554">
        <f>M29+SUM(N29:O29)</f>
        <v>0</v>
      </c>
      <c r="Q29" s="3"/>
    </row>
    <row r="30" spans="1:18" ht="26.4" x14ac:dyDescent="0.3">
      <c r="A30" s="10" t="str">
        <f t="shared" si="6"/>
        <v>Do Not Print</v>
      </c>
      <c r="B30" s="545"/>
      <c r="C30" s="545"/>
      <c r="D30" s="555" t="s">
        <v>112</v>
      </c>
      <c r="E30" s="553">
        <f>'Det BS '!J$24</f>
        <v>0</v>
      </c>
      <c r="F30" s="553">
        <f>'Det BS '!J$48</f>
        <v>0</v>
      </c>
      <c r="G30" s="553">
        <f>'Det BS '!J$72</f>
        <v>0</v>
      </c>
      <c r="H30" s="553">
        <f>'Det BS '!J$96</f>
        <v>0</v>
      </c>
      <c r="I30" s="553">
        <f>'Det BS '!J$120</f>
        <v>0</v>
      </c>
      <c r="J30" s="553">
        <f>'Det BS '!J$144</f>
        <v>0</v>
      </c>
      <c r="K30" s="553">
        <f>'Det BS '!J$168</f>
        <v>0</v>
      </c>
      <c r="L30" s="553">
        <f>'Det BS '!J$192</f>
        <v>0</v>
      </c>
      <c r="M30" s="554">
        <f t="shared" si="8"/>
        <v>0</v>
      </c>
      <c r="N30" s="553">
        <f>'Det BS '!J$216</f>
        <v>0</v>
      </c>
      <c r="O30" s="553">
        <f>'Det BS '!J$274</f>
        <v>0</v>
      </c>
      <c r="P30" s="554">
        <f>M30+SUM(N30:O30)</f>
        <v>0</v>
      </c>
      <c r="Q30" s="3"/>
    </row>
    <row r="31" spans="1:18" ht="42" customHeight="1" x14ac:dyDescent="0.3">
      <c r="A31" s="10" t="str">
        <f t="shared" si="6"/>
        <v>Do Not Print</v>
      </c>
      <c r="B31" s="545"/>
      <c r="C31" s="545"/>
      <c r="D31" s="555" t="s">
        <v>113</v>
      </c>
      <c r="E31" s="553">
        <f>'Det BS '!J$23</f>
        <v>0</v>
      </c>
      <c r="F31" s="553">
        <f>'Det BS '!J$47</f>
        <v>0</v>
      </c>
      <c r="G31" s="553">
        <f>'Det BS '!J$71</f>
        <v>0</v>
      </c>
      <c r="H31" s="553">
        <f>'Det BS '!J$95</f>
        <v>0</v>
      </c>
      <c r="I31" s="553">
        <f>'Det BS '!J$119</f>
        <v>0</v>
      </c>
      <c r="J31" s="553">
        <f>'Det BS '!J$143</f>
        <v>0</v>
      </c>
      <c r="K31" s="553">
        <f>'Det BS '!J$167</f>
        <v>0</v>
      </c>
      <c r="L31" s="553">
        <f>'Det BS '!J$191</f>
        <v>0</v>
      </c>
      <c r="M31" s="554">
        <f t="shared" si="8"/>
        <v>0</v>
      </c>
      <c r="N31" s="553">
        <f>'Det BS '!J$215</f>
        <v>0</v>
      </c>
      <c r="O31" s="553">
        <f>'Notes 11c to 24'!K217</f>
        <v>0</v>
      </c>
      <c r="P31" s="554">
        <f t="shared" ref="P31:P36" si="9">M31+SUM(N31:O31)</f>
        <v>0</v>
      </c>
      <c r="Q31" s="3"/>
    </row>
    <row r="32" spans="1:18" ht="18.75" customHeight="1" x14ac:dyDescent="0.3">
      <c r="A32" s="10" t="str">
        <f t="shared" si="6"/>
        <v>Do Not Print</v>
      </c>
      <c r="B32" s="545"/>
      <c r="C32" s="545"/>
      <c r="D32" s="562" t="s">
        <v>114</v>
      </c>
      <c r="E32" s="553">
        <f>'Det BS '!J$25</f>
        <v>0</v>
      </c>
      <c r="F32" s="553">
        <f>'Det BS '!J$49</f>
        <v>0</v>
      </c>
      <c r="G32" s="553">
        <f>'Det BS '!J$73</f>
        <v>0</v>
      </c>
      <c r="H32" s="553">
        <f>'Det BS '!J$97</f>
        <v>0</v>
      </c>
      <c r="I32" s="553">
        <f>'Det BS '!J$121</f>
        <v>0</v>
      </c>
      <c r="J32" s="553">
        <f>'Det BS '!J$145</f>
        <v>0</v>
      </c>
      <c r="K32" s="553">
        <f>'Det BS '!J$169</f>
        <v>0</v>
      </c>
      <c r="L32" s="553">
        <f>'Det BS '!J$193</f>
        <v>0</v>
      </c>
      <c r="M32" s="554">
        <f t="shared" si="8"/>
        <v>0</v>
      </c>
      <c r="N32" s="553">
        <f>'Det BS '!J$217</f>
        <v>0</v>
      </c>
      <c r="O32" s="553">
        <f>'Notes 11c to 24'!K218</f>
        <v>0</v>
      </c>
      <c r="P32" s="554">
        <f t="shared" si="9"/>
        <v>0</v>
      </c>
      <c r="Q32" s="3"/>
    </row>
    <row r="33" spans="1:17" x14ac:dyDescent="0.3">
      <c r="A33" s="10" t="str">
        <f t="shared" si="6"/>
        <v>Do Not Print</v>
      </c>
      <c r="B33" s="545"/>
      <c r="C33" s="545"/>
      <c r="D33" s="562" t="s">
        <v>106</v>
      </c>
      <c r="E33" s="553">
        <f>'Det BS '!J$26</f>
        <v>0</v>
      </c>
      <c r="F33" s="553">
        <f>'Det BS '!J$50</f>
        <v>0</v>
      </c>
      <c r="G33" s="553">
        <f>'Det BS '!J$74</f>
        <v>0</v>
      </c>
      <c r="H33" s="553">
        <f>'Det BS '!J$98</f>
        <v>0</v>
      </c>
      <c r="I33" s="553">
        <f>'Det BS '!J$122</f>
        <v>0</v>
      </c>
      <c r="J33" s="553">
        <f>'Det BS '!J$146</f>
        <v>0</v>
      </c>
      <c r="K33" s="553">
        <f>'Det BS '!J$170</f>
        <v>0</v>
      </c>
      <c r="L33" s="553">
        <f>'Det BS '!J$194</f>
        <v>0</v>
      </c>
      <c r="M33" s="554">
        <f t="shared" si="8"/>
        <v>0</v>
      </c>
      <c r="N33" s="553">
        <f>'Det BS '!J$218</f>
        <v>0</v>
      </c>
      <c r="O33" s="553">
        <f>'Notes 11c to 24'!K219</f>
        <v>0</v>
      </c>
      <c r="P33" s="554">
        <f t="shared" si="9"/>
        <v>0</v>
      </c>
      <c r="Q33" s="3"/>
    </row>
    <row r="34" spans="1:17" x14ac:dyDescent="0.3">
      <c r="A34" s="10" t="str">
        <f t="shared" si="6"/>
        <v>Do Not Print</v>
      </c>
      <c r="B34" s="545"/>
      <c r="C34" s="545"/>
      <c r="D34" s="562" t="s">
        <v>107</v>
      </c>
      <c r="E34" s="553">
        <f>'Det BS '!J$27</f>
        <v>0</v>
      </c>
      <c r="F34" s="553">
        <f>'Det BS '!J$51</f>
        <v>0</v>
      </c>
      <c r="G34" s="553">
        <f>'Det BS '!J$75</f>
        <v>0</v>
      </c>
      <c r="H34" s="553">
        <f>'Det BS '!J$99</f>
        <v>0</v>
      </c>
      <c r="I34" s="553">
        <f>'Det BS '!J$123</f>
        <v>0</v>
      </c>
      <c r="J34" s="553">
        <f>'Det BS '!J$147</f>
        <v>0</v>
      </c>
      <c r="K34" s="553">
        <f>'Det BS '!J$171</f>
        <v>0</v>
      </c>
      <c r="L34" s="553">
        <f>'Det BS '!J$195</f>
        <v>0</v>
      </c>
      <c r="M34" s="554">
        <f t="shared" si="8"/>
        <v>0</v>
      </c>
      <c r="N34" s="553">
        <f>'Det BS '!J$219</f>
        <v>0</v>
      </c>
      <c r="O34" s="553">
        <f>'Notes 11c to 24'!K220</f>
        <v>0</v>
      </c>
      <c r="P34" s="554">
        <f t="shared" si="9"/>
        <v>0</v>
      </c>
      <c r="Q34" s="3"/>
    </row>
    <row r="35" spans="1:17" ht="27.75" customHeight="1" x14ac:dyDescent="0.3">
      <c r="A35" s="10" t="str">
        <f t="shared" si="6"/>
        <v>Do Not Print</v>
      </c>
      <c r="B35" s="545"/>
      <c r="C35" s="545"/>
      <c r="D35" s="555" t="s">
        <v>115</v>
      </c>
      <c r="E35" s="553">
        <f>'Det BS '!J$28</f>
        <v>0</v>
      </c>
      <c r="F35" s="553">
        <f>'Det BS '!J$52</f>
        <v>0</v>
      </c>
      <c r="G35" s="553">
        <f>'Det BS '!J$76</f>
        <v>0</v>
      </c>
      <c r="H35" s="553">
        <f>'Det BS '!J$100</f>
        <v>0</v>
      </c>
      <c r="I35" s="553">
        <f>'Det BS '!J$124</f>
        <v>0</v>
      </c>
      <c r="J35" s="553">
        <f>'Det BS '!J$148</f>
        <v>0</v>
      </c>
      <c r="K35" s="553">
        <f>'Det BS '!J$172</f>
        <v>0</v>
      </c>
      <c r="L35" s="553">
        <f>'Det BS '!J$196</f>
        <v>0</v>
      </c>
      <c r="M35" s="554">
        <f t="shared" si="8"/>
        <v>0</v>
      </c>
      <c r="N35" s="553">
        <f>'Det BS '!J$220</f>
        <v>0</v>
      </c>
      <c r="O35" s="553">
        <f>'Notes 11c to 24'!K221</f>
        <v>0</v>
      </c>
      <c r="P35" s="554">
        <f t="shared" si="9"/>
        <v>0</v>
      </c>
      <c r="Q35" s="3"/>
    </row>
    <row r="36" spans="1:17" ht="18" customHeight="1" x14ac:dyDescent="0.3">
      <c r="A36" s="10" t="str">
        <f t="shared" si="6"/>
        <v>Do Not Print</v>
      </c>
      <c r="B36" s="545"/>
      <c r="C36" s="545"/>
      <c r="D36" s="552" t="str">
        <f>D21</f>
        <v>Balance as at 31 March 2026</v>
      </c>
      <c r="E36" s="553">
        <f t="shared" ref="E36:O36" si="10">SUM(E26:E35)</f>
        <v>0</v>
      </c>
      <c r="F36" s="553">
        <f t="shared" si="10"/>
        <v>0</v>
      </c>
      <c r="G36" s="553">
        <f t="shared" si="10"/>
        <v>0</v>
      </c>
      <c r="H36" s="553">
        <f t="shared" si="10"/>
        <v>0</v>
      </c>
      <c r="I36" s="553">
        <f t="shared" si="10"/>
        <v>0</v>
      </c>
      <c r="J36" s="553">
        <f t="shared" si="10"/>
        <v>0</v>
      </c>
      <c r="K36" s="553">
        <f t="shared" si="10"/>
        <v>0</v>
      </c>
      <c r="L36" s="553">
        <f t="shared" si="10"/>
        <v>0</v>
      </c>
      <c r="M36" s="554">
        <f t="shared" si="10"/>
        <v>0</v>
      </c>
      <c r="N36" s="553">
        <f t="shared" si="10"/>
        <v>0</v>
      </c>
      <c r="O36" s="553">
        <f t="shared" si="10"/>
        <v>0</v>
      </c>
      <c r="P36" s="554">
        <f t="shared" si="9"/>
        <v>0</v>
      </c>
      <c r="Q36" s="3"/>
    </row>
    <row r="37" spans="1:17" ht="31.5" customHeight="1" x14ac:dyDescent="0.3">
      <c r="A37" s="10" t="str">
        <f t="shared" ref="A37" si="11">IF(AND(E37=0,F37=0,G37=0,H37=0,I37=0,J37=0,K37=0,L37=0,M37=0,N37=0,,O37=0,P37=0),"Do Not Print","Print")</f>
        <v>Print</v>
      </c>
      <c r="B37" s="545"/>
      <c r="C37" s="545"/>
      <c r="D37" s="949" t="str">
        <f>D21</f>
        <v>Balance as at 31 March 2026</v>
      </c>
      <c r="E37" s="569">
        <f t="shared" ref="E37:P37" si="12">E21-E36</f>
        <v>0</v>
      </c>
      <c r="F37" s="569">
        <f t="shared" si="12"/>
        <v>0</v>
      </c>
      <c r="G37" s="569">
        <f t="shared" si="12"/>
        <v>0</v>
      </c>
      <c r="H37" s="569">
        <f t="shared" si="12"/>
        <v>0</v>
      </c>
      <c r="I37" s="569">
        <f t="shared" si="12"/>
        <v>0</v>
      </c>
      <c r="J37" s="569">
        <f t="shared" si="12"/>
        <v>0</v>
      </c>
      <c r="K37" s="569">
        <f t="shared" si="12"/>
        <v>0</v>
      </c>
      <c r="L37" s="569">
        <f t="shared" si="12"/>
        <v>0</v>
      </c>
      <c r="M37" s="569">
        <f t="shared" si="12"/>
        <v>0</v>
      </c>
      <c r="N37" s="569">
        <f t="shared" si="12"/>
        <v>0</v>
      </c>
      <c r="O37" s="569">
        <f t="shared" si="12"/>
        <v>0</v>
      </c>
      <c r="P37" s="569">
        <f t="shared" si="12"/>
        <v>0</v>
      </c>
    </row>
    <row r="38" spans="1:17" x14ac:dyDescent="0.3">
      <c r="A38" s="10" t="s">
        <v>448</v>
      </c>
      <c r="B38" s="545"/>
      <c r="C38" s="545"/>
      <c r="D38" s="570"/>
      <c r="E38" s="571"/>
      <c r="F38" s="571"/>
      <c r="G38" s="571"/>
      <c r="H38" s="571"/>
      <c r="I38" s="571"/>
      <c r="J38" s="571"/>
      <c r="K38" s="571"/>
      <c r="L38" s="571"/>
      <c r="M38" s="572"/>
      <c r="N38" s="571"/>
      <c r="O38" s="571"/>
      <c r="P38" s="572"/>
      <c r="Q38" s="3"/>
    </row>
    <row r="39" spans="1:17" x14ac:dyDescent="0.3">
      <c r="A39" s="10"/>
      <c r="B39" s="545"/>
      <c r="C39" s="545" t="str">
        <f>Checklist!E91</f>
        <v>b</v>
      </c>
      <c r="D39" s="1816" t="s">
        <v>2679</v>
      </c>
      <c r="E39" s="1816"/>
      <c r="F39" s="1816"/>
      <c r="G39" s="1816"/>
      <c r="H39" s="1816"/>
      <c r="I39" s="1816"/>
      <c r="J39" s="1816"/>
      <c r="K39" s="1816"/>
      <c r="L39" s="1816"/>
      <c r="M39" s="1816"/>
      <c r="N39" s="1816"/>
      <c r="O39" s="1816"/>
      <c r="P39" s="1816"/>
      <c r="Q39" s="3"/>
    </row>
    <row r="40" spans="1:17" ht="46.5" customHeight="1" x14ac:dyDescent="0.3">
      <c r="A40" s="10" t="s">
        <v>448</v>
      </c>
      <c r="B40" s="545"/>
      <c r="C40" s="585"/>
      <c r="D40" s="547" t="s">
        <v>96</v>
      </c>
      <c r="E40" s="548" t="s">
        <v>91</v>
      </c>
      <c r="F40" s="548" t="s">
        <v>681</v>
      </c>
      <c r="G40" s="548" t="s">
        <v>901</v>
      </c>
      <c r="H40" s="548" t="s">
        <v>1062</v>
      </c>
      <c r="I40" s="548" t="s">
        <v>97</v>
      </c>
      <c r="J40" s="548" t="s">
        <v>725</v>
      </c>
      <c r="K40" s="548" t="s">
        <v>98</v>
      </c>
      <c r="L40" s="548" t="s">
        <v>92</v>
      </c>
      <c r="M40" s="548" t="s">
        <v>99</v>
      </c>
      <c r="N40" s="548" t="s">
        <v>741</v>
      </c>
      <c r="O40" s="548" t="s">
        <v>903</v>
      </c>
      <c r="P40" s="548" t="s">
        <v>592</v>
      </c>
      <c r="Q40" s="3"/>
    </row>
    <row r="41" spans="1:17" x14ac:dyDescent="0.3">
      <c r="A41" s="10" t="s">
        <v>448</v>
      </c>
      <c r="B41" s="545"/>
      <c r="C41" s="545"/>
      <c r="D41" s="549"/>
      <c r="E41" s="550" t="s">
        <v>450</v>
      </c>
      <c r="F41" s="550" t="s">
        <v>450</v>
      </c>
      <c r="G41" s="550" t="s">
        <v>450</v>
      </c>
      <c r="H41" s="550" t="s">
        <v>450</v>
      </c>
      <c r="I41" s="550" t="s">
        <v>450</v>
      </c>
      <c r="J41" s="550" t="s">
        <v>450</v>
      </c>
      <c r="K41" s="550" t="s">
        <v>450</v>
      </c>
      <c r="L41" s="550" t="s">
        <v>450</v>
      </c>
      <c r="M41" s="551" t="s">
        <v>450</v>
      </c>
      <c r="N41" s="550" t="s">
        <v>450</v>
      </c>
      <c r="O41" s="550" t="s">
        <v>450</v>
      </c>
      <c r="P41" s="551" t="s">
        <v>450</v>
      </c>
      <c r="Q41" s="3"/>
    </row>
    <row r="42" spans="1:17" ht="14.55" customHeight="1" x14ac:dyDescent="0.3">
      <c r="A42" s="10" t="str">
        <f>IF(AND(E42=0,F42=0,G42=0,H42=0,I42=0,J42=0,K42=0,L42=0,M42=0,N42=0,O42=0,P42=0),"Do Not Print","Print")</f>
        <v>Do Not Print</v>
      </c>
      <c r="B42" s="545"/>
      <c r="C42" s="545"/>
      <c r="D42" s="552" t="str">
        <f>'Standing Data'!D86</f>
        <v>Balance as at 1 April 2024</v>
      </c>
      <c r="E42" s="553">
        <f>'Det BS '!K7</f>
        <v>0</v>
      </c>
      <c r="F42" s="553">
        <f>'Det BS '!K31</f>
        <v>0</v>
      </c>
      <c r="G42" s="553">
        <f>'Det BS '!K55</f>
        <v>0</v>
      </c>
      <c r="H42" s="553">
        <f>'Det BS '!K79</f>
        <v>0</v>
      </c>
      <c r="I42" s="553">
        <f>'Det BS '!K103</f>
        <v>0</v>
      </c>
      <c r="J42" s="553">
        <f>'Det BS '!K127</f>
        <v>0</v>
      </c>
      <c r="K42" s="553">
        <f>'Det BS '!K151</f>
        <v>0</v>
      </c>
      <c r="L42" s="553">
        <f>'Det BS '!K175</f>
        <v>0</v>
      </c>
      <c r="M42" s="554">
        <f>SUM(E42:L42)</f>
        <v>0</v>
      </c>
      <c r="N42" s="553">
        <f>'Det BS '!K199</f>
        <v>0</v>
      </c>
      <c r="O42" s="553">
        <f>'Notes 11c to 24'!K232</f>
        <v>0</v>
      </c>
      <c r="P42" s="554">
        <f>M42+SUM(N42:O42)</f>
        <v>0</v>
      </c>
    </row>
    <row r="43" spans="1:17" ht="39.6" x14ac:dyDescent="0.3">
      <c r="A43" s="10" t="str">
        <f t="shared" ref="A43:A53" si="13">IF(AND(E43=0,F43=0,G43=0,H43=0,I43=0,J43=0,K43=0,L43=0,M43=0,N43=0,O43=0,P43=0),"Do Not Print","Print")</f>
        <v>Do Not Print</v>
      </c>
      <c r="B43" s="545"/>
      <c r="C43" s="545"/>
      <c r="D43" s="555" t="s">
        <v>101</v>
      </c>
      <c r="E43" s="553">
        <f>'Det BS '!K$8</f>
        <v>0</v>
      </c>
      <c r="F43" s="553">
        <f>'Det BS '!K$32</f>
        <v>0</v>
      </c>
      <c r="G43" s="553">
        <f>'Det BS '!K$56</f>
        <v>0</v>
      </c>
      <c r="H43" s="553">
        <f>'Det BS '!K$80</f>
        <v>0</v>
      </c>
      <c r="I43" s="553">
        <f>'Det BS '!K$104</f>
        <v>0</v>
      </c>
      <c r="J43" s="553">
        <f>'Det BS '!K$128</f>
        <v>0</v>
      </c>
      <c r="K43" s="553">
        <f>'Det BS '!K$152</f>
        <v>0</v>
      </c>
      <c r="L43" s="553">
        <f>'Det BS '!K$176</f>
        <v>0</v>
      </c>
      <c r="M43" s="554">
        <f>SUM(E43:L43)</f>
        <v>0</v>
      </c>
      <c r="N43" s="553">
        <f>'Det BS '!K$200</f>
        <v>0</v>
      </c>
      <c r="O43" s="553">
        <f>'Notes 11c to 24'!K233</f>
        <v>0</v>
      </c>
      <c r="P43" s="554">
        <f>M43+SUM(N43:O43)</f>
        <v>0</v>
      </c>
    </row>
    <row r="44" spans="1:17" ht="15.6" customHeight="1" x14ac:dyDescent="0.3">
      <c r="A44" s="10" t="str">
        <f t="shared" si="13"/>
        <v>Do Not Print</v>
      </c>
      <c r="B44" s="545"/>
      <c r="C44" s="545"/>
      <c r="D44" s="556" t="str">
        <f>D42</f>
        <v>Balance as at 1 April 2024</v>
      </c>
      <c r="E44" s="557">
        <f>SUM(E42:E43)</f>
        <v>0</v>
      </c>
      <c r="F44" s="557">
        <f t="shared" ref="F44:L44" si="14">SUM(F42:F43)</f>
        <v>0</v>
      </c>
      <c r="G44" s="557">
        <f t="shared" si="14"/>
        <v>0</v>
      </c>
      <c r="H44" s="557">
        <f t="shared" si="14"/>
        <v>0</v>
      </c>
      <c r="I44" s="557">
        <f t="shared" si="14"/>
        <v>0</v>
      </c>
      <c r="J44" s="557">
        <f t="shared" si="14"/>
        <v>0</v>
      </c>
      <c r="K44" s="557">
        <f t="shared" si="14"/>
        <v>0</v>
      </c>
      <c r="L44" s="557">
        <f t="shared" si="14"/>
        <v>0</v>
      </c>
      <c r="M44" s="557">
        <f>SUM(E44:L44)</f>
        <v>0</v>
      </c>
      <c r="N44" s="557">
        <f>SUM(N42:N43)</f>
        <v>0</v>
      </c>
      <c r="O44" s="557">
        <f>SUM(O42:O43)</f>
        <v>0</v>
      </c>
      <c r="P44" s="557">
        <f>SUM(P42:P43)</f>
        <v>0</v>
      </c>
    </row>
    <row r="45" spans="1:17" ht="15" customHeight="1" x14ac:dyDescent="0.3">
      <c r="A45" s="10" t="str">
        <f t="shared" si="13"/>
        <v>Do Not Print</v>
      </c>
      <c r="B45" s="545"/>
      <c r="C45" s="545"/>
      <c r="D45" s="555" t="s">
        <v>973</v>
      </c>
      <c r="E45" s="553">
        <f>'Det BS '!K$9</f>
        <v>0</v>
      </c>
      <c r="F45" s="553">
        <f>'Det BS '!K$33</f>
        <v>0</v>
      </c>
      <c r="G45" s="553">
        <f>'Det BS '!K$57</f>
        <v>0</v>
      </c>
      <c r="H45" s="553">
        <f>'Det BS '!K81</f>
        <v>0</v>
      </c>
      <c r="I45" s="553">
        <f>'Det BS '!K$105</f>
        <v>0</v>
      </c>
      <c r="J45" s="553">
        <f>'Det BS '!K$129</f>
        <v>0</v>
      </c>
      <c r="K45" s="553">
        <f>'Det BS '!K$153</f>
        <v>0</v>
      </c>
      <c r="L45" s="553">
        <f>'Det BS '!K$177</f>
        <v>0</v>
      </c>
      <c r="M45" s="554">
        <f>SUM(E45:L45)</f>
        <v>0</v>
      </c>
      <c r="N45" s="553">
        <f>'Det BS '!K$201</f>
        <v>0</v>
      </c>
      <c r="O45" s="553">
        <f>'Notes 11c to 24'!K234</f>
        <v>0</v>
      </c>
      <c r="P45" s="554">
        <f>M45+SUM(N45:O45)</f>
        <v>0</v>
      </c>
    </row>
    <row r="46" spans="1:17" x14ac:dyDescent="0.3">
      <c r="A46" s="10" t="str">
        <f t="shared" si="13"/>
        <v>Do Not Print</v>
      </c>
      <c r="B46" s="545"/>
      <c r="C46" s="545"/>
      <c r="D46" s="555" t="s">
        <v>103</v>
      </c>
      <c r="E46" s="553">
        <f>'Det BS '!K$10</f>
        <v>0</v>
      </c>
      <c r="F46" s="553">
        <f>'Det BS '!K$34</f>
        <v>0</v>
      </c>
      <c r="G46" s="553">
        <f>'Det BS '!K$58</f>
        <v>0</v>
      </c>
      <c r="H46" s="553">
        <f>'Det BS '!K$82</f>
        <v>0</v>
      </c>
      <c r="I46" s="553">
        <f>'Det BS '!K$106</f>
        <v>0</v>
      </c>
      <c r="J46" s="553">
        <f>'Det BS '!K$130</f>
        <v>0</v>
      </c>
      <c r="K46" s="553">
        <f>'Det BS '!K$154</f>
        <v>0</v>
      </c>
      <c r="L46" s="553">
        <f>'Det BS '!K$178</f>
        <v>0</v>
      </c>
      <c r="M46" s="554">
        <f t="shared" ref="M46:M53" si="15">SUM(E46:L46)</f>
        <v>0</v>
      </c>
      <c r="N46" s="553">
        <f>'Det BS '!K$202</f>
        <v>0</v>
      </c>
      <c r="O46" s="553">
        <f>'Notes 11c to 24'!K235</f>
        <v>0</v>
      </c>
      <c r="P46" s="554">
        <f>M46+SUM(N46:O46)</f>
        <v>0</v>
      </c>
    </row>
    <row r="47" spans="1:17" ht="42" customHeight="1" x14ac:dyDescent="0.3">
      <c r="A47" s="10" t="str">
        <f t="shared" si="13"/>
        <v>Do Not Print</v>
      </c>
      <c r="B47" s="545"/>
      <c r="C47" s="545"/>
      <c r="D47" s="932" t="s">
        <v>104</v>
      </c>
      <c r="E47" s="553">
        <f>'Det BS '!K11</f>
        <v>0</v>
      </c>
      <c r="F47" s="553">
        <f>'Det BS '!K35</f>
        <v>0</v>
      </c>
      <c r="G47" s="553">
        <f>'Det BS '!K59</f>
        <v>0</v>
      </c>
      <c r="H47" s="553">
        <f>'Det BS '!K$83</f>
        <v>0</v>
      </c>
      <c r="I47" s="553">
        <f>'Det BS '!K$108</f>
        <v>0</v>
      </c>
      <c r="J47" s="553">
        <f>'Det BS '!K131</f>
        <v>0</v>
      </c>
      <c r="K47" s="553">
        <f>'Det BS '!K155</f>
        <v>0</v>
      </c>
      <c r="L47" s="553">
        <f>'Det BS '!K179</f>
        <v>0</v>
      </c>
      <c r="M47" s="554">
        <f t="shared" si="15"/>
        <v>0</v>
      </c>
      <c r="N47" s="553">
        <f>'Det BS '!K203</f>
        <v>0</v>
      </c>
      <c r="O47" s="553">
        <f>'Notes 11c to 24'!K236</f>
        <v>0</v>
      </c>
      <c r="P47" s="554">
        <f>M47+SUM(N47:O47)</f>
        <v>0</v>
      </c>
    </row>
    <row r="48" spans="1:17" ht="58.5" customHeight="1" x14ac:dyDescent="0.3">
      <c r="A48" s="10" t="str">
        <f t="shared" si="13"/>
        <v>Do Not Print</v>
      </c>
      <c r="B48" s="545"/>
      <c r="C48" s="545"/>
      <c r="D48" s="555" t="s">
        <v>1091</v>
      </c>
      <c r="E48" s="553">
        <f>'Det BS '!K12</f>
        <v>0</v>
      </c>
      <c r="F48" s="553">
        <f>'Det BS '!K36</f>
        <v>0</v>
      </c>
      <c r="G48" s="553">
        <f>'Det BS '!K60</f>
        <v>0</v>
      </c>
      <c r="H48" s="553">
        <f>'Det BS '!K$84</f>
        <v>0</v>
      </c>
      <c r="I48" s="553">
        <f>'Det BS '!K$109</f>
        <v>0</v>
      </c>
      <c r="J48" s="553">
        <f>'Det BS '!K132</f>
        <v>0</v>
      </c>
      <c r="K48" s="553">
        <f>'Det BS '!K156</f>
        <v>0</v>
      </c>
      <c r="L48" s="553">
        <f>'Det BS '!K180</f>
        <v>0</v>
      </c>
      <c r="M48" s="554">
        <f t="shared" si="15"/>
        <v>0</v>
      </c>
      <c r="N48" s="553">
        <f>'Det BS '!K204</f>
        <v>0</v>
      </c>
      <c r="O48" s="553">
        <f>'Notes 11c to 24'!K237</f>
        <v>0</v>
      </c>
      <c r="P48" s="554">
        <f>M48+SUM(N48:O48)</f>
        <v>0</v>
      </c>
      <c r="Q48" s="7"/>
    </row>
    <row r="49" spans="1:17" ht="42" customHeight="1" x14ac:dyDescent="0.3">
      <c r="A49" s="10" t="str">
        <f t="shared" si="13"/>
        <v>Do Not Print</v>
      </c>
      <c r="B49" s="545"/>
      <c r="C49" s="545"/>
      <c r="D49" s="555" t="s">
        <v>1089</v>
      </c>
      <c r="E49" s="553">
        <f>'Det BS '!K$13</f>
        <v>0</v>
      </c>
      <c r="F49" s="553">
        <f>'Det BS '!K$37</f>
        <v>0</v>
      </c>
      <c r="G49" s="553">
        <f>'Det BS '!K$61</f>
        <v>0</v>
      </c>
      <c r="H49" s="553">
        <f>'Det BS '!K$85</f>
        <v>0</v>
      </c>
      <c r="I49" s="553">
        <f>'Det BS '!K$110</f>
        <v>0</v>
      </c>
      <c r="J49" s="553">
        <f>'Det BS '!K$133</f>
        <v>0</v>
      </c>
      <c r="K49" s="553">
        <f>'Det BS '!K$157</f>
        <v>0</v>
      </c>
      <c r="L49" s="553">
        <f>'Det BS '!K$181</f>
        <v>0</v>
      </c>
      <c r="M49" s="554">
        <f>SUM(E49:L49)</f>
        <v>0</v>
      </c>
      <c r="N49" s="553">
        <f>'Det BS '!K$205</f>
        <v>0</v>
      </c>
      <c r="O49" s="553">
        <f>'Notes 11c to 24'!K238</f>
        <v>0</v>
      </c>
      <c r="P49" s="554">
        <f>SUM(M49:O49)</f>
        <v>0</v>
      </c>
      <c r="Q49" s="7"/>
    </row>
    <row r="50" spans="1:17" x14ac:dyDescent="0.3">
      <c r="A50" s="10" t="str">
        <f t="shared" si="13"/>
        <v>Do Not Print</v>
      </c>
      <c r="B50" s="545"/>
      <c r="C50" s="545"/>
      <c r="D50" s="555" t="s">
        <v>105</v>
      </c>
      <c r="E50" s="553">
        <f>'Det BS '!K14</f>
        <v>0</v>
      </c>
      <c r="F50" s="553">
        <f>'Det BS '!K38</f>
        <v>0</v>
      </c>
      <c r="G50" s="553">
        <f>'Det BS '!K62</f>
        <v>0</v>
      </c>
      <c r="H50" s="553">
        <f>'Det BS '!K$86</f>
        <v>0</v>
      </c>
      <c r="I50" s="553">
        <f>'Det BS '!K107</f>
        <v>0</v>
      </c>
      <c r="J50" s="553">
        <f>'Det BS '!K134</f>
        <v>0</v>
      </c>
      <c r="K50" s="553">
        <f>'Det BS '!K158</f>
        <v>0</v>
      </c>
      <c r="L50" s="553">
        <f>'Det BS '!K182</f>
        <v>0</v>
      </c>
      <c r="M50" s="554">
        <f t="shared" si="15"/>
        <v>0</v>
      </c>
      <c r="N50" s="553">
        <f>'Det BS '!K206</f>
        <v>0</v>
      </c>
      <c r="O50" s="553">
        <f>'Notes 11c to 24'!K239</f>
        <v>0</v>
      </c>
      <c r="P50" s="554">
        <f>M50+SUM(N50:O50)</f>
        <v>0</v>
      </c>
    </row>
    <row r="51" spans="1:17" x14ac:dyDescent="0.3">
      <c r="A51" s="10" t="str">
        <f t="shared" si="13"/>
        <v>Do Not Print</v>
      </c>
      <c r="B51" s="545"/>
      <c r="C51" s="545"/>
      <c r="D51" s="555" t="s">
        <v>106</v>
      </c>
      <c r="E51" s="553">
        <f>'Det BS '!K15</f>
        <v>0</v>
      </c>
      <c r="F51" s="553">
        <f>'Det BS '!K39</f>
        <v>0</v>
      </c>
      <c r="G51" s="553">
        <f>'Det BS '!K63</f>
        <v>0</v>
      </c>
      <c r="H51" s="553">
        <f>'Det BS '!K$87</f>
        <v>0</v>
      </c>
      <c r="I51" s="553">
        <f>'Det BS '!K111</f>
        <v>0</v>
      </c>
      <c r="J51" s="553">
        <f>'Det BS '!K135</f>
        <v>0</v>
      </c>
      <c r="K51" s="553">
        <f>'Det BS '!K159</f>
        <v>0</v>
      </c>
      <c r="L51" s="553">
        <f>'Det BS '!K183</f>
        <v>0</v>
      </c>
      <c r="M51" s="554">
        <f t="shared" si="15"/>
        <v>0</v>
      </c>
      <c r="N51" s="553">
        <f>'Det BS '!K207</f>
        <v>0</v>
      </c>
      <c r="O51" s="553">
        <f>'Notes 11c to 24'!K240</f>
        <v>0</v>
      </c>
      <c r="P51" s="554">
        <f>M51+SUM(N51:O51)</f>
        <v>0</v>
      </c>
    </row>
    <row r="52" spans="1:17" x14ac:dyDescent="0.3">
      <c r="A52" s="10" t="str">
        <f t="shared" si="13"/>
        <v>Do Not Print</v>
      </c>
      <c r="B52" s="545"/>
      <c r="C52" s="545"/>
      <c r="D52" s="555" t="s">
        <v>107</v>
      </c>
      <c r="E52" s="553">
        <f>'Det BS '!K16</f>
        <v>0</v>
      </c>
      <c r="F52" s="553">
        <f>'Det BS '!K40</f>
        <v>0</v>
      </c>
      <c r="G52" s="553">
        <f>'Det BS '!K64</f>
        <v>0</v>
      </c>
      <c r="H52" s="553">
        <f>'Det BS '!K88</f>
        <v>0</v>
      </c>
      <c r="I52" s="553">
        <f>'Det BS '!K112</f>
        <v>0</v>
      </c>
      <c r="J52" s="553">
        <f>'Det BS '!K136</f>
        <v>0</v>
      </c>
      <c r="K52" s="553">
        <f>'Det BS '!K160</f>
        <v>0</v>
      </c>
      <c r="L52" s="553">
        <f>'Det BS '!K184</f>
        <v>0</v>
      </c>
      <c r="M52" s="554">
        <f t="shared" si="15"/>
        <v>0</v>
      </c>
      <c r="N52" s="553">
        <f>'Det BS '!K208</f>
        <v>0</v>
      </c>
      <c r="O52" s="553">
        <f>'Notes 11c to 24'!K241</f>
        <v>0</v>
      </c>
      <c r="P52" s="554">
        <f>M52+SUM(N52:O52)</f>
        <v>0</v>
      </c>
    </row>
    <row r="53" spans="1:17" ht="26.4" x14ac:dyDescent="0.3">
      <c r="A53" s="10" t="str">
        <f t="shared" si="13"/>
        <v>Do Not Print</v>
      </c>
      <c r="B53" s="545"/>
      <c r="C53" s="545"/>
      <c r="D53" s="555" t="s">
        <v>2995</v>
      </c>
      <c r="E53" s="553">
        <f>'Det BS '!K17</f>
        <v>0</v>
      </c>
      <c r="F53" s="553">
        <f>'Det BS '!K41</f>
        <v>0</v>
      </c>
      <c r="G53" s="553">
        <f>'Det BS '!K65</f>
        <v>0</v>
      </c>
      <c r="H53" s="553">
        <f>'Det BS '!K89</f>
        <v>0</v>
      </c>
      <c r="I53" s="553">
        <f>'Det BS '!K113</f>
        <v>0</v>
      </c>
      <c r="J53" s="553">
        <f>'Det BS '!K137</f>
        <v>0</v>
      </c>
      <c r="K53" s="553">
        <f>'Det BS '!K161</f>
        <v>0</v>
      </c>
      <c r="L53" s="553">
        <f>'Det BS '!K185</f>
        <v>0</v>
      </c>
      <c r="M53" s="554">
        <f t="shared" si="15"/>
        <v>0</v>
      </c>
      <c r="N53" s="553">
        <f>'Det BS '!K209</f>
        <v>0</v>
      </c>
      <c r="O53" s="553">
        <f>'Notes 11c to 24'!K242</f>
        <v>0</v>
      </c>
      <c r="P53" s="554">
        <f>M53+SUM(N53:O53)</f>
        <v>0</v>
      </c>
    </row>
    <row r="54" spans="1:17" x14ac:dyDescent="0.3">
      <c r="A54" s="10" t="s">
        <v>448</v>
      </c>
      <c r="B54" s="545"/>
      <c r="C54" s="545"/>
      <c r="D54" s="555"/>
      <c r="E54" s="553"/>
      <c r="F54" s="553"/>
      <c r="G54" s="553"/>
      <c r="H54" s="553"/>
      <c r="I54" s="553"/>
      <c r="J54" s="553"/>
      <c r="K54" s="553"/>
      <c r="L54" s="553"/>
      <c r="M54" s="554"/>
      <c r="N54" s="553"/>
      <c r="O54" s="553"/>
      <c r="P54" s="554"/>
    </row>
    <row r="55" spans="1:17" ht="13.05" customHeight="1" x14ac:dyDescent="0.3">
      <c r="A55" s="10" t="str">
        <f>IF(AND(E55=0,F55=0,G55=0,H55=0,I55=0,J55=0,K55=0,L55=0,M55=0,N55=0,O55=0,P55=0),"Do Not Print","Print")</f>
        <v>Do Not Print</v>
      </c>
      <c r="B55" s="545"/>
      <c r="C55" s="545"/>
      <c r="D55" s="556" t="str">
        <f>'Standing Data'!D82</f>
        <v>Balance as at 31 March 2025</v>
      </c>
      <c r="E55" s="557">
        <f t="shared" ref="E55:P55" si="16">SUM(E44:E53)</f>
        <v>0</v>
      </c>
      <c r="F55" s="557">
        <f t="shared" si="16"/>
        <v>0</v>
      </c>
      <c r="G55" s="557">
        <f t="shared" si="16"/>
        <v>0</v>
      </c>
      <c r="H55" s="557">
        <f t="shared" si="16"/>
        <v>0</v>
      </c>
      <c r="I55" s="557">
        <f t="shared" si="16"/>
        <v>0</v>
      </c>
      <c r="J55" s="557">
        <f t="shared" si="16"/>
        <v>0</v>
      </c>
      <c r="K55" s="557">
        <f t="shared" si="16"/>
        <v>0</v>
      </c>
      <c r="L55" s="557">
        <f t="shared" si="16"/>
        <v>0</v>
      </c>
      <c r="M55" s="557">
        <f t="shared" si="16"/>
        <v>0</v>
      </c>
      <c r="N55" s="557">
        <f t="shared" si="16"/>
        <v>0</v>
      </c>
      <c r="O55" s="557">
        <f t="shared" si="16"/>
        <v>0</v>
      </c>
      <c r="P55" s="557">
        <f t="shared" si="16"/>
        <v>0</v>
      </c>
    </row>
    <row r="56" spans="1:17" ht="35.4" x14ac:dyDescent="0.3">
      <c r="A56" s="10" t="s">
        <v>448</v>
      </c>
      <c r="B56" s="545"/>
      <c r="C56" s="545"/>
      <c r="D56" s="547" t="s">
        <v>108</v>
      </c>
      <c r="E56" s="548" t="s">
        <v>91</v>
      </c>
      <c r="F56" s="548" t="s">
        <v>681</v>
      </c>
      <c r="G56" s="548" t="s">
        <v>901</v>
      </c>
      <c r="H56" s="548" t="s">
        <v>1062</v>
      </c>
      <c r="I56" s="548" t="s">
        <v>97</v>
      </c>
      <c r="J56" s="548" t="s">
        <v>725</v>
      </c>
      <c r="K56" s="548" t="s">
        <v>98</v>
      </c>
      <c r="L56" s="548" t="s">
        <v>92</v>
      </c>
      <c r="M56" s="548" t="s">
        <v>99</v>
      </c>
      <c r="N56" s="548" t="s">
        <v>741</v>
      </c>
      <c r="O56" s="548" t="s">
        <v>903</v>
      </c>
      <c r="P56" s="548" t="s">
        <v>100</v>
      </c>
    </row>
    <row r="57" spans="1:17" x14ac:dyDescent="0.3">
      <c r="A57" s="10" t="s">
        <v>448</v>
      </c>
      <c r="B57" s="545"/>
      <c r="C57" s="545"/>
      <c r="D57" s="559"/>
      <c r="E57" s="550" t="s">
        <v>450</v>
      </c>
      <c r="F57" s="550" t="s">
        <v>450</v>
      </c>
      <c r="G57" s="550" t="s">
        <v>450</v>
      </c>
      <c r="H57" s="550" t="s">
        <v>450</v>
      </c>
      <c r="I57" s="550" t="s">
        <v>450</v>
      </c>
      <c r="J57" s="550" t="s">
        <v>450</v>
      </c>
      <c r="K57" s="550" t="s">
        <v>450</v>
      </c>
      <c r="L57" s="550" t="s">
        <v>450</v>
      </c>
      <c r="M57" s="551" t="s">
        <v>450</v>
      </c>
      <c r="N57" s="550" t="s">
        <v>450</v>
      </c>
      <c r="O57" s="550" t="s">
        <v>450</v>
      </c>
      <c r="P57" s="551" t="s">
        <v>450</v>
      </c>
    </row>
    <row r="58" spans="1:17" ht="16.05" customHeight="1" x14ac:dyDescent="0.3">
      <c r="A58" s="10" t="str">
        <f>IF(AND(E58=0,F58=0,G58=0,H58=0,I58=0,J58=0,K58=0,L58=0,M58=0,N58=0,O58=0,P58=0),"Do Not Print","Print")</f>
        <v>Do Not Print</v>
      </c>
      <c r="B58" s="545"/>
      <c r="C58" s="545"/>
      <c r="D58" s="560" t="str">
        <f>D42</f>
        <v>Balance as at 1 April 2024</v>
      </c>
      <c r="E58" s="553">
        <f>'Det BS '!K$18</f>
        <v>0</v>
      </c>
      <c r="F58" s="553">
        <f>'Det BS '!K42</f>
        <v>0</v>
      </c>
      <c r="G58" s="553">
        <f>'Det BS '!K66</f>
        <v>0</v>
      </c>
      <c r="H58" s="553">
        <f>'Det BS '!K90</f>
        <v>0</v>
      </c>
      <c r="I58" s="553">
        <f>'Det BS '!K114</f>
        <v>0</v>
      </c>
      <c r="J58" s="553">
        <f>'Det BS '!K138</f>
        <v>0</v>
      </c>
      <c r="K58" s="553">
        <f>'Det BS '!K162</f>
        <v>0</v>
      </c>
      <c r="L58" s="553">
        <f>'Det BS '!K186</f>
        <v>0</v>
      </c>
      <c r="M58" s="553">
        <f>SUM(E58:L58)</f>
        <v>0</v>
      </c>
      <c r="N58" s="553">
        <f>'Det BS '!K210</f>
        <v>0</v>
      </c>
      <c r="O58" s="553">
        <f>'Notes 11c to 24'!K246</f>
        <v>0</v>
      </c>
      <c r="P58" s="553">
        <f>M58+SUM(N58:O58)</f>
        <v>0</v>
      </c>
    </row>
    <row r="59" spans="1:17" ht="41.25" customHeight="1" x14ac:dyDescent="0.3">
      <c r="A59" s="10" t="str">
        <f t="shared" ref="A59:A69" si="17">IF(AND(E59=0,F59=0,G59=0,H59=0,I59=0,J59=0,K59=0,L59=0,M59=0,N59=0,O59=0,P59=0),"Do Not Print","Print")</f>
        <v>Do Not Print</v>
      </c>
      <c r="B59" s="545"/>
      <c r="C59" s="545"/>
      <c r="D59" s="555" t="s">
        <v>101</v>
      </c>
      <c r="E59" s="553">
        <f>'Det BS '!K$19</f>
        <v>0</v>
      </c>
      <c r="F59" s="553">
        <f>'Det BS '!K$43</f>
        <v>0</v>
      </c>
      <c r="G59" s="553">
        <f>'Det BS '!K$67</f>
        <v>0</v>
      </c>
      <c r="H59" s="553">
        <f>'Det BS '!K$91</f>
        <v>0</v>
      </c>
      <c r="I59" s="553">
        <f>'Det BS '!K$115</f>
        <v>0</v>
      </c>
      <c r="J59" s="553">
        <f>'Det BS '!K$139</f>
        <v>0</v>
      </c>
      <c r="K59" s="553">
        <f>'Det BS '!K$163</f>
        <v>0</v>
      </c>
      <c r="L59" s="553">
        <f>'Det BS '!K$187</f>
        <v>0</v>
      </c>
      <c r="M59" s="554">
        <f>SUM(E59:L59)</f>
        <v>0</v>
      </c>
      <c r="N59" s="553">
        <f>'Det BS '!K$211</f>
        <v>0</v>
      </c>
      <c r="O59" s="553">
        <f>'Notes 11c to 24'!K247</f>
        <v>0</v>
      </c>
      <c r="P59" s="554">
        <f>M59+SUM(N59:O59)</f>
        <v>0</v>
      </c>
    </row>
    <row r="60" spans="1:17" ht="16.05" customHeight="1" x14ac:dyDescent="0.3">
      <c r="A60" s="10" t="str">
        <f t="shared" si="17"/>
        <v>Do Not Print</v>
      </c>
      <c r="B60" s="545"/>
      <c r="C60" s="545"/>
      <c r="D60" s="561" t="str">
        <f>D58</f>
        <v>Balance as at 1 April 2024</v>
      </c>
      <c r="E60" s="557">
        <f>SUM(E58:E59)</f>
        <v>0</v>
      </c>
      <c r="F60" s="557">
        <f t="shared" ref="F60:P60" si="18">SUM(F58:F59)</f>
        <v>0</v>
      </c>
      <c r="G60" s="557">
        <f t="shared" si="18"/>
        <v>0</v>
      </c>
      <c r="H60" s="557">
        <f t="shared" si="18"/>
        <v>0</v>
      </c>
      <c r="I60" s="557">
        <f t="shared" si="18"/>
        <v>0</v>
      </c>
      <c r="J60" s="557">
        <f t="shared" si="18"/>
        <v>0</v>
      </c>
      <c r="K60" s="557">
        <f t="shared" si="18"/>
        <v>0</v>
      </c>
      <c r="L60" s="557">
        <f t="shared" si="18"/>
        <v>0</v>
      </c>
      <c r="M60" s="557">
        <f t="shared" si="18"/>
        <v>0</v>
      </c>
      <c r="N60" s="557">
        <f t="shared" si="18"/>
        <v>0</v>
      </c>
      <c r="O60" s="557">
        <f t="shared" si="18"/>
        <v>0</v>
      </c>
      <c r="P60" s="557">
        <f t="shared" si="18"/>
        <v>0</v>
      </c>
    </row>
    <row r="61" spans="1:17" ht="14.1" customHeight="1" x14ac:dyDescent="0.3">
      <c r="A61" s="10" t="str">
        <f t="shared" si="17"/>
        <v>Do Not Print</v>
      </c>
      <c r="B61" s="545"/>
      <c r="C61" s="545"/>
      <c r="D61" s="562" t="s">
        <v>109</v>
      </c>
      <c r="E61" s="553">
        <f>'Det BS '!K$20</f>
        <v>0</v>
      </c>
      <c r="F61" s="553">
        <f>'Det BS '!K$44</f>
        <v>0</v>
      </c>
      <c r="G61" s="553">
        <f>'Det BS '!K$68</f>
        <v>0</v>
      </c>
      <c r="H61" s="553">
        <f>'Det BS '!K$92</f>
        <v>0</v>
      </c>
      <c r="I61" s="553">
        <f>'Det BS '!K$116</f>
        <v>0</v>
      </c>
      <c r="J61" s="553">
        <f>'Det BS '!K$140</f>
        <v>0</v>
      </c>
      <c r="K61" s="553">
        <f>'Det BS '!K$164</f>
        <v>0</v>
      </c>
      <c r="L61" s="553">
        <f>'Det BS '!K$188</f>
        <v>0</v>
      </c>
      <c r="M61" s="554">
        <f t="shared" ref="M61:M69" si="19">SUM(E61:L61)</f>
        <v>0</v>
      </c>
      <c r="N61" s="553">
        <f>'Det BS '!K$212</f>
        <v>0</v>
      </c>
      <c r="O61" s="553">
        <f>'Det BS '!K$270</f>
        <v>0</v>
      </c>
      <c r="P61" s="554">
        <f t="shared" ref="P61:P69" si="20">M61+SUM(N61:O61)</f>
        <v>0</v>
      </c>
    </row>
    <row r="62" spans="1:17" ht="26.4" x14ac:dyDescent="0.3">
      <c r="A62" s="10" t="str">
        <f t="shared" si="17"/>
        <v>Do Not Print</v>
      </c>
      <c r="B62" s="545"/>
      <c r="C62" s="545"/>
      <c r="D62" s="555" t="s">
        <v>110</v>
      </c>
      <c r="E62" s="553">
        <f>'Det BS '!K$21</f>
        <v>0</v>
      </c>
      <c r="F62" s="553">
        <f>'Det BS '!K$45</f>
        <v>0</v>
      </c>
      <c r="G62" s="553">
        <f>'Det BS '!K$69</f>
        <v>0</v>
      </c>
      <c r="H62" s="553">
        <f>'Det BS '!K$93</f>
        <v>0</v>
      </c>
      <c r="I62" s="553">
        <f>'Det BS '!K$117</f>
        <v>0</v>
      </c>
      <c r="J62" s="553">
        <f>'Det BS '!K$141</f>
        <v>0</v>
      </c>
      <c r="K62" s="553">
        <f>'Det BS '!K$165</f>
        <v>0</v>
      </c>
      <c r="L62" s="553">
        <f>'Det BS '!K$189</f>
        <v>0</v>
      </c>
      <c r="M62" s="554">
        <f t="shared" si="19"/>
        <v>0</v>
      </c>
      <c r="N62" s="553">
        <f>'Det BS '!K$213</f>
        <v>0</v>
      </c>
      <c r="O62" s="553">
        <f>'Det BS '!K$271</f>
        <v>0</v>
      </c>
      <c r="P62" s="554">
        <f t="shared" si="20"/>
        <v>0</v>
      </c>
    </row>
    <row r="63" spans="1:17" ht="52.8" x14ac:dyDescent="0.3">
      <c r="A63" s="10" t="str">
        <f t="shared" si="17"/>
        <v>Do Not Print</v>
      </c>
      <c r="B63" s="545"/>
      <c r="C63" s="545"/>
      <c r="D63" s="555" t="s">
        <v>111</v>
      </c>
      <c r="E63" s="553">
        <f>'Det BS '!K$22</f>
        <v>0</v>
      </c>
      <c r="F63" s="553">
        <f>'Det BS '!K$46</f>
        <v>0</v>
      </c>
      <c r="G63" s="553">
        <f>'Det BS '!K$70</f>
        <v>0</v>
      </c>
      <c r="H63" s="553">
        <f>'Det BS '!K$94</f>
        <v>0</v>
      </c>
      <c r="I63" s="553">
        <f>'Det BS '!K$118</f>
        <v>0</v>
      </c>
      <c r="J63" s="553">
        <f>'Det BS '!K$142</f>
        <v>0</v>
      </c>
      <c r="K63" s="553">
        <f>'Det BS '!K$166</f>
        <v>0</v>
      </c>
      <c r="L63" s="553">
        <f>'Det BS '!K$190</f>
        <v>0</v>
      </c>
      <c r="M63" s="554">
        <f t="shared" si="19"/>
        <v>0</v>
      </c>
      <c r="N63" s="553">
        <f>'Det BS '!K$214</f>
        <v>0</v>
      </c>
      <c r="O63" s="553">
        <f>'Det BS '!K$272</f>
        <v>0</v>
      </c>
      <c r="P63" s="554">
        <f t="shared" si="20"/>
        <v>0</v>
      </c>
    </row>
    <row r="64" spans="1:17" ht="27.75" customHeight="1" x14ac:dyDescent="0.3">
      <c r="A64" s="10" t="str">
        <f t="shared" si="17"/>
        <v>Do Not Print</v>
      </c>
      <c r="B64" s="545"/>
      <c r="C64" s="545"/>
      <c r="D64" s="555" t="s">
        <v>112</v>
      </c>
      <c r="E64" s="553">
        <f>'Det BS '!K$24</f>
        <v>0</v>
      </c>
      <c r="F64" s="553">
        <f>'Det BS '!K$48</f>
        <v>0</v>
      </c>
      <c r="G64" s="553">
        <f>'Det BS '!K$72</f>
        <v>0</v>
      </c>
      <c r="H64" s="553">
        <f>'Det BS '!K$96</f>
        <v>0</v>
      </c>
      <c r="I64" s="553">
        <f>'Det BS '!K$120</f>
        <v>0</v>
      </c>
      <c r="J64" s="553">
        <f>'Det BS '!K$144</f>
        <v>0</v>
      </c>
      <c r="K64" s="553">
        <f>'Det BS '!K$168</f>
        <v>0</v>
      </c>
      <c r="L64" s="553">
        <f>'Det BS '!K$192</f>
        <v>0</v>
      </c>
      <c r="M64" s="554">
        <f t="shared" si="19"/>
        <v>0</v>
      </c>
      <c r="N64" s="553">
        <f>'Det BS '!K$216</f>
        <v>0</v>
      </c>
      <c r="O64" s="553">
        <f>'Det BS '!K$274</f>
        <v>0</v>
      </c>
      <c r="P64" s="554">
        <f t="shared" si="20"/>
        <v>0</v>
      </c>
    </row>
    <row r="65" spans="1:16" ht="41.25" customHeight="1" x14ac:dyDescent="0.3">
      <c r="A65" s="10" t="str">
        <f t="shared" si="17"/>
        <v>Do Not Print</v>
      </c>
      <c r="B65" s="545"/>
      <c r="C65" s="545"/>
      <c r="D65" s="555" t="s">
        <v>113</v>
      </c>
      <c r="E65" s="553">
        <f>'Det BS '!K$23</f>
        <v>0</v>
      </c>
      <c r="F65" s="553">
        <f>'Det BS '!K$47</f>
        <v>0</v>
      </c>
      <c r="G65" s="553">
        <f>'Det BS '!K$71</f>
        <v>0</v>
      </c>
      <c r="H65" s="553">
        <f>'Det BS '!K$95</f>
        <v>0</v>
      </c>
      <c r="I65" s="553">
        <f>'Det BS '!K$119</f>
        <v>0</v>
      </c>
      <c r="J65" s="553">
        <f>'Det BS '!K$143</f>
        <v>0</v>
      </c>
      <c r="K65" s="553">
        <f>'Det BS '!K$167</f>
        <v>0</v>
      </c>
      <c r="L65" s="553">
        <f>'Det BS '!K$191</f>
        <v>0</v>
      </c>
      <c r="M65" s="554">
        <f t="shared" si="19"/>
        <v>0</v>
      </c>
      <c r="N65" s="553">
        <f>'Det BS '!K$215</f>
        <v>0</v>
      </c>
      <c r="O65" s="553">
        <f>'Notes 11c to 24'!K248</f>
        <v>0</v>
      </c>
      <c r="P65" s="554">
        <f t="shared" si="20"/>
        <v>0</v>
      </c>
    </row>
    <row r="66" spans="1:16" ht="16.5" customHeight="1" x14ac:dyDescent="0.3">
      <c r="A66" s="10" t="str">
        <f t="shared" si="17"/>
        <v>Do Not Print</v>
      </c>
      <c r="B66" s="545"/>
      <c r="C66" s="545"/>
      <c r="D66" s="562" t="s">
        <v>114</v>
      </c>
      <c r="E66" s="553">
        <f>'Det BS '!K$25</f>
        <v>0</v>
      </c>
      <c r="F66" s="553">
        <f>'Det BS '!K$49</f>
        <v>0</v>
      </c>
      <c r="G66" s="553">
        <f>'Det BS '!K$73</f>
        <v>0</v>
      </c>
      <c r="H66" s="553">
        <f>'Det BS '!K$97</f>
        <v>0</v>
      </c>
      <c r="I66" s="553">
        <f>'Det BS '!K$121</f>
        <v>0</v>
      </c>
      <c r="J66" s="553">
        <f>'Det BS '!K145</f>
        <v>0</v>
      </c>
      <c r="K66" s="553">
        <f>'Det BS '!K$169</f>
        <v>0</v>
      </c>
      <c r="L66" s="553">
        <f>'Det BS '!K$193</f>
        <v>0</v>
      </c>
      <c r="M66" s="554">
        <f t="shared" si="19"/>
        <v>0</v>
      </c>
      <c r="N66" s="553">
        <f>'Det BS '!K$217</f>
        <v>0</v>
      </c>
      <c r="O66" s="553">
        <f>'Notes 11c to 24'!K249</f>
        <v>0</v>
      </c>
      <c r="P66" s="554">
        <f t="shared" si="20"/>
        <v>0</v>
      </c>
    </row>
    <row r="67" spans="1:16" ht="16.5" customHeight="1" x14ac:dyDescent="0.3">
      <c r="A67" s="10" t="str">
        <f t="shared" si="17"/>
        <v>Do Not Print</v>
      </c>
      <c r="B67" s="545"/>
      <c r="C67" s="545"/>
      <c r="D67" s="562" t="s">
        <v>106</v>
      </c>
      <c r="E67" s="553">
        <f>'Det BS '!K$26</f>
        <v>0</v>
      </c>
      <c r="F67" s="553">
        <f>'Det BS '!K$50</f>
        <v>0</v>
      </c>
      <c r="G67" s="553">
        <f>'Det BS '!K$74</f>
        <v>0</v>
      </c>
      <c r="H67" s="553">
        <f>'Det BS '!K$98</f>
        <v>0</v>
      </c>
      <c r="I67" s="553">
        <f>'Det BS '!K$122</f>
        <v>0</v>
      </c>
      <c r="J67" s="553">
        <f>'Det BS '!K$146</f>
        <v>0</v>
      </c>
      <c r="K67" s="553">
        <f>'Det BS '!K$170</f>
        <v>0</v>
      </c>
      <c r="L67" s="553">
        <f>'Det BS '!K$194</f>
        <v>0</v>
      </c>
      <c r="M67" s="554">
        <f t="shared" si="19"/>
        <v>0</v>
      </c>
      <c r="N67" s="553">
        <f>'Det BS '!K$218</f>
        <v>0</v>
      </c>
      <c r="O67" s="553">
        <f>'Notes 11c to 24'!K250</f>
        <v>0</v>
      </c>
      <c r="P67" s="554">
        <f t="shared" si="20"/>
        <v>0</v>
      </c>
    </row>
    <row r="68" spans="1:16" ht="16.5" customHeight="1" x14ac:dyDescent="0.3">
      <c r="A68" s="10" t="str">
        <f t="shared" si="17"/>
        <v>Do Not Print</v>
      </c>
      <c r="B68" s="545"/>
      <c r="C68" s="545"/>
      <c r="D68" s="562" t="s">
        <v>107</v>
      </c>
      <c r="E68" s="553">
        <f>'Det BS '!K$27</f>
        <v>0</v>
      </c>
      <c r="F68" s="553">
        <f>'Det BS '!K$51</f>
        <v>0</v>
      </c>
      <c r="G68" s="553">
        <f>'Det BS '!K$75</f>
        <v>0</v>
      </c>
      <c r="H68" s="553">
        <f>'Det BS '!K$99</f>
        <v>0</v>
      </c>
      <c r="I68" s="553">
        <f>'Det BS '!K$123</f>
        <v>0</v>
      </c>
      <c r="J68" s="553">
        <f>'Det BS '!K$147</f>
        <v>0</v>
      </c>
      <c r="K68" s="553">
        <f>'Det BS '!K$171</f>
        <v>0</v>
      </c>
      <c r="L68" s="553">
        <f>'Det BS '!K$195</f>
        <v>0</v>
      </c>
      <c r="M68" s="554">
        <f t="shared" si="19"/>
        <v>0</v>
      </c>
      <c r="N68" s="553">
        <f>'Det BS '!K$219</f>
        <v>0</v>
      </c>
      <c r="O68" s="553">
        <f>'Notes 11c to 24'!K251</f>
        <v>0</v>
      </c>
      <c r="P68" s="554">
        <f t="shared" si="20"/>
        <v>0</v>
      </c>
    </row>
    <row r="69" spans="1:16" ht="27" customHeight="1" x14ac:dyDescent="0.3">
      <c r="A69" s="10" t="str">
        <f t="shared" si="17"/>
        <v>Do Not Print</v>
      </c>
      <c r="B69" s="545"/>
      <c r="C69" s="545"/>
      <c r="D69" s="555" t="s">
        <v>115</v>
      </c>
      <c r="E69" s="553">
        <f>'Det BS '!K$28</f>
        <v>0</v>
      </c>
      <c r="F69" s="553">
        <f>'Det BS '!K$52</f>
        <v>0</v>
      </c>
      <c r="G69" s="553">
        <f>'Det BS '!K$76</f>
        <v>0</v>
      </c>
      <c r="H69" s="553">
        <f>'Det BS '!K$100</f>
        <v>0</v>
      </c>
      <c r="I69" s="553">
        <f>'Det BS '!K$124</f>
        <v>0</v>
      </c>
      <c r="J69" s="553">
        <f>'Det BS '!K$148</f>
        <v>0</v>
      </c>
      <c r="K69" s="553">
        <f>'Det BS '!K$172</f>
        <v>0</v>
      </c>
      <c r="L69" s="553">
        <f>'Det BS '!K$196</f>
        <v>0</v>
      </c>
      <c r="M69" s="554">
        <f t="shared" si="19"/>
        <v>0</v>
      </c>
      <c r="N69" s="553">
        <f>'Det BS '!K$220</f>
        <v>0</v>
      </c>
      <c r="O69" s="553">
        <f>'Notes 11c to 24'!K252</f>
        <v>0</v>
      </c>
      <c r="P69" s="554">
        <f t="shared" si="20"/>
        <v>0</v>
      </c>
    </row>
    <row r="70" spans="1:16" x14ac:dyDescent="0.3">
      <c r="A70" s="10" t="s">
        <v>448</v>
      </c>
      <c r="B70" s="545"/>
      <c r="C70" s="545"/>
      <c r="D70" s="555"/>
      <c r="E70" s="553"/>
      <c r="F70" s="553"/>
      <c r="G70" s="939"/>
      <c r="H70" s="939"/>
      <c r="I70" s="939"/>
      <c r="J70" s="553"/>
      <c r="K70" s="553"/>
      <c r="L70" s="553"/>
      <c r="M70" s="554"/>
      <c r="N70" s="553"/>
      <c r="O70" s="553"/>
      <c r="P70" s="554"/>
    </row>
    <row r="71" spans="1:16" ht="18" customHeight="1" x14ac:dyDescent="0.3">
      <c r="A71" s="10" t="str">
        <f>IF(AND(E71=0,F71=0,G71=0,H71=0,I71=0,J71=0,K71=0,L71=0,M71=0,N71=0,O71=0,P71=0),"Do Not Print","Print")</f>
        <v>Do Not Print</v>
      </c>
      <c r="B71" s="545"/>
      <c r="C71" s="545"/>
      <c r="D71" s="561" t="str">
        <f>D55</f>
        <v>Balance as at 31 March 2025</v>
      </c>
      <c r="E71" s="557">
        <f t="shared" ref="E71:P71" si="21">SUM(E60:E69)</f>
        <v>0</v>
      </c>
      <c r="F71" s="557">
        <f t="shared" si="21"/>
        <v>0</v>
      </c>
      <c r="G71" s="557">
        <f t="shared" si="21"/>
        <v>0</v>
      </c>
      <c r="H71" s="557">
        <f t="shared" si="21"/>
        <v>0</v>
      </c>
      <c r="I71" s="557">
        <f t="shared" si="21"/>
        <v>0</v>
      </c>
      <c r="J71" s="557">
        <f t="shared" si="21"/>
        <v>0</v>
      </c>
      <c r="K71" s="557">
        <f t="shared" si="21"/>
        <v>0</v>
      </c>
      <c r="L71" s="557">
        <f t="shared" si="21"/>
        <v>0</v>
      </c>
      <c r="M71" s="557">
        <f t="shared" si="21"/>
        <v>0</v>
      </c>
      <c r="N71" s="557">
        <f t="shared" si="21"/>
        <v>0</v>
      </c>
      <c r="O71" s="557">
        <f t="shared" si="21"/>
        <v>0</v>
      </c>
      <c r="P71" s="557">
        <f t="shared" si="21"/>
        <v>0</v>
      </c>
    </row>
    <row r="72" spans="1:16" x14ac:dyDescent="0.3">
      <c r="A72" s="10" t="s">
        <v>448</v>
      </c>
      <c r="B72" s="545"/>
      <c r="C72" s="545"/>
      <c r="D72" s="546" t="s">
        <v>116</v>
      </c>
      <c r="E72" s="571"/>
      <c r="F72" s="571"/>
      <c r="G72" s="571"/>
      <c r="H72" s="571"/>
      <c r="I72" s="571"/>
      <c r="J72" s="571"/>
      <c r="K72" s="571"/>
      <c r="L72" s="571"/>
      <c r="M72" s="572"/>
      <c r="N72" s="571"/>
      <c r="O72" s="571"/>
      <c r="P72" s="572"/>
    </row>
    <row r="73" spans="1:16" ht="17.25" customHeight="1" x14ac:dyDescent="0.3">
      <c r="A73" s="10" t="str">
        <f>IF(AND(E73=0,F73=0,G73=0,H73=0,I73=0,J73=0,K73=0,L73=0,M73=0,N73=0,O73=0,P73=0),"Do Not Print","Print")</f>
        <v>Do Not Print</v>
      </c>
      <c r="B73" s="545"/>
      <c r="C73" s="545"/>
      <c r="D73" s="568" t="str">
        <f>D55</f>
        <v>Balance as at 31 March 2025</v>
      </c>
      <c r="E73" s="569">
        <f t="shared" ref="E73:L73" si="22">E55-E71</f>
        <v>0</v>
      </c>
      <c r="F73" s="569">
        <f t="shared" si="22"/>
        <v>0</v>
      </c>
      <c r="G73" s="569">
        <f t="shared" si="22"/>
        <v>0</v>
      </c>
      <c r="H73" s="569">
        <f t="shared" si="22"/>
        <v>0</v>
      </c>
      <c r="I73" s="569">
        <f t="shared" si="22"/>
        <v>0</v>
      </c>
      <c r="J73" s="569">
        <f t="shared" si="22"/>
        <v>0</v>
      </c>
      <c r="K73" s="569">
        <f t="shared" si="22"/>
        <v>0</v>
      </c>
      <c r="L73" s="569">
        <f t="shared" si="22"/>
        <v>0</v>
      </c>
      <c r="M73" s="569">
        <f>SUM(E73:L73)</f>
        <v>0</v>
      </c>
      <c r="N73" s="569">
        <f>N55-N71</f>
        <v>0</v>
      </c>
      <c r="O73" s="569">
        <f>O55-O71</f>
        <v>0</v>
      </c>
      <c r="P73" s="569">
        <f>P55-P71</f>
        <v>0</v>
      </c>
    </row>
    <row r="74" spans="1:16" ht="18.75" customHeight="1" x14ac:dyDescent="0.3">
      <c r="A74" s="10" t="str">
        <f>IF(AND(E74=0,F74=0,G74=0,H74=0,I74=0,J74=0,K74=0,L74=0,M74=0,N74=0,O74=0,P74=0),"Do Not Print","Print")</f>
        <v>Do Not Print</v>
      </c>
      <c r="B74" s="545"/>
      <c r="C74" s="545"/>
      <c r="D74" s="568" t="str">
        <f>D21</f>
        <v>Balance as at 31 March 2026</v>
      </c>
      <c r="E74" s="569">
        <f t="shared" ref="E74:L74" si="23">E21-E36</f>
        <v>0</v>
      </c>
      <c r="F74" s="569">
        <f t="shared" si="23"/>
        <v>0</v>
      </c>
      <c r="G74" s="569">
        <f t="shared" si="23"/>
        <v>0</v>
      </c>
      <c r="H74" s="569">
        <f t="shared" si="23"/>
        <v>0</v>
      </c>
      <c r="I74" s="569">
        <f t="shared" si="23"/>
        <v>0</v>
      </c>
      <c r="J74" s="569">
        <f t="shared" si="23"/>
        <v>0</v>
      </c>
      <c r="K74" s="569">
        <f t="shared" si="23"/>
        <v>0</v>
      </c>
      <c r="L74" s="569">
        <f t="shared" si="23"/>
        <v>0</v>
      </c>
      <c r="M74" s="569">
        <f>SUM(E74:L74)</f>
        <v>0</v>
      </c>
      <c r="N74" s="569">
        <f>N21-N36</f>
        <v>0</v>
      </c>
      <c r="O74" s="569">
        <f>O21-O36</f>
        <v>0</v>
      </c>
      <c r="P74" s="569">
        <f>P21-P36</f>
        <v>0</v>
      </c>
    </row>
    <row r="75" spans="1:16" x14ac:dyDescent="0.3">
      <c r="A75" s="10" t="s">
        <v>448</v>
      </c>
      <c r="B75" s="545"/>
      <c r="C75" s="545"/>
      <c r="D75" s="578"/>
      <c r="E75" s="579"/>
      <c r="F75" s="579"/>
      <c r="G75" s="579"/>
      <c r="H75" s="579"/>
      <c r="I75" s="579"/>
      <c r="J75" s="579"/>
      <c r="K75" s="579"/>
      <c r="L75" s="579"/>
      <c r="M75" s="579"/>
      <c r="N75" s="579"/>
      <c r="O75" s="579"/>
      <c r="P75" s="579"/>
    </row>
    <row r="76" spans="1:16" ht="28.5" customHeight="1" x14ac:dyDescent="0.3">
      <c r="A76" s="10" t="s">
        <v>448</v>
      </c>
      <c r="B76" s="545"/>
      <c r="C76" s="545"/>
      <c r="D76" s="1815"/>
      <c r="E76" s="1815"/>
      <c r="F76" s="1815"/>
      <c r="G76" s="1815"/>
      <c r="H76" s="1815"/>
      <c r="I76" s="1815"/>
      <c r="J76" s="1815"/>
      <c r="K76" s="1815"/>
      <c r="L76" s="1815"/>
      <c r="M76" s="1815"/>
      <c r="N76" s="1815"/>
      <c r="O76" s="1815"/>
      <c r="P76" s="1815"/>
    </row>
    <row r="77" spans="1:16" ht="28.5" customHeight="1" x14ac:dyDescent="0.3">
      <c r="A77" s="10" t="str">
        <f>IF('Non TB - Note 11'!F35=1,"Print","Do Not Print")</f>
        <v>Print</v>
      </c>
      <c r="B77" s="545"/>
      <c r="C77" s="545"/>
      <c r="D77" s="1510"/>
      <c r="E77" s="1510"/>
      <c r="F77" s="1510"/>
      <c r="G77" s="1510"/>
      <c r="H77" s="1510"/>
      <c r="I77" s="1510"/>
      <c r="J77" s="1510"/>
      <c r="K77" s="1510"/>
      <c r="L77" s="1510"/>
      <c r="M77" s="1510"/>
      <c r="N77" s="1510"/>
      <c r="O77" s="1510"/>
      <c r="P77" s="1510"/>
    </row>
    <row r="78" spans="1:16" x14ac:dyDescent="0.3">
      <c r="A78" s="10" t="s">
        <v>448</v>
      </c>
      <c r="B78" s="545"/>
      <c r="C78" s="545"/>
      <c r="D78" s="1510"/>
      <c r="E78" s="1510"/>
      <c r="F78" s="1510"/>
      <c r="G78" s="1510"/>
      <c r="H78" s="1510"/>
      <c r="I78" s="1510"/>
      <c r="J78" s="1510"/>
      <c r="K78" s="1510"/>
      <c r="L78" s="1510"/>
      <c r="M78" s="1510"/>
      <c r="N78" s="1510"/>
      <c r="O78" s="1510"/>
      <c r="P78" s="1510"/>
    </row>
    <row r="99" spans="7:8" x14ac:dyDescent="0.3">
      <c r="G99" s="421"/>
      <c r="H99" s="421"/>
    </row>
    <row r="371" spans="8:11" x14ac:dyDescent="0.3">
      <c r="H371" s="525"/>
      <c r="I371" s="525"/>
      <c r="J371" s="525"/>
      <c r="K371" s="525"/>
    </row>
    <row r="372" spans="8:11" x14ac:dyDescent="0.3">
      <c r="H372" s="525"/>
      <c r="I372" s="525"/>
      <c r="J372" s="525"/>
      <c r="K372" s="525"/>
    </row>
    <row r="373" spans="8:11" x14ac:dyDescent="0.3">
      <c r="H373" s="525"/>
      <c r="I373" s="525"/>
      <c r="J373" s="525"/>
      <c r="K373" s="525"/>
    </row>
    <row r="374" spans="8:11" x14ac:dyDescent="0.3">
      <c r="H374" s="525"/>
      <c r="I374" s="525"/>
      <c r="J374" s="525"/>
      <c r="K374" s="525"/>
    </row>
    <row r="375" spans="8:11" x14ac:dyDescent="0.3">
      <c r="H375" s="525"/>
      <c r="I375" s="525"/>
      <c r="J375" s="525"/>
      <c r="K375" s="525"/>
    </row>
    <row r="381" spans="8:11" x14ac:dyDescent="0.3">
      <c r="H381" s="525"/>
      <c r="I381" s="525"/>
      <c r="J381" s="525"/>
      <c r="K381" s="525"/>
    </row>
    <row r="382" spans="8:11" x14ac:dyDescent="0.3">
      <c r="H382" s="525"/>
      <c r="I382" s="525"/>
      <c r="J382" s="525"/>
      <c r="K382" s="525"/>
    </row>
    <row r="383" spans="8:11" x14ac:dyDescent="0.3">
      <c r="H383" s="525"/>
      <c r="I383" s="525"/>
      <c r="J383" s="525"/>
      <c r="K383" s="525"/>
    </row>
    <row r="384" spans="8:11" x14ac:dyDescent="0.3">
      <c r="H384" s="525"/>
      <c r="I384" s="525"/>
      <c r="J384" s="525"/>
      <c r="K384" s="525"/>
    </row>
    <row r="385" spans="8:11" x14ac:dyDescent="0.3">
      <c r="H385" s="525"/>
      <c r="I385" s="525"/>
      <c r="J385" s="525"/>
      <c r="K385" s="525"/>
    </row>
    <row r="386" spans="8:11" x14ac:dyDescent="0.3">
      <c r="H386" s="525"/>
      <c r="I386" s="525"/>
      <c r="J386" s="525"/>
      <c r="K386" s="525"/>
    </row>
    <row r="387" spans="8:11" x14ac:dyDescent="0.3">
      <c r="H387" s="525"/>
      <c r="I387" s="525"/>
      <c r="J387" s="525"/>
      <c r="K387" s="525"/>
    </row>
    <row r="388" spans="8:11" x14ac:dyDescent="0.3">
      <c r="H388" s="525"/>
      <c r="I388" s="525"/>
      <c r="J388" s="525"/>
      <c r="K388" s="525"/>
    </row>
    <row r="389" spans="8:11" x14ac:dyDescent="0.3">
      <c r="H389" s="525"/>
      <c r="I389" s="525"/>
      <c r="J389" s="525"/>
      <c r="K389" s="525"/>
    </row>
    <row r="390" spans="8:11" x14ac:dyDescent="0.3">
      <c r="H390" s="525"/>
      <c r="I390" s="525"/>
      <c r="J390" s="525"/>
      <c r="K390" s="525"/>
    </row>
    <row r="391" spans="8:11" x14ac:dyDescent="0.3">
      <c r="H391" s="525"/>
      <c r="I391" s="525"/>
      <c r="J391" s="525"/>
      <c r="K391" s="525"/>
    </row>
    <row r="392" spans="8:11" x14ac:dyDescent="0.3">
      <c r="H392" s="525"/>
      <c r="I392" s="525"/>
      <c r="J392" s="525"/>
      <c r="K392" s="525"/>
    </row>
    <row r="393" spans="8:11" x14ac:dyDescent="0.3">
      <c r="H393" s="525"/>
      <c r="I393" s="525"/>
      <c r="J393" s="525"/>
      <c r="K393" s="525"/>
    </row>
    <row r="420" spans="4:4" x14ac:dyDescent="0.3">
      <c r="D420" s="401" t="s">
        <v>1499</v>
      </c>
    </row>
    <row r="432" spans="4:4" x14ac:dyDescent="0.3">
      <c r="D432" s="401" t="str">
        <f>CONCATENATE("the Statement of Accounts for the year ended ",('Standing Data'!D40)," on pages 25 to 28 has been prepared in the form directed by the Department for Communities and under the accounting policies set out on pages 29 to 53.")</f>
        <v>the Statement of Accounts for the year ended 31st March 2026 on pages 25 to 28 has been prepared in the form directed by the Department for Communities and under the accounting policies set out on pages 29 to 53.</v>
      </c>
    </row>
    <row r="436" spans="7:11" x14ac:dyDescent="0.3">
      <c r="G436" s="401" t="s">
        <v>450</v>
      </c>
      <c r="I436" s="401" t="s">
        <v>450</v>
      </c>
      <c r="K436" s="401" t="s">
        <v>450</v>
      </c>
    </row>
    <row r="437" spans="7:11" x14ac:dyDescent="0.3">
      <c r="G437" s="525"/>
      <c r="H437" s="525"/>
      <c r="I437" s="525"/>
      <c r="J437" s="525"/>
      <c r="K437" s="525"/>
    </row>
    <row r="438" spans="7:11" x14ac:dyDescent="0.3">
      <c r="G438" s="525"/>
      <c r="H438" s="525"/>
      <c r="I438" s="525"/>
      <c r="J438" s="525"/>
      <c r="K438" s="525"/>
    </row>
    <row r="439" spans="7:11" x14ac:dyDescent="0.3">
      <c r="G439" s="525"/>
      <c r="H439" s="525"/>
      <c r="I439" s="525"/>
      <c r="J439" s="525"/>
      <c r="K439" s="525"/>
    </row>
    <row r="605" spans="4:4" x14ac:dyDescent="0.3">
      <c r="D605" s="875"/>
    </row>
    <row r="606" spans="4:4" x14ac:dyDescent="0.3">
      <c r="D606" s="875"/>
    </row>
    <row r="607" spans="4:4" x14ac:dyDescent="0.3">
      <c r="D607" s="875"/>
    </row>
    <row r="608" spans="4:4" x14ac:dyDescent="0.3">
      <c r="D608" s="875"/>
    </row>
    <row r="609" spans="4:11" x14ac:dyDescent="0.3">
      <c r="D609" s="1500"/>
      <c r="E609" s="1500"/>
      <c r="F609" s="1500"/>
      <c r="G609" s="1500"/>
      <c r="H609" s="1500"/>
      <c r="I609" s="1500"/>
      <c r="J609" s="1500"/>
      <c r="K609" s="1500"/>
    </row>
    <row r="859" spans="11:11" x14ac:dyDescent="0.3">
      <c r="K859" s="401">
        <f>J839</f>
        <v>0</v>
      </c>
    </row>
    <row r="954" spans="9:11" x14ac:dyDescent="0.3">
      <c r="I954" s="900"/>
      <c r="J954" s="900"/>
      <c r="K954" s="900"/>
    </row>
  </sheetData>
  <autoFilter ref="A1:P78" xr:uid="{00000000-0009-0000-0000-00001B000000}"/>
  <mergeCells count="6">
    <mergeCell ref="D76:P76"/>
    <mergeCell ref="D78:P78"/>
    <mergeCell ref="D609:K609"/>
    <mergeCell ref="D77:P77"/>
    <mergeCell ref="D6:P6"/>
    <mergeCell ref="D39:P39"/>
  </mergeCells>
  <phoneticPr fontId="9" type="noConversion"/>
  <conditionalFormatting sqref="M19:M20 M52">
    <cfRule type="cellIs" dxfId="3" priority="1" stopIfTrue="1" operator="notEqual">
      <formula>0</formula>
    </cfRule>
  </conditionalFormatting>
  <pageMargins left="0.70866141732283472" right="0.70866141732283472" top="0.74803149606299213" bottom="0.74803149606299213" header="0.31496062992125984" footer="0.31496062992125984"/>
  <pageSetup paperSize="9" scale="80" fitToHeight="0" orientation="landscape" r:id="rId1"/>
  <headerFooter>
    <oddFooter>&amp;R&amp;P</oddFooter>
  </headerFooter>
  <rowBreaks count="1" manualBreakCount="1">
    <brk id="37" min="1" max="1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pageSetUpPr fitToPage="1"/>
  </sheetPr>
  <dimension ref="A1:W1720"/>
  <sheetViews>
    <sheetView view="pageBreakPreview" zoomScaleNormal="100" zoomScaleSheetLayoutView="100" workbookViewId="0">
      <pane xSplit="3" ySplit="5" topLeftCell="D878" activePane="bottomRight" state="frozen"/>
      <selection activeCell="I16" sqref="I16:J16"/>
      <selection pane="topRight" activeCell="I16" sqref="I16:J16"/>
      <selection pane="bottomLeft" activeCell="I16" sqref="I16:J16"/>
      <selection pane="bottomRight" activeCell="F886" sqref="F886:G886"/>
    </sheetView>
  </sheetViews>
  <sheetFormatPr defaultColWidth="9.109375" defaultRowHeight="13.8" x14ac:dyDescent="0.3"/>
  <cols>
    <col min="1" max="1" width="10.33203125" style="23" bestFit="1" customWidth="1"/>
    <col min="2" max="2" width="6.6640625" style="585" customWidth="1"/>
    <col min="3" max="3" width="2" style="585" customWidth="1"/>
    <col min="4" max="4" width="3.88671875" style="585" customWidth="1"/>
    <col min="5" max="5" width="30.88671875" style="401" customWidth="1"/>
    <col min="6" max="6" width="14.44140625" style="401" customWidth="1"/>
    <col min="7" max="8" width="15.109375" style="401" customWidth="1"/>
    <col min="9" max="9" width="16.88671875" style="401" customWidth="1"/>
    <col min="10" max="10" width="18" style="401" customWidth="1"/>
    <col min="11" max="11" width="17.88671875" style="401" customWidth="1"/>
    <col min="12" max="12" width="15.109375" style="23" customWidth="1"/>
    <col min="13" max="13" width="9.109375" style="23"/>
    <col min="14" max="14" width="14.5546875" style="23" customWidth="1"/>
    <col min="15" max="15" width="10.44140625" style="23" bestFit="1" customWidth="1"/>
    <col min="16" max="16" width="9.109375" style="23"/>
    <col min="17" max="17" width="10.6640625" style="23" customWidth="1"/>
    <col min="18" max="18" width="10.88671875" style="23" customWidth="1"/>
    <col min="19" max="19" width="18.33203125" style="23" customWidth="1"/>
    <col min="20" max="16384" width="9.109375" style="23"/>
  </cols>
  <sheetData>
    <row r="1" spans="1:17" x14ac:dyDescent="0.3">
      <c r="E1" s="401">
        <v>12.75</v>
      </c>
      <c r="F1" s="401">
        <f>$E1*F2</f>
        <v>25.5</v>
      </c>
      <c r="G1" s="401">
        <f t="shared" ref="G1:O1" si="0">$E1*G2</f>
        <v>38.25</v>
      </c>
      <c r="H1" s="401">
        <f t="shared" si="0"/>
        <v>51</v>
      </c>
      <c r="I1" s="401">
        <f t="shared" si="0"/>
        <v>63.75</v>
      </c>
      <c r="J1" s="401">
        <f t="shared" si="0"/>
        <v>76.5</v>
      </c>
      <c r="K1" s="401">
        <f t="shared" si="0"/>
        <v>89.25</v>
      </c>
      <c r="L1" s="1">
        <f t="shared" si="0"/>
        <v>102</v>
      </c>
      <c r="M1" s="1">
        <f t="shared" si="0"/>
        <v>114.75</v>
      </c>
      <c r="N1" s="1">
        <f t="shared" si="0"/>
        <v>127.5</v>
      </c>
      <c r="O1" s="1">
        <f t="shared" si="0"/>
        <v>140.25</v>
      </c>
      <c r="P1" s="1">
        <f>$C1*P2</f>
        <v>0</v>
      </c>
      <c r="Q1" s="1" t="s">
        <v>855</v>
      </c>
    </row>
    <row r="2" spans="1:17" x14ac:dyDescent="0.3">
      <c r="E2" s="401">
        <v>1</v>
      </c>
      <c r="F2" s="401">
        <v>2</v>
      </c>
      <c r="G2" s="401">
        <v>3</v>
      </c>
      <c r="H2" s="401">
        <v>4</v>
      </c>
      <c r="I2" s="401">
        <v>5</v>
      </c>
      <c r="J2" s="401">
        <v>6</v>
      </c>
      <c r="K2" s="401">
        <v>7</v>
      </c>
      <c r="L2" s="1">
        <v>8</v>
      </c>
      <c r="M2" s="1">
        <v>9</v>
      </c>
      <c r="N2" s="1">
        <v>10</v>
      </c>
      <c r="O2" s="1">
        <v>11</v>
      </c>
      <c r="P2" s="1">
        <v>12</v>
      </c>
      <c r="Q2" s="1" t="s">
        <v>526</v>
      </c>
    </row>
    <row r="4" spans="1:17" x14ac:dyDescent="0.3">
      <c r="B4" s="585">
        <v>2.29</v>
      </c>
      <c r="C4" s="585">
        <v>1.29</v>
      </c>
      <c r="D4" s="585">
        <v>1.29</v>
      </c>
      <c r="E4" s="401">
        <v>19.57</v>
      </c>
      <c r="F4" s="401">
        <v>10.43</v>
      </c>
      <c r="G4" s="401">
        <v>10.43</v>
      </c>
      <c r="H4" s="401">
        <v>7.29</v>
      </c>
      <c r="I4" s="401">
        <v>10.43</v>
      </c>
      <c r="J4" s="401">
        <v>10.43</v>
      </c>
      <c r="K4" s="401">
        <v>10.43</v>
      </c>
      <c r="L4" s="23" t="s">
        <v>854</v>
      </c>
    </row>
    <row r="5" spans="1:17" x14ac:dyDescent="0.3">
      <c r="N5" s="23">
        <f>19.57-7.29</f>
        <v>12.280000000000001</v>
      </c>
    </row>
    <row r="6" spans="1:17" x14ac:dyDescent="0.3">
      <c r="A6" s="3" t="s">
        <v>448</v>
      </c>
      <c r="B6" s="467" t="str">
        <f>'Standing Data'!$D$4</f>
        <v>NAME OF COUNCIL</v>
      </c>
    </row>
    <row r="7" spans="1:17" x14ac:dyDescent="0.3">
      <c r="A7" s="3" t="s">
        <v>448</v>
      </c>
      <c r="B7" s="467" t="str">
        <f>'Standing Data'!$D$28</f>
        <v>Notes to the Financial Statements</v>
      </c>
    </row>
    <row r="8" spans="1:17" x14ac:dyDescent="0.3">
      <c r="A8" s="3" t="s">
        <v>448</v>
      </c>
      <c r="B8" s="467" t="str">
        <f>'Standing Data'!$D$32</f>
        <v>FOR THE YEAR ENDED 31 March 2026</v>
      </c>
    </row>
    <row r="9" spans="1:17" x14ac:dyDescent="0.3">
      <c r="A9" s="3" t="s">
        <v>448</v>
      </c>
    </row>
    <row r="10" spans="1:17" s="3" customFormat="1" ht="12.75" customHeight="1" x14ac:dyDescent="0.3">
      <c r="B10" s="585">
        <f>Checklist!E89</f>
        <v>11</v>
      </c>
      <c r="C10" s="585" t="str">
        <f>Checklist!E92</f>
        <v>c</v>
      </c>
      <c r="D10" s="469" t="s">
        <v>2811</v>
      </c>
      <c r="E10" s="483"/>
      <c r="F10" s="483"/>
      <c r="G10" s="483"/>
      <c r="H10" s="483"/>
      <c r="I10" s="484"/>
      <c r="J10" s="484"/>
      <c r="K10" s="484"/>
      <c r="L10" s="18"/>
    </row>
    <row r="11" spans="1:17" s="3" customFormat="1" ht="12.75" customHeight="1" x14ac:dyDescent="0.3">
      <c r="A11" s="3" t="str">
        <f>IF(A10="Print","Print","Do Not Print")</f>
        <v>Do Not Print</v>
      </c>
      <c r="B11" s="585"/>
      <c r="C11" s="585"/>
      <c r="D11" s="1501"/>
      <c r="E11" s="1501"/>
      <c r="F11" s="1501"/>
      <c r="G11" s="1501"/>
      <c r="H11" s="1501"/>
      <c r="I11" s="1501"/>
      <c r="J11" s="1501"/>
      <c r="K11" s="1501"/>
      <c r="L11" s="18"/>
    </row>
    <row r="12" spans="1:17" s="3" customFormat="1" ht="12.75" customHeight="1" x14ac:dyDescent="0.3">
      <c r="A12" s="3" t="str">
        <f>IF('Non TB - Note 11'!F2=1,"Print","Do Not Print")</f>
        <v>Print</v>
      </c>
      <c r="B12" s="585"/>
      <c r="C12" s="585"/>
      <c r="D12" s="1535" t="str">
        <f>IF('Non TB - Note 11'!F2=1,'Non TB - Note 11'!E2,"")</f>
        <v>Depreciation</v>
      </c>
      <c r="E12" s="1535"/>
      <c r="F12" s="1535"/>
      <c r="G12" s="1535"/>
      <c r="H12" s="1535"/>
      <c r="I12" s="1535"/>
      <c r="J12" s="1535"/>
      <c r="K12" s="1535"/>
      <c r="L12" s="18"/>
    </row>
    <row r="13" spans="1:17" s="3" customFormat="1" ht="12.75" customHeight="1" x14ac:dyDescent="0.3">
      <c r="B13" s="585"/>
      <c r="C13" s="585"/>
      <c r="D13" s="1501"/>
      <c r="E13" s="1501"/>
      <c r="F13" s="1501"/>
      <c r="G13" s="1501"/>
      <c r="H13" s="1501"/>
      <c r="I13" s="1501"/>
      <c r="J13" s="1501"/>
      <c r="K13" s="1501"/>
      <c r="L13" s="18"/>
    </row>
    <row r="14" spans="1:17" s="3" customFormat="1" ht="56.1" customHeight="1" x14ac:dyDescent="0.3">
      <c r="A14" s="3" t="str">
        <f>IF('Non TB - Note 11'!F2=1,"Print","Do Not Print")</f>
        <v>Print</v>
      </c>
      <c r="B14" s="585"/>
      <c r="C14" s="585"/>
      <c r="D14" s="1504" t="str">
        <f>IF('Non TB - Note 11'!F2=1,'Non TB - Note 11'!H2,"")</f>
        <v>The following useful lives and depreciation rates have been used in the calculation of depreciation:
- buildings - xx years
- vehicles, plant, furniture and equipments - xx% of carrying amount
 - infrastructure - xx years</v>
      </c>
      <c r="E14" s="1504"/>
      <c r="F14" s="1504"/>
      <c r="G14" s="1504"/>
      <c r="H14" s="1504"/>
      <c r="I14" s="1504"/>
      <c r="J14" s="1504"/>
      <c r="K14" s="1504"/>
      <c r="L14" s="18"/>
    </row>
    <row r="15" spans="1:17" s="3" customFormat="1" ht="12.75" customHeight="1" x14ac:dyDescent="0.3">
      <c r="B15" s="585"/>
      <c r="C15" s="585"/>
      <c r="D15" s="1501"/>
      <c r="E15" s="1501"/>
      <c r="F15" s="1501"/>
      <c r="G15" s="1501"/>
      <c r="H15" s="1501"/>
      <c r="I15" s="1501"/>
      <c r="J15" s="1501"/>
      <c r="K15" s="1501"/>
      <c r="L15" s="18"/>
    </row>
    <row r="16" spans="1:17" s="3" customFormat="1" ht="12.75" customHeight="1" x14ac:dyDescent="0.3">
      <c r="A16" s="3" t="str">
        <f>IF('Non TB - Note 11'!F3=1,"Print","Do Not Print")</f>
        <v>Print</v>
      </c>
      <c r="B16" s="585"/>
      <c r="C16" s="585"/>
      <c r="D16" s="1535" t="str">
        <f>IF('Non TB - Note 11'!F3=1,'Non TB - Note 11'!E3,"")</f>
        <v>Effects of Changes in Estimates</v>
      </c>
      <c r="E16" s="1535"/>
      <c r="F16" s="1535"/>
      <c r="G16" s="1535"/>
      <c r="H16" s="1535"/>
      <c r="I16" s="1535"/>
      <c r="J16" s="1535"/>
      <c r="K16" s="1535"/>
      <c r="L16" s="18"/>
    </row>
    <row r="17" spans="1:12" s="3" customFormat="1" ht="12.75" customHeight="1" x14ac:dyDescent="0.3">
      <c r="B17" s="585"/>
      <c r="C17" s="585"/>
      <c r="D17" s="1501"/>
      <c r="E17" s="1501"/>
      <c r="F17" s="1501"/>
      <c r="G17" s="1501"/>
      <c r="H17" s="1501"/>
      <c r="I17" s="1501"/>
      <c r="J17" s="1501"/>
      <c r="K17" s="1501"/>
      <c r="L17" s="18"/>
    </row>
    <row r="18" spans="1:12" s="3" customFormat="1" ht="134.55000000000001" customHeight="1" x14ac:dyDescent="0.3">
      <c r="A18" s="3" t="str">
        <f>IF('Non TB - Note 11'!F3=1,"Print","Do Not Print")</f>
        <v>Print</v>
      </c>
      <c r="B18" s="585"/>
      <c r="C18" s="585"/>
      <c r="D18" s="1504" t="str">
        <f>IF('Non TB - Note 11'!F3=1,'Non TB - Note 11'!H3,"")</f>
        <v>In 2025/26, the Council made two material changes to its accounting estimates for property, plant and equipment:
- During the revaluation of the Council's office accommodation, remaining useful lives were reviewed criticially for all properties occupied by the Council.  As a result, the depreciation charge for the properties of £x for 2025/26 was £x lower than it would have been if the useful lives assessed in 2024/25 had been used for the calculations.  The impact of this change will carry forward into 2025/26 and will also affect future years.
- It has been determined that a unit of consumption depreciation methodology is a more effective measure of the use of the Council's vehicle fleet than straight line calculations.  The change in methodology has resulted in a depreciation charge £x higher than would have been calculated under previous methodology.  The impact of this change will carry forward into 2025/26 and will also affect future years.</v>
      </c>
      <c r="E18" s="1504"/>
      <c r="F18" s="1504"/>
      <c r="G18" s="1504"/>
      <c r="H18" s="1504"/>
      <c r="I18" s="1504"/>
      <c r="J18" s="1504"/>
      <c r="K18" s="1504"/>
      <c r="L18" s="18"/>
    </row>
    <row r="19" spans="1:12" s="3" customFormat="1" ht="12.75" customHeight="1" x14ac:dyDescent="0.3">
      <c r="B19" s="585"/>
      <c r="C19" s="585"/>
      <c r="D19" s="1501"/>
      <c r="E19" s="1501"/>
      <c r="F19" s="1501"/>
      <c r="G19" s="1501"/>
      <c r="H19" s="1501"/>
      <c r="I19" s="1501"/>
      <c r="J19" s="1501"/>
      <c r="K19" s="1501"/>
      <c r="L19" s="18"/>
    </row>
    <row r="20" spans="1:12" s="3" customFormat="1" ht="12.75" customHeight="1" x14ac:dyDescent="0.3">
      <c r="A20" s="3" t="str">
        <f>IF('Non TB - Note 11'!F4=1,"Print","Do Not Print")</f>
        <v>Print</v>
      </c>
      <c r="B20" s="585"/>
      <c r="C20" s="585"/>
      <c r="D20" s="1535" t="str">
        <f>IF('Non TB - Note 11'!F4=1,'Non TB - Note 11'!E4,"")</f>
        <v>Revaluations</v>
      </c>
      <c r="E20" s="1535"/>
      <c r="F20" s="1535"/>
      <c r="G20" s="1535"/>
      <c r="H20" s="1535"/>
      <c r="I20" s="1535"/>
      <c r="J20" s="1535"/>
      <c r="K20" s="1535"/>
      <c r="L20" s="18"/>
    </row>
    <row r="21" spans="1:12" s="3" customFormat="1" ht="12.75" customHeight="1" x14ac:dyDescent="0.3">
      <c r="B21" s="585"/>
      <c r="C21" s="585"/>
      <c r="D21" s="1501"/>
      <c r="E21" s="1501"/>
      <c r="F21" s="1501"/>
      <c r="G21" s="1501"/>
      <c r="H21" s="1501"/>
      <c r="I21" s="1501"/>
      <c r="J21" s="1501"/>
      <c r="K21" s="1501"/>
      <c r="L21" s="18"/>
    </row>
    <row r="22" spans="1:12" s="3" customFormat="1" ht="81.599999999999994" customHeight="1" x14ac:dyDescent="0.3">
      <c r="A22" s="3" t="str">
        <f>IF('Non TB - Note 11'!F4=1,"Print","Do Not Print")</f>
        <v>Print</v>
      </c>
      <c r="B22" s="585"/>
      <c r="C22" s="585"/>
      <c r="D22" s="1506" t="str">
        <f>IF('Non TB - Note 11'!F4=1,'Non TB - Note 11'!H4,"")</f>
        <v>The Council carries out a rolling programme that ensures that all property, plant and equipments required to be measured at current value is revalued at least every five years.  All valuations were carried out internally.  Valuations of land and buildings were carried out in accordance with the methodologies and basis for estimation set out in the professional standards of the Royal Institution of Chartered Surveyors.  Valuations of vehicles, plant, furniture and equipment are based on current prices where there is an active second-hand market or latest list prices adjusted for the condition of the asset.</v>
      </c>
      <c r="E22" s="1506"/>
      <c r="F22" s="1506"/>
      <c r="G22" s="1506"/>
      <c r="H22" s="1506"/>
      <c r="I22" s="1506"/>
      <c r="J22" s="1506"/>
      <c r="K22" s="1506"/>
      <c r="L22" s="18"/>
    </row>
    <row r="23" spans="1:12" s="3" customFormat="1" ht="12.75" customHeight="1" x14ac:dyDescent="0.3">
      <c r="B23" s="585"/>
      <c r="C23" s="585"/>
      <c r="D23" s="1501"/>
      <c r="E23" s="1501"/>
      <c r="F23" s="1501"/>
      <c r="G23" s="1501"/>
      <c r="H23" s="1501"/>
      <c r="I23" s="1501"/>
      <c r="J23" s="1501"/>
      <c r="K23" s="1501"/>
      <c r="L23" s="18"/>
    </row>
    <row r="24" spans="1:12" s="3" customFormat="1" ht="53.1" customHeight="1" x14ac:dyDescent="0.3">
      <c r="A24" s="3" t="str">
        <f>IF('Non TB - Note 11'!F5=1,"Print","Do Not Print")</f>
        <v>Print</v>
      </c>
      <c r="B24" s="585"/>
      <c r="C24" s="585"/>
      <c r="D24" s="1506" t="str">
        <f>IF('Non TB - Note 11'!F5=1,'Non TB - Note 11'!H5,"")</f>
        <v>The significant assumptions applied in estimating the current values of property, plant and equipment are:
- assumption a
- assumption b
- assumption c</v>
      </c>
      <c r="E24" s="1506"/>
      <c r="F24" s="1506"/>
      <c r="G24" s="1506"/>
      <c r="H24" s="1506"/>
      <c r="I24" s="1506"/>
      <c r="J24" s="1506"/>
      <c r="K24" s="1506"/>
      <c r="L24" s="18"/>
    </row>
    <row r="25" spans="1:12" s="3" customFormat="1" ht="12.75" customHeight="1" x14ac:dyDescent="0.3">
      <c r="B25" s="585"/>
      <c r="C25" s="585"/>
      <c r="D25" s="1501"/>
      <c r="E25" s="1501"/>
      <c r="F25" s="1501"/>
      <c r="G25" s="1501"/>
      <c r="H25" s="1501"/>
      <c r="I25" s="1501"/>
      <c r="J25" s="1501"/>
      <c r="K25" s="1501"/>
      <c r="L25" s="18"/>
    </row>
    <row r="26" spans="1:12" s="3" customFormat="1" ht="12.75" customHeight="1" x14ac:dyDescent="0.3">
      <c r="A26" s="3" t="str">
        <f>IF('Non TB - Note 11'!F6=1,"Print","Do Not Print")</f>
        <v>Print</v>
      </c>
      <c r="B26" s="585"/>
      <c r="C26" s="585"/>
      <c r="D26" s="1535" t="str">
        <f>IF('Non TB - Note 11'!F6=1,'Non TB - Note 11'!E6,"")</f>
        <v>Non-operational Property, Plant and Equipment (Surplus Assets)</v>
      </c>
      <c r="E26" s="1535"/>
      <c r="F26" s="1535"/>
      <c r="G26" s="1535"/>
      <c r="H26" s="1535"/>
      <c r="I26" s="1535"/>
      <c r="J26" s="1535"/>
      <c r="K26" s="1535"/>
      <c r="L26" s="18"/>
    </row>
    <row r="27" spans="1:12" s="3" customFormat="1" ht="12.75" customHeight="1" x14ac:dyDescent="0.3">
      <c r="B27" s="585"/>
      <c r="C27" s="585"/>
      <c r="D27" s="1501"/>
      <c r="E27" s="1501"/>
      <c r="F27" s="1501"/>
      <c r="G27" s="1501"/>
      <c r="H27" s="1501"/>
      <c r="I27" s="1501"/>
      <c r="J27" s="1501"/>
      <c r="K27" s="1501"/>
      <c r="L27" s="18"/>
    </row>
    <row r="28" spans="1:12" s="3" customFormat="1" ht="12.6" customHeight="1" x14ac:dyDescent="0.3">
      <c r="A28" s="3" t="str">
        <f>IF('Non TB - Note 11'!F6=1,"Print","Do Not Print")</f>
        <v>Print</v>
      </c>
      <c r="B28" s="585"/>
      <c r="C28" s="585"/>
      <c r="D28" s="1501" t="str">
        <f>IF('Non TB - Note 11'!F6=1,'Non TB - Note 11'!H6,"")</f>
        <v>The Council does not have material surplus assets.</v>
      </c>
      <c r="E28" s="1501"/>
      <c r="F28" s="1501"/>
      <c r="G28" s="1501"/>
      <c r="H28" s="1501"/>
      <c r="I28" s="1501"/>
      <c r="J28" s="1501"/>
      <c r="K28" s="1501"/>
      <c r="L28" s="18"/>
    </row>
    <row r="29" spans="1:12" s="3" customFormat="1" ht="12.75" customHeight="1" x14ac:dyDescent="0.3">
      <c r="B29" s="585"/>
      <c r="C29" s="585"/>
      <c r="D29" s="1501"/>
      <c r="E29" s="1501"/>
      <c r="F29" s="1501"/>
      <c r="G29" s="1501"/>
      <c r="H29" s="1501"/>
      <c r="I29" s="1501"/>
      <c r="J29" s="1501"/>
      <c r="K29" s="1501"/>
      <c r="L29" s="18"/>
    </row>
    <row r="30" spans="1:12" s="3" customFormat="1" ht="12.75" customHeight="1" x14ac:dyDescent="0.3">
      <c r="B30" s="585"/>
      <c r="C30" s="585" t="str">
        <f>Checklist!E93</f>
        <v>d</v>
      </c>
      <c r="D30" s="469" t="s">
        <v>354</v>
      </c>
      <c r="E30" s="483"/>
      <c r="F30" s="483"/>
      <c r="G30" s="483"/>
      <c r="H30" s="483"/>
      <c r="I30" s="484"/>
      <c r="J30" s="484"/>
      <c r="K30" s="484"/>
      <c r="L30" s="18"/>
    </row>
    <row r="31" spans="1:12" s="3" customFormat="1" ht="12.75" customHeight="1" x14ac:dyDescent="0.3">
      <c r="B31" s="585"/>
      <c r="C31" s="585"/>
      <c r="D31" s="1501"/>
      <c r="E31" s="1501"/>
      <c r="F31" s="1501"/>
      <c r="G31" s="1501"/>
      <c r="H31" s="1501"/>
      <c r="I31" s="1501"/>
      <c r="J31" s="1501"/>
      <c r="K31" s="1501"/>
      <c r="L31" s="18"/>
    </row>
    <row r="32" spans="1:12" s="3" customFormat="1" ht="40.5" customHeight="1" x14ac:dyDescent="0.3">
      <c r="A32" s="3" t="str">
        <f>IF('Non TB - Note 11'!F7=1,"Print","Do Not Print")</f>
        <v>Print</v>
      </c>
      <c r="B32" s="585"/>
      <c r="C32" s="585"/>
      <c r="D32" s="1504" t="str">
        <f>IF('Non TB - Note 11'!F7=1,'Non TB - Note 11'!H7,"")</f>
        <v>The Council accounts for its software as intangible assets, to the extent that the software is not an integral part of a particular IT system and accounted for as part of the hardware item of property, plant and equipment.  The intangible assets include both purchased licenses and internally generally software.</v>
      </c>
      <c r="E32" s="1504"/>
      <c r="F32" s="1504"/>
      <c r="G32" s="1504"/>
      <c r="H32" s="1504"/>
      <c r="I32" s="1504"/>
      <c r="J32" s="1504"/>
      <c r="K32" s="1504"/>
    </row>
    <row r="33" spans="1:11" x14ac:dyDescent="0.3">
      <c r="A33" s="3" t="str">
        <f>IF(A32="Print","Print","Do Not Print")</f>
        <v>Print</v>
      </c>
      <c r="D33" s="1500"/>
      <c r="E33" s="1500"/>
      <c r="F33" s="1500"/>
      <c r="G33" s="1500"/>
      <c r="H33" s="1500"/>
      <c r="I33" s="1500"/>
      <c r="J33" s="1500"/>
      <c r="K33" s="1500"/>
    </row>
    <row r="34" spans="1:11" ht="38.25" customHeight="1" x14ac:dyDescent="0.3">
      <c r="A34" s="3" t="str">
        <f>IF('Non TB - Note 11'!F8=1,"Print","Do Not Print")</f>
        <v>Print</v>
      </c>
      <c r="D34" s="1504" t="str">
        <f>IF('Non TB - Note 11'!F8=1,'Non TB - Note 11'!H8,"")</f>
        <v>All software is given a finite useful life, based on assessment of the period that the software is expected to be of use to the Council.  The useful lives assigned to the major software suites used by the Council are given in Note 1: Accounting Policies.</v>
      </c>
      <c r="E34" s="1504"/>
      <c r="F34" s="1504"/>
      <c r="G34" s="1504"/>
      <c r="H34" s="1504"/>
      <c r="I34" s="1504"/>
      <c r="J34" s="1504"/>
      <c r="K34" s="1504"/>
    </row>
    <row r="35" spans="1:11" x14ac:dyDescent="0.3">
      <c r="A35" s="3" t="str">
        <f>IF(A34="Print","Print","Do Not Print")</f>
        <v>Print</v>
      </c>
      <c r="D35" s="1500"/>
      <c r="E35" s="1500"/>
      <c r="F35" s="1500"/>
      <c r="G35" s="1500"/>
      <c r="H35" s="1500"/>
      <c r="I35" s="1500"/>
      <c r="J35" s="1500"/>
      <c r="K35" s="1500"/>
    </row>
    <row r="36" spans="1:11" ht="57" customHeight="1" x14ac:dyDescent="0.3">
      <c r="A36" s="3" t="str">
        <f>IF('Non TB - Note 11'!F9=1,"Print","Do Not Print")</f>
        <v>Print</v>
      </c>
      <c r="D36" s="1504" t="str">
        <f>IF('Non TB - Note 11'!F9=1,'Non TB - Note 11'!H9,"")</f>
        <v>The carrying amount of intangible assets is amortised on a straight-line basis.  The amortisation of £x charged to revenue in 2025/26 was charged to the IT Administration cost centre and then absorbed as an overhead across all the service headings in the Cost of Services.  It is not possible to quantify exactly how much of the amortisation is attributable to each service heading.</v>
      </c>
      <c r="E36" s="1504"/>
      <c r="F36" s="1504"/>
      <c r="G36" s="1504"/>
      <c r="H36" s="1504"/>
      <c r="I36" s="1504"/>
      <c r="J36" s="1504"/>
      <c r="K36" s="1504"/>
    </row>
    <row r="37" spans="1:11" x14ac:dyDescent="0.3">
      <c r="A37" s="3" t="str">
        <f>IF(A36="Print","Print","Do Not Print")</f>
        <v>Print</v>
      </c>
      <c r="D37" s="1500"/>
      <c r="E37" s="1500"/>
      <c r="F37" s="1500"/>
      <c r="G37" s="1500"/>
      <c r="H37" s="1500"/>
      <c r="I37" s="1500"/>
      <c r="J37" s="1500"/>
      <c r="K37" s="1500"/>
    </row>
    <row r="38" spans="1:11" x14ac:dyDescent="0.3">
      <c r="A38" s="3" t="str">
        <f>IF(A51="Print","Print","Do Not Print")</f>
        <v>Do Not Print</v>
      </c>
      <c r="D38" s="474" t="s">
        <v>354</v>
      </c>
      <c r="E38" s="474"/>
      <c r="F38" s="479"/>
      <c r="G38" s="479"/>
      <c r="H38" s="479"/>
      <c r="I38" s="479"/>
      <c r="J38" s="586" t="str">
        <f>'Standing Data'!D34</f>
        <v>2025/26</v>
      </c>
      <c r="K38" s="586" t="str">
        <f>'Standing Data'!D52</f>
        <v>2024/25</v>
      </c>
    </row>
    <row r="39" spans="1:11" x14ac:dyDescent="0.3">
      <c r="A39" s="3" t="str">
        <f>IF(A38="Print","Print","Do Not Print")</f>
        <v>Do Not Print</v>
      </c>
      <c r="D39" s="471"/>
      <c r="E39" s="471"/>
      <c r="F39" s="471"/>
      <c r="G39" s="471"/>
      <c r="H39" s="471"/>
      <c r="I39" s="471"/>
      <c r="J39" s="483" t="s">
        <v>450</v>
      </c>
      <c r="K39" s="483" t="s">
        <v>450</v>
      </c>
    </row>
    <row r="40" spans="1:11" x14ac:dyDescent="0.3">
      <c r="A40" s="3" t="str">
        <f>IF(A51="Print","Print","Do Not Print")</f>
        <v>Do Not Print</v>
      </c>
      <c r="D40" s="1504" t="s">
        <v>2517</v>
      </c>
      <c r="E40" s="1504"/>
      <c r="F40" s="1504"/>
      <c r="G40" s="1504"/>
      <c r="H40" s="1504"/>
      <c r="I40" s="1504"/>
    </row>
    <row r="41" spans="1:11" x14ac:dyDescent="0.3">
      <c r="A41" s="3" t="str">
        <f>IF(A51="Print","Print","Do Not Print")</f>
        <v>Do Not Print</v>
      </c>
      <c r="D41" s="1504" t="s">
        <v>2648</v>
      </c>
      <c r="E41" s="1504"/>
      <c r="F41" s="1504"/>
      <c r="G41" s="1504"/>
      <c r="H41" s="1504"/>
      <c r="I41" s="1504"/>
      <c r="J41" s="525">
        <f>'Det BS '!J232+'Det BS '!J233</f>
        <v>0</v>
      </c>
      <c r="K41" s="525">
        <f>'Det BS '!K232+'Det BS '!K233</f>
        <v>0</v>
      </c>
    </row>
    <row r="42" spans="1:11" x14ac:dyDescent="0.3">
      <c r="A42" s="3" t="str">
        <f>IF(A51="Print","Print","Do Not Print")</f>
        <v>Do Not Print</v>
      </c>
      <c r="D42" s="1504" t="s">
        <v>2649</v>
      </c>
      <c r="E42" s="1504"/>
      <c r="F42" s="1504"/>
      <c r="G42" s="1504"/>
      <c r="H42" s="1504"/>
      <c r="I42" s="1504"/>
      <c r="J42" s="1117">
        <f>'Det BS '!J243+'Det BS '!J244</f>
        <v>0</v>
      </c>
      <c r="K42" s="1117">
        <f>'Det BS '!K243+'Det BS '!K244</f>
        <v>0</v>
      </c>
    </row>
    <row r="43" spans="1:11" x14ac:dyDescent="0.3">
      <c r="A43" s="3" t="str">
        <f>IF(A51="Print","Print","Do Not Print")</f>
        <v>Do Not Print</v>
      </c>
      <c r="D43" s="1504" t="s">
        <v>2650</v>
      </c>
      <c r="E43" s="1504"/>
      <c r="F43" s="1504"/>
      <c r="G43" s="1504"/>
      <c r="H43" s="1504"/>
      <c r="I43" s="1504"/>
      <c r="J43" s="525">
        <f>J41-J42</f>
        <v>0</v>
      </c>
      <c r="K43" s="525">
        <f>K41-K42</f>
        <v>0</v>
      </c>
    </row>
    <row r="44" spans="1:11" x14ac:dyDescent="0.3">
      <c r="A44" s="3" t="str">
        <f>IF(OR(J44&gt;0,K44&gt;0),"Print","Do Not Print")</f>
        <v>Do Not Print</v>
      </c>
      <c r="D44" s="1504" t="s">
        <v>973</v>
      </c>
      <c r="E44" s="1504"/>
      <c r="F44" s="1504"/>
      <c r="G44" s="1504"/>
      <c r="H44" s="1504"/>
      <c r="I44" s="1504"/>
      <c r="J44" s="525">
        <f>'Det BS '!J234+'Det BS '!J235</f>
        <v>0</v>
      </c>
      <c r="K44" s="525">
        <f>'Det BS '!K234+'Det BS '!K235</f>
        <v>0</v>
      </c>
    </row>
    <row r="45" spans="1:11" x14ac:dyDescent="0.3">
      <c r="A45" s="3" t="str">
        <f t="shared" ref="A45:A51" si="1">IF(OR(J45&gt;0,K45&gt;0),"Print","Do Not Print")</f>
        <v>Do Not Print</v>
      </c>
      <c r="D45" s="1504" t="s">
        <v>2651</v>
      </c>
      <c r="E45" s="1504"/>
      <c r="F45" s="1504"/>
      <c r="G45" s="1504"/>
      <c r="H45" s="1504"/>
      <c r="I45" s="1504"/>
      <c r="J45" s="525">
        <f>'Det BS '!J242-'Det BS '!J253</f>
        <v>0</v>
      </c>
      <c r="K45" s="525">
        <f>'Det BS '!K242-'Det BS '!K253</f>
        <v>0</v>
      </c>
    </row>
    <row r="46" spans="1:11" x14ac:dyDescent="0.3">
      <c r="A46" s="3" t="str">
        <f t="shared" si="1"/>
        <v>Do Not Print</v>
      </c>
      <c r="D46" s="1504" t="s">
        <v>2652</v>
      </c>
      <c r="E46" s="1504"/>
      <c r="F46" s="1504"/>
      <c r="G46" s="1504"/>
      <c r="H46" s="1504"/>
      <c r="I46" s="1504"/>
      <c r="J46" s="525">
        <f>'Det BS '!J236+'Det BS '!J237-'Det BS '!J246-'Det BS '!J247</f>
        <v>0</v>
      </c>
      <c r="K46" s="525">
        <f>'Det BS '!K236+'Det BS '!K237-'Det BS '!K246-'Det BS '!K247</f>
        <v>0</v>
      </c>
    </row>
    <row r="47" spans="1:11" ht="14.55" customHeight="1" x14ac:dyDescent="0.3">
      <c r="A47" s="3" t="str">
        <f t="shared" si="1"/>
        <v>Do Not Print</v>
      </c>
      <c r="D47" s="1504" t="s">
        <v>2653</v>
      </c>
      <c r="E47" s="1504"/>
      <c r="F47" s="1504"/>
      <c r="G47" s="1504"/>
      <c r="H47" s="1504"/>
      <c r="I47" s="1504"/>
      <c r="J47" s="525">
        <f>'Det BS '!J249</f>
        <v>0</v>
      </c>
      <c r="K47" s="525">
        <f>'Det BS '!K249</f>
        <v>0</v>
      </c>
    </row>
    <row r="48" spans="1:11" ht="16.5" customHeight="1" x14ac:dyDescent="0.3">
      <c r="A48" s="3" t="str">
        <f t="shared" si="1"/>
        <v>Do Not Print</v>
      </c>
      <c r="D48" s="1504" t="s">
        <v>2930</v>
      </c>
      <c r="E48" s="1504"/>
      <c r="F48" s="1504"/>
      <c r="G48" s="1504"/>
      <c r="H48" s="1504"/>
      <c r="I48" s="1504"/>
      <c r="J48" s="525">
        <f>'Det BS '!J238-'Det BS '!J248</f>
        <v>0</v>
      </c>
      <c r="K48" s="525">
        <f>'Det BS '!K238-'Det BS '!K248</f>
        <v>0</v>
      </c>
    </row>
    <row r="49" spans="1:13" x14ac:dyDescent="0.3">
      <c r="A49" s="3" t="str">
        <f t="shared" si="1"/>
        <v>Do Not Print</v>
      </c>
      <c r="D49" s="1504" t="s">
        <v>2654</v>
      </c>
      <c r="E49" s="1504"/>
      <c r="F49" s="1504"/>
      <c r="G49" s="1504"/>
      <c r="H49" s="1504"/>
      <c r="I49" s="1504"/>
      <c r="J49" s="525">
        <f>'Det BS '!J245</f>
        <v>0</v>
      </c>
      <c r="K49" s="525">
        <f>'Det BS '!K245</f>
        <v>0</v>
      </c>
    </row>
    <row r="50" spans="1:13" x14ac:dyDescent="0.3">
      <c r="A50" s="3" t="str">
        <f>IF(OR(J50&gt;0,K50&gt;0),"Print","Do Not Print")</f>
        <v>Do Not Print</v>
      </c>
      <c r="D50" s="1504" t="s">
        <v>2655</v>
      </c>
      <c r="E50" s="1504"/>
      <c r="F50" s="1504"/>
      <c r="G50" s="1504"/>
      <c r="H50" s="1504"/>
      <c r="I50" s="1504"/>
      <c r="J50" s="525">
        <f>'Det BS '!J239+'Det BS '!J240+'Det BS '!J241-'Det BS '!J250-'Det BS '!J251-'Det BS '!J252</f>
        <v>0</v>
      </c>
      <c r="K50" s="525">
        <f>'Det BS '!K239+'Det BS '!K240+'Det BS '!K241-'Det BS '!K250-'Det BS '!K251-'Det BS '!K252</f>
        <v>0</v>
      </c>
    </row>
    <row r="51" spans="1:13" x14ac:dyDescent="0.3">
      <c r="A51" s="3" t="str">
        <f t="shared" si="1"/>
        <v>Do Not Print</v>
      </c>
      <c r="D51" s="1828" t="s">
        <v>2656</v>
      </c>
      <c r="E51" s="1828"/>
      <c r="F51" s="1828"/>
      <c r="G51" s="1828"/>
      <c r="H51" s="1828"/>
      <c r="I51" s="1828"/>
      <c r="J51" s="587">
        <f>SUM(J43:J50)</f>
        <v>0</v>
      </c>
      <c r="K51" s="587">
        <f>SUM(K43:K50)</f>
        <v>0</v>
      </c>
    </row>
    <row r="52" spans="1:13" x14ac:dyDescent="0.3">
      <c r="A52" s="3" t="str">
        <f>IF(A51="Print","Print","Do Not Print")</f>
        <v>Do Not Print</v>
      </c>
      <c r="D52" s="401"/>
      <c r="J52" s="525"/>
      <c r="K52" s="525"/>
    </row>
    <row r="53" spans="1:13" x14ac:dyDescent="0.3">
      <c r="A53" s="3" t="str">
        <f>IF(A56="Print","Print","Do Not Print")</f>
        <v>Do Not Print</v>
      </c>
      <c r="D53" s="401" t="s">
        <v>2657</v>
      </c>
      <c r="J53" s="525"/>
      <c r="K53" s="525"/>
    </row>
    <row r="54" spans="1:13" x14ac:dyDescent="0.3">
      <c r="A54" s="3" t="str">
        <f>IF(OR(J54&gt;0,K54&gt;0),"Print","Do Not Print")</f>
        <v>Do Not Print</v>
      </c>
      <c r="D54" s="401" t="s">
        <v>2648</v>
      </c>
      <c r="J54" s="525">
        <f>SUM('Det BS '!J232:J242)</f>
        <v>0</v>
      </c>
      <c r="K54" s="525">
        <f>SUM('Det BS '!K232:K242)</f>
        <v>0</v>
      </c>
    </row>
    <row r="55" spans="1:13" x14ac:dyDescent="0.3">
      <c r="A55" s="3" t="str">
        <f t="shared" ref="A55:A56" si="2">IF(OR(J55&gt;0,K55&gt;0),"Print","Do Not Print")</f>
        <v>Do Not Print</v>
      </c>
      <c r="D55" s="401" t="s">
        <v>2649</v>
      </c>
      <c r="J55" s="525">
        <f>SUM('Det BS '!J243:J245)-'Det BS '!J246-'Det BS '!J247+SUM('Det BS '!J248:J253)</f>
        <v>0</v>
      </c>
      <c r="K55" s="525">
        <f>SUM('Det BS '!K243:K245)-'Det BS '!K246-'Det BS '!K247+SUM('Det BS '!K248:K253)</f>
        <v>0</v>
      </c>
    </row>
    <row r="56" spans="1:13" x14ac:dyDescent="0.3">
      <c r="A56" s="3" t="str">
        <f t="shared" si="2"/>
        <v>Do Not Print</v>
      </c>
      <c r="D56" s="479" t="s">
        <v>2656</v>
      </c>
      <c r="E56" s="479"/>
      <c r="F56" s="479"/>
      <c r="G56" s="479"/>
      <c r="H56" s="479"/>
      <c r="I56" s="479"/>
      <c r="J56" s="587">
        <f>J54-J55</f>
        <v>0</v>
      </c>
      <c r="K56" s="587">
        <f>K54-K55</f>
        <v>0</v>
      </c>
    </row>
    <row r="57" spans="1:13" x14ac:dyDescent="0.3">
      <c r="A57" s="3" t="str">
        <f>IF(A56="Print","Print","Do Not Print")</f>
        <v>Do Not Print</v>
      </c>
      <c r="D57" s="401"/>
    </row>
    <row r="58" spans="1:13" x14ac:dyDescent="0.3">
      <c r="A58" s="3" t="str">
        <f>IF('Non TB - Note 11'!F11=1,"Print","Do Not Print")</f>
        <v>Print</v>
      </c>
      <c r="D58" s="1500" t="str">
        <f>IF('Non TB - Note 11'!F11=1,'Non TB - Note 11'!H11,"")</f>
        <v>There are 4 items of capitalised software that are individually material to the financial statements:</v>
      </c>
      <c r="E58" s="1500"/>
      <c r="F58" s="1500"/>
      <c r="G58" s="1500"/>
      <c r="H58" s="1500"/>
      <c r="I58" s="1500"/>
      <c r="J58" s="1500"/>
      <c r="K58" s="1500"/>
    </row>
    <row r="59" spans="1:13" x14ac:dyDescent="0.3">
      <c r="A59" s="3" t="str">
        <f>IF(A58="Print","Print","Do Not Print")</f>
        <v>Print</v>
      </c>
      <c r="D59" s="1500"/>
      <c r="E59" s="1500"/>
      <c r="F59" s="1500"/>
      <c r="G59" s="1500"/>
      <c r="H59" s="1500"/>
      <c r="I59" s="1500"/>
      <c r="J59" s="1500"/>
      <c r="K59" s="1500"/>
    </row>
    <row r="60" spans="1:13" x14ac:dyDescent="0.3">
      <c r="A60" s="3" t="str">
        <f>IF(AND(J67=0,K67=0),"Do Not Print","Print")</f>
        <v>Do Not Print</v>
      </c>
      <c r="D60" s="474" t="s">
        <v>354</v>
      </c>
      <c r="E60" s="474"/>
      <c r="F60" s="479"/>
      <c r="G60" s="479"/>
      <c r="H60" s="479"/>
      <c r="I60" s="479"/>
      <c r="J60" s="586">
        <f>'Standing Data'!D44</f>
        <v>46112</v>
      </c>
      <c r="K60" s="586">
        <f>'Standing Data'!D72</f>
        <v>45747</v>
      </c>
      <c r="L60" s="3"/>
      <c r="M60" s="3"/>
    </row>
    <row r="61" spans="1:13" x14ac:dyDescent="0.3">
      <c r="A61" s="3" t="str">
        <f>IF(AND(J67=0,K67=0),"Do Not Print","Print")</f>
        <v>Do Not Print</v>
      </c>
      <c r="D61" s="471"/>
      <c r="E61" s="471"/>
      <c r="F61" s="471"/>
      <c r="G61" s="471"/>
      <c r="H61" s="471"/>
      <c r="I61" s="471"/>
      <c r="J61" s="483" t="s">
        <v>450</v>
      </c>
      <c r="K61" s="483" t="s">
        <v>450</v>
      </c>
    </row>
    <row r="62" spans="1:13" x14ac:dyDescent="0.3">
      <c r="A62" s="3" t="str">
        <f>IF(AND(J62=0,K62=0),"Do Not Print","Print")</f>
        <v>Do Not Print</v>
      </c>
      <c r="D62" s="1991"/>
      <c r="E62" s="1738" t="str">
        <f>IF('Non TB - Note 11'!F12=1,'Non TB - Note 11'!E12,"")</f>
        <v>Item A</v>
      </c>
      <c r="F62" s="1803"/>
      <c r="G62" s="1803"/>
      <c r="H62" s="1803"/>
      <c r="I62" s="1739"/>
      <c r="J62" s="503">
        <f>'Non TB - Note 11'!H12</f>
        <v>0</v>
      </c>
      <c r="K62" s="503">
        <f>'Non TB - Note 11'!I12</f>
        <v>0</v>
      </c>
    </row>
    <row r="63" spans="1:13" x14ac:dyDescent="0.3">
      <c r="A63" s="3" t="str">
        <f>IF(AND(J63=0,K63=0),"Do Not Print","Print")</f>
        <v>Do Not Print</v>
      </c>
      <c r="D63" s="1992"/>
      <c r="E63" s="1738" t="str">
        <f>IF('Non TB - Note 11'!F13=1,'Non TB - Note 11'!E13,"")</f>
        <v>Item B</v>
      </c>
      <c r="F63" s="1803"/>
      <c r="G63" s="1803"/>
      <c r="H63" s="1803"/>
      <c r="I63" s="1739"/>
      <c r="J63" s="503">
        <f>'Non TB - Note 11'!H13</f>
        <v>0</v>
      </c>
      <c r="K63" s="503">
        <f>'Non TB - Note 11'!I13</f>
        <v>0</v>
      </c>
    </row>
    <row r="64" spans="1:13" x14ac:dyDescent="0.3">
      <c r="A64" s="3" t="str">
        <f>IF(AND(J64=0,K64=0),"Do Not Print","Print")</f>
        <v>Do Not Print</v>
      </c>
      <c r="D64" s="1993"/>
      <c r="E64" s="1738" t="str">
        <f>IF('Non TB - Note 11'!F14=1,'Non TB - Note 11'!E14,"")</f>
        <v>Item C</v>
      </c>
      <c r="F64" s="1803"/>
      <c r="G64" s="1803"/>
      <c r="H64" s="1803"/>
      <c r="I64" s="1739"/>
      <c r="J64" s="503">
        <f>'Non TB - Note 11'!H14</f>
        <v>0</v>
      </c>
      <c r="K64" s="503">
        <f>'Non TB - Note 11'!I14</f>
        <v>0</v>
      </c>
    </row>
    <row r="65" spans="1:11" x14ac:dyDescent="0.3">
      <c r="A65" s="3" t="str">
        <f>IF(AND(J65=0,K65=0),"Do Not Print","Print")</f>
        <v>Do Not Print</v>
      </c>
      <c r="D65" s="421"/>
      <c r="E65" s="1738" t="str">
        <f>IF('Non TB - Note 11'!F15=1,'Non TB - Note 11'!E15,"")</f>
        <v>Item D</v>
      </c>
      <c r="F65" s="1803"/>
      <c r="G65" s="1803"/>
      <c r="H65" s="1803"/>
      <c r="I65" s="1739"/>
      <c r="J65" s="503">
        <f>'Non TB - Note 11'!H15</f>
        <v>0</v>
      </c>
      <c r="K65" s="503">
        <f>'Non TB - Note 11'!I15</f>
        <v>0</v>
      </c>
    </row>
    <row r="66" spans="1:11" x14ac:dyDescent="0.3">
      <c r="A66" s="3" t="str">
        <f>IF(AND(J67=0,K67=0),"Do Not Print","Print")</f>
        <v>Do Not Print</v>
      </c>
      <c r="C66" s="402"/>
      <c r="D66" s="947"/>
      <c r="E66" s="947"/>
      <c r="F66" s="947"/>
      <c r="G66" s="947"/>
      <c r="H66" s="947"/>
      <c r="I66" s="947"/>
      <c r="J66" s="947"/>
      <c r="K66" s="947"/>
    </row>
    <row r="67" spans="1:11" x14ac:dyDescent="0.3">
      <c r="A67" s="3" t="str">
        <f>IF(AND(J67=0,K67=0),"Do Not Print","Print")</f>
        <v>Do Not Print</v>
      </c>
      <c r="D67" s="479"/>
      <c r="E67" s="479"/>
      <c r="F67" s="479"/>
      <c r="G67" s="479"/>
      <c r="H67" s="479"/>
      <c r="I67" s="479"/>
      <c r="J67" s="587">
        <f>SUM(J62:J65)</f>
        <v>0</v>
      </c>
      <c r="K67" s="587">
        <f>SUM(K62:K65)</f>
        <v>0</v>
      </c>
    </row>
    <row r="68" spans="1:11" x14ac:dyDescent="0.3">
      <c r="A68" s="3" t="str">
        <f>IF(A67="Print","Print","Do Not Print")</f>
        <v>Do Not Print</v>
      </c>
      <c r="D68" s="401"/>
    </row>
    <row r="69" spans="1:11" x14ac:dyDescent="0.3">
      <c r="A69" s="3" t="str">
        <f>IF(OR(A71="Print",A77="Print",A79="Print",A81="Print",A92="Print",A94="Print",A112="Print",A118="Print",A140="Print",A158="Print",A166="Print"),"Print","Do Not Print")</f>
        <v>Print</v>
      </c>
      <c r="C69" s="585" t="str">
        <f>Checklist!E94</f>
        <v>e</v>
      </c>
      <c r="D69" s="469" t="s">
        <v>902</v>
      </c>
      <c r="E69" s="483"/>
      <c r="F69" s="483"/>
      <c r="G69" s="483"/>
      <c r="H69" s="483"/>
      <c r="I69" s="484"/>
      <c r="J69" s="484"/>
      <c r="K69" s="484"/>
    </row>
    <row r="70" spans="1:11" x14ac:dyDescent="0.3">
      <c r="A70" s="3" t="str">
        <f>IF(A69="Print","Print","Do Not Print")</f>
        <v>Print</v>
      </c>
      <c r="D70" s="1500"/>
      <c r="E70" s="1500"/>
      <c r="F70" s="1500"/>
      <c r="G70" s="1500"/>
      <c r="H70" s="1500"/>
      <c r="I70" s="1500"/>
      <c r="J70" s="1500"/>
      <c r="K70" s="1500"/>
    </row>
    <row r="71" spans="1:11" ht="29.1" customHeight="1" x14ac:dyDescent="0.3">
      <c r="A71" s="3" t="str">
        <f>IF('Non TB - Note 11'!F16=1,"Print","Do Not Print")</f>
        <v>Print</v>
      </c>
      <c r="D71" s="1504" t="str">
        <f>IF('Non TB - Note 11'!F16=1,'Non TB - Note 11'!H16,"")</f>
        <v>The following items of income and expense have been accounted for in the Financing and Investment Income and Expenditure line in the Comprehensive Income and Expenditure Statement:</v>
      </c>
      <c r="E71" s="1504"/>
      <c r="F71" s="1504"/>
      <c r="G71" s="1504"/>
      <c r="H71" s="1504"/>
      <c r="I71" s="1504"/>
      <c r="J71" s="1504"/>
      <c r="K71" s="1504"/>
    </row>
    <row r="72" spans="1:11" x14ac:dyDescent="0.3">
      <c r="A72" s="3" t="str">
        <f>IF(A71="Print","Print","Do Not Print")</f>
        <v>Print</v>
      </c>
      <c r="D72" s="1500"/>
      <c r="E72" s="1500"/>
      <c r="F72" s="1500"/>
      <c r="G72" s="1500"/>
      <c r="H72" s="1500"/>
      <c r="I72" s="1500"/>
      <c r="J72" s="1500"/>
      <c r="K72" s="1500"/>
    </row>
    <row r="73" spans="1:11" x14ac:dyDescent="0.3">
      <c r="A73" s="3" t="str">
        <f>IF(A77="Print","Print","Do Not Print")</f>
        <v>Do Not Print</v>
      </c>
      <c r="D73" s="474" t="s">
        <v>902</v>
      </c>
      <c r="E73" s="474"/>
      <c r="F73" s="479"/>
      <c r="G73" s="479"/>
      <c r="H73" s="479"/>
      <c r="I73" s="479"/>
      <c r="J73" s="586">
        <f>J60</f>
        <v>46112</v>
      </c>
      <c r="K73" s="586">
        <f>K60</f>
        <v>45747</v>
      </c>
    </row>
    <row r="74" spans="1:11" x14ac:dyDescent="0.3">
      <c r="A74" s="3" t="str">
        <f>IF(A73="Print","Print","Do Not Print")</f>
        <v>Do Not Print</v>
      </c>
      <c r="D74" s="471"/>
      <c r="E74" s="471"/>
      <c r="F74" s="471"/>
      <c r="G74" s="471"/>
      <c r="H74" s="471"/>
      <c r="I74" s="471"/>
      <c r="J74" s="483" t="s">
        <v>450</v>
      </c>
      <c r="K74" s="483" t="s">
        <v>450</v>
      </c>
    </row>
    <row r="75" spans="1:11" x14ac:dyDescent="0.3">
      <c r="A75" s="3" t="str">
        <f>IF(AND(J75=0,K75=0),"Do Not Print","Print")</f>
        <v>Do Not Print</v>
      </c>
      <c r="D75" s="1785" t="s">
        <v>1284</v>
      </c>
      <c r="E75" s="1786"/>
      <c r="F75" s="1786"/>
      <c r="G75" s="1786"/>
      <c r="H75" s="1786"/>
      <c r="I75" s="1739"/>
      <c r="J75" s="588">
        <f>-'Det CIES'!P84</f>
        <v>0</v>
      </c>
      <c r="K75" s="588">
        <f>-'Det CIES'!S84</f>
        <v>0</v>
      </c>
    </row>
    <row r="76" spans="1:11" x14ac:dyDescent="0.3">
      <c r="A76" s="3" t="str">
        <f t="shared" ref="A76:A77" si="3">IF(AND(J76=0,K76=0),"Do Not Print","Print")</f>
        <v>Do Not Print</v>
      </c>
      <c r="D76" s="1785" t="s">
        <v>1285</v>
      </c>
      <c r="E76" s="1786"/>
      <c r="F76" s="1786"/>
      <c r="G76" s="1786"/>
      <c r="H76" s="1786"/>
      <c r="I76" s="1739"/>
      <c r="J76" s="589">
        <f>-('Det CIES'!P85)</f>
        <v>0</v>
      </c>
      <c r="K76" s="589">
        <f>-'Det CIES'!S85</f>
        <v>0</v>
      </c>
    </row>
    <row r="77" spans="1:11" x14ac:dyDescent="0.3">
      <c r="A77" s="3" t="str">
        <f t="shared" si="3"/>
        <v>Do Not Print</v>
      </c>
      <c r="D77" s="1808" t="s">
        <v>1286</v>
      </c>
      <c r="E77" s="1879"/>
      <c r="F77" s="1879"/>
      <c r="G77" s="1879"/>
      <c r="H77" s="1879"/>
      <c r="I77" s="1807"/>
      <c r="J77" s="540">
        <f>SUM(J75:J76)</f>
        <v>0</v>
      </c>
      <c r="K77" s="540">
        <f>SUM(K75:K76)</f>
        <v>0</v>
      </c>
    </row>
    <row r="78" spans="1:11" x14ac:dyDescent="0.3">
      <c r="A78" s="3" t="str">
        <f>IF(A77="Print","Print","Do Not Print")</f>
        <v>Do Not Print</v>
      </c>
      <c r="D78" s="1882"/>
      <c r="E78" s="1882"/>
      <c r="F78" s="1882"/>
      <c r="G78" s="1882"/>
      <c r="H78" s="1882"/>
      <c r="I78" s="1882"/>
      <c r="J78" s="1882"/>
      <c r="K78" s="1882"/>
    </row>
    <row r="79" spans="1:11" ht="40.049999999999997" customHeight="1" x14ac:dyDescent="0.3">
      <c r="A79" s="3" t="str">
        <f>IF('Non TB - Note 11'!F17=1,"Print","Do Not Print")</f>
        <v>Print</v>
      </c>
      <c r="D79" s="1506" t="str">
        <f>IF('Non TB - Note 11'!F17=1,'Non TB - Note 11'!H17,"")</f>
        <v>There are no restrictions on the Council's ability to realise the value of inherent in its investment property or on the authority's right to the remittance of income and the proceeds of disposal.  The Council has no contractual obligations to purchase, construct or develop investment property or repairs, maintenance or enhancement.</v>
      </c>
      <c r="E79" s="1506"/>
      <c r="F79" s="1506"/>
      <c r="G79" s="1506"/>
      <c r="H79" s="1506"/>
      <c r="I79" s="1506"/>
      <c r="J79" s="1506"/>
      <c r="K79" s="1506"/>
    </row>
    <row r="80" spans="1:11" x14ac:dyDescent="0.3">
      <c r="A80" s="3" t="str">
        <f>IF(A79="Print","Print","Do Not Print")</f>
        <v>Print</v>
      </c>
      <c r="D80" s="1500"/>
      <c r="E80" s="1500"/>
      <c r="F80" s="1500"/>
      <c r="G80" s="1500"/>
      <c r="H80" s="1500"/>
      <c r="I80" s="1500"/>
      <c r="J80" s="1500"/>
      <c r="K80" s="1500"/>
    </row>
    <row r="81" spans="1:12" x14ac:dyDescent="0.3">
      <c r="A81" s="3" t="str">
        <f>IF('Non TB - Note 11'!F18=1,"Print","Do Not Print")</f>
        <v>Print</v>
      </c>
      <c r="D81" s="1500" t="str">
        <f>IF('Non TB - Note 11'!F18=1,'Non TB - Note 11'!H18,"")</f>
        <v>The following table summaries the movement in the fair value of investment properties over the year:</v>
      </c>
      <c r="E81" s="1500"/>
      <c r="F81" s="1500"/>
      <c r="G81" s="1500"/>
      <c r="H81" s="1500"/>
      <c r="I81" s="1500"/>
      <c r="J81" s="1500"/>
      <c r="K81" s="1500"/>
    </row>
    <row r="82" spans="1:12" x14ac:dyDescent="0.3">
      <c r="A82" s="3" t="str">
        <f>IF(A81="Print","Print","Do Not Print")</f>
        <v>Print</v>
      </c>
      <c r="D82" s="401"/>
    </row>
    <row r="83" spans="1:12" x14ac:dyDescent="0.3">
      <c r="A83" s="3"/>
      <c r="D83" s="474" t="s">
        <v>902</v>
      </c>
      <c r="E83" s="474"/>
      <c r="F83" s="479"/>
      <c r="G83" s="479"/>
      <c r="H83" s="479"/>
      <c r="I83" s="479"/>
      <c r="J83" s="586" t="str">
        <f>J38</f>
        <v>2025/26</v>
      </c>
      <c r="K83" s="586" t="str">
        <f>K38</f>
        <v>2024/25</v>
      </c>
    </row>
    <row r="84" spans="1:12" x14ac:dyDescent="0.3">
      <c r="A84" s="3"/>
      <c r="D84" s="471"/>
      <c r="E84" s="471"/>
      <c r="F84" s="471"/>
      <c r="G84" s="471"/>
      <c r="H84" s="471"/>
      <c r="I84" s="471"/>
      <c r="J84" s="483" t="s">
        <v>450</v>
      </c>
      <c r="K84" s="483" t="s">
        <v>450</v>
      </c>
    </row>
    <row r="85" spans="1:12" x14ac:dyDescent="0.3">
      <c r="A85" s="3"/>
      <c r="D85" s="1500" t="s">
        <v>2658</v>
      </c>
      <c r="E85" s="1500"/>
      <c r="F85" s="1500"/>
      <c r="G85" s="1500"/>
      <c r="H85" s="1500"/>
      <c r="I85" s="1500"/>
      <c r="J85" s="525">
        <f>'Det BS '!J223</f>
        <v>0</v>
      </c>
      <c r="K85" s="525">
        <f>'Det BS '!K223</f>
        <v>0</v>
      </c>
    </row>
    <row r="86" spans="1:12" x14ac:dyDescent="0.3">
      <c r="A86" s="3"/>
      <c r="D86" s="1500" t="s">
        <v>973</v>
      </c>
      <c r="E86" s="1500"/>
      <c r="F86" s="1500"/>
      <c r="G86" s="1500"/>
      <c r="H86" s="1500"/>
      <c r="I86" s="1500"/>
      <c r="J86" s="525">
        <f>'Det BS '!J224</f>
        <v>0</v>
      </c>
      <c r="K86" s="525">
        <f>'Det BS '!K224</f>
        <v>0</v>
      </c>
    </row>
    <row r="87" spans="1:12" x14ac:dyDescent="0.3">
      <c r="A87" s="3"/>
      <c r="D87" s="1500" t="s">
        <v>977</v>
      </c>
      <c r="E87" s="1500"/>
      <c r="F87" s="1500"/>
      <c r="G87" s="1500"/>
      <c r="H87" s="1500"/>
      <c r="I87" s="1500"/>
      <c r="J87" s="525">
        <f>'Det BS '!J225</f>
        <v>0</v>
      </c>
      <c r="K87" s="525">
        <f>'Det BS '!K225</f>
        <v>0</v>
      </c>
    </row>
    <row r="88" spans="1:12" x14ac:dyDescent="0.3">
      <c r="A88" s="3"/>
      <c r="D88" s="1500" t="s">
        <v>2659</v>
      </c>
      <c r="E88" s="1500"/>
      <c r="F88" s="1500"/>
      <c r="G88" s="1500"/>
      <c r="H88" s="1500"/>
      <c r="I88" s="1500"/>
      <c r="J88" s="525">
        <f>'Det BS '!J226</f>
        <v>0</v>
      </c>
      <c r="K88" s="525">
        <f>'Det BS '!K226</f>
        <v>0</v>
      </c>
    </row>
    <row r="89" spans="1:12" x14ac:dyDescent="0.3">
      <c r="A89" s="3"/>
      <c r="D89" s="1500" t="s">
        <v>2932</v>
      </c>
      <c r="E89" s="1500"/>
      <c r="F89" s="1500"/>
      <c r="G89" s="1500"/>
      <c r="H89" s="1500"/>
      <c r="I89" s="1500"/>
      <c r="J89" s="525">
        <f>'Det BS '!J227</f>
        <v>0</v>
      </c>
      <c r="K89" s="525">
        <f>'Det BS '!K227</f>
        <v>0</v>
      </c>
    </row>
    <row r="90" spans="1:12" x14ac:dyDescent="0.3">
      <c r="A90" s="3"/>
      <c r="D90" s="1500" t="s">
        <v>2933</v>
      </c>
      <c r="E90" s="1500"/>
      <c r="F90" s="1500"/>
      <c r="G90" s="1500"/>
      <c r="H90" s="1500"/>
      <c r="I90" s="1500"/>
      <c r="J90" s="525">
        <f>'Det BS '!J228</f>
        <v>0</v>
      </c>
      <c r="K90" s="525">
        <f>'Det BS '!K228</f>
        <v>0</v>
      </c>
    </row>
    <row r="91" spans="1:12" x14ac:dyDescent="0.3">
      <c r="A91" s="3"/>
      <c r="D91" s="1500" t="s">
        <v>2426</v>
      </c>
      <c r="E91" s="1500"/>
      <c r="F91" s="1500"/>
      <c r="G91" s="1500"/>
      <c r="H91" s="1500"/>
      <c r="I91" s="1500"/>
      <c r="J91" s="525">
        <f>'Det BS '!J229</f>
        <v>0</v>
      </c>
      <c r="K91" s="525">
        <f>'Det BS '!K229</f>
        <v>0</v>
      </c>
    </row>
    <row r="92" spans="1:12" x14ac:dyDescent="0.3">
      <c r="A92" s="3"/>
      <c r="D92" s="1830" t="s">
        <v>2660</v>
      </c>
      <c r="E92" s="1830"/>
      <c r="F92" s="1830"/>
      <c r="G92" s="1830"/>
      <c r="H92" s="1830"/>
      <c r="I92" s="1830"/>
      <c r="J92" s="587">
        <f>SUM(J85:J91)</f>
        <v>0</v>
      </c>
      <c r="K92" s="587">
        <f>SUM(K85:K91)</f>
        <v>0</v>
      </c>
    </row>
    <row r="93" spans="1:12" x14ac:dyDescent="0.3">
      <c r="A93" s="3" t="str">
        <f>IF(A92="Print","Print","Do Not Print")</f>
        <v>Do Not Print</v>
      </c>
      <c r="D93" s="401"/>
    </row>
    <row r="94" spans="1:12" ht="13.5" customHeight="1" x14ac:dyDescent="0.3">
      <c r="A94" s="3" t="s">
        <v>593</v>
      </c>
      <c r="D94" s="1726" t="s">
        <v>2382</v>
      </c>
      <c r="E94" s="1726"/>
      <c r="F94" s="1726"/>
      <c r="G94" s="1726"/>
      <c r="H94" s="1726"/>
      <c r="I94" s="1726"/>
      <c r="J94" s="1726"/>
      <c r="K94" s="1726"/>
      <c r="L94" s="114"/>
    </row>
    <row r="95" spans="1:12" x14ac:dyDescent="0.3">
      <c r="A95" s="3" t="s">
        <v>593</v>
      </c>
      <c r="D95" s="1500"/>
      <c r="E95" s="1500"/>
      <c r="F95" s="1500"/>
      <c r="G95" s="1500"/>
      <c r="H95" s="1500"/>
      <c r="I95" s="1500"/>
      <c r="J95" s="1500"/>
      <c r="K95" s="1500"/>
      <c r="L95" s="114"/>
    </row>
    <row r="96" spans="1:12" ht="28.05" customHeight="1" x14ac:dyDescent="0.3">
      <c r="A96" s="3" t="s">
        <v>593</v>
      </c>
      <c r="D96" s="1504" t="str">
        <f>IF('Non TB - Note 11'!F19=1,'Non TB - Note 11'!H19,"")</f>
        <v>Details of the Council's Investment Properties and information about the fair value hierarchy as at 31 March 2026 and 31 March 2025 are as follows</v>
      </c>
      <c r="E96" s="1504"/>
      <c r="F96" s="1504"/>
      <c r="G96" s="1504"/>
      <c r="H96" s="1504"/>
      <c r="I96" s="1504"/>
      <c r="J96" s="1504"/>
      <c r="K96" s="1504"/>
      <c r="L96" s="114"/>
    </row>
    <row r="97" spans="1:12" ht="12.75" customHeight="1" x14ac:dyDescent="0.3">
      <c r="A97" s="3" t="str">
        <f>IF(A96="Print","Print","Do Not Print")</f>
        <v>Do Not Print</v>
      </c>
      <c r="D97" s="1504"/>
      <c r="E97" s="1504"/>
      <c r="F97" s="1504"/>
      <c r="G97" s="1504"/>
      <c r="H97" s="1504"/>
      <c r="I97" s="1504"/>
      <c r="J97" s="1504"/>
      <c r="K97" s="1504"/>
      <c r="L97" s="114"/>
    </row>
    <row r="98" spans="1:12" ht="64.05" customHeight="1" x14ac:dyDescent="0.3">
      <c r="A98" s="3"/>
      <c r="D98" s="1851" t="s">
        <v>3176</v>
      </c>
      <c r="E98" s="1851"/>
      <c r="F98" s="1838" t="s">
        <v>1354</v>
      </c>
      <c r="G98" s="1838"/>
      <c r="H98" s="1141" t="s">
        <v>1355</v>
      </c>
      <c r="I98" s="1141" t="s">
        <v>1356</v>
      </c>
      <c r="J98" s="1141" t="s">
        <v>3035</v>
      </c>
      <c r="K98" s="639"/>
      <c r="L98" s="114"/>
    </row>
    <row r="99" spans="1:12" ht="14.1" customHeight="1" x14ac:dyDescent="0.3">
      <c r="A99" s="3"/>
      <c r="D99" s="1852"/>
      <c r="E99" s="1852"/>
      <c r="F99" s="1853" t="s">
        <v>450</v>
      </c>
      <c r="G99" s="1853"/>
      <c r="H99" s="1142" t="s">
        <v>450</v>
      </c>
      <c r="I99" s="1142" t="s">
        <v>450</v>
      </c>
      <c r="J99" s="1142" t="s">
        <v>450</v>
      </c>
      <c r="K99" s="639"/>
      <c r="L99" s="114"/>
    </row>
    <row r="100" spans="1:12" ht="30.75" customHeight="1" x14ac:dyDescent="0.3">
      <c r="A100" s="3"/>
      <c r="D100" s="1839" t="s">
        <v>2661</v>
      </c>
      <c r="E100" s="1840"/>
      <c r="F100" s="1841">
        <f>'Non TB - Note 11'!H20</f>
        <v>0</v>
      </c>
      <c r="G100" s="1842"/>
      <c r="H100" s="877">
        <f>'Non TB - Note 11'!H21</f>
        <v>0</v>
      </c>
      <c r="I100" s="877">
        <f>'Non TB - Note 11'!H22</f>
        <v>0</v>
      </c>
      <c r="J100" s="877">
        <f>'Non TB - Note 11'!H23</f>
        <v>0</v>
      </c>
      <c r="K100" s="639"/>
      <c r="L100" s="114"/>
    </row>
    <row r="101" spans="1:12" ht="18" customHeight="1" x14ac:dyDescent="0.3">
      <c r="A101" s="3"/>
      <c r="D101" s="1843" t="s">
        <v>2662</v>
      </c>
      <c r="E101" s="1844"/>
      <c r="F101" s="1841">
        <f>'Non TB - Note 11'!H24</f>
        <v>0</v>
      </c>
      <c r="G101" s="1842"/>
      <c r="H101" s="877">
        <f>'Non TB - Note 11'!H25</f>
        <v>0</v>
      </c>
      <c r="I101" s="877">
        <f>'Non TB - Note 11'!H26</f>
        <v>0</v>
      </c>
      <c r="J101" s="877">
        <f>'Non TB - Note 11'!H27</f>
        <v>0</v>
      </c>
      <c r="K101" s="639"/>
      <c r="L101" s="114"/>
    </row>
    <row r="102" spans="1:12" ht="17.25" customHeight="1" x14ac:dyDescent="0.3">
      <c r="A102" s="3"/>
      <c r="D102" s="1843" t="s">
        <v>2934</v>
      </c>
      <c r="E102" s="1844"/>
      <c r="F102" s="1841">
        <f>'Non TB - Note 11'!H28</f>
        <v>0</v>
      </c>
      <c r="G102" s="1842"/>
      <c r="H102" s="877">
        <f>'Non TB - Note 11'!H29</f>
        <v>0</v>
      </c>
      <c r="I102" s="877">
        <f>'Non TB - Note 11'!H30</f>
        <v>0</v>
      </c>
      <c r="J102" s="877">
        <f>'Non TB - Note 11'!H31</f>
        <v>0</v>
      </c>
      <c r="K102" s="639"/>
      <c r="L102" s="114"/>
    </row>
    <row r="103" spans="1:12" ht="15.75" customHeight="1" x14ac:dyDescent="0.3">
      <c r="A103" s="3"/>
      <c r="D103" s="1845" t="s">
        <v>74</v>
      </c>
      <c r="E103" s="1846"/>
      <c r="F103" s="1847">
        <f>SUM(G100:G102)</f>
        <v>0</v>
      </c>
      <c r="G103" s="1848"/>
      <c r="H103" s="878">
        <f>SUM(H100:H102)</f>
        <v>0</v>
      </c>
      <c r="I103" s="878">
        <f>SUM(I100:I102)</f>
        <v>0</v>
      </c>
      <c r="J103" s="878">
        <f>SUM(J100:J102)</f>
        <v>0</v>
      </c>
      <c r="K103" s="639"/>
      <c r="L103" s="114"/>
    </row>
    <row r="104" spans="1:12" ht="12.75" customHeight="1" x14ac:dyDescent="0.3">
      <c r="A104" s="3" t="str">
        <f>IF(A103="Print","Print","Do Not Print")</f>
        <v>Do Not Print</v>
      </c>
      <c r="D104" s="1542"/>
      <c r="E104" s="1542"/>
      <c r="F104" s="1542"/>
      <c r="G104" s="1542"/>
      <c r="H104" s="1542"/>
      <c r="I104" s="1542"/>
      <c r="J104" s="1542"/>
      <c r="K104" s="1542"/>
      <c r="L104" s="114"/>
    </row>
    <row r="105" spans="1:12" ht="53.25" customHeight="1" x14ac:dyDescent="0.3">
      <c r="A105" s="3"/>
      <c r="D105" s="1851" t="s">
        <v>3030</v>
      </c>
      <c r="E105" s="1851"/>
      <c r="F105" s="1838" t="s">
        <v>1354</v>
      </c>
      <c r="G105" s="1838"/>
      <c r="H105" s="1141" t="s">
        <v>1355</v>
      </c>
      <c r="I105" s="1141" t="s">
        <v>1356</v>
      </c>
      <c r="J105" s="1141" t="s">
        <v>2860</v>
      </c>
      <c r="K105" s="639"/>
      <c r="L105" s="114"/>
    </row>
    <row r="106" spans="1:12" ht="30.75" customHeight="1" x14ac:dyDescent="0.3">
      <c r="A106" s="3"/>
      <c r="D106" s="1852"/>
      <c r="E106" s="1852"/>
      <c r="F106" s="1853" t="s">
        <v>450</v>
      </c>
      <c r="G106" s="1853"/>
      <c r="H106" s="1142" t="s">
        <v>450</v>
      </c>
      <c r="I106" s="1142" t="s">
        <v>450</v>
      </c>
      <c r="J106" s="1142" t="s">
        <v>450</v>
      </c>
      <c r="K106" s="639"/>
      <c r="L106" s="114"/>
    </row>
    <row r="107" spans="1:12" ht="30.75" customHeight="1" x14ac:dyDescent="0.3">
      <c r="A107" s="3"/>
      <c r="D107" s="1849" t="str">
        <f>D100</f>
        <v>Residential (market rental) properties</v>
      </c>
      <c r="E107" s="1850"/>
      <c r="F107" s="1867">
        <f>'Non TB - Note 11'!I20</f>
        <v>0</v>
      </c>
      <c r="G107" s="1868"/>
      <c r="H107" s="596">
        <f>'Non TB - Note 11'!I21</f>
        <v>0</v>
      </c>
      <c r="I107" s="596">
        <f>'Non TB - Note 11'!I22</f>
        <v>0</v>
      </c>
      <c r="J107" s="596">
        <f>'Non TB - Note 11'!I23</f>
        <v>0</v>
      </c>
      <c r="K107" s="639"/>
      <c r="L107" s="114"/>
    </row>
    <row r="108" spans="1:12" ht="18.75" customHeight="1" x14ac:dyDescent="0.3">
      <c r="A108" s="3"/>
      <c r="D108" s="1839" t="str">
        <f t="shared" ref="D108:D109" si="4">D101</f>
        <v>Office units</v>
      </c>
      <c r="E108" s="1840"/>
      <c r="F108" s="1841">
        <f>'Non TB - Note 11'!I24</f>
        <v>0</v>
      </c>
      <c r="G108" s="1842"/>
      <c r="H108" s="877">
        <f>'Non TB - Note 11'!I25</f>
        <v>0</v>
      </c>
      <c r="I108" s="877">
        <f>'Non TB - Note 11'!I26</f>
        <v>0</v>
      </c>
      <c r="J108" s="877">
        <f>'Non TB - Note 11'!I27</f>
        <v>0</v>
      </c>
      <c r="K108" s="639"/>
      <c r="L108" s="114"/>
    </row>
    <row r="109" spans="1:12" ht="19.5" customHeight="1" x14ac:dyDescent="0.3">
      <c r="A109" s="3"/>
      <c r="D109" s="1839" t="str">
        <f t="shared" si="4"/>
        <v>Commercial units</v>
      </c>
      <c r="E109" s="1840"/>
      <c r="F109" s="1841">
        <f>'Non TB - Note 11'!I28</f>
        <v>0</v>
      </c>
      <c r="G109" s="1842"/>
      <c r="H109" s="877">
        <f>'Non TB - Note 11'!I29</f>
        <v>0</v>
      </c>
      <c r="I109" s="877">
        <f>'Non TB - Note 11'!I30</f>
        <v>0</v>
      </c>
      <c r="J109" s="877">
        <f>'Non TB - Note 11'!I31</f>
        <v>0</v>
      </c>
      <c r="K109" s="639"/>
      <c r="L109" s="114"/>
    </row>
    <row r="110" spans="1:12" ht="18" customHeight="1" x14ac:dyDescent="0.3">
      <c r="A110" s="3"/>
      <c r="D110" s="1845" t="s">
        <v>74</v>
      </c>
      <c r="E110" s="1846"/>
      <c r="F110" s="1847">
        <f>SUM(G107:G109)</f>
        <v>0</v>
      </c>
      <c r="G110" s="1848"/>
      <c r="H110" s="878">
        <f>SUM(H107:H109)</f>
        <v>0</v>
      </c>
      <c r="I110" s="878">
        <f>SUM(I107:I109)</f>
        <v>0</v>
      </c>
      <c r="J110" s="878">
        <f>SUM(J107:J109)</f>
        <v>0</v>
      </c>
      <c r="K110" s="639"/>
      <c r="L110" s="114"/>
    </row>
    <row r="111" spans="1:12" ht="12.75" customHeight="1" x14ac:dyDescent="0.3">
      <c r="A111" s="3" t="str">
        <f>IF(A110="Print","Print","Do Not Print")</f>
        <v>Do Not Print</v>
      </c>
      <c r="D111" s="1504"/>
      <c r="E111" s="1504"/>
      <c r="F111" s="1504"/>
      <c r="G111" s="1504"/>
      <c r="H111" s="1504"/>
      <c r="I111" s="1504"/>
      <c r="J111" s="1504"/>
      <c r="K111" s="1504"/>
      <c r="L111" s="114"/>
    </row>
    <row r="112" spans="1:12" ht="12.75" customHeight="1" x14ac:dyDescent="0.3">
      <c r="A112" s="3" t="str">
        <f>IF('Non TB - Note 11'!F32=1,"Print","Do Not Print")</f>
        <v>Print</v>
      </c>
      <c r="D112" s="1726" t="str">
        <f>IF('Non TB - Note 11'!F32=1,'Non TB - Note 11'!E32,"")</f>
        <v>Transfers between levels of the fair value hierarchy</v>
      </c>
      <c r="E112" s="1726"/>
      <c r="F112" s="1726"/>
      <c r="G112" s="1726"/>
      <c r="H112" s="1726"/>
      <c r="I112" s="1726"/>
      <c r="J112" s="1726"/>
      <c r="K112" s="1726"/>
      <c r="L112" s="114"/>
    </row>
    <row r="113" spans="1:12" ht="12.75" customHeight="1" x14ac:dyDescent="0.3">
      <c r="A113" s="3" t="str">
        <f>IF(A112="Print","Print","Do Not Print")</f>
        <v>Print</v>
      </c>
      <c r="D113" s="1504"/>
      <c r="E113" s="1504"/>
      <c r="F113" s="1504"/>
      <c r="G113" s="1504"/>
      <c r="H113" s="1504"/>
      <c r="I113" s="1504"/>
      <c r="J113" s="1504"/>
      <c r="K113" s="1504"/>
      <c r="L113" s="114"/>
    </row>
    <row r="114" spans="1:12" ht="12.75" customHeight="1" x14ac:dyDescent="0.3">
      <c r="A114" s="3" t="str">
        <f>IF('Non TB - Note 11'!F32=1,"Print","Do Not Print")</f>
        <v>Print</v>
      </c>
      <c r="D114" s="1504" t="str">
        <f>IF('Non TB - Note 11'!F32=1,'Non TB - Note 11'!H32,"")</f>
        <v>There were no transfers between Levels 1 and 2 during the year.</v>
      </c>
      <c r="E114" s="1504"/>
      <c r="F114" s="1504"/>
      <c r="G114" s="1504"/>
      <c r="H114" s="1504"/>
      <c r="I114" s="1504"/>
      <c r="J114" s="1504"/>
      <c r="K114" s="1504"/>
      <c r="L114" s="114"/>
    </row>
    <row r="115" spans="1:12" ht="12.75" customHeight="1" x14ac:dyDescent="0.3">
      <c r="A115" s="3" t="str">
        <f>IF(A114="Print","Print","Do Not Print")</f>
        <v>Print</v>
      </c>
      <c r="D115" s="1504"/>
      <c r="E115" s="1504"/>
      <c r="F115" s="1504"/>
      <c r="G115" s="1504"/>
      <c r="H115" s="1504"/>
      <c r="I115" s="1504"/>
      <c r="J115" s="1504"/>
      <c r="K115" s="1504"/>
      <c r="L115" s="114"/>
    </row>
    <row r="116" spans="1:12" ht="61.5" customHeight="1" x14ac:dyDescent="0.3">
      <c r="A116" s="3" t="str">
        <f>IF('Non TB - Note 11'!F33=1,"Print","Do Not Print")</f>
        <v>Print</v>
      </c>
      <c r="D116" s="1504" t="str">
        <f>IF('Non TB - Note 11'!F33=1,'Non TB - Note 11'!H33,"")</f>
        <v>[The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occured.  A Council is required to disclose and consistently follow its policy for determining when transfers between levels of the fair value hierarchy are deemed to have occurred.]</v>
      </c>
      <c r="E116" s="1504"/>
      <c r="F116" s="1504"/>
      <c r="G116" s="1504"/>
      <c r="H116" s="1504"/>
      <c r="I116" s="1504"/>
      <c r="J116" s="1504"/>
      <c r="K116" s="1504"/>
      <c r="L116" s="114"/>
    </row>
    <row r="117" spans="1:12" ht="12.75" customHeight="1" x14ac:dyDescent="0.3">
      <c r="A117" s="3" t="str">
        <f>IF(A96="Print","Print","Do Not Print")</f>
        <v>Do Not Print</v>
      </c>
      <c r="D117" s="1500"/>
      <c r="E117" s="1500"/>
      <c r="F117" s="1500"/>
      <c r="G117" s="1500"/>
      <c r="H117" s="1500"/>
      <c r="I117" s="1500"/>
      <c r="J117" s="1500"/>
      <c r="K117" s="1500"/>
      <c r="L117" s="114"/>
    </row>
    <row r="118" spans="1:12" ht="15.75" customHeight="1" x14ac:dyDescent="0.3">
      <c r="A118" s="3" t="str">
        <f>IF('Non TB - Note 11'!F34=1,"Print","Do Not Print")</f>
        <v>Print</v>
      </c>
      <c r="D118" s="1824" t="str">
        <f>IF('Non TB - Note 11'!F34=1,'Non TB - Note 11'!D34,"")</f>
        <v>Valuation techniques used to determine Level 2 and 3 Fair Values for Investment Properties</v>
      </c>
      <c r="E118" s="1824"/>
      <c r="F118" s="1824"/>
      <c r="G118" s="1824"/>
      <c r="H118" s="1824"/>
      <c r="I118" s="1824"/>
      <c r="J118" s="1824"/>
      <c r="K118" s="1824"/>
      <c r="L118" s="114"/>
    </row>
    <row r="119" spans="1:12" ht="12.75" customHeight="1" x14ac:dyDescent="0.3">
      <c r="A119" s="3" t="str">
        <f>IF(A118="Print","Print","Do Not Print")</f>
        <v>Print</v>
      </c>
      <c r="D119" s="1500"/>
      <c r="E119" s="1500"/>
      <c r="F119" s="1500"/>
      <c r="G119" s="1500"/>
      <c r="H119" s="1500"/>
      <c r="I119" s="1500"/>
      <c r="J119" s="1500"/>
      <c r="K119" s="1500"/>
      <c r="L119" s="114"/>
    </row>
    <row r="120" spans="1:12" ht="12.75" customHeight="1" x14ac:dyDescent="0.3">
      <c r="A120" s="3" t="str">
        <f>IF('Non TB - Note 11'!F34=1,"Print","Do Not Print")</f>
        <v>Print</v>
      </c>
      <c r="D120" s="1821" t="str">
        <f>IF('Non TB - Note 11'!F34=1,'Non TB - Note 11'!E34,"")</f>
        <v>Significant Observable Inputs - Level 2</v>
      </c>
      <c r="E120" s="1821"/>
      <c r="F120" s="1821"/>
      <c r="G120" s="1821"/>
      <c r="H120" s="1821"/>
      <c r="I120" s="1821"/>
      <c r="J120" s="1821"/>
      <c r="K120" s="1821"/>
      <c r="L120" s="114"/>
    </row>
    <row r="121" spans="1:12" ht="12.75" customHeight="1" x14ac:dyDescent="0.3">
      <c r="A121" s="3" t="str">
        <f>IF(A120="Print","Print","Do Not Print")</f>
        <v>Print</v>
      </c>
      <c r="D121" s="1500"/>
      <c r="E121" s="1500"/>
      <c r="F121" s="1500"/>
      <c r="G121" s="1500"/>
      <c r="H121" s="1500"/>
      <c r="I121" s="1500"/>
      <c r="J121" s="1500"/>
      <c r="K121" s="1500"/>
      <c r="L121" s="114"/>
    </row>
    <row r="122" spans="1:12" ht="57" customHeight="1" x14ac:dyDescent="0.3">
      <c r="A122" s="3" t="str">
        <f>IF('Non TB - Note 11'!F34=1,"Print","Do Not Print")</f>
        <v>Print</v>
      </c>
      <c r="D122" s="1504" t="str">
        <f>IF('Non TB - Note 11'!F34=1,'Non TB - Note 11'!H34,"")</f>
        <v>The fair value for the residential properties (at market rents) has been based on the market approach using current market conditions and recent sales prices and other relevant information for similar assets in the local Council area. Market conditions are such that similar properties are actively purchased and sold and the level of observable inputs are significant, leading to the properties being categorised at Level 2 in the fair value hierarchy.</v>
      </c>
      <c r="E122" s="1504"/>
      <c r="F122" s="1504"/>
      <c r="G122" s="1504"/>
      <c r="H122" s="1504"/>
      <c r="I122" s="1504"/>
      <c r="J122" s="1504"/>
      <c r="K122" s="1504"/>
      <c r="L122" s="114"/>
    </row>
    <row r="123" spans="1:12" ht="12.75" customHeight="1" x14ac:dyDescent="0.3">
      <c r="A123" s="3" t="str">
        <f>IF(A122="Print","Print","Do Not Print")</f>
        <v>Print</v>
      </c>
      <c r="D123" s="1500"/>
      <c r="E123" s="1500"/>
      <c r="F123" s="1500"/>
      <c r="G123" s="1500"/>
      <c r="H123" s="1500"/>
      <c r="I123" s="1500"/>
      <c r="J123" s="1500"/>
      <c r="K123" s="1500"/>
      <c r="L123" s="114"/>
    </row>
    <row r="124" spans="1:12" ht="12.75" customHeight="1" x14ac:dyDescent="0.3">
      <c r="A124" s="3" t="str">
        <f>IF('Non TB - Note 11'!F35=1,"Print","Do Not Print")</f>
        <v>Print</v>
      </c>
      <c r="D124" s="1821" t="str">
        <f>IF('Non TB - Note 11'!F35=1,'Non TB - Note 11'!E35,"")</f>
        <v>Significant unobservable inputs 
(Level 3)</v>
      </c>
      <c r="E124" s="1821"/>
      <c r="F124" s="1821"/>
      <c r="G124" s="1821"/>
      <c r="H124" s="1821"/>
      <c r="I124" s="1821"/>
      <c r="J124" s="1821"/>
      <c r="K124" s="1821"/>
      <c r="L124" s="114"/>
    </row>
    <row r="125" spans="1:12" ht="12.75" customHeight="1" x14ac:dyDescent="0.3">
      <c r="A125" s="3" t="str">
        <f>IF(A124="Print","Print","Do Not Print")</f>
        <v>Print</v>
      </c>
      <c r="D125" s="1500"/>
      <c r="E125" s="1500"/>
      <c r="F125" s="1500"/>
      <c r="G125" s="1500"/>
      <c r="H125" s="1500"/>
      <c r="I125" s="1500"/>
      <c r="J125" s="1500"/>
      <c r="K125" s="1500"/>
      <c r="L125" s="114"/>
    </row>
    <row r="126" spans="1:12" ht="68.099999999999994" customHeight="1" x14ac:dyDescent="0.3">
      <c r="A126" s="3" t="str">
        <f>IF('Non TB - Note 11'!F35=1,"Print","Do Not Print")</f>
        <v>Print</v>
      </c>
      <c r="D126" s="1504" t="str">
        <f>IF('Non TB - Note 11'!F35=1,'Non TB - Note 11'!H35,"")</f>
        <v>The office and commercial units located in the local Council area are measured using the income approach, by means of the discounted cash flow method, where the expected cash flows from the properties are discounted (using a market-derived discount rate) to establish the present value of the net income stream.  The approach has been developed using the Council's own data requiring it to factor in assumptions such as the duration and timing of cash inflows and outflows, rent growth, occupancy levels, bad debt levels, maintenance costs, etc.</v>
      </c>
      <c r="E126" s="1504"/>
      <c r="F126" s="1504"/>
      <c r="G126" s="1504"/>
      <c r="H126" s="1504"/>
      <c r="I126" s="1504"/>
      <c r="J126" s="1504"/>
      <c r="K126" s="1504"/>
      <c r="L126" s="114"/>
    </row>
    <row r="127" spans="1:12" ht="12.75" customHeight="1" x14ac:dyDescent="0.3">
      <c r="A127" s="3" t="str">
        <f>IF(A126="Print","Print","Do Not Print")</f>
        <v>Print</v>
      </c>
      <c r="D127" s="1500"/>
      <c r="E127" s="1500"/>
      <c r="F127" s="1500"/>
      <c r="G127" s="1500"/>
      <c r="H127" s="1500"/>
      <c r="I127" s="1500"/>
      <c r="J127" s="1500"/>
      <c r="K127" s="1500"/>
      <c r="L127" s="114"/>
    </row>
    <row r="128" spans="1:12" ht="41.55" customHeight="1" x14ac:dyDescent="0.3">
      <c r="A128" s="3" t="str">
        <f>IF('Non TB - Note 11'!F36=1,"Print","Do Not Print")</f>
        <v>Print</v>
      </c>
      <c r="D128" s="1504" t="str">
        <f>IF('Non TB - Note 11'!F36=1,'Non TB - Note 11'!H36,"")</f>
        <v>The Council's office and commercial units are therefore categorised as Level 3 in the fair value hierarchy as the measurement technique uses significant unobservable inputs to determine the fair value measurements (and there is no reasonably available information that indicates that market participants would use different assumptions).</v>
      </c>
      <c r="E128" s="1504"/>
      <c r="F128" s="1504"/>
      <c r="G128" s="1504"/>
      <c r="H128" s="1504"/>
      <c r="I128" s="1504"/>
      <c r="J128" s="1504"/>
      <c r="K128" s="1504"/>
      <c r="L128" s="114"/>
    </row>
    <row r="129" spans="1:12" ht="12.75" customHeight="1" x14ac:dyDescent="0.3">
      <c r="A129" s="3" t="str">
        <f>IF(A128="Print","Print","Do Not Print")</f>
        <v>Print</v>
      </c>
      <c r="D129" s="1500"/>
      <c r="E129" s="1500"/>
      <c r="F129" s="1500"/>
      <c r="G129" s="1500"/>
      <c r="H129" s="1500"/>
      <c r="I129" s="1500"/>
      <c r="J129" s="1500"/>
      <c r="K129" s="1500"/>
      <c r="L129" s="114"/>
    </row>
    <row r="130" spans="1:12" ht="12.75" customHeight="1" x14ac:dyDescent="0.3">
      <c r="A130" s="3" t="str">
        <f>IF('Non TB - Note 11'!F37=1,"Print","Do Not Print")</f>
        <v>Print</v>
      </c>
      <c r="D130" s="1821" t="str">
        <f>IF('Non TB - Note 11'!F37=1,'Non TB - Note 11'!E37,"")</f>
        <v>Highest and best use of Investment Properties</v>
      </c>
      <c r="E130" s="1821"/>
      <c r="F130" s="1821"/>
      <c r="G130" s="1821"/>
      <c r="H130" s="1821"/>
      <c r="I130" s="1821"/>
      <c r="J130" s="1821"/>
      <c r="K130" s="1821"/>
      <c r="L130" s="114"/>
    </row>
    <row r="131" spans="1:12" ht="12.75" customHeight="1" x14ac:dyDescent="0.3">
      <c r="A131" s="3" t="str">
        <f>IF(A130="Print","Print","Do Not Print")</f>
        <v>Print</v>
      </c>
      <c r="D131" s="1500"/>
      <c r="E131" s="1500"/>
      <c r="F131" s="1500"/>
      <c r="G131" s="1500"/>
      <c r="H131" s="1500"/>
      <c r="I131" s="1500"/>
      <c r="J131" s="1500"/>
      <c r="K131" s="1500"/>
      <c r="L131" s="114"/>
    </row>
    <row r="132" spans="1:12" ht="15" customHeight="1" x14ac:dyDescent="0.3">
      <c r="A132" s="3" t="str">
        <f>IF('Non TB - Note 11'!F37=1,"Print","Do Not Print")</f>
        <v>Print</v>
      </c>
      <c r="D132" s="1504" t="str">
        <f>IF('Non TB - Note 11'!F37=1,'Non TB - Note 11'!H37,"")</f>
        <v xml:space="preserve">In estimating the fair value of the Council's Investment Properties, the highest and best use of the properties is their current use. </v>
      </c>
      <c r="E132" s="1504"/>
      <c r="F132" s="1504"/>
      <c r="G132" s="1504"/>
      <c r="H132" s="1504"/>
      <c r="I132" s="1504"/>
      <c r="J132" s="1504"/>
      <c r="K132" s="1504"/>
      <c r="L132" s="114"/>
    </row>
    <row r="133" spans="1:12" ht="12.75" customHeight="1" x14ac:dyDescent="0.3">
      <c r="A133" s="3" t="str">
        <f>IF(A132="Print","Print","Do Not Print")</f>
        <v>Print</v>
      </c>
      <c r="D133" s="1500"/>
      <c r="E133" s="1500"/>
      <c r="F133" s="1500"/>
      <c r="G133" s="1500"/>
      <c r="H133" s="1500"/>
      <c r="I133" s="1500"/>
      <c r="J133" s="1500"/>
      <c r="K133" s="1500"/>
      <c r="L133" s="114"/>
    </row>
    <row r="134" spans="1:12" ht="32.25" customHeight="1" x14ac:dyDescent="0.3">
      <c r="A134" s="3" t="str">
        <f>IF('Non TB - Note 11'!F38=1,"Print","Do Not Print")</f>
        <v>Print</v>
      </c>
      <c r="D134" s="1504" t="str">
        <f>IF('Non TB - Note 11'!F38=1,'Non TB - Note 11'!H38,"")</f>
        <v>[Note that if the highest and best use of a non-financial asset differs from its current use, the authority is required to disclose that fact and why the non-financial asset is being used in a manner that differs from its highest and best use.]</v>
      </c>
      <c r="E134" s="1504"/>
      <c r="F134" s="1504"/>
      <c r="G134" s="1504"/>
      <c r="H134" s="1504"/>
      <c r="I134" s="1504"/>
      <c r="J134" s="1504"/>
      <c r="K134" s="1504"/>
      <c r="L134" s="114"/>
    </row>
    <row r="135" spans="1:12" ht="12.75" customHeight="1" x14ac:dyDescent="0.3">
      <c r="A135" s="3" t="str">
        <f>IF(A134="Print","Print","Do Not Print")</f>
        <v>Print</v>
      </c>
      <c r="D135" s="1500"/>
      <c r="E135" s="1500"/>
      <c r="F135" s="1500"/>
      <c r="G135" s="1500"/>
      <c r="H135" s="1500"/>
      <c r="I135" s="1500"/>
      <c r="J135" s="1500"/>
      <c r="K135" s="1500"/>
      <c r="L135" s="114"/>
    </row>
    <row r="136" spans="1:12" ht="12.75" customHeight="1" x14ac:dyDescent="0.3">
      <c r="A136" s="3" t="str">
        <f>IF('Non TB - Note 11'!F39=1,"Print","Do Not Print")</f>
        <v>Print</v>
      </c>
      <c r="D136" s="1821" t="str">
        <f>IF('Non TB - Note 11'!F39=1,'Non TB - Note 11'!E39,"")</f>
        <v>Valuation Techniques</v>
      </c>
      <c r="E136" s="1821"/>
      <c r="F136" s="1821"/>
      <c r="G136" s="1821"/>
      <c r="H136" s="1821"/>
      <c r="I136" s="1821"/>
      <c r="J136" s="1821"/>
      <c r="K136" s="1821"/>
      <c r="L136" s="114"/>
    </row>
    <row r="137" spans="1:12" ht="12.75" customHeight="1" x14ac:dyDescent="0.3">
      <c r="A137" s="3" t="str">
        <f>IF(A136="Print","Print","Do Not Print")</f>
        <v>Print</v>
      </c>
      <c r="D137" s="1500"/>
      <c r="E137" s="1500"/>
      <c r="F137" s="1500"/>
      <c r="G137" s="1500"/>
      <c r="H137" s="1500"/>
      <c r="I137" s="1500"/>
      <c r="J137" s="1500"/>
      <c r="K137" s="1500"/>
      <c r="L137" s="114"/>
    </row>
    <row r="138" spans="1:12" ht="12.75" customHeight="1" x14ac:dyDescent="0.3">
      <c r="A138" s="3" t="str">
        <f>IF('Non TB - Note 11'!F39=1,"Print","Do Not Print")</f>
        <v>Print</v>
      </c>
      <c r="D138" s="1500" t="str">
        <f>IF('Non TB - Note 11'!F39=1,'Non TB - Note 11'!H39,"")</f>
        <v>There has been no change in the valuation techniques used during the year for Investment Properties.</v>
      </c>
      <c r="E138" s="1500"/>
      <c r="F138" s="1500"/>
      <c r="G138" s="1500"/>
      <c r="H138" s="1500"/>
      <c r="I138" s="1500"/>
      <c r="J138" s="1500"/>
      <c r="K138" s="1500"/>
      <c r="L138" s="114"/>
    </row>
    <row r="139" spans="1:12" ht="12.75" customHeight="1" x14ac:dyDescent="0.3">
      <c r="A139" s="3" t="str">
        <f>IF(A138="Print","Print","Do Not Print")</f>
        <v>Print</v>
      </c>
      <c r="D139" s="1500"/>
      <c r="E139" s="1500"/>
      <c r="F139" s="1500"/>
      <c r="G139" s="1500"/>
      <c r="H139" s="1500"/>
      <c r="I139" s="1500"/>
      <c r="J139" s="1500"/>
      <c r="K139" s="1500"/>
      <c r="L139" s="114"/>
    </row>
    <row r="140" spans="1:12" ht="30" customHeight="1" x14ac:dyDescent="0.3">
      <c r="A140" s="3" t="str">
        <f>IF('Non TB - Note 11'!F40=1,"Print","Do Not Print")</f>
        <v>Print</v>
      </c>
      <c r="D140" s="1824" t="str">
        <f>IF('Non TB - Note 11'!F40=1,'Non TB - Note 11'!E40,"")</f>
        <v>Reconciliation of Fair Value Measurements (using Significant Unobservable Inputs) Categorised within Level 3 of the Fair Value Hierarchy</v>
      </c>
      <c r="E140" s="1824"/>
      <c r="F140" s="1824"/>
      <c r="G140" s="1824"/>
      <c r="H140" s="1824"/>
      <c r="I140" s="1824"/>
      <c r="J140" s="1824"/>
      <c r="K140" s="1824"/>
      <c r="L140" s="114"/>
    </row>
    <row r="141" spans="1:12" ht="12.75" customHeight="1" x14ac:dyDescent="0.3">
      <c r="A141" s="3" t="str">
        <f>IF(A140="Print","Print","Do Not Print")</f>
        <v>Print</v>
      </c>
      <c r="D141" s="1500"/>
      <c r="E141" s="1500"/>
      <c r="F141" s="1500"/>
      <c r="G141" s="1500"/>
      <c r="H141" s="1500"/>
      <c r="I141" s="1500"/>
      <c r="J141" s="1500"/>
      <c r="K141" s="1500"/>
      <c r="L141" s="114"/>
    </row>
    <row r="142" spans="1:12" ht="31.5" customHeight="1" x14ac:dyDescent="0.3">
      <c r="A142" s="3" t="str">
        <f>IF('Non TB - Note 11'!F40=1,"Print","Do Not Print")</f>
        <v>Print</v>
      </c>
      <c r="D142" s="1504" t="str">
        <f>IF('Non TB - Note 11'!F40=1,'Non TB - Note 11'!H40,"")</f>
        <v>Councils should disclose information for each material impairment loss recognised or reversed during the period in accordance with paragraph 4.7.4.2.(2) of the Code.</v>
      </c>
      <c r="E142" s="1504"/>
      <c r="F142" s="1504"/>
      <c r="G142" s="1504"/>
      <c r="H142" s="1504"/>
      <c r="I142" s="1504"/>
      <c r="J142" s="1504"/>
      <c r="K142" s="1504"/>
      <c r="L142" s="114"/>
    </row>
    <row r="143" spans="1:12" ht="12.75" customHeight="1" x14ac:dyDescent="0.3">
      <c r="A143" s="3" t="str">
        <f>IF(A142="Print","Print","Do Not Print")</f>
        <v>Print</v>
      </c>
      <c r="D143" s="1500"/>
      <c r="E143" s="1500"/>
      <c r="F143" s="1500"/>
      <c r="G143" s="1500"/>
      <c r="H143" s="1500"/>
      <c r="I143" s="1500"/>
      <c r="J143" s="1500"/>
      <c r="K143" s="1500"/>
      <c r="L143" s="114"/>
    </row>
    <row r="144" spans="1:12" ht="12.75" customHeight="1" x14ac:dyDescent="0.3">
      <c r="A144" s="3"/>
      <c r="D144" s="1832" t="s">
        <v>2671</v>
      </c>
      <c r="E144" s="1833"/>
      <c r="F144" s="1833"/>
      <c r="G144" s="1833"/>
      <c r="H144" s="1834"/>
      <c r="I144" s="1150">
        <f>J60</f>
        <v>46112</v>
      </c>
      <c r="J144" s="1150">
        <f>K60</f>
        <v>45747</v>
      </c>
      <c r="L144" s="114"/>
    </row>
    <row r="145" spans="1:12" ht="12.75" customHeight="1" x14ac:dyDescent="0.3">
      <c r="A145" s="3"/>
      <c r="D145" s="1835"/>
      <c r="E145" s="1836"/>
      <c r="F145" s="1836"/>
      <c r="G145" s="1836"/>
      <c r="H145" s="1837"/>
      <c r="I145" s="1076" t="s">
        <v>450</v>
      </c>
      <c r="J145" s="1076" t="s">
        <v>450</v>
      </c>
      <c r="L145" s="114"/>
    </row>
    <row r="146" spans="1:12" ht="12.75" customHeight="1" x14ac:dyDescent="0.3">
      <c r="A146" s="3"/>
      <c r="D146" s="1825" t="s">
        <v>402</v>
      </c>
      <c r="E146" s="1825"/>
      <c r="F146" s="1825"/>
      <c r="G146" s="1825"/>
      <c r="H146" s="1825"/>
      <c r="I146" s="1154">
        <f>'Non TB - Note 11'!H41</f>
        <v>0</v>
      </c>
      <c r="J146" s="1154">
        <f>'Non TB - Note 11'!I41</f>
        <v>0</v>
      </c>
      <c r="L146" s="114"/>
    </row>
    <row r="147" spans="1:12" ht="12.75" customHeight="1" x14ac:dyDescent="0.3">
      <c r="A147" s="3"/>
      <c r="D147" s="1818" t="s">
        <v>1365</v>
      </c>
      <c r="E147" s="1818"/>
      <c r="F147" s="1818"/>
      <c r="G147" s="1818"/>
      <c r="H147" s="1818"/>
      <c r="I147" s="1154">
        <f>'Non TB - Note 11'!H42</f>
        <v>0</v>
      </c>
      <c r="J147" s="1154">
        <f>'Non TB - Note 11'!I42</f>
        <v>0</v>
      </c>
      <c r="L147" s="114"/>
    </row>
    <row r="148" spans="1:12" ht="12.75" customHeight="1" x14ac:dyDescent="0.3">
      <c r="A148" s="3"/>
      <c r="D148" s="1818" t="s">
        <v>1381</v>
      </c>
      <c r="E148" s="1818"/>
      <c r="F148" s="1818"/>
      <c r="G148" s="1818"/>
      <c r="H148" s="1818"/>
      <c r="I148" s="1154">
        <f>'Non TB - Note 11'!H43</f>
        <v>0</v>
      </c>
      <c r="J148" s="1154">
        <f>'Non TB - Note 11'!I43</f>
        <v>0</v>
      </c>
      <c r="L148" s="114"/>
    </row>
    <row r="149" spans="1:12" ht="27" customHeight="1" x14ac:dyDescent="0.3">
      <c r="A149" s="3"/>
      <c r="D149" s="1826" t="s">
        <v>1367</v>
      </c>
      <c r="E149" s="1826"/>
      <c r="F149" s="1826"/>
      <c r="G149" s="1826"/>
      <c r="H149" s="1826"/>
      <c r="I149" s="1154">
        <f>'Non TB - Note 11'!H44</f>
        <v>0</v>
      </c>
      <c r="J149" s="1154">
        <f>'Non TB - Note 11'!I44</f>
        <v>0</v>
      </c>
      <c r="L149" s="114"/>
    </row>
    <row r="150" spans="1:12" ht="12.75" customHeight="1" x14ac:dyDescent="0.3">
      <c r="A150" s="3"/>
      <c r="D150" s="1818" t="s">
        <v>973</v>
      </c>
      <c r="E150" s="1818"/>
      <c r="F150" s="1818"/>
      <c r="G150" s="1818"/>
      <c r="H150" s="1818"/>
      <c r="I150" s="1154">
        <f>'Non TB - Note 11'!H45</f>
        <v>0</v>
      </c>
      <c r="J150" s="1154">
        <f>'Non TB - Note 11'!I45</f>
        <v>0</v>
      </c>
      <c r="L150" s="114"/>
    </row>
    <row r="151" spans="1:12" ht="12.75" customHeight="1" x14ac:dyDescent="0.3">
      <c r="A151" s="3"/>
      <c r="D151" s="1827" t="s">
        <v>977</v>
      </c>
      <c r="E151" s="1827"/>
      <c r="F151" s="1827"/>
      <c r="G151" s="1827"/>
      <c r="H151" s="1827"/>
      <c r="I151" s="1154">
        <f>'Non TB - Note 11'!H46</f>
        <v>0</v>
      </c>
      <c r="J151" s="1154">
        <f>'Non TB - Note 11'!I46</f>
        <v>0</v>
      </c>
      <c r="L151" s="114"/>
    </row>
    <row r="152" spans="1:12" ht="12.75" customHeight="1" x14ac:dyDescent="0.3">
      <c r="A152" s="3"/>
      <c r="D152" s="1831" t="s">
        <v>206</v>
      </c>
      <c r="E152" s="1831"/>
      <c r="F152" s="1831"/>
      <c r="G152" s="1831"/>
      <c r="H152" s="1831"/>
      <c r="I152" s="1155">
        <f>SUM(I146:I151)</f>
        <v>0</v>
      </c>
      <c r="J152" s="1155">
        <f>SUM(J146:J151)</f>
        <v>0</v>
      </c>
      <c r="L152" s="114"/>
    </row>
    <row r="153" spans="1:12" ht="12.75" customHeight="1" x14ac:dyDescent="0.3">
      <c r="A153" s="3" t="str">
        <f>IF(A152="Print","Print","Do Not Print")</f>
        <v>Do Not Print</v>
      </c>
      <c r="D153" s="1500"/>
      <c r="E153" s="1500"/>
      <c r="F153" s="1500"/>
      <c r="G153" s="1500"/>
      <c r="H153" s="1500"/>
      <c r="I153" s="1500"/>
      <c r="J153" s="1500"/>
      <c r="K153" s="1500"/>
      <c r="L153" s="114"/>
    </row>
    <row r="154" spans="1:12" ht="27" customHeight="1" x14ac:dyDescent="0.3">
      <c r="A154" s="3" t="str">
        <f>IF('Non TB - Note 11'!F47=1,"Print","Do Not Print")</f>
        <v>Print</v>
      </c>
      <c r="D154" s="1504" t="str">
        <f>IF('Non TB - Note 11'!F47=1,'Non TB - Note 11'!H47,"")</f>
        <v>Gains or losses arising from changes in the fair value of the investment property are recognised in Surplus or Deficit on the Provision of Services – Financing and Investment Income and Expenditure line.</v>
      </c>
      <c r="E154" s="1504"/>
      <c r="F154" s="1504"/>
      <c r="G154" s="1504"/>
      <c r="H154" s="1504"/>
      <c r="I154" s="1504"/>
      <c r="J154" s="1504"/>
      <c r="K154" s="1504"/>
      <c r="L154" s="114"/>
    </row>
    <row r="155" spans="1:12" ht="12.75" customHeight="1" x14ac:dyDescent="0.3">
      <c r="A155" s="3" t="str">
        <f>IF(A154="Print","Print","Do Not Print")</f>
        <v>Print</v>
      </c>
      <c r="D155" s="1504"/>
      <c r="E155" s="1504"/>
      <c r="F155" s="1504"/>
      <c r="G155" s="1504"/>
      <c r="H155" s="1504"/>
      <c r="I155" s="1504"/>
      <c r="J155" s="1504"/>
      <c r="K155" s="1504"/>
      <c r="L155" s="114"/>
    </row>
    <row r="156" spans="1:12" ht="56.1" customHeight="1" x14ac:dyDescent="0.3">
      <c r="A156" s="3" t="str">
        <f>IF('Non TB - Note 11'!F48=1,"Print","Do Not Print")</f>
        <v>Print</v>
      </c>
      <c r="D156" s="1504" t="str">
        <f>IF('Non TB - Note 11'!F48=1,'Non TB - Note 11'!H48,"")</f>
        <v>[Where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v>
      </c>
      <c r="E156" s="1504"/>
      <c r="F156" s="1504"/>
      <c r="G156" s="1504"/>
      <c r="H156" s="1504"/>
      <c r="I156" s="1504"/>
      <c r="J156" s="1504"/>
      <c r="K156" s="1504"/>
      <c r="L156" s="114"/>
    </row>
    <row r="157" spans="1:12" ht="12.75" customHeight="1" x14ac:dyDescent="0.3">
      <c r="A157" s="3" t="str">
        <f>IF(A156="Print","Print","Do Not Print")</f>
        <v>Print</v>
      </c>
      <c r="D157" s="1504"/>
      <c r="E157" s="1504"/>
      <c r="F157" s="1504"/>
      <c r="G157" s="1504"/>
      <c r="H157" s="1504"/>
      <c r="I157" s="1504"/>
      <c r="J157" s="1504"/>
      <c r="K157" s="1504"/>
      <c r="L157" s="114"/>
    </row>
    <row r="158" spans="1:12" ht="12.75" customHeight="1" x14ac:dyDescent="0.3">
      <c r="A158" s="3" t="str">
        <f>IF('Non TB - Note 11'!F49=1,"Print","Do Not Print")</f>
        <v>Print</v>
      </c>
      <c r="D158" s="1824" t="str">
        <f>IF('Non TB - Note 11'!F49=1,'Non TB - Note 11'!C49,"")</f>
        <v>Quantitative information about fair value measurement of investment properties using significant unobservable inputs - level 3</v>
      </c>
      <c r="E158" s="1824"/>
      <c r="F158" s="1824"/>
      <c r="G158" s="1824"/>
      <c r="H158" s="1824"/>
      <c r="I158" s="1824"/>
      <c r="J158" s="1824"/>
      <c r="K158" s="1824"/>
      <c r="L158" s="114"/>
    </row>
    <row r="159" spans="1:12" ht="12.75" customHeight="1" x14ac:dyDescent="0.3">
      <c r="A159" s="3" t="str">
        <f>IF(A158="Print","Print","Do Not Print")</f>
        <v>Print</v>
      </c>
      <c r="D159" s="639"/>
      <c r="E159" s="639"/>
      <c r="F159" s="639"/>
      <c r="G159" s="639"/>
      <c r="H159" s="639"/>
      <c r="I159" s="639"/>
      <c r="J159" s="639"/>
      <c r="K159" s="639"/>
      <c r="L159" s="114"/>
    </row>
    <row r="160" spans="1:12" ht="12.75" customHeight="1" x14ac:dyDescent="0.3">
      <c r="A160" s="3" t="str">
        <f>IF(OR(A163="Print",A164="Print"),"Print","Do Not Print")</f>
        <v>Print</v>
      </c>
      <c r="D160" s="1819" t="s">
        <v>1382</v>
      </c>
      <c r="E160" s="1819"/>
      <c r="F160" s="1156" t="s">
        <v>2670</v>
      </c>
      <c r="G160" s="1819" t="s">
        <v>1370</v>
      </c>
      <c r="H160" s="1819"/>
      <c r="I160" s="1819" t="s">
        <v>1371</v>
      </c>
      <c r="J160" s="1819" t="s">
        <v>1372</v>
      </c>
      <c r="K160" s="1819" t="s">
        <v>1373</v>
      </c>
      <c r="L160" s="114"/>
    </row>
    <row r="161" spans="1:12" ht="12.75" customHeight="1" x14ac:dyDescent="0.3">
      <c r="A161" s="3" t="str">
        <f>IF(OR(A163="Print",A164="Print"),"Print","Do Not Print")</f>
        <v>Print</v>
      </c>
      <c r="D161" s="1819"/>
      <c r="E161" s="1819"/>
      <c r="F161" s="1157">
        <f>J60</f>
        <v>46112</v>
      </c>
      <c r="G161" s="1819"/>
      <c r="H161" s="1819"/>
      <c r="I161" s="1819"/>
      <c r="J161" s="1819"/>
      <c r="K161" s="1819"/>
      <c r="L161" s="114"/>
    </row>
    <row r="162" spans="1:12" ht="12.75" customHeight="1" x14ac:dyDescent="0.3">
      <c r="A162" s="3" t="str">
        <f>IF(OR(A163="Print",A164="Print"),"Print","Do Not Print")</f>
        <v>Print</v>
      </c>
      <c r="D162" s="1819"/>
      <c r="E162" s="1819"/>
      <c r="F162" s="1158" t="s">
        <v>450</v>
      </c>
      <c r="G162" s="1819"/>
      <c r="H162" s="1819"/>
      <c r="I162" s="1819"/>
      <c r="J162" s="1819"/>
      <c r="K162" s="1819"/>
      <c r="L162" s="114"/>
    </row>
    <row r="163" spans="1:12" ht="108.75" customHeight="1" x14ac:dyDescent="0.3">
      <c r="A163" s="3" t="str">
        <f>IF(OR('Non TB - Note 11'!F49=1,'Non TB - Note 11'!F50=1,'Non TB - Note 11'!F51=1,'Non TB - Note 11'!F52=1,'Non TB - Note 11'!F53=1),"Print","Do Not Print")</f>
        <v>Print</v>
      </c>
      <c r="D163" s="1829" t="str">
        <f>'Non TB - Note 11'!D49</f>
        <v>Office Units</v>
      </c>
      <c r="E163" s="1829"/>
      <c r="F163" s="1144">
        <f>'Non TB - Note 11'!H49</f>
        <v>0</v>
      </c>
      <c r="G163" s="1822" t="str">
        <f>IF('Non TB - Note 11'!F50=1,'Non TB - Note 11'!H50,"")</f>
        <v>Income approach using a discounted cash flow [DCF] technique</v>
      </c>
      <c r="H163" s="1822"/>
      <c r="I163" s="1145" t="str">
        <f>IF('Non TB - Note 11'!F51=1,'Non TB - Note 11'!H51,"")</f>
        <v>Rent growth,
Vacancy levels,
Discount rate</v>
      </c>
      <c r="J163" s="1146" t="str">
        <f>IF('Non TB - Note 11'!F52=1,'Non TB - Note 11'!H52,"")</f>
        <v>x% - x% (x%)
x% - x% (x%)
x% - x% (x%)</v>
      </c>
      <c r="K163" s="1146" t="str">
        <f>IF('Non TB - Note 11'!F53=1,'Non TB - Note 11'!H53,"")</f>
        <v>Significant changes in rent growth; vacancy levels or discount rate will result in a significantly lower or higher fair value.</v>
      </c>
      <c r="L163" s="114"/>
    </row>
    <row r="164" spans="1:12" ht="116.25" customHeight="1" x14ac:dyDescent="0.3">
      <c r="A164" s="3" t="str">
        <f>IF(OR('Non TB - Note 11'!F54=1,'Non TB - Note 11'!F55=1,'Non TB - Note 11'!F56=1,'Non TB - Note 11'!F57=1,'Non TB - Note 11'!F58=1),"Print","Do Not Print")</f>
        <v>Print</v>
      </c>
      <c r="D164" s="1829" t="str">
        <f>'Non TB - Note 11'!D54</f>
        <v>Commercial Units</v>
      </c>
      <c r="E164" s="1829"/>
      <c r="F164" s="1144">
        <f>'Non TB - Note 11'!H54</f>
        <v>0</v>
      </c>
      <c r="G164" s="1822" t="str">
        <f>IF('Non TB - Note 11'!F55=1,'Non TB - Note 11'!H55,"")</f>
        <v>Income approach using a discounted cash flow [DCF] technique</v>
      </c>
      <c r="H164" s="1822"/>
      <c r="I164" s="1146" t="str">
        <f>IF('Non TB - Note 11'!F56=1,'Non TB - Note 11'!H56,"")</f>
        <v>Rent growth,
Vacancy levels,
Discount rate</v>
      </c>
      <c r="J164" s="1146" t="str">
        <f>IF('Non TB - Note 11'!F57=1,'Non TB - Note 11'!H57,"")</f>
        <v>x% - x% (x%)
x% - x% (x%)
x% - x% (x%)</v>
      </c>
      <c r="K164" s="1146" t="str">
        <f>IF('Non TB - Note 11'!F58=1,'Non TB - Note 11'!H58,"")</f>
        <v>Significant changes in rent growth; vacancy levels or discount rate will result in a significantly lower or higher fair value.</v>
      </c>
      <c r="L164" s="114"/>
    </row>
    <row r="165" spans="1:12" ht="12.75" customHeight="1" x14ac:dyDescent="0.3">
      <c r="A165" s="3" t="str">
        <f>IF(A164="Print","Print","Do Not Print")</f>
        <v>Print</v>
      </c>
      <c r="D165" s="1823"/>
      <c r="E165" s="1823"/>
      <c r="F165" s="1823"/>
      <c r="G165" s="1823"/>
      <c r="H165" s="1823"/>
      <c r="I165" s="1823"/>
      <c r="J165" s="1823"/>
      <c r="K165" s="1823"/>
      <c r="L165" s="114"/>
    </row>
    <row r="166" spans="1:12" ht="12.75" customHeight="1" x14ac:dyDescent="0.3">
      <c r="A166" s="3" t="str">
        <f>IF('Non TB - Note 11'!F59=1,"Print","Do Not Print")</f>
        <v>Print</v>
      </c>
      <c r="D166" s="1824" t="str">
        <f>IF('Non TB - Note 11'!F59=1,'Non TB - Note 11'!E59,"")</f>
        <v>Valuation process for Investment Properties</v>
      </c>
      <c r="E166" s="1824"/>
      <c r="F166" s="1824"/>
      <c r="G166" s="1824"/>
      <c r="H166" s="1824"/>
      <c r="I166" s="1824"/>
      <c r="J166" s="1824"/>
      <c r="K166" s="1824"/>
      <c r="L166" s="114"/>
    </row>
    <row r="167" spans="1:12" ht="12.75" customHeight="1" x14ac:dyDescent="0.3">
      <c r="A167" s="3" t="str">
        <f>IF(A166="Print","Print","Do Not Print")</f>
        <v>Print</v>
      </c>
      <c r="D167" s="1504"/>
      <c r="E167" s="1504"/>
      <c r="F167" s="1504"/>
      <c r="G167" s="1504"/>
      <c r="H167" s="1504"/>
      <c r="I167" s="1504"/>
      <c r="J167" s="1504"/>
      <c r="K167" s="1504"/>
      <c r="L167" s="114"/>
    </row>
    <row r="168" spans="1:12" ht="42" customHeight="1" x14ac:dyDescent="0.3">
      <c r="A168" s="3" t="str">
        <f>IF('Non TB - Note 11'!F59=1,"Print","Do Not Print")</f>
        <v>Print</v>
      </c>
      <c r="D168" s="1504" t="str">
        <f>IF('Non TB - Note 11'!F59=1,'Non TB - Note 11'!H59,"")</f>
        <v>The fair value of the Council's investment property is measured annually at each reporting date.  All valuations are carried out internally, in accordance with the methodologies and bases for estimate set out in the professional standards of the Royal Institution of Chartered Surveyors.</v>
      </c>
      <c r="E168" s="1504"/>
      <c r="F168" s="1504"/>
      <c r="G168" s="1504"/>
      <c r="H168" s="1504"/>
      <c r="I168" s="1504"/>
      <c r="J168" s="1504"/>
      <c r="K168" s="1504"/>
      <c r="L168" s="114"/>
    </row>
    <row r="169" spans="1:12" ht="12.75" customHeight="1" x14ac:dyDescent="0.3">
      <c r="A169" s="3" t="str">
        <f>IF(A168="Print","Print","Do Not Print")</f>
        <v>Print</v>
      </c>
      <c r="D169" s="1504"/>
      <c r="E169" s="1504"/>
      <c r="F169" s="1504"/>
      <c r="G169" s="1504"/>
      <c r="H169" s="1504"/>
      <c r="I169" s="1504"/>
      <c r="J169" s="1504"/>
      <c r="K169" s="1504"/>
      <c r="L169" s="114"/>
    </row>
    <row r="170" spans="1:12" ht="29.55" customHeight="1" x14ac:dyDescent="0.3">
      <c r="A170" s="3" t="str">
        <f>IF('Non TB - Note 11'!F60=1,"Print","Do Not Print")</f>
        <v>Print</v>
      </c>
      <c r="D170" s="1504" t="str">
        <f>IF('Non TB - Note 11'!F60=1,'Non TB - Note 11'!H60,"")</f>
        <v>The Council's valuation experts work closely with finance officers reporting directly to the chief financial officer on a regular basis regarding all valuation matters.</v>
      </c>
      <c r="E170" s="1504"/>
      <c r="F170" s="1504"/>
      <c r="G170" s="1504"/>
      <c r="H170" s="1504"/>
      <c r="I170" s="1504"/>
      <c r="J170" s="1504"/>
      <c r="K170" s="1504"/>
      <c r="L170" s="114"/>
    </row>
    <row r="171" spans="1:12" ht="12.75" customHeight="1" x14ac:dyDescent="0.3">
      <c r="A171" s="3" t="str">
        <f>IF(A170="Print","Print","Do Not Print")</f>
        <v>Print</v>
      </c>
      <c r="D171" s="1504"/>
      <c r="E171" s="1504"/>
      <c r="F171" s="1504"/>
      <c r="G171" s="1504"/>
      <c r="H171" s="1504"/>
      <c r="I171" s="1504"/>
      <c r="J171" s="1504"/>
      <c r="K171" s="1504"/>
      <c r="L171" s="114"/>
    </row>
    <row r="172" spans="1:12" ht="13.5" customHeight="1" x14ac:dyDescent="0.3">
      <c r="A172" s="3" t="s">
        <v>448</v>
      </c>
      <c r="C172" s="585" t="str">
        <f>Checklist!E95</f>
        <v>f</v>
      </c>
      <c r="D172" s="474" t="str">
        <f>IF('Non TB - Note 11'!F73=1,'Non TB - Note 11'!D73,"")</f>
        <v>Heritage Assets</v>
      </c>
      <c r="E172" s="474"/>
      <c r="F172" s="474"/>
      <c r="G172" s="474"/>
      <c r="H172" s="474"/>
      <c r="I172" s="481"/>
      <c r="J172" s="481"/>
      <c r="K172" s="481"/>
    </row>
    <row r="173" spans="1:12" ht="12.75" customHeight="1" x14ac:dyDescent="0.3">
      <c r="A173" s="3" t="str">
        <f>IF(A172="Print","Print","Do Not Print")</f>
        <v>Print</v>
      </c>
      <c r="D173" s="1801"/>
      <c r="E173" s="1801"/>
      <c r="F173" s="1801"/>
      <c r="G173" s="1801"/>
      <c r="H173" s="1801"/>
      <c r="I173" s="1801"/>
      <c r="J173" s="1801"/>
      <c r="K173" s="1801"/>
    </row>
    <row r="174" spans="1:12" s="74" customFormat="1" ht="52.95" customHeight="1" x14ac:dyDescent="0.3">
      <c r="A174" s="75" t="str">
        <f>IF('Non TB - Note 11'!F73=1,"Print","Do Not Print")</f>
        <v>Print</v>
      </c>
      <c r="B174" s="585"/>
      <c r="C174" s="585"/>
      <c r="D174" s="1504" t="str">
        <f>IF('Non TB - Note 11'!F73=1,'Non TB - Note 11'!H73,"")</f>
        <v>The Council's collection of ceramics, porcelain work and figurines is reported in the Balance Sheet at insurance valuation which is based on market values.  These insurance valuations are updated annually.  Additionally, the key dinner services and items are sampled periodically and reviewed against the relevant antique and ceramic trade press at least annually to ensure the adequacy of the valuation.</v>
      </c>
      <c r="E174" s="1504"/>
      <c r="F174" s="1504"/>
      <c r="G174" s="1504"/>
      <c r="H174" s="1504"/>
      <c r="I174" s="1504"/>
      <c r="J174" s="1504"/>
      <c r="K174" s="1504"/>
      <c r="L174" s="75"/>
    </row>
    <row r="175" spans="1:12" s="74" customFormat="1" ht="13.5" customHeight="1" x14ac:dyDescent="0.3">
      <c r="A175" s="75" t="str">
        <f>IF(A174="Print","Print","Do Not Print")</f>
        <v>Print</v>
      </c>
      <c r="B175" s="585"/>
      <c r="C175" s="585"/>
      <c r="D175" s="1542"/>
      <c r="E175" s="1542"/>
      <c r="F175" s="1542"/>
      <c r="G175" s="1542"/>
      <c r="H175" s="1542"/>
      <c r="I175" s="1542"/>
      <c r="J175" s="1542"/>
      <c r="K175" s="1542"/>
      <c r="L175" s="75"/>
    </row>
    <row r="176" spans="1:12" s="74" customFormat="1" ht="75" customHeight="1" x14ac:dyDescent="0.3">
      <c r="A176" s="75" t="str">
        <f>IF('Non TB - Note 11'!F74=1,"Print","Do Not Print")</f>
        <v>Print</v>
      </c>
      <c r="B176" s="585"/>
      <c r="C176" s="585"/>
      <c r="D176" s="1504" t="str">
        <f>IF('Non TB - Note 11'!F74=1,'Non TB - Note 11'!H74,"")</f>
        <v>The ceramics, porcelain work and figurines collection also has particularly significant items in terms of both value and note, including an excellent example of a bone china tea service from the Kilnshire Pottery valued at £x. Lord Grace’s dinner service depicting the expedition up the Nile has been valued at £x. The collection also includes a set of porcelain figurines produced by the Mount Anna factory. This is thought to be one of the earliest examples of the figurines and would mean the collection would be valued at £x. However, expert opinion is divided on the authenticity of the provenance documentation and therefore the figurines are valued on the basis of other similar (but later) assets at £x.</v>
      </c>
      <c r="E176" s="1504"/>
      <c r="F176" s="1504"/>
      <c r="G176" s="1504"/>
      <c r="H176" s="1504"/>
      <c r="I176" s="1504"/>
      <c r="J176" s="1504"/>
      <c r="K176" s="1504"/>
      <c r="L176" s="75"/>
    </row>
    <row r="177" spans="1:12" s="74" customFormat="1" ht="13.5" customHeight="1" x14ac:dyDescent="0.3">
      <c r="A177" s="75" t="str">
        <f>IF(A176="Print","Print","Do Not Print")</f>
        <v>Print</v>
      </c>
      <c r="B177" s="585"/>
      <c r="C177" s="585"/>
      <c r="D177" s="1542"/>
      <c r="E177" s="1542"/>
      <c r="F177" s="1542"/>
      <c r="G177" s="1542"/>
      <c r="H177" s="1542"/>
      <c r="I177" s="1542"/>
      <c r="J177" s="1542"/>
      <c r="K177" s="1542"/>
      <c r="L177" s="75"/>
    </row>
    <row r="178" spans="1:12" s="74" customFormat="1" ht="49.5" customHeight="1" x14ac:dyDescent="0.3">
      <c r="A178" s="75" t="str">
        <f>IF('Non TB - Note 11'!F75=1,"Print","Do Not Print")</f>
        <v>Print</v>
      </c>
      <c r="B178" s="585"/>
      <c r="C178" s="585"/>
      <c r="D178" s="1504" t="str">
        <f>IF('Non TB - Note 11'!F75=1,'Non TB - Note 11'!H75,"")</f>
        <v xml:space="preserve"> The collection also includes a set of porcelain figurines produced by the Mount Anna factory. This is thought to be one of the earliest examples of the figurines and would mean the collection would be valued at £x. However, expert opinion is divided on the authenticity of the provenance documentation and therefore the figurines are valued on the basis of other similar (but later) assets at £x.</v>
      </c>
      <c r="E178" s="1504"/>
      <c r="F178" s="1504"/>
      <c r="G178" s="1504"/>
      <c r="H178" s="1504"/>
      <c r="I178" s="1504"/>
      <c r="J178" s="1504"/>
      <c r="K178" s="1504"/>
      <c r="L178" s="75"/>
    </row>
    <row r="179" spans="1:12" s="74" customFormat="1" ht="13.5" customHeight="1" x14ac:dyDescent="0.3">
      <c r="A179" s="75" t="str">
        <f>IF(A178="Print","Print","Do Not Print")</f>
        <v>Print</v>
      </c>
      <c r="B179" s="585"/>
      <c r="C179" s="585"/>
      <c r="D179" s="1542"/>
      <c r="E179" s="1542"/>
      <c r="F179" s="1542"/>
      <c r="G179" s="1542"/>
      <c r="H179" s="1542"/>
      <c r="I179" s="1542"/>
      <c r="J179" s="1542"/>
      <c r="K179" s="1542"/>
      <c r="L179" s="75"/>
    </row>
    <row r="180" spans="1:12" s="74" customFormat="1" ht="12.75" customHeight="1" x14ac:dyDescent="0.2">
      <c r="A180" s="75" t="str">
        <f>IF(A182="Print","Print","Do Not Print")</f>
        <v>Print</v>
      </c>
      <c r="B180" s="585"/>
      <c r="C180" s="585"/>
      <c r="D180" s="1726" t="str">
        <f>IF('Non TB - Note 11'!F76=1,'Non TB - Note 11'!E76,"")</f>
        <v>Art Collection</v>
      </c>
      <c r="E180" s="1726"/>
      <c r="F180" s="1726"/>
      <c r="G180" s="1726"/>
      <c r="H180" s="1726"/>
      <c r="I180" s="1726"/>
      <c r="J180" s="1726"/>
      <c r="K180" s="1726"/>
      <c r="L180" s="75"/>
    </row>
    <row r="181" spans="1:12" s="74" customFormat="1" ht="13.5" customHeight="1" x14ac:dyDescent="0.3">
      <c r="A181" s="75" t="str">
        <f>IF(A180="Print","Print","Do Not Print")</f>
        <v>Print</v>
      </c>
      <c r="B181" s="585"/>
      <c r="C181" s="585"/>
      <c r="D181" s="1542"/>
      <c r="E181" s="1542"/>
      <c r="F181" s="1542"/>
      <c r="G181" s="1542"/>
      <c r="H181" s="1542"/>
      <c r="I181" s="1542"/>
      <c r="J181" s="1542"/>
      <c r="K181" s="1542"/>
      <c r="L181" s="75"/>
    </row>
    <row r="182" spans="1:12" s="74" customFormat="1" ht="89.25" customHeight="1" x14ac:dyDescent="0.3">
      <c r="A182" s="75" t="str">
        <f>IF('Non TB - Note 11'!F76=1,"Print","Do Not Print")</f>
        <v>Print</v>
      </c>
      <c r="B182" s="585"/>
      <c r="C182" s="585"/>
      <c r="D182" s="1504" t="str">
        <f>IF('Non TB - Note 11'!F76=1,'Non TB - Note 11'!H76,"")</f>
        <v xml:space="preserve">The Authority’s external valuer for its art work (Pikaso, VanGok and Co) carried out a full valuation of the collection of paintings as at 31 March 2026. The valuations were based on commercial markets including recent transaction information from auctions where similar types of paintings are regularly being purchased. During the year one of the paintings of Lady Daisy Grace’s collection that was previously valued at £x suffered major damage due to damp and was revalued at 31 March 2026 at £x. The write-down of £x was charged to the Comprehensive Income and Expenditure Statement. In accordance with statutory provisions, its impact on the general fund was reversed out to the Capital Adjustment Account. </v>
      </c>
      <c r="E182" s="1504"/>
      <c r="F182" s="1504"/>
      <c r="G182" s="1504"/>
      <c r="H182" s="1504"/>
      <c r="I182" s="1504"/>
      <c r="J182" s="1504"/>
      <c r="K182" s="1504"/>
      <c r="L182" s="75"/>
    </row>
    <row r="183" spans="1:12" s="74" customFormat="1" ht="13.5" customHeight="1" x14ac:dyDescent="0.3">
      <c r="A183" s="75" t="str">
        <f>IF(A182="Print","Print","Do Not Print")</f>
        <v>Print</v>
      </c>
      <c r="B183" s="585"/>
      <c r="C183" s="585"/>
      <c r="D183" s="1542"/>
      <c r="E183" s="1542"/>
      <c r="F183" s="1542"/>
      <c r="G183" s="1542"/>
      <c r="H183" s="1542"/>
      <c r="I183" s="1542"/>
      <c r="J183" s="1542"/>
      <c r="K183" s="1542"/>
      <c r="L183" s="75"/>
    </row>
    <row r="184" spans="1:12" s="74" customFormat="1" ht="13.5" customHeight="1" x14ac:dyDescent="0.3">
      <c r="A184" s="75" t="str">
        <f>IF('Non TB - Note 11'!F77=1,"Print","Do Not Print")</f>
        <v>Print</v>
      </c>
      <c r="B184" s="585"/>
      <c r="C184" s="585"/>
      <c r="D184" s="1542" t="str">
        <f>IF('Non TB - Note 11'!F77=1,'Non TB - Note 11'!H77,"")</f>
        <v>Additional narrative</v>
      </c>
      <c r="E184" s="1542"/>
      <c r="F184" s="1542"/>
      <c r="G184" s="1542"/>
      <c r="H184" s="1542"/>
      <c r="I184" s="1542"/>
      <c r="J184" s="1542"/>
      <c r="K184" s="1542"/>
      <c r="L184" s="75"/>
    </row>
    <row r="185" spans="1:12" s="74" customFormat="1" ht="13.5" customHeight="1" x14ac:dyDescent="0.3">
      <c r="A185" s="75" t="str">
        <f>IF(A184="Print","Print","Do Not Print")</f>
        <v>Print</v>
      </c>
      <c r="B185" s="585"/>
      <c r="C185" s="585"/>
      <c r="D185" s="1542"/>
      <c r="E185" s="1542"/>
      <c r="F185" s="1542"/>
      <c r="G185" s="1542"/>
      <c r="H185" s="1542"/>
      <c r="I185" s="1542"/>
      <c r="J185" s="1542"/>
      <c r="K185" s="1542"/>
      <c r="L185" s="75"/>
    </row>
    <row r="186" spans="1:12" s="74" customFormat="1" ht="12.75" customHeight="1" x14ac:dyDescent="0.2">
      <c r="A186" s="75" t="str">
        <f>IF(A188="Print","Print","Do Not Print")</f>
        <v>Print</v>
      </c>
      <c r="B186" s="585"/>
      <c r="C186" s="585"/>
      <c r="D186" s="1726" t="str">
        <f>IF('Non TB - Note 11'!F78=1,'Non TB - Note 11'!E78,"")</f>
        <v>Machinery, Equipment and other Artefacts from the Pottery Industry</v>
      </c>
      <c r="E186" s="1726"/>
      <c r="F186" s="1726"/>
      <c r="G186" s="1726"/>
      <c r="H186" s="1726"/>
      <c r="I186" s="1726"/>
      <c r="J186" s="1726"/>
      <c r="K186" s="1726"/>
      <c r="L186" s="75"/>
    </row>
    <row r="187" spans="1:12" s="74" customFormat="1" ht="13.5" customHeight="1" x14ac:dyDescent="0.3">
      <c r="A187" s="75" t="str">
        <f>IF(A186="Print","Print","Do Not Print")</f>
        <v>Print</v>
      </c>
      <c r="B187" s="585"/>
      <c r="C187" s="585"/>
      <c r="D187" s="1542"/>
      <c r="E187" s="1542"/>
      <c r="F187" s="1542"/>
      <c r="G187" s="1542"/>
      <c r="H187" s="1542"/>
      <c r="I187" s="1542"/>
      <c r="J187" s="1542"/>
      <c r="K187" s="1542"/>
      <c r="L187" s="75"/>
    </row>
    <row r="188" spans="1:12" s="74" customFormat="1" ht="58.05" customHeight="1" x14ac:dyDescent="0.3">
      <c r="A188" s="75" t="str">
        <f>IF('Non TB - Note 11'!F78=1,"Print","Do Not Print")</f>
        <v>Print</v>
      </c>
      <c r="B188" s="585"/>
      <c r="C188" s="585"/>
      <c r="D188" s="1504" t="str">
        <f>IF('Non TB - Note 11'!F78=1,'Non TB - Note 11'!H78,"")</f>
        <v>The collection of items of machinery and equipment from the pottery industry includes a particularly excellent example of a glazing machine. This has been valued at £x. This value has been established as the same model was sold at a recent auction. The four recent donations of slip-casting moulds have been valued at market value at £x. The curator has been able to establish the market valuation with observation of sales of very similar items at auction.</v>
      </c>
      <c r="E188" s="1504"/>
      <c r="F188" s="1504"/>
      <c r="G188" s="1504"/>
      <c r="H188" s="1504"/>
      <c r="I188" s="1504"/>
      <c r="J188" s="1504"/>
      <c r="K188" s="1504"/>
      <c r="L188" s="75"/>
    </row>
    <row r="189" spans="1:12" s="74" customFormat="1" ht="13.5" customHeight="1" x14ac:dyDescent="0.3">
      <c r="A189" s="75" t="str">
        <f>IF(A188="Print","Print","Do Not Print")</f>
        <v>Print</v>
      </c>
      <c r="B189" s="585"/>
      <c r="C189" s="585"/>
      <c r="D189" s="1542"/>
      <c r="E189" s="1542"/>
      <c r="F189" s="1542"/>
      <c r="G189" s="1542"/>
      <c r="H189" s="1542"/>
      <c r="I189" s="1542"/>
      <c r="J189" s="1542"/>
      <c r="K189" s="1542"/>
      <c r="L189" s="75"/>
    </row>
    <row r="190" spans="1:12" s="74" customFormat="1" ht="21" customHeight="1" x14ac:dyDescent="0.3">
      <c r="A190" s="75" t="str">
        <f>IF('Non TB - Note 11'!F79=1,"Print","Do Not Print")</f>
        <v>Print</v>
      </c>
      <c r="B190" s="585"/>
      <c r="C190" s="585"/>
      <c r="D190" s="1542" t="str">
        <f>IF('Non TB - Note 11'!F79=1,'Non TB - Note 11'!H79,"")</f>
        <v>Additional narrative</v>
      </c>
      <c r="E190" s="1542"/>
      <c r="F190" s="1542"/>
      <c r="G190" s="1542"/>
      <c r="H190" s="1542"/>
      <c r="I190" s="1542"/>
      <c r="J190" s="1542"/>
      <c r="K190" s="1542"/>
      <c r="L190" s="75"/>
    </row>
    <row r="191" spans="1:12" s="74" customFormat="1" ht="13.5" customHeight="1" x14ac:dyDescent="0.3">
      <c r="A191" s="75" t="str">
        <f>IF(A190="Print","Print","Do Not Print")</f>
        <v>Print</v>
      </c>
      <c r="B191" s="585"/>
      <c r="C191" s="585"/>
      <c r="D191" s="1542"/>
      <c r="E191" s="1542"/>
      <c r="F191" s="1542"/>
      <c r="G191" s="1542"/>
      <c r="H191" s="1542"/>
      <c r="I191" s="1542"/>
      <c r="J191" s="1542"/>
      <c r="K191" s="1542"/>
      <c r="L191" s="75"/>
    </row>
    <row r="192" spans="1:12" s="74" customFormat="1" ht="12.75" customHeight="1" x14ac:dyDescent="0.2">
      <c r="A192" s="75" t="str">
        <f>IF('Non TB - Note 11'!F80=1,"Print","Do Not Print")</f>
        <v>Print</v>
      </c>
      <c r="B192" s="585"/>
      <c r="C192" s="585"/>
      <c r="D192" s="1726" t="str">
        <f>IF('Non TB - Note 11'!F80=1,'Non TB - Note 11'!E80,"")</f>
        <v>Disposals in the financial year:</v>
      </c>
      <c r="E192" s="1726"/>
      <c r="F192" s="1726"/>
      <c r="G192" s="1726"/>
      <c r="H192" s="1726"/>
      <c r="I192" s="1726"/>
      <c r="J192" s="1726"/>
      <c r="K192" s="1726"/>
      <c r="L192" s="75"/>
    </row>
    <row r="193" spans="1:13" s="74" customFormat="1" ht="13.5" customHeight="1" x14ac:dyDescent="0.3">
      <c r="A193" s="75" t="str">
        <f>IF(A192="Print","Print","Do Not Print")</f>
        <v>Print</v>
      </c>
      <c r="B193" s="585"/>
      <c r="C193" s="585"/>
      <c r="D193" s="1542"/>
      <c r="E193" s="1542"/>
      <c r="F193" s="1542"/>
      <c r="G193" s="1542"/>
      <c r="H193" s="1542"/>
      <c r="I193" s="1542"/>
      <c r="J193" s="1542"/>
      <c r="K193" s="1542"/>
      <c r="L193" s="75"/>
    </row>
    <row r="194" spans="1:13" s="74" customFormat="1" ht="77.55" customHeight="1" x14ac:dyDescent="0.3">
      <c r="A194" s="75" t="str">
        <f>IF('Non TB - Note 11'!F80=1,"Print","Do Not Print")</f>
        <v>Print</v>
      </c>
      <c r="B194" s="585"/>
      <c r="C194" s="585"/>
      <c r="D194" s="1504" t="str">
        <f>IF('Non TB - Note 11'!F80=1,'Non TB - Note 11'!H80,"")</f>
        <v>The sale of a donated early twentieth century dinner service – the curator of the ceramics collection has ascertained that, though a fine collection, it was not made in the Authority area. On an exceptional basis the Authority has therefore sold the asset and used the disposal proceeds to purchase a tea service produced in the late nineteenth century by the Kilnshire Pottery. The carrying value of the asset was £x and the proceeds were £x. These sale proceeds were also accounted for in accordance with statutory requirements for the sale of non-current assets as this asset meets the definition of a capital receipt.</v>
      </c>
      <c r="E194" s="1504"/>
      <c r="F194" s="1504"/>
      <c r="G194" s="1504"/>
      <c r="H194" s="1504"/>
      <c r="I194" s="1504"/>
      <c r="J194" s="1504"/>
      <c r="K194" s="1504"/>
      <c r="L194" s="75"/>
    </row>
    <row r="195" spans="1:13" s="74" customFormat="1" ht="12.75" customHeight="1" x14ac:dyDescent="0.3">
      <c r="A195" s="75" t="str">
        <f>IF(A194="Print","Print","Do Not Print")</f>
        <v>Print</v>
      </c>
      <c r="B195" s="585"/>
      <c r="C195" s="585"/>
      <c r="D195" s="1504"/>
      <c r="E195" s="1504"/>
      <c r="F195" s="1504"/>
      <c r="G195" s="1504"/>
      <c r="H195" s="1504"/>
      <c r="I195" s="1504"/>
      <c r="J195" s="1504"/>
      <c r="K195" s="1504"/>
      <c r="L195" s="75"/>
    </row>
    <row r="196" spans="1:13" s="74" customFormat="1" ht="12.75" customHeight="1" x14ac:dyDescent="0.2">
      <c r="A196" s="75" t="str">
        <f>IF('Non TB - Note 11'!F81=1,"Print","Do Not Print")</f>
        <v>Print</v>
      </c>
      <c r="B196" s="585"/>
      <c r="C196" s="585" t="str">
        <f>Checklist!E96</f>
        <v>g</v>
      </c>
      <c r="D196" s="1726" t="str">
        <f>IF('Non TB - Note 11'!F81=1,'Non TB - Note 11'!E81,"")</f>
        <v>Assets Held for Sale</v>
      </c>
      <c r="E196" s="1726"/>
      <c r="F196" s="1726"/>
      <c r="G196" s="1726"/>
      <c r="H196" s="1726"/>
      <c r="I196" s="1726"/>
      <c r="J196" s="1726"/>
      <c r="K196" s="1726"/>
      <c r="L196" s="75"/>
    </row>
    <row r="197" spans="1:13" s="74" customFormat="1" ht="12.75" customHeight="1" x14ac:dyDescent="0.3">
      <c r="A197" s="75" t="str">
        <f>IF(A196="Print","Print","Do Not Print")</f>
        <v>Print</v>
      </c>
      <c r="B197" s="585"/>
      <c r="C197" s="585"/>
      <c r="D197" s="1857"/>
      <c r="E197" s="1857"/>
      <c r="F197" s="1857"/>
      <c r="G197" s="1857"/>
      <c r="H197" s="1857"/>
      <c r="I197" s="1857"/>
      <c r="J197" s="1857"/>
      <c r="K197" s="1857"/>
      <c r="L197" s="75"/>
    </row>
    <row r="198" spans="1:13" s="74" customFormat="1" ht="12.75" customHeight="1" x14ac:dyDescent="0.3">
      <c r="A198" s="75" t="str">
        <f>IF(OR(A212="Print",A222="Print"),"Print", "Do Not Print")</f>
        <v>Do Not Print</v>
      </c>
      <c r="B198" s="585"/>
      <c r="C198" s="585"/>
      <c r="D198" s="906" t="str">
        <f>D196</f>
        <v>Assets Held for Sale</v>
      </c>
      <c r="E198" s="907"/>
      <c r="F198" s="907"/>
      <c r="G198" s="907"/>
      <c r="H198" s="908"/>
      <c r="I198" s="558" t="s">
        <v>1562</v>
      </c>
      <c r="J198" s="1101" t="s">
        <v>1563</v>
      </c>
      <c r="K198" s="1101" t="s">
        <v>74</v>
      </c>
      <c r="L198" s="3"/>
      <c r="M198" s="3"/>
    </row>
    <row r="199" spans="1:13" s="74" customFormat="1" ht="12.75" customHeight="1" x14ac:dyDescent="0.25">
      <c r="A199" s="75" t="str">
        <f>IF(A198="Print","Print","Do Not Print")</f>
        <v>Do Not Print</v>
      </c>
      <c r="B199" s="585"/>
      <c r="C199" s="585"/>
      <c r="D199" s="909"/>
      <c r="E199" s="910"/>
      <c r="F199" s="910"/>
      <c r="G199" s="910"/>
      <c r="H199" s="911"/>
      <c r="I199" s="1102" t="s">
        <v>450</v>
      </c>
      <c r="J199" s="1102" t="s">
        <v>450</v>
      </c>
      <c r="K199" s="1102" t="s">
        <v>450</v>
      </c>
      <c r="L199" s="75"/>
    </row>
    <row r="200" spans="1:13" s="74" customFormat="1" ht="12.75" customHeight="1" x14ac:dyDescent="0.2">
      <c r="A200" s="75" t="str">
        <f>IF(A212="Print","Print","Do Not Print")</f>
        <v>Do Not Print</v>
      </c>
      <c r="B200" s="585"/>
      <c r="C200" s="585"/>
      <c r="D200" s="1985" t="s">
        <v>96</v>
      </c>
      <c r="E200" s="1986"/>
      <c r="F200" s="1986"/>
      <c r="G200" s="1986"/>
      <c r="H200" s="1987"/>
      <c r="I200" s="876"/>
      <c r="J200" s="876"/>
      <c r="K200" s="876"/>
      <c r="L200" s="75"/>
    </row>
    <row r="201" spans="1:13" s="74" customFormat="1" ht="12.75" customHeight="1" x14ac:dyDescent="0.25">
      <c r="A201" s="75" t="str">
        <f>IF(OR(I201&gt;0,J201&gt;0,K201&gt;0),"Print","Do Not Print")</f>
        <v>Do Not Print</v>
      </c>
      <c r="B201" s="585"/>
      <c r="C201" s="585"/>
      <c r="D201" s="1977" t="str">
        <f>'Standing Data'!D48</f>
        <v>Balance as at 1 April 2025</v>
      </c>
      <c r="E201" s="1978"/>
      <c r="F201" s="1978"/>
      <c r="G201" s="1978"/>
      <c r="H201" s="1981"/>
      <c r="I201" s="590">
        <f>'Det BS '!J367</f>
        <v>0</v>
      </c>
      <c r="J201" s="590">
        <f>'Det BS '!J257</f>
        <v>0</v>
      </c>
      <c r="K201" s="590">
        <f>SUM(I201:J201)</f>
        <v>0</v>
      </c>
      <c r="L201" s="75"/>
    </row>
    <row r="202" spans="1:13" s="74" customFormat="1" ht="12.75" customHeight="1" x14ac:dyDescent="0.25">
      <c r="A202" s="75" t="str">
        <f t="shared" ref="A202:A212" si="5">IF(OR(I202&gt;0,J202&gt;0,K202&gt;0),"Print","Do Not Print")</f>
        <v>Do Not Print</v>
      </c>
      <c r="B202" s="585"/>
      <c r="C202" s="585"/>
      <c r="D202" s="1977" t="s">
        <v>101</v>
      </c>
      <c r="E202" s="1978"/>
      <c r="F202" s="1978"/>
      <c r="G202" s="1978"/>
      <c r="H202" s="1981"/>
      <c r="I202" s="590">
        <f>'Det BS '!J368</f>
        <v>0</v>
      </c>
      <c r="J202" s="590">
        <f>'Det BS '!J258</f>
        <v>0</v>
      </c>
      <c r="K202" s="590">
        <f t="shared" ref="K202:K211" si="6">SUM(I202:J202)</f>
        <v>0</v>
      </c>
      <c r="L202" s="75"/>
    </row>
    <row r="203" spans="1:13" s="74" customFormat="1" ht="12.75" customHeight="1" x14ac:dyDescent="0.25">
      <c r="A203" s="75" t="str">
        <f t="shared" si="5"/>
        <v>Do Not Print</v>
      </c>
      <c r="B203" s="585"/>
      <c r="C203" s="585"/>
      <c r="D203" s="1977" t="s">
        <v>1564</v>
      </c>
      <c r="E203" s="1978"/>
      <c r="F203" s="1978"/>
      <c r="G203" s="1978"/>
      <c r="H203" s="1981"/>
      <c r="I203" s="590">
        <f>'Det BS '!J369</f>
        <v>0</v>
      </c>
      <c r="J203" s="590">
        <f>'Det BS '!J259</f>
        <v>0</v>
      </c>
      <c r="K203" s="590">
        <f t="shared" si="6"/>
        <v>0</v>
      </c>
      <c r="L203" s="75"/>
    </row>
    <row r="204" spans="1:13" s="74" customFormat="1" ht="12.75" customHeight="1" x14ac:dyDescent="0.25">
      <c r="A204" s="75" t="str">
        <f t="shared" si="5"/>
        <v>Do Not Print</v>
      </c>
      <c r="B204" s="585"/>
      <c r="C204" s="585"/>
      <c r="D204" s="1977" t="s">
        <v>1094</v>
      </c>
      <c r="E204" s="1978"/>
      <c r="F204" s="1978"/>
      <c r="G204" s="1978"/>
      <c r="H204" s="1981"/>
      <c r="I204" s="590">
        <f>'Det BS '!J370</f>
        <v>0</v>
      </c>
      <c r="J204" s="590">
        <f>'Det BS '!J260</f>
        <v>0</v>
      </c>
      <c r="K204" s="590">
        <f t="shared" si="6"/>
        <v>0</v>
      </c>
      <c r="L204" s="75"/>
    </row>
    <row r="205" spans="1:13" s="74" customFormat="1" ht="30.75" customHeight="1" x14ac:dyDescent="0.25">
      <c r="A205" s="75" t="str">
        <f t="shared" si="5"/>
        <v>Do Not Print</v>
      </c>
      <c r="B205" s="585"/>
      <c r="C205" s="585"/>
      <c r="D205" s="1977" t="s">
        <v>1096</v>
      </c>
      <c r="E205" s="1978"/>
      <c r="F205" s="1978"/>
      <c r="G205" s="1978"/>
      <c r="H205" s="1981"/>
      <c r="I205" s="590">
        <f>'Det BS '!J371</f>
        <v>0</v>
      </c>
      <c r="J205" s="590">
        <f>'Det BS '!J261</f>
        <v>0</v>
      </c>
      <c r="K205" s="590">
        <f t="shared" si="6"/>
        <v>0</v>
      </c>
      <c r="L205" s="75"/>
    </row>
    <row r="206" spans="1:13" s="74" customFormat="1" ht="24.75" customHeight="1" x14ac:dyDescent="0.25">
      <c r="A206" s="75" t="str">
        <f t="shared" si="5"/>
        <v>Do Not Print</v>
      </c>
      <c r="B206" s="585"/>
      <c r="C206" s="585"/>
      <c r="D206" s="1977" t="s">
        <v>1565</v>
      </c>
      <c r="E206" s="1978"/>
      <c r="F206" s="1978"/>
      <c r="G206" s="1978"/>
      <c r="H206" s="1981"/>
      <c r="I206" s="590">
        <f>'Det BS '!J372</f>
        <v>0</v>
      </c>
      <c r="J206" s="590">
        <f>'Det BS '!J262</f>
        <v>0</v>
      </c>
      <c r="K206" s="590">
        <f t="shared" si="6"/>
        <v>0</v>
      </c>
      <c r="L206" s="75"/>
    </row>
    <row r="207" spans="1:13" s="74" customFormat="1" ht="12.75" customHeight="1" x14ac:dyDescent="0.25">
      <c r="A207" s="75" t="str">
        <f t="shared" si="5"/>
        <v>Do Not Print</v>
      </c>
      <c r="B207" s="585"/>
      <c r="C207" s="585"/>
      <c r="D207" s="1977" t="s">
        <v>361</v>
      </c>
      <c r="E207" s="1978"/>
      <c r="F207" s="1978"/>
      <c r="G207" s="1978"/>
      <c r="H207" s="1981"/>
      <c r="I207" s="590">
        <f>'Det BS '!J373</f>
        <v>0</v>
      </c>
      <c r="J207" s="590">
        <f>'Det BS '!J263</f>
        <v>0</v>
      </c>
      <c r="K207" s="590">
        <f t="shared" si="6"/>
        <v>0</v>
      </c>
      <c r="L207" s="75"/>
    </row>
    <row r="208" spans="1:13" s="74" customFormat="1" ht="12.75" customHeight="1" x14ac:dyDescent="0.25">
      <c r="A208" s="75" t="str">
        <f t="shared" si="5"/>
        <v>Do Not Print</v>
      </c>
      <c r="B208" s="585"/>
      <c r="C208" s="585"/>
      <c r="D208" s="1977" t="s">
        <v>105</v>
      </c>
      <c r="E208" s="1978"/>
      <c r="F208" s="1978"/>
      <c r="G208" s="1978"/>
      <c r="H208" s="1981"/>
      <c r="I208" s="590">
        <f>'Det BS '!J374</f>
        <v>0</v>
      </c>
      <c r="J208" s="590">
        <f>'Det BS '!J264</f>
        <v>0</v>
      </c>
      <c r="K208" s="590">
        <f t="shared" si="6"/>
        <v>0</v>
      </c>
      <c r="L208" s="75"/>
    </row>
    <row r="209" spans="1:12" s="74" customFormat="1" ht="12.75" customHeight="1" x14ac:dyDescent="0.25">
      <c r="A209" s="75" t="str">
        <f t="shared" si="5"/>
        <v>Do Not Print</v>
      </c>
      <c r="B209" s="585"/>
      <c r="C209" s="585"/>
      <c r="D209" s="1977" t="s">
        <v>106</v>
      </c>
      <c r="E209" s="1978"/>
      <c r="F209" s="1978"/>
      <c r="G209" s="1978"/>
      <c r="H209" s="1981"/>
      <c r="I209" s="590">
        <f>'Det BS '!J375</f>
        <v>0</v>
      </c>
      <c r="J209" s="590">
        <f>'Det BS '!J265</f>
        <v>0</v>
      </c>
      <c r="K209" s="590">
        <f t="shared" si="6"/>
        <v>0</v>
      </c>
      <c r="L209" s="75"/>
    </row>
    <row r="210" spans="1:12" s="74" customFormat="1" ht="15" customHeight="1" x14ac:dyDescent="0.25">
      <c r="A210" s="75" t="str">
        <f t="shared" si="5"/>
        <v>Do Not Print</v>
      </c>
      <c r="B210" s="585"/>
      <c r="C210" s="585"/>
      <c r="D210" s="1977" t="s">
        <v>2938</v>
      </c>
      <c r="E210" s="1978"/>
      <c r="F210" s="1978"/>
      <c r="G210" s="1978"/>
      <c r="H210" s="1981"/>
      <c r="I210" s="591">
        <f>'Det BS '!J376</f>
        <v>0</v>
      </c>
      <c r="J210" s="590">
        <f>'Det BS '!J266</f>
        <v>0</v>
      </c>
      <c r="K210" s="590">
        <f t="shared" si="6"/>
        <v>0</v>
      </c>
      <c r="L210" s="75"/>
    </row>
    <row r="211" spans="1:12" s="74" customFormat="1" ht="12.75" customHeight="1" x14ac:dyDescent="0.3">
      <c r="A211" s="75" t="str">
        <f t="shared" si="5"/>
        <v>Do Not Print</v>
      </c>
      <c r="B211" s="585"/>
      <c r="C211" s="585"/>
      <c r="D211" s="1988" t="s">
        <v>1566</v>
      </c>
      <c r="E211" s="1989"/>
      <c r="F211" s="1989"/>
      <c r="G211" s="1989"/>
      <c r="H211" s="1990"/>
      <c r="I211" s="938">
        <f>'Det BS '!J377</f>
        <v>0</v>
      </c>
      <c r="J211" s="590">
        <f>'Det BS '!J267</f>
        <v>0</v>
      </c>
      <c r="K211" s="590">
        <f t="shared" si="6"/>
        <v>0</v>
      </c>
      <c r="L211" s="75"/>
    </row>
    <row r="212" spans="1:12" s="74" customFormat="1" ht="12.75" customHeight="1" x14ac:dyDescent="0.2">
      <c r="A212" s="75" t="str">
        <f t="shared" si="5"/>
        <v>Do Not Print</v>
      </c>
      <c r="B212" s="585"/>
      <c r="C212" s="585"/>
      <c r="D212" s="1974" t="str">
        <f>'Standing Data'!D46</f>
        <v>Balance as at 31 March 2026</v>
      </c>
      <c r="E212" s="1975"/>
      <c r="F212" s="1975"/>
      <c r="G212" s="1975"/>
      <c r="H212" s="1976"/>
      <c r="I212" s="592">
        <f>SUM(I201:I211)</f>
        <v>0</v>
      </c>
      <c r="J212" s="592">
        <f>SUM(J201:J211)</f>
        <v>0</v>
      </c>
      <c r="K212" s="592">
        <f>SUM(K201:K211)</f>
        <v>0</v>
      </c>
      <c r="L212" s="75"/>
    </row>
    <row r="213" spans="1:12" s="74" customFormat="1" ht="12.75" customHeight="1" x14ac:dyDescent="0.25">
      <c r="A213" s="75" t="str">
        <f>IF(A212="Print","Print","Do Not Print")</f>
        <v>Do Not Print</v>
      </c>
      <c r="B213" s="585"/>
      <c r="C213" s="585"/>
      <c r="D213" s="1977"/>
      <c r="E213" s="1978"/>
      <c r="F213" s="1978"/>
      <c r="G213" s="1978"/>
      <c r="H213" s="1981"/>
      <c r="I213" s="593"/>
      <c r="J213" s="593"/>
      <c r="K213" s="593"/>
      <c r="L213" s="75"/>
    </row>
    <row r="214" spans="1:12" s="74" customFormat="1" ht="12.75" customHeight="1" x14ac:dyDescent="0.2">
      <c r="A214" s="75" t="str">
        <f>IF(A222="Print","Print","Do Not Print")</f>
        <v>Do Not Print</v>
      </c>
      <c r="B214" s="585"/>
      <c r="C214" s="585"/>
      <c r="D214" s="1974" t="s">
        <v>61</v>
      </c>
      <c r="E214" s="1975"/>
      <c r="F214" s="1975"/>
      <c r="G214" s="1975"/>
      <c r="H214" s="1976"/>
      <c r="I214" s="593"/>
      <c r="J214" s="593"/>
      <c r="K214" s="593"/>
      <c r="L214" s="75"/>
    </row>
    <row r="215" spans="1:12" s="74" customFormat="1" ht="12.75" customHeight="1" x14ac:dyDescent="0.25">
      <c r="A215" s="75" t="str">
        <f>IF(OR(I215&gt;0,J215&gt;0,K215&gt;0),"Print","Do Not Print")</f>
        <v>Do Not Print</v>
      </c>
      <c r="B215" s="585"/>
      <c r="C215" s="585"/>
      <c r="D215" s="1977" t="str">
        <f>D201</f>
        <v>Balance as at 1 April 2025</v>
      </c>
      <c r="E215" s="1978"/>
      <c r="F215" s="1978"/>
      <c r="G215" s="1978"/>
      <c r="H215" s="1981"/>
      <c r="I215" s="590">
        <v>0</v>
      </c>
      <c r="J215" s="590">
        <f>'Det BS '!J268</f>
        <v>0</v>
      </c>
      <c r="K215" s="590">
        <f>SUM(I215:J215)</f>
        <v>0</v>
      </c>
      <c r="L215" s="75"/>
    </row>
    <row r="216" spans="1:12" s="74" customFormat="1" ht="12.75" customHeight="1" x14ac:dyDescent="0.25">
      <c r="A216" s="75" t="str">
        <f t="shared" ref="A216:A222" si="7">IF(OR(I216&gt;0,J216&gt;0,K216&gt;0),"Print","Do Not Print")</f>
        <v>Do Not Print</v>
      </c>
      <c r="B216" s="585"/>
      <c r="C216" s="585"/>
      <c r="D216" s="1977" t="s">
        <v>101</v>
      </c>
      <c r="E216" s="1978"/>
      <c r="F216" s="1978"/>
      <c r="G216" s="1978"/>
      <c r="H216" s="1981"/>
      <c r="I216" s="590">
        <v>0</v>
      </c>
      <c r="J216" s="590">
        <f>'Det BS '!J269</f>
        <v>0</v>
      </c>
      <c r="K216" s="590">
        <f t="shared" ref="K216:K221" si="8">SUM(I216:J216)</f>
        <v>0</v>
      </c>
      <c r="L216" s="75"/>
    </row>
    <row r="217" spans="1:12" s="74" customFormat="1" ht="15" customHeight="1" x14ac:dyDescent="0.3">
      <c r="A217" s="75" t="str">
        <f t="shared" si="7"/>
        <v>Do Not Print</v>
      </c>
      <c r="B217" s="585"/>
      <c r="C217" s="585"/>
      <c r="D217" s="1988" t="s">
        <v>1567</v>
      </c>
      <c r="E217" s="1989"/>
      <c r="F217" s="1989"/>
      <c r="G217" s="1989"/>
      <c r="H217" s="1990"/>
      <c r="I217" s="590">
        <v>0</v>
      </c>
      <c r="J217" s="590">
        <f>'Det BS '!J273</f>
        <v>0</v>
      </c>
      <c r="K217" s="590">
        <f t="shared" si="8"/>
        <v>0</v>
      </c>
      <c r="L217" s="75"/>
    </row>
    <row r="218" spans="1:12" s="74" customFormat="1" ht="12.75" customHeight="1" x14ac:dyDescent="0.25">
      <c r="A218" s="75" t="str">
        <f t="shared" si="7"/>
        <v>Do Not Print</v>
      </c>
      <c r="B218" s="585"/>
      <c r="C218" s="585"/>
      <c r="D218" s="1977" t="s">
        <v>114</v>
      </c>
      <c r="E218" s="1978"/>
      <c r="F218" s="1978"/>
      <c r="G218" s="1978"/>
      <c r="H218" s="1981"/>
      <c r="I218" s="590">
        <v>0</v>
      </c>
      <c r="J218" s="590">
        <f>'Det BS '!J275</f>
        <v>0</v>
      </c>
      <c r="K218" s="590">
        <f t="shared" si="8"/>
        <v>0</v>
      </c>
      <c r="L218" s="75"/>
    </row>
    <row r="219" spans="1:12" s="74" customFormat="1" ht="12.75" customHeight="1" x14ac:dyDescent="0.25">
      <c r="A219" s="75" t="str">
        <f t="shared" si="7"/>
        <v>Do Not Print</v>
      </c>
      <c r="B219" s="585"/>
      <c r="C219" s="585"/>
      <c r="D219" s="1977" t="s">
        <v>106</v>
      </c>
      <c r="E219" s="1978"/>
      <c r="F219" s="1978"/>
      <c r="G219" s="1978"/>
      <c r="H219" s="1981"/>
      <c r="I219" s="590">
        <v>0</v>
      </c>
      <c r="J219" s="590">
        <f>'Det BS '!J276</f>
        <v>0</v>
      </c>
      <c r="K219" s="590">
        <f t="shared" si="8"/>
        <v>0</v>
      </c>
      <c r="L219" s="75"/>
    </row>
    <row r="220" spans="1:12" s="74" customFormat="1" ht="12.75" customHeight="1" x14ac:dyDescent="0.25">
      <c r="A220" s="75" t="str">
        <f t="shared" si="7"/>
        <v>Do Not Print</v>
      </c>
      <c r="B220" s="585"/>
      <c r="C220" s="585"/>
      <c r="D220" s="1977" t="s">
        <v>2938</v>
      </c>
      <c r="E220" s="1978"/>
      <c r="F220" s="1978"/>
      <c r="G220" s="1978"/>
      <c r="H220" s="1981"/>
      <c r="I220" s="591">
        <v>0</v>
      </c>
      <c r="J220" s="590">
        <f>'Det BS '!J277</f>
        <v>0</v>
      </c>
      <c r="K220" s="590">
        <f t="shared" si="8"/>
        <v>0</v>
      </c>
      <c r="L220" s="75"/>
    </row>
    <row r="221" spans="1:12" s="74" customFormat="1" ht="12.75" customHeight="1" x14ac:dyDescent="0.25">
      <c r="A221" s="75" t="str">
        <f t="shared" si="7"/>
        <v>Do Not Print</v>
      </c>
      <c r="B221" s="585"/>
      <c r="C221" s="585"/>
      <c r="D221" s="1977" t="s">
        <v>1566</v>
      </c>
      <c r="E221" s="1978"/>
      <c r="F221" s="1978"/>
      <c r="G221" s="1978"/>
      <c r="H221" s="1981"/>
      <c r="I221" s="590">
        <v>0</v>
      </c>
      <c r="J221" s="590">
        <f>'Det BS '!J278</f>
        <v>0</v>
      </c>
      <c r="K221" s="590">
        <f t="shared" si="8"/>
        <v>0</v>
      </c>
      <c r="L221" s="75"/>
    </row>
    <row r="222" spans="1:12" s="74" customFormat="1" ht="12.75" customHeight="1" x14ac:dyDescent="0.2">
      <c r="A222" s="75" t="str">
        <f t="shared" si="7"/>
        <v>Do Not Print</v>
      </c>
      <c r="B222" s="585"/>
      <c r="C222" s="585"/>
      <c r="D222" s="1974" t="str">
        <f>D212</f>
        <v>Balance as at 31 March 2026</v>
      </c>
      <c r="E222" s="1975"/>
      <c r="F222" s="1975"/>
      <c r="G222" s="1975"/>
      <c r="H222" s="1976"/>
      <c r="I222" s="592">
        <f>SUM(I215:I221)</f>
        <v>0</v>
      </c>
      <c r="J222" s="592">
        <f>SUM(J215:J221)</f>
        <v>0</v>
      </c>
      <c r="K222" s="592">
        <f>SUM(K215:K221)</f>
        <v>0</v>
      </c>
      <c r="L222" s="75"/>
    </row>
    <row r="223" spans="1:12" s="74" customFormat="1" ht="12.75" customHeight="1" x14ac:dyDescent="0.25">
      <c r="A223" s="75" t="str">
        <f>IF(OR(A225="Print",A226="Print"),"Print","Do Not Print")</f>
        <v>Do Not Print</v>
      </c>
      <c r="B223" s="585"/>
      <c r="C223" s="585"/>
      <c r="D223" s="1977"/>
      <c r="E223" s="1978"/>
      <c r="F223" s="1978"/>
      <c r="G223" s="1978"/>
      <c r="H223" s="1981"/>
      <c r="I223" s="594"/>
      <c r="J223" s="594"/>
      <c r="K223" s="594"/>
      <c r="L223" s="75"/>
    </row>
    <row r="224" spans="1:12" s="74" customFormat="1" ht="12.75" customHeight="1" x14ac:dyDescent="0.2">
      <c r="A224" s="75" t="str">
        <f>IF(OR(A225="Print",A226="Print"),"Print","Do Not Print")</f>
        <v>Do Not Print</v>
      </c>
      <c r="B224" s="585"/>
      <c r="C224" s="585"/>
      <c r="D224" s="1974" t="s">
        <v>1294</v>
      </c>
      <c r="E224" s="1975"/>
      <c r="F224" s="1975"/>
      <c r="G224" s="1975"/>
      <c r="H224" s="1976"/>
      <c r="I224" s="594"/>
      <c r="J224" s="594"/>
      <c r="K224" s="594"/>
      <c r="L224" s="75"/>
    </row>
    <row r="225" spans="1:13" s="74" customFormat="1" ht="12.75" customHeight="1" x14ac:dyDescent="0.2">
      <c r="A225" s="75" t="str">
        <f>IF(OR(I225&gt;0,J225&gt;0,K225&gt;0),"Print","Do Not Print")</f>
        <v>Do Not Print</v>
      </c>
      <c r="B225" s="585"/>
      <c r="C225" s="585"/>
      <c r="D225" s="1974" t="str">
        <f>'Standing Data'!D46</f>
        <v>Balance as at 31 March 2026</v>
      </c>
      <c r="E225" s="1975"/>
      <c r="F225" s="1975"/>
      <c r="G225" s="1975"/>
      <c r="H225" s="1976"/>
      <c r="I225" s="592">
        <f>+I212-I222</f>
        <v>0</v>
      </c>
      <c r="J225" s="592">
        <f>+J212-J222</f>
        <v>0</v>
      </c>
      <c r="K225" s="592">
        <f>+K212-K222</f>
        <v>0</v>
      </c>
      <c r="L225" s="75"/>
    </row>
    <row r="226" spans="1:13" s="74" customFormat="1" ht="12.75" customHeight="1" x14ac:dyDescent="0.2">
      <c r="A226" s="75" t="str">
        <f>IF(OR(I226&gt;0,J226&gt;0,K226&gt;0),"Print","Do Not Print")</f>
        <v>Do Not Print</v>
      </c>
      <c r="B226" s="585"/>
      <c r="C226" s="585"/>
      <c r="D226" s="1982" t="str">
        <f>'Standing Data'!D82</f>
        <v>Balance as at 31 March 2025</v>
      </c>
      <c r="E226" s="1983"/>
      <c r="F226" s="1983"/>
      <c r="G226" s="1983"/>
      <c r="H226" s="1984"/>
      <c r="I226" s="592">
        <f>+I201-I215</f>
        <v>0</v>
      </c>
      <c r="J226" s="592">
        <f>+J201-J215</f>
        <v>0</v>
      </c>
      <c r="K226" s="592">
        <f>+K201-K215</f>
        <v>0</v>
      </c>
      <c r="L226" s="75"/>
    </row>
    <row r="227" spans="1:13" s="74" customFormat="1" ht="12.75" customHeight="1" x14ac:dyDescent="0.2">
      <c r="A227" s="75" t="str">
        <f>IF(A226="Print","Print","Do Not Print")</f>
        <v>Do Not Print</v>
      </c>
      <c r="B227" s="585"/>
      <c r="C227" s="585"/>
      <c r="D227" s="1166"/>
      <c r="E227" s="1166"/>
      <c r="F227" s="1166"/>
      <c r="G227" s="1166"/>
      <c r="H227" s="1166"/>
      <c r="I227" s="1166"/>
      <c r="J227" s="1166"/>
      <c r="K227" s="1166"/>
      <c r="L227" s="75"/>
    </row>
    <row r="228" spans="1:13" s="74" customFormat="1" ht="12.75" customHeight="1" x14ac:dyDescent="0.2">
      <c r="A228" s="75" t="s">
        <v>593</v>
      </c>
      <c r="B228" s="585"/>
      <c r="C228" s="585"/>
      <c r="D228" s="1167"/>
      <c r="E228" s="1167"/>
      <c r="F228" s="1167"/>
      <c r="G228" s="1167"/>
      <c r="H228" s="1167"/>
      <c r="I228" s="1167"/>
      <c r="J228" s="1167"/>
      <c r="K228" s="1167"/>
      <c r="L228" s="75"/>
    </row>
    <row r="229" spans="1:13" s="74" customFormat="1" ht="12.75" customHeight="1" x14ac:dyDescent="0.3">
      <c r="A229" s="75" t="str">
        <f>IF(OR(A243="Print",A253="Print"),"Print", "Do Not Print")</f>
        <v>Do Not Print</v>
      </c>
      <c r="B229" s="585"/>
      <c r="C229" s="585"/>
      <c r="D229" s="474" t="str">
        <f>D198</f>
        <v>Assets Held for Sale</v>
      </c>
      <c r="E229" s="474"/>
      <c r="F229" s="479"/>
      <c r="G229" s="479"/>
      <c r="H229" s="479"/>
      <c r="I229" s="474" t="s">
        <v>1562</v>
      </c>
      <c r="J229" s="586" t="s">
        <v>1563</v>
      </c>
      <c r="K229" s="586" t="s">
        <v>74</v>
      </c>
      <c r="L229" s="3"/>
    </row>
    <row r="230" spans="1:13" s="74" customFormat="1" ht="12.75" customHeight="1" x14ac:dyDescent="0.25">
      <c r="A230" s="75" t="str">
        <f>IF(A229="Print","Print","Do Not Print")</f>
        <v>Do Not Print</v>
      </c>
      <c r="B230" s="585"/>
      <c r="C230" s="585"/>
      <c r="D230" s="471"/>
      <c r="E230" s="471"/>
      <c r="F230" s="471"/>
      <c r="G230" s="471"/>
      <c r="H230" s="471"/>
      <c r="I230" s="483" t="s">
        <v>450</v>
      </c>
      <c r="J230" s="483" t="s">
        <v>450</v>
      </c>
      <c r="K230" s="483" t="s">
        <v>450</v>
      </c>
      <c r="L230" s="75"/>
    </row>
    <row r="231" spans="1:13" s="74" customFormat="1" ht="12.75" customHeight="1" x14ac:dyDescent="0.2">
      <c r="A231" s="75" t="str">
        <f>IF(A243="Print","Print","Do Not Print")</f>
        <v>Do Not Print</v>
      </c>
      <c r="B231" s="585"/>
      <c r="C231" s="585"/>
      <c r="D231" s="1985" t="s">
        <v>96</v>
      </c>
      <c r="E231" s="1986"/>
      <c r="F231" s="1986"/>
      <c r="G231" s="1986"/>
      <c r="H231" s="1987"/>
      <c r="I231" s="595"/>
      <c r="J231" s="595"/>
      <c r="K231" s="595"/>
      <c r="L231" s="75"/>
    </row>
    <row r="232" spans="1:13" s="74" customFormat="1" ht="12.75" customHeight="1" x14ac:dyDescent="0.3">
      <c r="A232" s="75" t="str">
        <f>IF(OR(I232&gt;0,J232&gt;0,K232&gt;0),"Print","Do Not Print")</f>
        <v>Do Not Print</v>
      </c>
      <c r="B232" s="585"/>
      <c r="C232" s="585"/>
      <c r="D232" s="1977" t="str">
        <f>'Standing Data'!D86</f>
        <v>Balance as at 1 April 2024</v>
      </c>
      <c r="E232" s="1978"/>
      <c r="F232" s="1978"/>
      <c r="G232" s="1978"/>
      <c r="H232" s="1981"/>
      <c r="I232" s="590">
        <f>'Det BS '!K367</f>
        <v>0</v>
      </c>
      <c r="J232" s="590">
        <f>'Det BS '!K257</f>
        <v>0</v>
      </c>
      <c r="K232" s="592">
        <f>SUM(I232:J232)</f>
        <v>0</v>
      </c>
      <c r="L232" s="3"/>
      <c r="M232" s="75"/>
    </row>
    <row r="233" spans="1:13" s="74" customFormat="1" ht="12.75" customHeight="1" x14ac:dyDescent="0.25">
      <c r="A233" s="75" t="str">
        <f t="shared" ref="A233:A243" si="9">IF(OR(I233&gt;0,J233&gt;0,K233&gt;0),"Print","Do Not Print")</f>
        <v>Do Not Print</v>
      </c>
      <c r="B233" s="585"/>
      <c r="C233" s="585"/>
      <c r="D233" s="1977" t="s">
        <v>101</v>
      </c>
      <c r="E233" s="1978"/>
      <c r="F233" s="1978"/>
      <c r="G233" s="1978"/>
      <c r="H233" s="1981"/>
      <c r="I233" s="590"/>
      <c r="J233" s="590">
        <f>'Det BS '!K258</f>
        <v>0</v>
      </c>
      <c r="K233" s="592">
        <f t="shared" ref="K233:K242" si="10">SUM(I233:J233)</f>
        <v>0</v>
      </c>
      <c r="L233" s="75"/>
    </row>
    <row r="234" spans="1:13" s="74" customFormat="1" ht="12.75" customHeight="1" x14ac:dyDescent="0.25">
      <c r="A234" s="75" t="str">
        <f t="shared" si="9"/>
        <v>Do Not Print</v>
      </c>
      <c r="B234" s="585"/>
      <c r="C234" s="585"/>
      <c r="D234" s="1977" t="s">
        <v>1564</v>
      </c>
      <c r="E234" s="1978"/>
      <c r="F234" s="1978"/>
      <c r="G234" s="1978"/>
      <c r="H234" s="1981"/>
      <c r="I234" s="590"/>
      <c r="J234" s="590">
        <f>'Det BS '!K259</f>
        <v>0</v>
      </c>
      <c r="K234" s="592">
        <f t="shared" si="10"/>
        <v>0</v>
      </c>
      <c r="L234" s="75"/>
    </row>
    <row r="235" spans="1:13" s="74" customFormat="1" ht="12.75" customHeight="1" x14ac:dyDescent="0.25">
      <c r="A235" s="75" t="str">
        <f t="shared" si="9"/>
        <v>Do Not Print</v>
      </c>
      <c r="B235" s="585"/>
      <c r="C235" s="585"/>
      <c r="D235" s="1977" t="s">
        <v>1094</v>
      </c>
      <c r="E235" s="1978"/>
      <c r="F235" s="1978"/>
      <c r="G235" s="1978"/>
      <c r="H235" s="1981"/>
      <c r="I235" s="590">
        <f>'Det BS '!K370</f>
        <v>0</v>
      </c>
      <c r="J235" s="590">
        <f>'Det BS '!K260</f>
        <v>0</v>
      </c>
      <c r="K235" s="592">
        <f t="shared" si="10"/>
        <v>0</v>
      </c>
      <c r="L235" s="75"/>
    </row>
    <row r="236" spans="1:13" s="74" customFormat="1" ht="12.75" customHeight="1" x14ac:dyDescent="0.25">
      <c r="A236" s="75" t="str">
        <f t="shared" si="9"/>
        <v>Do Not Print</v>
      </c>
      <c r="B236" s="585"/>
      <c r="C236" s="585"/>
      <c r="D236" s="1977" t="s">
        <v>1096</v>
      </c>
      <c r="E236" s="1978"/>
      <c r="F236" s="1978"/>
      <c r="G236" s="1978"/>
      <c r="H236" s="1981"/>
      <c r="I236" s="590">
        <f>'Det BS '!K371</f>
        <v>0</v>
      </c>
      <c r="J236" s="590">
        <f>'Det BS '!K261</f>
        <v>0</v>
      </c>
      <c r="K236" s="592">
        <f t="shared" si="10"/>
        <v>0</v>
      </c>
      <c r="L236" s="75"/>
    </row>
    <row r="237" spans="1:13" s="74" customFormat="1" ht="12.75" customHeight="1" x14ac:dyDescent="0.25">
      <c r="A237" s="75" t="str">
        <f t="shared" si="9"/>
        <v>Do Not Print</v>
      </c>
      <c r="B237" s="585"/>
      <c r="C237" s="585"/>
      <c r="D237" s="1977" t="s">
        <v>1565</v>
      </c>
      <c r="E237" s="1978"/>
      <c r="F237" s="1978"/>
      <c r="G237" s="1978"/>
      <c r="H237" s="1981"/>
      <c r="I237" s="590">
        <f>'Det BS '!K372</f>
        <v>0</v>
      </c>
      <c r="J237" s="590">
        <f>'Det BS '!K262</f>
        <v>0</v>
      </c>
      <c r="K237" s="592">
        <f t="shared" si="10"/>
        <v>0</v>
      </c>
      <c r="L237" s="75"/>
    </row>
    <row r="238" spans="1:13" s="74" customFormat="1" ht="12.75" customHeight="1" x14ac:dyDescent="0.25">
      <c r="A238" s="75" t="str">
        <f t="shared" si="9"/>
        <v>Do Not Print</v>
      </c>
      <c r="B238" s="585"/>
      <c r="C238" s="585"/>
      <c r="D238" s="1977" t="s">
        <v>361</v>
      </c>
      <c r="E238" s="1978"/>
      <c r="F238" s="1978"/>
      <c r="G238" s="1978"/>
      <c r="H238" s="1981"/>
      <c r="I238" s="590">
        <f>'Det BS '!K373</f>
        <v>0</v>
      </c>
      <c r="J238" s="590">
        <f>'Det BS '!K263</f>
        <v>0</v>
      </c>
      <c r="K238" s="592">
        <f t="shared" si="10"/>
        <v>0</v>
      </c>
      <c r="L238" s="75"/>
    </row>
    <row r="239" spans="1:13" s="74" customFormat="1" ht="12.75" customHeight="1" x14ac:dyDescent="0.25">
      <c r="A239" s="75" t="str">
        <f t="shared" si="9"/>
        <v>Do Not Print</v>
      </c>
      <c r="B239" s="585"/>
      <c r="C239" s="585"/>
      <c r="D239" s="1977" t="s">
        <v>105</v>
      </c>
      <c r="E239" s="1978"/>
      <c r="F239" s="1978"/>
      <c r="G239" s="1978"/>
      <c r="H239" s="1981"/>
      <c r="I239" s="590">
        <f>'Det BS '!K374</f>
        <v>0</v>
      </c>
      <c r="J239" s="590">
        <f>'Det BS '!K264</f>
        <v>0</v>
      </c>
      <c r="K239" s="592">
        <f t="shared" si="10"/>
        <v>0</v>
      </c>
      <c r="L239" s="75"/>
    </row>
    <row r="240" spans="1:13" s="74" customFormat="1" ht="12.75" customHeight="1" x14ac:dyDescent="0.25">
      <c r="A240" s="75" t="str">
        <f t="shared" si="9"/>
        <v>Do Not Print</v>
      </c>
      <c r="B240" s="585"/>
      <c r="C240" s="585"/>
      <c r="D240" s="1977" t="s">
        <v>106</v>
      </c>
      <c r="E240" s="1978"/>
      <c r="F240" s="1978"/>
      <c r="G240" s="1978"/>
      <c r="H240" s="1981"/>
      <c r="I240" s="590">
        <f>'Det BS '!K375</f>
        <v>0</v>
      </c>
      <c r="J240" s="590">
        <f>'Det BS '!K265</f>
        <v>0</v>
      </c>
      <c r="K240" s="592">
        <f t="shared" si="10"/>
        <v>0</v>
      </c>
      <c r="L240" s="75"/>
    </row>
    <row r="241" spans="1:15" s="74" customFormat="1" ht="12.75" customHeight="1" x14ac:dyDescent="0.25">
      <c r="A241" s="75" t="str">
        <f t="shared" si="9"/>
        <v>Do Not Print</v>
      </c>
      <c r="B241" s="585"/>
      <c r="C241" s="585"/>
      <c r="D241" s="1977" t="s">
        <v>2938</v>
      </c>
      <c r="E241" s="1978"/>
      <c r="F241" s="1978"/>
      <c r="G241" s="1978"/>
      <c r="H241" s="1981"/>
      <c r="I241" s="590">
        <f>'Det BS '!K376</f>
        <v>0</v>
      </c>
      <c r="J241" s="590">
        <f>'Det BS '!K266</f>
        <v>0</v>
      </c>
      <c r="K241" s="592">
        <f t="shared" si="10"/>
        <v>0</v>
      </c>
      <c r="L241" s="75"/>
    </row>
    <row r="242" spans="1:15" s="74" customFormat="1" ht="12.75" customHeight="1" x14ac:dyDescent="0.3">
      <c r="A242" s="75" t="str">
        <f t="shared" si="9"/>
        <v>Do Not Print</v>
      </c>
      <c r="B242" s="585"/>
      <c r="C242" s="585"/>
      <c r="D242" s="1988" t="s">
        <v>1566</v>
      </c>
      <c r="E242" s="1989"/>
      <c r="F242" s="1989"/>
      <c r="G242" s="1989"/>
      <c r="H242" s="1990"/>
      <c r="I242" s="590">
        <f>'Det BS '!K377</f>
        <v>0</v>
      </c>
      <c r="J242" s="590">
        <f>'Det BS '!K267</f>
        <v>0</v>
      </c>
      <c r="K242" s="592">
        <f t="shared" si="10"/>
        <v>0</v>
      </c>
      <c r="L242" s="75"/>
    </row>
    <row r="243" spans="1:15" s="74" customFormat="1" ht="12.75" customHeight="1" x14ac:dyDescent="0.2">
      <c r="A243" s="75" t="str">
        <f t="shared" si="9"/>
        <v>Do Not Print</v>
      </c>
      <c r="B243" s="585"/>
      <c r="C243" s="585"/>
      <c r="D243" s="1974" t="str">
        <f>'Standing Data'!D82</f>
        <v>Balance as at 31 March 2025</v>
      </c>
      <c r="E243" s="1975"/>
      <c r="F243" s="1975"/>
      <c r="G243" s="1975"/>
      <c r="H243" s="1976"/>
      <c r="I243" s="592">
        <f>SUM(I232:I242)</f>
        <v>0</v>
      </c>
      <c r="J243" s="592">
        <f>SUM(J232:J242)</f>
        <v>0</v>
      </c>
      <c r="K243" s="592">
        <f>SUM(K232:K242)</f>
        <v>0</v>
      </c>
      <c r="L243" s="75"/>
    </row>
    <row r="244" spans="1:15" s="74" customFormat="1" ht="12.75" customHeight="1" x14ac:dyDescent="0.25">
      <c r="A244" s="75" t="str">
        <f>IF(A243="Print","Print","Do Not Print")</f>
        <v>Do Not Print</v>
      </c>
      <c r="B244" s="585"/>
      <c r="C244" s="585"/>
      <c r="D244" s="1977"/>
      <c r="E244" s="1978"/>
      <c r="F244" s="1978"/>
      <c r="G244" s="1978"/>
      <c r="H244" s="1978"/>
      <c r="I244" s="879"/>
      <c r="J244" s="879"/>
      <c r="K244" s="880"/>
      <c r="L244" s="75"/>
    </row>
    <row r="245" spans="1:15" s="74" customFormat="1" ht="12.75" customHeight="1" x14ac:dyDescent="0.2">
      <c r="A245" s="75" t="str">
        <f>IF(A243="Print","Print","Do Not Print")</f>
        <v>Do Not Print</v>
      </c>
      <c r="B245" s="585"/>
      <c r="C245" s="585"/>
      <c r="D245" s="1974" t="s">
        <v>61</v>
      </c>
      <c r="E245" s="1975"/>
      <c r="F245" s="1975"/>
      <c r="G245" s="1975"/>
      <c r="H245" s="1976"/>
      <c r="I245" s="595"/>
      <c r="J245" s="595"/>
      <c r="K245" s="595"/>
      <c r="L245" s="75"/>
    </row>
    <row r="246" spans="1:15" s="74" customFormat="1" ht="12.75" customHeight="1" x14ac:dyDescent="0.25">
      <c r="A246" s="75" t="str">
        <f>IF(OR(I246&gt;0,J246&gt;0,K246&gt;0),"Print","Do Not Print")</f>
        <v>Do Not Print</v>
      </c>
      <c r="B246" s="585"/>
      <c r="C246" s="585"/>
      <c r="D246" s="1977" t="str">
        <f>D232</f>
        <v>Balance as at 1 April 2024</v>
      </c>
      <c r="E246" s="1978"/>
      <c r="F246" s="1978"/>
      <c r="G246" s="1978"/>
      <c r="H246" s="1981"/>
      <c r="I246" s="590">
        <v>0</v>
      </c>
      <c r="J246" s="590">
        <f>'Det BS '!K268</f>
        <v>0</v>
      </c>
      <c r="K246" s="592">
        <f>SUM(I246:J246)</f>
        <v>0</v>
      </c>
      <c r="L246" s="75"/>
    </row>
    <row r="247" spans="1:15" s="74" customFormat="1" ht="12.75" customHeight="1" x14ac:dyDescent="0.25">
      <c r="A247" s="75" t="str">
        <f t="shared" ref="A247:A253" si="11">IF(OR(I247&gt;0,J247&gt;0,K247&gt;0),"Print","Do Not Print")</f>
        <v>Do Not Print</v>
      </c>
      <c r="B247" s="585"/>
      <c r="C247" s="585"/>
      <c r="D247" s="1977" t="s">
        <v>101</v>
      </c>
      <c r="E247" s="1978"/>
      <c r="F247" s="1978"/>
      <c r="G247" s="1978"/>
      <c r="H247" s="1981"/>
      <c r="I247" s="590">
        <v>0</v>
      </c>
      <c r="J247" s="590">
        <f>'Det BS '!K269</f>
        <v>0</v>
      </c>
      <c r="K247" s="592">
        <f t="shared" ref="K247:K252" si="12">SUM(I247:J247)</f>
        <v>0</v>
      </c>
      <c r="L247" s="75"/>
    </row>
    <row r="248" spans="1:15" s="74" customFormat="1" ht="13.5" customHeight="1" x14ac:dyDescent="0.25">
      <c r="A248" s="75" t="str">
        <f t="shared" si="11"/>
        <v>Do Not Print</v>
      </c>
      <c r="B248" s="585"/>
      <c r="C248" s="585"/>
      <c r="D248" s="1977" t="s">
        <v>1567</v>
      </c>
      <c r="E248" s="1978"/>
      <c r="F248" s="1978"/>
      <c r="G248" s="1978"/>
      <c r="H248" s="1981"/>
      <c r="I248" s="590">
        <v>0</v>
      </c>
      <c r="J248" s="590">
        <f>'Det BS '!K273</f>
        <v>0</v>
      </c>
      <c r="K248" s="592">
        <f t="shared" si="12"/>
        <v>0</v>
      </c>
      <c r="L248" s="75"/>
    </row>
    <row r="249" spans="1:15" s="74" customFormat="1" ht="12.75" customHeight="1" x14ac:dyDescent="0.25">
      <c r="A249" s="75" t="str">
        <f t="shared" si="11"/>
        <v>Do Not Print</v>
      </c>
      <c r="B249" s="585"/>
      <c r="C249" s="585"/>
      <c r="D249" s="1977" t="s">
        <v>114</v>
      </c>
      <c r="E249" s="1978"/>
      <c r="F249" s="1978"/>
      <c r="G249" s="1978"/>
      <c r="H249" s="1981"/>
      <c r="I249" s="590">
        <v>0</v>
      </c>
      <c r="J249" s="590">
        <f>'Det BS '!K275</f>
        <v>0</v>
      </c>
      <c r="K249" s="592">
        <f t="shared" si="12"/>
        <v>0</v>
      </c>
      <c r="L249" s="75"/>
    </row>
    <row r="250" spans="1:15" s="74" customFormat="1" ht="12.75" customHeight="1" x14ac:dyDescent="0.25">
      <c r="A250" s="75" t="str">
        <f t="shared" si="11"/>
        <v>Do Not Print</v>
      </c>
      <c r="B250" s="585"/>
      <c r="C250" s="585"/>
      <c r="D250" s="1977" t="s">
        <v>106</v>
      </c>
      <c r="E250" s="1978"/>
      <c r="F250" s="1978"/>
      <c r="G250" s="1978"/>
      <c r="H250" s="1981"/>
      <c r="I250" s="590">
        <v>0</v>
      </c>
      <c r="J250" s="590">
        <f>'Det BS '!K276</f>
        <v>0</v>
      </c>
      <c r="K250" s="592">
        <f t="shared" si="12"/>
        <v>0</v>
      </c>
      <c r="L250" s="75"/>
    </row>
    <row r="251" spans="1:15" s="74" customFormat="1" ht="12.75" customHeight="1" x14ac:dyDescent="0.25">
      <c r="A251" s="75" t="str">
        <f t="shared" si="11"/>
        <v>Do Not Print</v>
      </c>
      <c r="B251" s="585"/>
      <c r="C251" s="585"/>
      <c r="D251" s="1977" t="s">
        <v>2938</v>
      </c>
      <c r="E251" s="1978"/>
      <c r="F251" s="1978"/>
      <c r="G251" s="1978"/>
      <c r="H251" s="1981"/>
      <c r="I251" s="590">
        <v>0</v>
      </c>
      <c r="J251" s="590">
        <f>'Det BS '!K277</f>
        <v>0</v>
      </c>
      <c r="K251" s="592">
        <f t="shared" si="12"/>
        <v>0</v>
      </c>
      <c r="L251" s="75"/>
    </row>
    <row r="252" spans="1:15" s="74" customFormat="1" ht="12.75" customHeight="1" x14ac:dyDescent="0.25">
      <c r="A252" s="75" t="str">
        <f t="shared" si="11"/>
        <v>Do Not Print</v>
      </c>
      <c r="B252" s="585"/>
      <c r="C252" s="585"/>
      <c r="D252" s="1977" t="s">
        <v>1566</v>
      </c>
      <c r="E252" s="1978"/>
      <c r="F252" s="1978"/>
      <c r="G252" s="1978"/>
      <c r="H252" s="1981"/>
      <c r="I252" s="590">
        <v>0</v>
      </c>
      <c r="J252" s="590">
        <f>'Det BS '!K278</f>
        <v>0</v>
      </c>
      <c r="K252" s="592">
        <f t="shared" si="12"/>
        <v>0</v>
      </c>
      <c r="L252" s="75"/>
    </row>
    <row r="253" spans="1:15" s="74" customFormat="1" ht="12.75" customHeight="1" x14ac:dyDescent="0.2">
      <c r="A253" s="75" t="str">
        <f t="shared" si="11"/>
        <v>Do Not Print</v>
      </c>
      <c r="B253" s="585"/>
      <c r="C253" s="585"/>
      <c r="D253" s="1974" t="str">
        <f>D243</f>
        <v>Balance as at 31 March 2025</v>
      </c>
      <c r="E253" s="1975"/>
      <c r="F253" s="1975"/>
      <c r="G253" s="1975"/>
      <c r="H253" s="1976"/>
      <c r="I253" s="592">
        <f>SUM(I246:I252)</f>
        <v>0</v>
      </c>
      <c r="J253" s="592">
        <f>SUM(J246:J252)</f>
        <v>0</v>
      </c>
      <c r="K253" s="592">
        <f>SUM(K246:K252)</f>
        <v>0</v>
      </c>
      <c r="L253" s="75"/>
    </row>
    <row r="254" spans="1:15" s="74" customFormat="1" ht="12.75" customHeight="1" x14ac:dyDescent="0.3">
      <c r="A254" s="75" t="str">
        <f>IF(A253="Print","Print","Do Not Print")</f>
        <v>Do Not Print</v>
      </c>
      <c r="B254" s="585"/>
      <c r="C254" s="585"/>
      <c r="D254" s="2008"/>
      <c r="E254" s="1823"/>
      <c r="F254" s="1823"/>
      <c r="G254" s="1823"/>
      <c r="H254" s="1823"/>
      <c r="I254" s="1823"/>
      <c r="J254" s="1823"/>
      <c r="K254" s="1854"/>
      <c r="L254" s="75"/>
    </row>
    <row r="255" spans="1:15" s="74" customFormat="1" ht="12.75" customHeight="1" x14ac:dyDescent="0.3">
      <c r="A255" s="75" t="str">
        <f>IF(A254="Print","Print","Do Not Print")</f>
        <v>Do Not Print</v>
      </c>
      <c r="B255" s="585"/>
      <c r="C255" s="585"/>
      <c r="D255" s="1504"/>
      <c r="E255" s="1504"/>
      <c r="F255" s="1504"/>
      <c r="G255" s="1504"/>
      <c r="H255" s="1504"/>
      <c r="I255" s="1504"/>
      <c r="J255" s="1504"/>
      <c r="K255" s="1504"/>
      <c r="L255" s="75"/>
    </row>
    <row r="256" spans="1:15" s="74" customFormat="1" ht="27.75" customHeight="1" x14ac:dyDescent="0.3">
      <c r="A256" s="75" t="str">
        <f>IF('Non TB - Note 11'!F81=1,"Print","Do Not Print")</f>
        <v>Print</v>
      </c>
      <c r="B256" s="585"/>
      <c r="C256" s="585"/>
      <c r="D256" s="1504" t="str">
        <f>IF('Non TB - Note 11'!F81=1,'Non TB - Note 11'!H81,"")</f>
        <v>The Council intends to dispose of a piece of land at ………… that it no longer uses. The sale is expected to take place within the next X months. The Council is actively seeking a buyer for the land.</v>
      </c>
      <c r="E256" s="1504"/>
      <c r="F256" s="1504"/>
      <c r="G256" s="1504"/>
      <c r="H256" s="1504"/>
      <c r="I256" s="1504"/>
      <c r="J256" s="1504"/>
      <c r="K256" s="1504"/>
      <c r="L256" s="75"/>
      <c r="O256" s="75"/>
    </row>
    <row r="257" spans="1:12" s="74" customFormat="1" ht="12.75" customHeight="1" x14ac:dyDescent="0.3">
      <c r="A257" s="75" t="str">
        <f>IF(A256="Print","Print","Do Not Print")</f>
        <v>Print</v>
      </c>
      <c r="B257" s="585"/>
      <c r="C257" s="585"/>
      <c r="D257" s="1504"/>
      <c r="E257" s="1504"/>
      <c r="F257" s="1504"/>
      <c r="G257" s="1504"/>
      <c r="H257" s="1504"/>
      <c r="I257" s="1504"/>
      <c r="J257" s="1504"/>
      <c r="K257" s="1504"/>
      <c r="L257" s="75"/>
    </row>
    <row r="258" spans="1:12" s="74" customFormat="1" ht="12.75" customHeight="1" x14ac:dyDescent="0.3">
      <c r="A258" s="75" t="str">
        <f>IF('Non TB - Note 11'!F82=1,"Print","Do Not Print")</f>
        <v>Print</v>
      </c>
      <c r="B258" s="585"/>
      <c r="C258" s="585"/>
      <c r="D258" s="1504" t="str">
        <f>IF('Non TB - Note 11'!F82=1,'Non TB - Note 11'!H82,"")</f>
        <v>The gain/loss on assets classified to held for sale and sold during the year was £x (2024/25 £y)</v>
      </c>
      <c r="E258" s="1504"/>
      <c r="F258" s="1504"/>
      <c r="G258" s="1504"/>
      <c r="H258" s="1504"/>
      <c r="I258" s="1504"/>
      <c r="J258" s="1504"/>
      <c r="K258" s="1504"/>
      <c r="L258" s="75"/>
    </row>
    <row r="259" spans="1:12" s="74" customFormat="1" ht="12.75" customHeight="1" x14ac:dyDescent="0.3">
      <c r="A259" s="75" t="str">
        <f>IF(A258="Print","Print","Do Not Print")</f>
        <v>Print</v>
      </c>
      <c r="B259" s="585"/>
      <c r="C259" s="585"/>
      <c r="D259" s="1504"/>
      <c r="E259" s="1504"/>
      <c r="F259" s="1504"/>
      <c r="G259" s="1504"/>
      <c r="H259" s="1504"/>
      <c r="I259" s="1504"/>
      <c r="J259" s="1504"/>
      <c r="K259" s="1504"/>
      <c r="L259" s="75"/>
    </row>
    <row r="260" spans="1:12" s="74" customFormat="1" ht="12.75" customHeight="1" x14ac:dyDescent="0.3">
      <c r="A260" s="75" t="str">
        <f>IF('Non TB - Note 11'!F83=1,"Print","Do Not Print")</f>
        <v>Print</v>
      </c>
      <c r="B260" s="585"/>
      <c r="C260" s="585"/>
      <c r="D260" s="1504" t="str">
        <f>IF('Non TB - Note 11'!F83=1,'Non TB - Note 11'!H83,"")</f>
        <v>Additional narrative</v>
      </c>
      <c r="E260" s="1504"/>
      <c r="F260" s="1504"/>
      <c r="G260" s="1504"/>
      <c r="H260" s="1504"/>
      <c r="I260" s="1504"/>
      <c r="J260" s="1504"/>
      <c r="K260" s="1504"/>
      <c r="L260" s="75"/>
    </row>
    <row r="261" spans="1:12" s="74" customFormat="1" ht="12.75" customHeight="1" x14ac:dyDescent="0.3">
      <c r="A261" s="75" t="str">
        <f>IF(A260="Print","Print","Do Not Print")</f>
        <v>Print</v>
      </c>
      <c r="B261" s="585"/>
      <c r="C261" s="585"/>
      <c r="D261" s="639"/>
      <c r="E261" s="639"/>
      <c r="F261" s="639"/>
      <c r="G261" s="639"/>
      <c r="H261" s="639"/>
      <c r="I261" s="639"/>
      <c r="J261" s="639"/>
      <c r="K261" s="639"/>
      <c r="L261" s="75"/>
    </row>
    <row r="262" spans="1:12" s="74" customFormat="1" ht="12.75" customHeight="1" x14ac:dyDescent="0.2">
      <c r="A262" s="75" t="str">
        <f>IF(K277=0,"Do Not Print","Print")</f>
        <v>Do Not Print</v>
      </c>
      <c r="B262" s="585"/>
      <c r="C262" s="585" t="str">
        <f>Checklist!E97</f>
        <v>h</v>
      </c>
      <c r="D262" s="468" t="s">
        <v>292</v>
      </c>
      <c r="E262" s="468"/>
      <c r="F262" s="468"/>
      <c r="G262" s="468"/>
      <c r="H262" s="468"/>
      <c r="I262" s="468"/>
      <c r="J262" s="468"/>
      <c r="K262" s="468"/>
      <c r="L262" s="75"/>
    </row>
    <row r="263" spans="1:12" s="74" customFormat="1" ht="12.75" customHeight="1" x14ac:dyDescent="0.3">
      <c r="A263" s="75" t="str">
        <f>IF(A262="Print","Print","Do Not Print")</f>
        <v>Do Not Print</v>
      </c>
      <c r="B263" s="585"/>
      <c r="C263" s="585"/>
      <c r="D263" s="639"/>
      <c r="E263" s="639"/>
      <c r="F263" s="639"/>
      <c r="G263" s="639"/>
      <c r="H263" s="639"/>
      <c r="I263" s="639"/>
      <c r="J263" s="639"/>
      <c r="K263" s="639"/>
      <c r="L263" s="75"/>
    </row>
    <row r="264" spans="1:12" s="74" customFormat="1" ht="12.75" customHeight="1" x14ac:dyDescent="0.25">
      <c r="A264" s="75" t="str">
        <f>IF(A262="Print","Print","Do Not Print")</f>
        <v>Do Not Print</v>
      </c>
      <c r="B264" s="585"/>
      <c r="C264" s="585"/>
      <c r="D264" s="1159"/>
      <c r="E264" s="1159"/>
      <c r="F264" s="1159"/>
      <c r="G264" s="1159"/>
      <c r="H264" s="1159"/>
      <c r="I264" s="1077" t="s">
        <v>1292</v>
      </c>
      <c r="J264" s="1077" t="s">
        <v>1291</v>
      </c>
      <c r="K264" s="1077" t="s">
        <v>100</v>
      </c>
      <c r="L264" s="75"/>
    </row>
    <row r="265" spans="1:12" s="74" customFormat="1" ht="12.75" customHeight="1" x14ac:dyDescent="0.25">
      <c r="A265" s="75" t="str">
        <f>IF(A262="Print","Print","Do Not Print")</f>
        <v>Do Not Print</v>
      </c>
      <c r="B265" s="585"/>
      <c r="C265" s="585"/>
      <c r="D265" s="1159"/>
      <c r="E265" s="1159"/>
      <c r="F265" s="1159"/>
      <c r="G265" s="1159"/>
      <c r="H265" s="1159"/>
      <c r="I265" s="1159" t="s">
        <v>450</v>
      </c>
      <c r="J265" s="1159" t="s">
        <v>450</v>
      </c>
      <c r="K265" s="1159" t="s">
        <v>450</v>
      </c>
      <c r="L265" s="75"/>
    </row>
    <row r="266" spans="1:12" s="74" customFormat="1" ht="12.75" customHeight="1" x14ac:dyDescent="0.3">
      <c r="A266" s="75" t="str">
        <f>IF(A262="Print","Print","Do Not Print")</f>
        <v>Do Not Print</v>
      </c>
      <c r="B266" s="585"/>
      <c r="C266" s="585"/>
      <c r="D266" s="1973" t="s">
        <v>96</v>
      </c>
      <c r="E266" s="1973"/>
      <c r="F266" s="1973"/>
      <c r="G266" s="1973"/>
      <c r="H266" s="1973"/>
      <c r="I266" s="1139"/>
      <c r="J266" s="1139"/>
      <c r="K266" s="1139"/>
      <c r="L266" s="75"/>
    </row>
    <row r="267" spans="1:12" s="74" customFormat="1" ht="12.75" customHeight="1" x14ac:dyDescent="0.3">
      <c r="A267" s="75" t="str">
        <f>IF(K267=0,"Do Not Print","Print")</f>
        <v>Do Not Print</v>
      </c>
      <c r="B267" s="585"/>
      <c r="C267" s="585"/>
      <c r="D267" s="1898" t="s">
        <v>3174</v>
      </c>
      <c r="E267" s="1898"/>
      <c r="F267" s="1898"/>
      <c r="G267" s="1898"/>
      <c r="H267" s="1898"/>
      <c r="I267" s="1160">
        <f>'Non TB - Note 11'!H61</f>
        <v>0</v>
      </c>
      <c r="J267" s="1160">
        <f>'Non TB - Note 11'!H64</f>
        <v>0</v>
      </c>
      <c r="K267" s="1161">
        <f>SUM(I267:J267)</f>
        <v>0</v>
      </c>
      <c r="L267" s="75"/>
    </row>
    <row r="268" spans="1:12" s="74" customFormat="1" ht="12.75" customHeight="1" x14ac:dyDescent="0.3">
      <c r="A268" s="75" t="str">
        <f>IF(K268=0,"Do Not Print","Print")</f>
        <v>Do Not Print</v>
      </c>
      <c r="B268" s="585"/>
      <c r="C268" s="585"/>
      <c r="D268" s="1898" t="s">
        <v>973</v>
      </c>
      <c r="E268" s="1898"/>
      <c r="F268" s="1898"/>
      <c r="G268" s="1898"/>
      <c r="H268" s="1898"/>
      <c r="I268" s="1160">
        <f>'Non TB - Note 11'!H62</f>
        <v>0</v>
      </c>
      <c r="J268" s="1160">
        <f>'Non TB - Note 11'!H65</f>
        <v>0</v>
      </c>
      <c r="K268" s="1161">
        <f>SUM(I268:J268)</f>
        <v>0</v>
      </c>
      <c r="L268" s="114"/>
    </row>
    <row r="269" spans="1:12" s="74" customFormat="1" ht="12.75" customHeight="1" x14ac:dyDescent="0.3">
      <c r="A269" s="75" t="str">
        <f>IF(K269=0,"Do Not Print","Print")</f>
        <v>Do Not Print</v>
      </c>
      <c r="B269" s="585"/>
      <c r="C269" s="585"/>
      <c r="D269" s="1898" t="s">
        <v>977</v>
      </c>
      <c r="E269" s="1898"/>
      <c r="F269" s="1898"/>
      <c r="G269" s="1898"/>
      <c r="H269" s="1898"/>
      <c r="I269" s="1160">
        <f>-'Non TB - Note 11'!H63</f>
        <v>0</v>
      </c>
      <c r="J269" s="1160">
        <f>-'Non TB - Note 11'!H66</f>
        <v>0</v>
      </c>
      <c r="K269" s="1161">
        <f>SUM(I269:J269)</f>
        <v>0</v>
      </c>
      <c r="L269" s="75"/>
    </row>
    <row r="270" spans="1:12" s="74" customFormat="1" ht="12.75" customHeight="1" x14ac:dyDescent="0.3">
      <c r="A270" s="75" t="str">
        <f>IF(K270=0,"Do Not Print","Print")</f>
        <v>Do Not Print</v>
      </c>
      <c r="B270" s="585"/>
      <c r="C270" s="585"/>
      <c r="D270" s="1973" t="s">
        <v>3175</v>
      </c>
      <c r="E270" s="1973"/>
      <c r="F270" s="1973"/>
      <c r="G270" s="1973"/>
      <c r="H270" s="1973"/>
      <c r="I270" s="1161">
        <f>SUM(I267:I269)</f>
        <v>0</v>
      </c>
      <c r="J270" s="1161">
        <f>SUM(J267:J269)</f>
        <v>0</v>
      </c>
      <c r="K270" s="1161">
        <f>SUM(I270:J270)</f>
        <v>0</v>
      </c>
      <c r="L270" s="75"/>
    </row>
    <row r="271" spans="1:12" s="74" customFormat="1" ht="12.75" customHeight="1" x14ac:dyDescent="0.3">
      <c r="A271" s="75" t="str">
        <f>IF(A262="Print","Print","Do Not Print")</f>
        <v>Do Not Print</v>
      </c>
      <c r="B271" s="585"/>
      <c r="C271" s="585"/>
      <c r="D271" s="1973" t="s">
        <v>904</v>
      </c>
      <c r="E271" s="1973"/>
      <c r="F271" s="1973"/>
      <c r="G271" s="1973"/>
      <c r="H271" s="1973"/>
      <c r="I271" s="1162"/>
      <c r="J271" s="1162"/>
      <c r="K271" s="1162"/>
      <c r="L271" s="75"/>
    </row>
    <row r="272" spans="1:12" s="74" customFormat="1" ht="12.75" customHeight="1" x14ac:dyDescent="0.3">
      <c r="A272" s="75" t="str">
        <f>IF(K272=0,"Do Not Print","Print")</f>
        <v>Do Not Print</v>
      </c>
      <c r="B272" s="585"/>
      <c r="C272" s="585"/>
      <c r="D272" s="1898" t="s">
        <v>3174</v>
      </c>
      <c r="E272" s="1898"/>
      <c r="F272" s="1898"/>
      <c r="G272" s="1898"/>
      <c r="H272" s="1898"/>
      <c r="I272" s="1160">
        <f>'Non TB - Note 11'!H67</f>
        <v>0</v>
      </c>
      <c r="J272" s="1160">
        <f>'Non TB - Note 11'!H70</f>
        <v>0</v>
      </c>
      <c r="K272" s="1161">
        <f>SUM(I272:J272)</f>
        <v>0</v>
      </c>
      <c r="L272" s="75"/>
    </row>
    <row r="273" spans="1:12" s="74" customFormat="1" ht="12.75" customHeight="1" x14ac:dyDescent="0.3">
      <c r="A273" s="75" t="str">
        <f>IF(K273=0,"Do Not Print","Print")</f>
        <v>Do Not Print</v>
      </c>
      <c r="B273" s="585"/>
      <c r="C273" s="585"/>
      <c r="D273" s="1898" t="s">
        <v>977</v>
      </c>
      <c r="E273" s="1898"/>
      <c r="F273" s="1898"/>
      <c r="G273" s="1898"/>
      <c r="H273" s="1898"/>
      <c r="I273" s="1160">
        <f>-'Non TB - Note 11'!H68</f>
        <v>0</v>
      </c>
      <c r="J273" s="1160">
        <f>-'Non TB - Note 11'!H71</f>
        <v>0</v>
      </c>
      <c r="K273" s="1161">
        <f>SUM(I273:J273)</f>
        <v>0</v>
      </c>
      <c r="L273" s="75"/>
    </row>
    <row r="274" spans="1:12" s="74" customFormat="1" ht="12.75" customHeight="1" x14ac:dyDescent="0.3">
      <c r="A274" s="75" t="str">
        <f>IF(K274=0,"Do Not Print","Print")</f>
        <v>Do Not Print</v>
      </c>
      <c r="B274" s="585"/>
      <c r="C274" s="585"/>
      <c r="D274" s="1898" t="s">
        <v>1293</v>
      </c>
      <c r="E274" s="1898"/>
      <c r="F274" s="1898"/>
      <c r="G274" s="1898"/>
      <c r="H274" s="1898"/>
      <c r="I274" s="1160">
        <f>'Non TB - Note 11'!H69</f>
        <v>0</v>
      </c>
      <c r="J274" s="1160">
        <f>'Non TB - Note 11'!H72</f>
        <v>0</v>
      </c>
      <c r="K274" s="1161">
        <f>SUM(I274:J274)</f>
        <v>0</v>
      </c>
      <c r="L274" s="75"/>
    </row>
    <row r="275" spans="1:12" s="74" customFormat="1" ht="12.75" customHeight="1" x14ac:dyDescent="0.3">
      <c r="A275" s="75" t="str">
        <f>IF(K275=0,"Do Not Print","Print")</f>
        <v>Do Not Print</v>
      </c>
      <c r="B275" s="585"/>
      <c r="C275" s="585"/>
      <c r="D275" s="1973" t="s">
        <v>3175</v>
      </c>
      <c r="E275" s="1973"/>
      <c r="F275" s="1973"/>
      <c r="G275" s="1973"/>
      <c r="H275" s="1973"/>
      <c r="I275" s="1161">
        <f>SUM(I272:I274)</f>
        <v>0</v>
      </c>
      <c r="J275" s="1161">
        <f>SUM(J272:J274)</f>
        <v>0</v>
      </c>
      <c r="K275" s="1161">
        <f>SUM(I275:J275)</f>
        <v>0</v>
      </c>
      <c r="L275" s="75"/>
    </row>
    <row r="276" spans="1:12" s="74" customFormat="1" ht="12.75" customHeight="1" x14ac:dyDescent="0.3">
      <c r="A276" s="75" t="str">
        <f>IF(A262="Print","Print","Do Not Print")</f>
        <v>Do Not Print</v>
      </c>
      <c r="B276" s="585"/>
      <c r="C276" s="585"/>
      <c r="D276" s="1898"/>
      <c r="E276" s="1898"/>
      <c r="F276" s="1898"/>
      <c r="G276" s="1898"/>
      <c r="H276" s="1898"/>
      <c r="I276" s="1139"/>
      <c r="J276" s="1139"/>
      <c r="K276" s="1139"/>
      <c r="L276" s="75"/>
    </row>
    <row r="277" spans="1:12" s="74" customFormat="1" ht="12.75" customHeight="1" x14ac:dyDescent="0.3">
      <c r="A277" s="75" t="str">
        <f>IF(A262="Print","Print","Do Not Print")</f>
        <v>Do Not Print</v>
      </c>
      <c r="B277" s="585"/>
      <c r="C277" s="585"/>
      <c r="D277" s="1973" t="s">
        <v>1294</v>
      </c>
      <c r="E277" s="1973"/>
      <c r="F277" s="1973"/>
      <c r="G277" s="1973"/>
      <c r="H277" s="1973"/>
      <c r="I277" s="1161">
        <f>I270-I275</f>
        <v>0</v>
      </c>
      <c r="J277" s="1161">
        <f>J270-J275</f>
        <v>0</v>
      </c>
      <c r="K277" s="1161">
        <f>K270-K275</f>
        <v>0</v>
      </c>
      <c r="L277" s="75"/>
    </row>
    <row r="278" spans="1:12" s="74" customFormat="1" ht="12.75" customHeight="1" x14ac:dyDescent="0.3">
      <c r="A278" s="75" t="str">
        <f>IF(A262="Print","Print","Do Not Print")</f>
        <v>Do Not Print</v>
      </c>
      <c r="B278" s="585"/>
      <c r="C278" s="585"/>
      <c r="D278" s="1823"/>
      <c r="E278" s="1823"/>
      <c r="F278" s="1823"/>
      <c r="G278" s="1823"/>
      <c r="H278" s="1823"/>
      <c r="I278" s="1140"/>
      <c r="J278" s="1140"/>
      <c r="K278" s="1140"/>
      <c r="L278" s="75"/>
    </row>
    <row r="279" spans="1:12" s="74" customFormat="1" ht="12.75" customHeight="1" x14ac:dyDescent="0.3">
      <c r="A279" s="75" t="str">
        <f>IF(A262="Print","Print","Do Not Print")</f>
        <v>Do Not Print</v>
      </c>
      <c r="B279" s="585"/>
      <c r="C279" s="585"/>
      <c r="D279" s="639"/>
      <c r="E279" s="639"/>
      <c r="F279" s="639"/>
      <c r="G279" s="639"/>
      <c r="H279" s="639"/>
      <c r="I279" s="639"/>
      <c r="J279" s="639"/>
      <c r="K279" s="639"/>
      <c r="L279" s="75"/>
    </row>
    <row r="280" spans="1:12" s="74" customFormat="1" ht="12.75" customHeight="1" x14ac:dyDescent="0.25">
      <c r="A280" s="75" t="str">
        <f>IF(K294=0,"Do Not Print","Print")</f>
        <v>Do Not Print</v>
      </c>
      <c r="B280" s="585"/>
      <c r="C280" s="585"/>
      <c r="D280" s="1159"/>
      <c r="E280" s="1159"/>
      <c r="F280" s="1159"/>
      <c r="G280" s="1159"/>
      <c r="H280" s="1159"/>
      <c r="I280" s="1077" t="s">
        <v>1292</v>
      </c>
      <c r="J280" s="1077" t="s">
        <v>1291</v>
      </c>
      <c r="K280" s="1077" t="s">
        <v>100</v>
      </c>
      <c r="L280" s="75"/>
    </row>
    <row r="281" spans="1:12" s="74" customFormat="1" ht="12.75" customHeight="1" x14ac:dyDescent="0.25">
      <c r="A281" s="75" t="str">
        <f>IF(K294=0,"Do Not Print","Print")</f>
        <v>Do Not Print</v>
      </c>
      <c r="B281" s="585"/>
      <c r="C281" s="585"/>
      <c r="D281" s="1159"/>
      <c r="E281" s="1159"/>
      <c r="F281" s="1159"/>
      <c r="G281" s="1159"/>
      <c r="H281" s="1159"/>
      <c r="I281" s="1159" t="s">
        <v>450</v>
      </c>
      <c r="J281" s="1159" t="s">
        <v>450</v>
      </c>
      <c r="K281" s="1159" t="s">
        <v>450</v>
      </c>
      <c r="L281" s="75"/>
    </row>
    <row r="282" spans="1:12" s="74" customFormat="1" ht="12.75" customHeight="1" x14ac:dyDescent="0.3">
      <c r="A282" s="75" t="str">
        <f>IF(K294=0,"Do Not Print","Print")</f>
        <v>Do Not Print</v>
      </c>
      <c r="B282" s="585"/>
      <c r="C282" s="585"/>
      <c r="D282" s="1973" t="s">
        <v>96</v>
      </c>
      <c r="E282" s="1973"/>
      <c r="F282" s="1973"/>
      <c r="G282" s="1973"/>
      <c r="H282" s="1973"/>
      <c r="I282" s="1139"/>
      <c r="J282" s="1139"/>
      <c r="K282" s="1139"/>
      <c r="L282" s="75"/>
    </row>
    <row r="283" spans="1:12" s="74" customFormat="1" ht="12.75" customHeight="1" x14ac:dyDescent="0.3">
      <c r="A283" s="75" t="str">
        <f>IF(K283=0,"Do Not Print","Print")</f>
        <v>Do Not Print</v>
      </c>
      <c r="B283" s="585"/>
      <c r="C283" s="585"/>
      <c r="D283" s="1898" t="s">
        <v>3042</v>
      </c>
      <c r="E283" s="1898"/>
      <c r="F283" s="1898"/>
      <c r="G283" s="1898"/>
      <c r="H283" s="1898"/>
      <c r="I283" s="1160">
        <f>'Non TB - Note 11'!I61</f>
        <v>0</v>
      </c>
      <c r="J283" s="1160">
        <f>'Non TB - Note 11'!I64</f>
        <v>0</v>
      </c>
      <c r="K283" s="1161">
        <f>SUM(I283:J283)</f>
        <v>0</v>
      </c>
      <c r="L283" s="75"/>
    </row>
    <row r="284" spans="1:12" s="74" customFormat="1" ht="12.75" customHeight="1" x14ac:dyDescent="0.3">
      <c r="A284" s="75" t="str">
        <f>IF(K284=0,"Do Not Print","Print")</f>
        <v>Do Not Print</v>
      </c>
      <c r="B284" s="585"/>
      <c r="C284" s="585"/>
      <c r="D284" s="1898" t="s">
        <v>973</v>
      </c>
      <c r="E284" s="1898"/>
      <c r="F284" s="1898"/>
      <c r="G284" s="1898"/>
      <c r="H284" s="1898"/>
      <c r="I284" s="1160">
        <f>'Non TB - Note 11'!I62</f>
        <v>0</v>
      </c>
      <c r="J284" s="1160">
        <f>'Non TB - Note 11'!I65</f>
        <v>0</v>
      </c>
      <c r="K284" s="1161">
        <f>SUM(I284:J284)</f>
        <v>0</v>
      </c>
      <c r="L284" s="75"/>
    </row>
    <row r="285" spans="1:12" s="74" customFormat="1" ht="12.75" customHeight="1" x14ac:dyDescent="0.3">
      <c r="A285" s="75" t="str">
        <f>IF(K285=0,"Do Not Print","Print")</f>
        <v>Do Not Print</v>
      </c>
      <c r="B285" s="585"/>
      <c r="C285" s="585"/>
      <c r="D285" s="1898" t="s">
        <v>977</v>
      </c>
      <c r="E285" s="1898"/>
      <c r="F285" s="1898"/>
      <c r="G285" s="1898"/>
      <c r="H285" s="1898"/>
      <c r="I285" s="1160">
        <f>-'Non TB - Note 11'!I63</f>
        <v>0</v>
      </c>
      <c r="J285" s="1160">
        <f>-'Non TB - Note 11'!I66</f>
        <v>0</v>
      </c>
      <c r="K285" s="1161">
        <f>SUM(I285:J285)</f>
        <v>0</v>
      </c>
      <c r="L285" s="75"/>
    </row>
    <row r="286" spans="1:12" s="74" customFormat="1" ht="12.75" customHeight="1" x14ac:dyDescent="0.3">
      <c r="A286" s="75" t="str">
        <f>IF(K286=0,"Do Not Print","Print")</f>
        <v>Do Not Print</v>
      </c>
      <c r="B286" s="585"/>
      <c r="C286" s="585"/>
      <c r="D286" s="1973" t="s">
        <v>3017</v>
      </c>
      <c r="E286" s="1973"/>
      <c r="F286" s="1973"/>
      <c r="G286" s="1973"/>
      <c r="H286" s="1973"/>
      <c r="I286" s="1161">
        <f>SUM(I283:I285)</f>
        <v>0</v>
      </c>
      <c r="J286" s="1161">
        <f>SUM(J283:J285)</f>
        <v>0</v>
      </c>
      <c r="K286" s="1161">
        <f>SUM(I286:J286)</f>
        <v>0</v>
      </c>
      <c r="L286" s="75"/>
    </row>
    <row r="287" spans="1:12" s="74" customFormat="1" ht="12.75" customHeight="1" x14ac:dyDescent="0.3">
      <c r="A287" s="75" t="str">
        <f>IF(K294=0,"Do Not Print","Print")</f>
        <v>Do Not Print</v>
      </c>
      <c r="B287" s="585"/>
      <c r="C287" s="585"/>
      <c r="D287" s="1898"/>
      <c r="E287" s="1898"/>
      <c r="F287" s="1898"/>
      <c r="G287" s="1898"/>
      <c r="H287" s="1898"/>
      <c r="I287" s="1139"/>
      <c r="J287" s="1139"/>
      <c r="K287" s="1139"/>
      <c r="L287" s="75"/>
    </row>
    <row r="288" spans="1:12" s="74" customFormat="1" ht="12.75" customHeight="1" x14ac:dyDescent="0.3">
      <c r="A288" s="75" t="str">
        <f>IF(K294=0,"Do Not Print","Print")</f>
        <v>Do Not Print</v>
      </c>
      <c r="B288" s="585"/>
      <c r="C288" s="585"/>
      <c r="D288" s="1973" t="s">
        <v>904</v>
      </c>
      <c r="E288" s="1973"/>
      <c r="F288" s="1973"/>
      <c r="G288" s="1973"/>
      <c r="H288" s="1973"/>
      <c r="I288" s="1139"/>
      <c r="J288" s="1139"/>
      <c r="K288" s="1139"/>
      <c r="L288" s="75"/>
    </row>
    <row r="289" spans="1:21" s="74" customFormat="1" ht="12.75" customHeight="1" x14ac:dyDescent="0.3">
      <c r="A289" s="75" t="str">
        <f>IF(K289=0,"Do Not Print","Print")</f>
        <v>Do Not Print</v>
      </c>
      <c r="B289" s="585"/>
      <c r="C289" s="585"/>
      <c r="D289" s="1898" t="str">
        <f>D283</f>
        <v>At 1 April 2024</v>
      </c>
      <c r="E289" s="1898"/>
      <c r="F289" s="1898"/>
      <c r="G289" s="1898"/>
      <c r="H289" s="1898"/>
      <c r="I289" s="1160">
        <f>'Non TB - Note 11'!I67</f>
        <v>0</v>
      </c>
      <c r="J289" s="1160">
        <f>'Non TB - Note 11'!I70</f>
        <v>0</v>
      </c>
      <c r="K289" s="1161">
        <f>SUM(I289:J289)</f>
        <v>0</v>
      </c>
      <c r="L289" s="75"/>
    </row>
    <row r="290" spans="1:21" s="74" customFormat="1" ht="12.75" customHeight="1" x14ac:dyDescent="0.3">
      <c r="A290" s="75" t="str">
        <f>IF(K290=0,"Do Not Print","Print")</f>
        <v>Do Not Print</v>
      </c>
      <c r="B290" s="585"/>
      <c r="C290" s="585"/>
      <c r="D290" s="1898" t="s">
        <v>977</v>
      </c>
      <c r="E290" s="1898"/>
      <c r="F290" s="1898"/>
      <c r="G290" s="1898"/>
      <c r="H290" s="1898"/>
      <c r="I290" s="1160">
        <f>-'Non TB - Note 11'!I68</f>
        <v>0</v>
      </c>
      <c r="J290" s="1160">
        <f>-'Non TB - Note 11'!I71</f>
        <v>0</v>
      </c>
      <c r="K290" s="1161">
        <f>SUM(I290:J290)</f>
        <v>0</v>
      </c>
      <c r="L290" s="75"/>
    </row>
    <row r="291" spans="1:21" s="74" customFormat="1" ht="12.75" customHeight="1" x14ac:dyDescent="0.3">
      <c r="A291" s="75" t="str">
        <f>IF(K291=0,"Do Not Print","Print")</f>
        <v>Do Not Print</v>
      </c>
      <c r="B291" s="585"/>
      <c r="C291" s="585"/>
      <c r="D291" s="1898" t="s">
        <v>1293</v>
      </c>
      <c r="E291" s="1898"/>
      <c r="F291" s="1898"/>
      <c r="G291" s="1898"/>
      <c r="H291" s="1898"/>
      <c r="I291" s="1160">
        <f>'Non TB - Note 11'!I69</f>
        <v>0</v>
      </c>
      <c r="J291" s="1160">
        <f>'Non TB - Note 11'!I72</f>
        <v>0</v>
      </c>
      <c r="K291" s="1161">
        <f>SUM(I291:J291)</f>
        <v>0</v>
      </c>
      <c r="L291" s="75"/>
    </row>
    <row r="292" spans="1:21" s="74" customFormat="1" ht="12.75" customHeight="1" x14ac:dyDescent="0.3">
      <c r="A292" s="75" t="str">
        <f>IF(K292=0,"Do Not Print","Print")</f>
        <v>Do Not Print</v>
      </c>
      <c r="B292" s="585"/>
      <c r="C292" s="585"/>
      <c r="D292" s="1973" t="str">
        <f>D286</f>
        <v>At 31 March 2025</v>
      </c>
      <c r="E292" s="1973"/>
      <c r="F292" s="1973"/>
      <c r="G292" s="1973"/>
      <c r="H292" s="1973"/>
      <c r="I292" s="1161">
        <f>SUM(I289:I291)</f>
        <v>0</v>
      </c>
      <c r="J292" s="1161">
        <f>SUM(J289:J291)</f>
        <v>0</v>
      </c>
      <c r="K292" s="1161">
        <f>SUM(I292:J292)</f>
        <v>0</v>
      </c>
      <c r="L292" s="75"/>
    </row>
    <row r="293" spans="1:21" s="74" customFormat="1" ht="12.75" customHeight="1" x14ac:dyDescent="0.3">
      <c r="A293" s="75" t="str">
        <f>IF(K294=0,"Do Not Print","Print")</f>
        <v>Do Not Print</v>
      </c>
      <c r="B293" s="585"/>
      <c r="C293" s="585"/>
      <c r="D293" s="1898"/>
      <c r="E293" s="1898"/>
      <c r="F293" s="1898"/>
      <c r="G293" s="1898"/>
      <c r="H293" s="1898"/>
      <c r="I293" s="1163"/>
      <c r="J293" s="1163"/>
      <c r="K293" s="1164"/>
      <c r="L293" s="75"/>
    </row>
    <row r="294" spans="1:21" s="74" customFormat="1" ht="12.75" customHeight="1" x14ac:dyDescent="0.3">
      <c r="A294" s="75" t="str">
        <f>IF(K294=0,"Do Not Print","Print")</f>
        <v>Do Not Print</v>
      </c>
      <c r="B294" s="585"/>
      <c r="C294" s="585"/>
      <c r="D294" s="1973" t="s">
        <v>1294</v>
      </c>
      <c r="E294" s="1973"/>
      <c r="F294" s="1973"/>
      <c r="G294" s="1973"/>
      <c r="H294" s="1973"/>
      <c r="I294" s="1161">
        <f>I286-I292</f>
        <v>0</v>
      </c>
      <c r="J294" s="1161">
        <f>J286-J292</f>
        <v>0</v>
      </c>
      <c r="K294" s="1161">
        <f>K286-K292</f>
        <v>0</v>
      </c>
      <c r="L294" s="75"/>
    </row>
    <row r="295" spans="1:21" s="74" customFormat="1" ht="13.5" customHeight="1" x14ac:dyDescent="0.3">
      <c r="A295" s="75" t="str">
        <f>IF(K294=0,"Do Not Print","Print")</f>
        <v>Do Not Print</v>
      </c>
      <c r="B295" s="585"/>
      <c r="C295" s="585"/>
      <c r="D295" s="1823"/>
      <c r="E295" s="1823"/>
      <c r="F295" s="1823"/>
      <c r="G295" s="1823"/>
      <c r="H295" s="1823"/>
      <c r="I295" s="1165"/>
      <c r="J295" s="1165"/>
      <c r="K295" s="1165"/>
      <c r="L295" s="75"/>
    </row>
    <row r="296" spans="1:21" s="74" customFormat="1" ht="12.75" customHeight="1" x14ac:dyDescent="0.3">
      <c r="A296" s="75" t="str">
        <f>IF(K294=0,"Do Not Print","Print")</f>
        <v>Do Not Print</v>
      </c>
      <c r="B296" s="585"/>
      <c r="C296" s="585"/>
      <c r="D296" s="402"/>
      <c r="E296" s="402"/>
      <c r="F296" s="402"/>
      <c r="G296" s="402"/>
      <c r="H296" s="402"/>
      <c r="I296" s="402"/>
      <c r="J296" s="402"/>
      <c r="K296" s="402"/>
      <c r="L296" s="75"/>
    </row>
    <row r="297" spans="1:21" s="74" customFormat="1" ht="12.75" customHeight="1" x14ac:dyDescent="0.3">
      <c r="A297" s="75" t="str">
        <f>IF('Non TB - Note 11'!F89=1,"Print","Do Not Print")</f>
        <v>Print</v>
      </c>
      <c r="B297" s="585"/>
      <c r="C297" s="585" t="str">
        <f>Checklist!E98</f>
        <v>i</v>
      </c>
      <c r="D297" s="404" t="str">
        <f>IF('Non TB - Note 11'!F89=1,'Non TB - Note 11'!E89,"")</f>
        <v>Fair Value Hierarchy for Surplus Assets</v>
      </c>
      <c r="E297" s="404"/>
      <c r="F297" s="404"/>
      <c r="G297" s="404"/>
      <c r="H297" s="404"/>
      <c r="I297" s="404"/>
      <c r="J297" s="404"/>
      <c r="K297" s="404"/>
      <c r="L297" s="75"/>
    </row>
    <row r="298" spans="1:21" s="74" customFormat="1" ht="13.5" customHeight="1" x14ac:dyDescent="0.3">
      <c r="A298" s="75" t="str">
        <f>IF(A297="Print","Print","Do Not Print")</f>
        <v>Print</v>
      </c>
      <c r="B298" s="585"/>
      <c r="C298" s="585"/>
      <c r="D298" s="402"/>
      <c r="E298" s="402"/>
      <c r="F298" s="402"/>
      <c r="G298" s="402"/>
      <c r="H298" s="402"/>
      <c r="I298" s="402"/>
      <c r="J298" s="402"/>
      <c r="K298" s="402"/>
      <c r="L298" s="75"/>
    </row>
    <row r="299" spans="1:21" s="74" customFormat="1" ht="27" customHeight="1" x14ac:dyDescent="0.3">
      <c r="A299" s="75" t="str">
        <f>IF('Non TB - Note 11'!F89=1,"Print","Do Not Print")</f>
        <v>Print</v>
      </c>
      <c r="B299" s="585"/>
      <c r="C299" s="585"/>
      <c r="D299" s="1504" t="str">
        <f>IF('Non TB - Note 11'!F89=1,'Non TB - Note 11'!H89,"")</f>
        <v>Details of the Council's surplus assets and information about the fair value hierarchy as at 31 March 2026 and 31 March 2025 are as follows:</v>
      </c>
      <c r="E299" s="1504"/>
      <c r="F299" s="1504"/>
      <c r="G299" s="1504"/>
      <c r="H299" s="1504"/>
      <c r="I299" s="1504"/>
      <c r="J299" s="1504"/>
      <c r="K299" s="1504"/>
      <c r="L299" s="75"/>
    </row>
    <row r="300" spans="1:21" s="74" customFormat="1" ht="13.5" customHeight="1" x14ac:dyDescent="0.3">
      <c r="A300" s="75" t="str">
        <f>IF(A299="Print","Print","Do Not Print")</f>
        <v>Print</v>
      </c>
      <c r="B300" s="585"/>
      <c r="C300" s="585"/>
      <c r="D300" s="402"/>
      <c r="E300" s="402"/>
      <c r="F300" s="402"/>
      <c r="G300" s="402"/>
      <c r="H300" s="402"/>
      <c r="I300" s="402"/>
      <c r="J300" s="402"/>
      <c r="K300" s="402"/>
      <c r="L300" s="75"/>
    </row>
    <row r="301" spans="1:21" s="74" customFormat="1" ht="57" customHeight="1" x14ac:dyDescent="0.3">
      <c r="A301" s="75" t="str">
        <f>IF(K306=0,"Do Not Print","Print")</f>
        <v>Do Not Print</v>
      </c>
      <c r="B301" s="585"/>
      <c r="C301" s="585"/>
      <c r="D301" s="1949" t="s">
        <v>3176</v>
      </c>
      <c r="E301" s="1949"/>
      <c r="F301" s="1949"/>
      <c r="G301" s="1949" t="s">
        <v>1354</v>
      </c>
      <c r="H301" s="1949"/>
      <c r="I301" s="1147" t="s">
        <v>1355</v>
      </c>
      <c r="J301" s="1147" t="s">
        <v>1356</v>
      </c>
      <c r="K301" s="1147" t="s">
        <v>3035</v>
      </c>
      <c r="L301" s="207"/>
      <c r="M301" s="207"/>
      <c r="N301" s="207"/>
      <c r="O301" s="207"/>
      <c r="P301" s="21"/>
      <c r="Q301" s="21"/>
      <c r="R301" s="21"/>
      <c r="S301" s="21"/>
      <c r="T301" s="21"/>
      <c r="U301" s="21"/>
    </row>
    <row r="302" spans="1:21" s="74" customFormat="1" ht="14.25" customHeight="1" x14ac:dyDescent="0.3">
      <c r="A302" s="75" t="str">
        <f>IF(A301="Print","Print","Do Not Print")</f>
        <v>Do Not Print</v>
      </c>
      <c r="B302" s="585"/>
      <c r="C302" s="585"/>
      <c r="D302" s="1950"/>
      <c r="E302" s="1950"/>
      <c r="F302" s="1950"/>
      <c r="G302" s="1979" t="s">
        <v>450</v>
      </c>
      <c r="H302" s="1980"/>
      <c r="I302" s="1077" t="s">
        <v>450</v>
      </c>
      <c r="J302" s="1077" t="s">
        <v>450</v>
      </c>
      <c r="K302" s="1077" t="s">
        <v>450</v>
      </c>
      <c r="L302" s="75"/>
      <c r="M302" s="21" t="s">
        <v>450</v>
      </c>
      <c r="N302" s="21"/>
      <c r="O302" s="21"/>
      <c r="P302" s="21"/>
      <c r="Q302" s="21"/>
      <c r="R302" s="21"/>
      <c r="S302" s="21"/>
      <c r="T302" s="21"/>
      <c r="U302" s="21"/>
    </row>
    <row r="303" spans="1:21" s="74" customFormat="1" ht="13.5" customHeight="1" x14ac:dyDescent="0.25">
      <c r="A303" s="75" t="str">
        <f>IF('Non TB - Note 11'!F90=1,"Print","Do Not Print")</f>
        <v>Print</v>
      </c>
      <c r="B303" s="585"/>
      <c r="C303" s="585"/>
      <c r="D303" s="1818" t="str">
        <f>IF('Non TB - Note 11'!F90=1,'Non TB - Note 11'!D90,"")</f>
        <v>Type 1</v>
      </c>
      <c r="E303" s="1818"/>
      <c r="F303" s="1818"/>
      <c r="G303" s="1970">
        <f>'Non TB - Note 11'!H90</f>
        <v>0</v>
      </c>
      <c r="H303" s="1970"/>
      <c r="I303" s="1148">
        <f>'Non TB - Note 11'!H91</f>
        <v>0</v>
      </c>
      <c r="J303" s="1148">
        <f>'Non TB - Note 11'!H92</f>
        <v>0</v>
      </c>
      <c r="K303" s="1149">
        <f>SUM(H303:J303)</f>
        <v>0</v>
      </c>
      <c r="L303" s="75"/>
    </row>
    <row r="304" spans="1:21" s="74" customFormat="1" ht="13.5" customHeight="1" x14ac:dyDescent="0.25">
      <c r="A304" s="75" t="str">
        <f>IF('Non TB - Note 11'!F93=1,"Print","Do Not Print")</f>
        <v>Print</v>
      </c>
      <c r="B304" s="585"/>
      <c r="C304" s="585"/>
      <c r="D304" s="1818" t="str">
        <f>IF('Non TB - Note 11'!F93=1,'Non TB - Note 11'!D93,"")</f>
        <v>Type 2</v>
      </c>
      <c r="E304" s="1818"/>
      <c r="F304" s="1818"/>
      <c r="G304" s="1970">
        <f>'Non TB - Note 11'!H93</f>
        <v>0</v>
      </c>
      <c r="H304" s="1970"/>
      <c r="I304" s="1148">
        <f>'Non TB - Note 11'!H94</f>
        <v>0</v>
      </c>
      <c r="J304" s="1148">
        <f>'Non TB - Note 11'!H95</f>
        <v>0</v>
      </c>
      <c r="K304" s="1149">
        <f>SUM(H304:J304)</f>
        <v>0</v>
      </c>
      <c r="L304" s="75"/>
    </row>
    <row r="305" spans="1:12" s="74" customFormat="1" ht="13.5" customHeight="1" x14ac:dyDescent="0.25">
      <c r="A305" s="75" t="str">
        <f>IF('Non TB - Note 11'!F96=1,"Print","Do Not Print")</f>
        <v>Print</v>
      </c>
      <c r="B305" s="585"/>
      <c r="C305" s="585"/>
      <c r="D305" s="1818" t="str">
        <f>IF('Non TB - Note 11'!F96=1,'Non TB - Note 11'!D96,"")</f>
        <v>Type 3</v>
      </c>
      <c r="E305" s="1818"/>
      <c r="F305" s="1818"/>
      <c r="G305" s="1970">
        <f>'Non TB - Note 11'!H96</f>
        <v>0</v>
      </c>
      <c r="H305" s="1970"/>
      <c r="I305" s="1148">
        <f>'Non TB - Note 11'!H97</f>
        <v>0</v>
      </c>
      <c r="J305" s="1148">
        <f>'Non TB - Note 11'!H98</f>
        <v>0</v>
      </c>
      <c r="K305" s="1149">
        <f>SUM(H305:J305)</f>
        <v>0</v>
      </c>
      <c r="L305" s="75"/>
    </row>
    <row r="306" spans="1:12" s="74" customFormat="1" ht="13.5" customHeight="1" x14ac:dyDescent="0.2">
      <c r="A306" s="75" t="str">
        <f>IF(AND(G306=0,I306=0,J306=0,K306=0),"Do Not Print","Print")</f>
        <v>Do Not Print</v>
      </c>
      <c r="B306" s="585"/>
      <c r="C306" s="585"/>
      <c r="D306" s="1825" t="s">
        <v>74</v>
      </c>
      <c r="E306" s="1825"/>
      <c r="F306" s="1825"/>
      <c r="G306" s="1972">
        <f>SUM(H303:H305)</f>
        <v>0</v>
      </c>
      <c r="H306" s="1972"/>
      <c r="I306" s="1149">
        <f>SUM(I303:I305)</f>
        <v>0</v>
      </c>
      <c r="J306" s="1149">
        <f>SUM(J303:J305)</f>
        <v>0</v>
      </c>
      <c r="K306" s="1149">
        <f>SUM(K303:K305)</f>
        <v>0</v>
      </c>
      <c r="L306" s="75"/>
    </row>
    <row r="307" spans="1:12" s="74" customFormat="1" ht="13.5" customHeight="1" x14ac:dyDescent="0.3">
      <c r="A307" s="75" t="str">
        <f>IF(A306="Print","Print","Do Not Print")</f>
        <v>Do Not Print</v>
      </c>
      <c r="B307" s="585"/>
      <c r="C307" s="585"/>
      <c r="D307" s="402"/>
      <c r="E307" s="402"/>
      <c r="F307" s="402"/>
      <c r="G307" s="402"/>
      <c r="H307" s="402"/>
      <c r="I307" s="402"/>
      <c r="J307" s="402"/>
      <c r="K307" s="402"/>
      <c r="L307" s="75"/>
    </row>
    <row r="308" spans="1:12" s="74" customFormat="1" ht="57" customHeight="1" x14ac:dyDescent="0.3">
      <c r="A308" s="75" t="str">
        <f>IF(K313=0,"Do Not Print","Print")</f>
        <v>Do Not Print</v>
      </c>
      <c r="B308" s="585"/>
      <c r="C308" s="585"/>
      <c r="D308" s="1949" t="s">
        <v>3030</v>
      </c>
      <c r="E308" s="1949"/>
      <c r="F308" s="1949"/>
      <c r="G308" s="1949" t="s">
        <v>1354</v>
      </c>
      <c r="H308" s="1949"/>
      <c r="I308" s="1147" t="s">
        <v>1355</v>
      </c>
      <c r="J308" s="1147" t="s">
        <v>1356</v>
      </c>
      <c r="K308" s="1147" t="s">
        <v>2860</v>
      </c>
      <c r="L308" s="114"/>
    </row>
    <row r="309" spans="1:12" s="74" customFormat="1" ht="13.5" customHeight="1" x14ac:dyDescent="0.2">
      <c r="A309" s="75" t="str">
        <f>IF(A308="Print","Print","Do Not Print")</f>
        <v>Do Not Print</v>
      </c>
      <c r="B309" s="585"/>
      <c r="C309" s="585"/>
      <c r="D309" s="1950"/>
      <c r="E309" s="1950"/>
      <c r="F309" s="1950"/>
      <c r="G309" s="1951" t="s">
        <v>450</v>
      </c>
      <c r="H309" s="1951"/>
      <c r="I309" s="1077" t="s">
        <v>450</v>
      </c>
      <c r="J309" s="1077" t="s">
        <v>450</v>
      </c>
      <c r="K309" s="1077" t="s">
        <v>450</v>
      </c>
      <c r="L309" s="75"/>
    </row>
    <row r="310" spans="1:12" s="74" customFormat="1" ht="13.5" customHeight="1" x14ac:dyDescent="0.25">
      <c r="A310" s="75" t="str">
        <f>IF(AND(G310=0,I310=0,J310=0,K310=0),"Do Not Print","Print")</f>
        <v>Do Not Print</v>
      </c>
      <c r="B310" s="585"/>
      <c r="C310" s="585"/>
      <c r="D310" s="1818" t="str">
        <f>D303</f>
        <v>Type 1</v>
      </c>
      <c r="E310" s="1818"/>
      <c r="F310" s="1818"/>
      <c r="G310" s="1970">
        <f>'Non TB - Note 11'!I90</f>
        <v>0</v>
      </c>
      <c r="H310" s="1970"/>
      <c r="I310" s="1148">
        <f>'Non TB - Note 11'!I91</f>
        <v>0</v>
      </c>
      <c r="J310" s="1148">
        <f>'Non TB - Note 11'!I92</f>
        <v>0</v>
      </c>
      <c r="K310" s="1149">
        <f>SUM(H310:J310)</f>
        <v>0</v>
      </c>
      <c r="L310" s="75"/>
    </row>
    <row r="311" spans="1:12" s="74" customFormat="1" ht="13.5" customHeight="1" x14ac:dyDescent="0.25">
      <c r="A311" s="75" t="str">
        <f>IF(AND(G311=0,I311=0,J311=0,K311=0),"Do Not Print","Print")</f>
        <v>Do Not Print</v>
      </c>
      <c r="B311" s="585"/>
      <c r="C311" s="585"/>
      <c r="D311" s="1818" t="str">
        <f>D304</f>
        <v>Type 2</v>
      </c>
      <c r="E311" s="1818"/>
      <c r="F311" s="1818"/>
      <c r="G311" s="1970">
        <f>'Non TB - Note 11'!I93</f>
        <v>0</v>
      </c>
      <c r="H311" s="1970"/>
      <c r="I311" s="1148">
        <f>'Non TB - Note 11'!I94</f>
        <v>0</v>
      </c>
      <c r="J311" s="1148">
        <f>'Non TB - Note 11'!I95</f>
        <v>0</v>
      </c>
      <c r="K311" s="1149">
        <f>SUM(H311:J311)</f>
        <v>0</v>
      </c>
      <c r="L311" s="75"/>
    </row>
    <row r="312" spans="1:12" s="74" customFormat="1" ht="13.5" customHeight="1" x14ac:dyDescent="0.25">
      <c r="A312" s="75" t="str">
        <f>IF(AND(G312=0,I312=0,J312=0,K312=0),"Do Not Print","Print")</f>
        <v>Do Not Print</v>
      </c>
      <c r="B312" s="585"/>
      <c r="C312" s="585"/>
      <c r="D312" s="1818" t="str">
        <f>D305</f>
        <v>Type 3</v>
      </c>
      <c r="E312" s="1818"/>
      <c r="F312" s="1818"/>
      <c r="G312" s="1970">
        <f>'Non TB - Note 11'!I96</f>
        <v>0</v>
      </c>
      <c r="H312" s="1970"/>
      <c r="I312" s="1148">
        <f>'Non TB - Note 11'!I97</f>
        <v>0</v>
      </c>
      <c r="J312" s="1148">
        <f>'Non TB - Note 11'!I98</f>
        <v>0</v>
      </c>
      <c r="K312" s="1149">
        <f>SUM(H312:J312)</f>
        <v>0</v>
      </c>
      <c r="L312" s="75"/>
    </row>
    <row r="313" spans="1:12" s="74" customFormat="1" ht="13.5" customHeight="1" x14ac:dyDescent="0.2">
      <c r="A313" s="75" t="str">
        <f>IF(AND(G313=0,I313=0,J313=0,K313=0),"Do Not Print","Print")</f>
        <v>Do Not Print</v>
      </c>
      <c r="B313" s="585"/>
      <c r="C313" s="585"/>
      <c r="D313" s="1825" t="s">
        <v>74</v>
      </c>
      <c r="E313" s="1825"/>
      <c r="F313" s="1825"/>
      <c r="G313" s="1972">
        <f>SUM(H310:H312)</f>
        <v>0</v>
      </c>
      <c r="H313" s="1972"/>
      <c r="I313" s="1149">
        <f>SUM(I310:I312)</f>
        <v>0</v>
      </c>
      <c r="J313" s="1149">
        <f>SUM(J310:J312)</f>
        <v>0</v>
      </c>
      <c r="K313" s="1149">
        <f>SUM(K310:K312)</f>
        <v>0</v>
      </c>
      <c r="L313" s="75"/>
    </row>
    <row r="314" spans="1:12" s="74" customFormat="1" ht="13.5" customHeight="1" x14ac:dyDescent="0.3">
      <c r="A314" s="75" t="str">
        <f>IF(A313="Print","Print","Do Not Print")</f>
        <v>Do Not Print</v>
      </c>
      <c r="B314" s="585"/>
      <c r="C314" s="585"/>
      <c r="D314" s="402"/>
      <c r="E314" s="402"/>
      <c r="F314" s="402"/>
      <c r="G314" s="402"/>
      <c r="H314" s="402"/>
      <c r="I314" s="402"/>
      <c r="J314" s="402"/>
      <c r="K314" s="402"/>
      <c r="L314" s="75"/>
    </row>
    <row r="315" spans="1:12" s="74" customFormat="1" ht="13.5" customHeight="1" x14ac:dyDescent="0.3">
      <c r="A315" s="75" t="str">
        <f>IF('Non TB - Note 11'!F99=1,"Print","Do Not Print")</f>
        <v>Print</v>
      </c>
      <c r="B315" s="585"/>
      <c r="C315" s="585"/>
      <c r="D315" s="1541" t="str">
        <f>IF('Non TB - Note 11'!F99=1,'Non TB - Note 11'!E99,"")</f>
        <v>Transfers between levels of the fair value hierarchy</v>
      </c>
      <c r="E315" s="1541"/>
      <c r="F315" s="1541"/>
      <c r="G315" s="1541"/>
      <c r="H315" s="1541"/>
      <c r="I315" s="1541"/>
      <c r="J315" s="1541"/>
      <c r="K315" s="1541"/>
      <c r="L315" s="75"/>
    </row>
    <row r="316" spans="1:12" s="74" customFormat="1" ht="13.5" customHeight="1" x14ac:dyDescent="0.3">
      <c r="A316" s="75" t="str">
        <f>IF(A315="Print","Print","Do Not Print")</f>
        <v>Print</v>
      </c>
      <c r="B316" s="585"/>
      <c r="C316" s="585"/>
      <c r="D316" s="1542"/>
      <c r="E316" s="1542"/>
      <c r="F316" s="1542"/>
      <c r="G316" s="1542"/>
      <c r="H316" s="1542"/>
      <c r="I316" s="1542"/>
      <c r="J316" s="1542"/>
      <c r="K316" s="1542"/>
      <c r="L316" s="75"/>
    </row>
    <row r="317" spans="1:12" s="74" customFormat="1" ht="13.5" customHeight="1" x14ac:dyDescent="0.3">
      <c r="A317" s="75" t="str">
        <f>IF('Non TB - Note 11'!F99=1,"Print","Do Not Print")</f>
        <v>Print</v>
      </c>
      <c r="B317" s="585"/>
      <c r="C317" s="585"/>
      <c r="D317" s="1542" t="str">
        <f>IF('Non TB - Note 11'!F99=1,'Non TB - Note 11'!H99,"")</f>
        <v>There were no transfers between Levels 1 and 2 during the year.</v>
      </c>
      <c r="E317" s="1542"/>
      <c r="F317" s="1542"/>
      <c r="G317" s="1542"/>
      <c r="H317" s="1542"/>
      <c r="I317" s="1542"/>
      <c r="J317" s="1542"/>
      <c r="K317" s="1542"/>
      <c r="L317" s="75"/>
    </row>
    <row r="318" spans="1:12" s="74" customFormat="1" ht="14.25" customHeight="1" x14ac:dyDescent="0.3">
      <c r="A318" s="75" t="str">
        <f>IF(A317="Print","Print","Do Not Print")</f>
        <v>Print</v>
      </c>
      <c r="B318" s="585"/>
      <c r="C318" s="585"/>
      <c r="D318" s="1542"/>
      <c r="E318" s="1542"/>
      <c r="F318" s="1542"/>
      <c r="G318" s="1542"/>
      <c r="H318" s="1542"/>
      <c r="I318" s="1542"/>
      <c r="J318" s="1542"/>
      <c r="K318" s="1542"/>
      <c r="L318" s="75"/>
    </row>
    <row r="319" spans="1:12" s="74" customFormat="1" ht="64.5" customHeight="1" x14ac:dyDescent="0.3">
      <c r="A319" s="75" t="str">
        <f>IF('Non TB - Note 11'!F100=1,"Print","Do Not Print")</f>
        <v>Print</v>
      </c>
      <c r="B319" s="585"/>
      <c r="C319" s="585"/>
      <c r="D319" s="1504" t="str">
        <f>IF('Non TB - Note 11'!F100=1,'Non TB - Note 11'!H100,"")</f>
        <v>[The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occurred. An Council is required to disclose and consistently follow its policy for determining when transfers between levels of the fair value hierarchy are deemed to have occurred.]</v>
      </c>
      <c r="E319" s="1504"/>
      <c r="F319" s="1504"/>
      <c r="G319" s="1504"/>
      <c r="H319" s="1504"/>
      <c r="I319" s="1504"/>
      <c r="J319" s="1504"/>
      <c r="K319" s="1504"/>
      <c r="L319" s="75"/>
    </row>
    <row r="320" spans="1:12" s="74" customFormat="1" ht="14.25" customHeight="1" x14ac:dyDescent="0.3">
      <c r="A320" s="75" t="str">
        <f>IF(A319="Print","Print","Do Not Print")</f>
        <v>Print</v>
      </c>
      <c r="B320" s="585"/>
      <c r="C320" s="585"/>
      <c r="D320" s="1542"/>
      <c r="E320" s="1542"/>
      <c r="F320" s="1542"/>
      <c r="G320" s="1542"/>
      <c r="H320" s="1542"/>
      <c r="I320" s="1542"/>
      <c r="J320" s="1542"/>
      <c r="K320" s="1542"/>
      <c r="L320" s="75"/>
    </row>
    <row r="321" spans="1:12" s="74" customFormat="1" ht="14.25" customHeight="1" x14ac:dyDescent="0.3">
      <c r="A321" s="75" t="str">
        <f>IF('Non TB - Note 11'!F101=1,"Print","Do Not Print")</f>
        <v>Print</v>
      </c>
      <c r="B321" s="585"/>
      <c r="C321" s="585"/>
      <c r="D321" s="1541" t="str">
        <f>IF('Non TB - Note 11'!F101=1,'Non TB - Note 11'!D101,"")</f>
        <v>Valuation Techniques used to Determine Level 2 and 3 Fair Values for Surplus Assets</v>
      </c>
      <c r="E321" s="1541"/>
      <c r="F321" s="1541"/>
      <c r="G321" s="1541"/>
      <c r="H321" s="1541"/>
      <c r="I321" s="1541"/>
      <c r="J321" s="1541"/>
      <c r="K321" s="1541"/>
      <c r="L321" s="75"/>
    </row>
    <row r="322" spans="1:12" s="74" customFormat="1" ht="14.25" customHeight="1" x14ac:dyDescent="0.3">
      <c r="A322" s="75" t="str">
        <f>IF('Non TB - Note 11'!F101=1,"Print","Do Not Print")</f>
        <v>Print</v>
      </c>
      <c r="B322" s="585"/>
      <c r="C322" s="585"/>
      <c r="D322" s="1541" t="str">
        <f>IF('Non TB - Note 11'!F101=1,'Non TB - Note 11'!E101,"")</f>
        <v>Significant observable inputs – Level 2</v>
      </c>
      <c r="E322" s="1541"/>
      <c r="F322" s="1541"/>
      <c r="G322" s="1541"/>
      <c r="H322" s="1541"/>
      <c r="I322" s="1541"/>
      <c r="J322" s="1541"/>
      <c r="K322" s="1541"/>
      <c r="L322" s="75"/>
    </row>
    <row r="323" spans="1:12" s="74" customFormat="1" ht="13.5" customHeight="1" x14ac:dyDescent="0.3">
      <c r="A323" s="75" t="str">
        <f>IF(A322="Print","Print","Do Not Print")</f>
        <v>Print</v>
      </c>
      <c r="B323" s="585"/>
      <c r="C323" s="585"/>
      <c r="D323" s="1542"/>
      <c r="E323" s="1542"/>
      <c r="F323" s="1542"/>
      <c r="G323" s="1542"/>
      <c r="H323" s="1542"/>
      <c r="I323" s="1542"/>
      <c r="J323" s="1542"/>
      <c r="K323" s="1542"/>
      <c r="L323" s="75"/>
    </row>
    <row r="324" spans="1:12" s="74" customFormat="1" ht="12.75" customHeight="1" x14ac:dyDescent="0.3">
      <c r="A324" s="75" t="str">
        <f>IF('Non TB - Note 11'!F101=1,"Print","Do Not Print")</f>
        <v>Print</v>
      </c>
      <c r="B324" s="585"/>
      <c r="C324" s="585"/>
      <c r="D324" s="1542" t="str">
        <f>IF('Non TB - Note 11'!F101=1,'Non TB - Note 11'!H101,"")</f>
        <v>Council Specific Text</v>
      </c>
      <c r="E324" s="1542"/>
      <c r="F324" s="1542"/>
      <c r="G324" s="1542"/>
      <c r="H324" s="1542"/>
      <c r="I324" s="1542"/>
      <c r="J324" s="1542"/>
      <c r="K324" s="1542"/>
      <c r="L324" s="75"/>
    </row>
    <row r="325" spans="1:12" s="74" customFormat="1" ht="13.5" customHeight="1" x14ac:dyDescent="0.3">
      <c r="A325" s="75" t="str">
        <f>IF(A324="Print","Print","Do Not Print")</f>
        <v>Print</v>
      </c>
      <c r="B325" s="585"/>
      <c r="C325" s="585"/>
      <c r="D325" s="1542"/>
      <c r="E325" s="1542"/>
      <c r="F325" s="1542"/>
      <c r="G325" s="1542"/>
      <c r="H325" s="1542"/>
      <c r="I325" s="1542"/>
      <c r="J325" s="1542"/>
      <c r="K325" s="1542"/>
      <c r="L325" s="75"/>
    </row>
    <row r="326" spans="1:12" s="74" customFormat="1" ht="13.5" customHeight="1" x14ac:dyDescent="0.3">
      <c r="A326" s="75" t="str">
        <f>IF('Non TB - Note 11'!F102=1,"Print","Do Not Print")</f>
        <v>Print</v>
      </c>
      <c r="B326" s="585"/>
      <c r="C326" s="585"/>
      <c r="D326" s="1542" t="str">
        <f>IF('Non TB - Note 11'!F102=1,'Non TB - Note 11'!H102,"")</f>
        <v>Council Specific Text</v>
      </c>
      <c r="E326" s="1542"/>
      <c r="F326" s="1542"/>
      <c r="G326" s="1542"/>
      <c r="H326" s="1542"/>
      <c r="I326" s="1542"/>
      <c r="J326" s="1542"/>
      <c r="K326" s="1542"/>
      <c r="L326" s="75"/>
    </row>
    <row r="327" spans="1:12" s="74" customFormat="1" ht="13.5" customHeight="1" x14ac:dyDescent="0.3">
      <c r="A327" s="75" t="str">
        <f>IF(A326="Print","Print","Do Not Print")</f>
        <v>Print</v>
      </c>
      <c r="B327" s="585"/>
      <c r="C327" s="585"/>
      <c r="D327" s="1542"/>
      <c r="E327" s="1542"/>
      <c r="F327" s="1542"/>
      <c r="G327" s="1542"/>
      <c r="H327" s="1542"/>
      <c r="I327" s="1542"/>
      <c r="J327" s="1542"/>
      <c r="K327" s="1542"/>
      <c r="L327" s="75"/>
    </row>
    <row r="328" spans="1:12" s="74" customFormat="1" ht="13.5" customHeight="1" x14ac:dyDescent="0.3">
      <c r="A328" s="75" t="str">
        <f>IF('Non TB - Note 11'!F103=1,"Print","Do Not Print")</f>
        <v>Print</v>
      </c>
      <c r="B328" s="585"/>
      <c r="C328" s="585"/>
      <c r="D328" s="1541" t="str">
        <f>IF('Non TB - Note 11'!F103=1,'Non TB - Note 11'!E103,"")</f>
        <v>Significant observable inputs – Level 3</v>
      </c>
      <c r="E328" s="1541"/>
      <c r="F328" s="1541"/>
      <c r="G328" s="1541"/>
      <c r="H328" s="1541"/>
      <c r="I328" s="1541"/>
      <c r="J328" s="1541"/>
      <c r="K328" s="1541"/>
      <c r="L328" s="75"/>
    </row>
    <row r="329" spans="1:12" s="74" customFormat="1" ht="13.5" customHeight="1" x14ac:dyDescent="0.3">
      <c r="A329" s="75" t="str">
        <f>IF(A328="Print","Print","Do Not Print")</f>
        <v>Print</v>
      </c>
      <c r="B329" s="585"/>
      <c r="C329" s="585"/>
      <c r="D329" s="1542"/>
      <c r="E329" s="1542"/>
      <c r="F329" s="1542"/>
      <c r="G329" s="1542"/>
      <c r="H329" s="1542"/>
      <c r="I329" s="1542"/>
      <c r="J329" s="1542"/>
      <c r="K329" s="1542"/>
      <c r="L329" s="75"/>
    </row>
    <row r="330" spans="1:12" s="74" customFormat="1" ht="13.5" customHeight="1" x14ac:dyDescent="0.3">
      <c r="A330" s="75" t="str">
        <f>IF('Non TB - Note 11'!F103=1,"Print","Do Not Print")</f>
        <v>Print</v>
      </c>
      <c r="B330" s="585"/>
      <c r="C330" s="585"/>
      <c r="D330" s="1542" t="str">
        <f>IF('Non TB - Note 11'!F103=1,'Non TB - Note 11'!H103,"")</f>
        <v>Council Specific Text</v>
      </c>
      <c r="E330" s="1542"/>
      <c r="F330" s="1542"/>
      <c r="G330" s="1542"/>
      <c r="H330" s="1542"/>
      <c r="I330" s="1542"/>
      <c r="J330" s="1542"/>
      <c r="K330" s="1542"/>
      <c r="L330" s="75"/>
    </row>
    <row r="331" spans="1:12" s="74" customFormat="1" ht="13.5" customHeight="1" x14ac:dyDescent="0.3">
      <c r="A331" s="75" t="str">
        <f>IF(A330="Print","Print","Do Not Print")</f>
        <v>Print</v>
      </c>
      <c r="B331" s="585"/>
      <c r="C331" s="585"/>
      <c r="D331" s="1542"/>
      <c r="E331" s="1542"/>
      <c r="F331" s="1542"/>
      <c r="G331" s="1542"/>
      <c r="H331" s="1542"/>
      <c r="I331" s="1542"/>
      <c r="J331" s="1542"/>
      <c r="K331" s="1542"/>
      <c r="L331" s="75"/>
    </row>
    <row r="332" spans="1:12" s="74" customFormat="1" ht="13.5" customHeight="1" x14ac:dyDescent="0.3">
      <c r="A332" s="75" t="str">
        <f>IF('Non TB - Note 11'!F104=1,"Print","Do Not Print")</f>
        <v>Print</v>
      </c>
      <c r="B332" s="585"/>
      <c r="C332" s="585"/>
      <c r="D332" s="1542" t="str">
        <f>IF('Non TB - Note 11'!F104=1,'Non TB - Note 11'!H104,"")</f>
        <v>Council Specific Text</v>
      </c>
      <c r="E332" s="1542"/>
      <c r="F332" s="1542"/>
      <c r="G332" s="1542"/>
      <c r="H332" s="1542"/>
      <c r="I332" s="1542"/>
      <c r="J332" s="1542"/>
      <c r="K332" s="1542"/>
      <c r="L332" s="75"/>
    </row>
    <row r="333" spans="1:12" s="74" customFormat="1" ht="12.75" customHeight="1" x14ac:dyDescent="0.3">
      <c r="A333" s="75" t="str">
        <f>IF(A332="Print","Print","Do Not Print")</f>
        <v>Print</v>
      </c>
      <c r="B333" s="585"/>
      <c r="C333" s="585"/>
      <c r="D333" s="1542"/>
      <c r="E333" s="1542"/>
      <c r="F333" s="1542"/>
      <c r="G333" s="1542"/>
      <c r="H333" s="1542"/>
      <c r="I333" s="1542"/>
      <c r="J333" s="1542"/>
      <c r="K333" s="1542"/>
      <c r="L333" s="75"/>
    </row>
    <row r="334" spans="1:12" s="74" customFormat="1" ht="12.75" customHeight="1" x14ac:dyDescent="0.3">
      <c r="A334" s="75" t="str">
        <f>IF('Non TB - Note 11'!F105=1,"Print","Do Not Print")</f>
        <v>Print</v>
      </c>
      <c r="B334" s="585"/>
      <c r="C334" s="585"/>
      <c r="D334" s="1541" t="str">
        <f>IF('Non TB - Note 11'!F105=1,'Non TB - Note 11'!E105,"")</f>
        <v>Highest and best use of surplus assets</v>
      </c>
      <c r="E334" s="1541"/>
      <c r="F334" s="1541"/>
      <c r="G334" s="1541"/>
      <c r="H334" s="1541"/>
      <c r="I334" s="1541"/>
      <c r="J334" s="1541"/>
      <c r="K334" s="1541"/>
      <c r="L334" s="75"/>
    </row>
    <row r="335" spans="1:12" s="74" customFormat="1" ht="12.75" customHeight="1" x14ac:dyDescent="0.3">
      <c r="A335" s="75" t="str">
        <f>IF(A334="Print","Print","Do Not Print")</f>
        <v>Print</v>
      </c>
      <c r="B335" s="585"/>
      <c r="C335" s="585"/>
      <c r="D335" s="1542"/>
      <c r="E335" s="1542"/>
      <c r="F335" s="1542"/>
      <c r="G335" s="1542"/>
      <c r="H335" s="1542"/>
      <c r="I335" s="1542"/>
      <c r="J335" s="1542"/>
      <c r="K335" s="1542"/>
      <c r="L335" s="75"/>
    </row>
    <row r="336" spans="1:12" s="78" customFormat="1" ht="16.05" customHeight="1" x14ac:dyDescent="0.3">
      <c r="A336" s="77" t="str">
        <f>IF('Non TB - Note 11'!F105=1,"Print","Do Not Print")</f>
        <v>Print</v>
      </c>
      <c r="B336" s="597"/>
      <c r="C336" s="597"/>
      <c r="D336" s="1504" t="str">
        <f>IF('Non TB - Note 11'!F105=1,'Non TB - Note 11'!H105,"")</f>
        <v xml:space="preserve">In estimating the fair value of the Council’s surplus assets, the highest and best use of the assets is their current use. </v>
      </c>
      <c r="E336" s="1504"/>
      <c r="F336" s="1504"/>
      <c r="G336" s="1504"/>
      <c r="H336" s="1504"/>
      <c r="I336" s="1504"/>
      <c r="J336" s="1504"/>
      <c r="K336" s="1504"/>
      <c r="L336" s="77"/>
    </row>
    <row r="337" spans="1:12" s="78" customFormat="1" ht="14.25" customHeight="1" x14ac:dyDescent="0.3">
      <c r="A337" s="77" t="str">
        <f>IF(A336="Print","Print","Do Not Print")</f>
        <v>Print</v>
      </c>
      <c r="B337" s="597"/>
      <c r="C337" s="597"/>
      <c r="D337" s="1504"/>
      <c r="E337" s="1504"/>
      <c r="F337" s="1504"/>
      <c r="G337" s="1504"/>
      <c r="H337" s="1504"/>
      <c r="I337" s="1504"/>
      <c r="J337" s="1504"/>
      <c r="K337" s="1504"/>
      <c r="L337" s="77"/>
    </row>
    <row r="338" spans="1:12" s="78" customFormat="1" ht="29.55" customHeight="1" x14ac:dyDescent="0.3">
      <c r="A338" s="77" t="str">
        <f>IF('Non TB - Note 11'!F106=1,"Print","Do Not Print")</f>
        <v>Print</v>
      </c>
      <c r="B338" s="597"/>
      <c r="C338" s="597"/>
      <c r="D338" s="1504" t="str">
        <f>IF('Non TB - Note 11'!F106=1,'Non TB - Note 11'!H106,"")</f>
        <v>[Note that if the highest and best use of a non-financial asset differs from its current use, the authority is required to disclose that fact and why the non-financial asset is being used in a manner that differs from its highest and best use.</v>
      </c>
      <c r="E338" s="1504"/>
      <c r="F338" s="1504"/>
      <c r="G338" s="1504"/>
      <c r="H338" s="1504"/>
      <c r="I338" s="1504"/>
      <c r="J338" s="1504"/>
      <c r="K338" s="1504"/>
      <c r="L338" s="77"/>
    </row>
    <row r="339" spans="1:12" s="74" customFormat="1" ht="12.75" customHeight="1" x14ac:dyDescent="0.3">
      <c r="A339" s="75" t="str">
        <f>IF(A338="Print","Print","Do Not Print")</f>
        <v>Print</v>
      </c>
      <c r="B339" s="585"/>
      <c r="C339" s="585"/>
      <c r="D339" s="1542"/>
      <c r="E339" s="1542"/>
      <c r="F339" s="1542"/>
      <c r="G339" s="1542"/>
      <c r="H339" s="1542"/>
      <c r="I339" s="1542"/>
      <c r="J339" s="1542"/>
      <c r="K339" s="1542"/>
      <c r="L339" s="75"/>
    </row>
    <row r="340" spans="1:12" s="74" customFormat="1" ht="12.75" customHeight="1" x14ac:dyDescent="0.3">
      <c r="A340" s="75" t="str">
        <f>IF('Non TB - Note 11'!F107=1,"Print","Do Not Print")</f>
        <v>Print</v>
      </c>
      <c r="B340" s="585"/>
      <c r="C340" s="585"/>
      <c r="D340" s="1541" t="str">
        <f>IF('Non TB - Note 11'!F107=1,'Non TB - Note 11'!E107,"")</f>
        <v>Valuation Techniques</v>
      </c>
      <c r="E340" s="1541"/>
      <c r="F340" s="1541"/>
      <c r="G340" s="1541"/>
      <c r="H340" s="1541"/>
      <c r="I340" s="1541"/>
      <c r="J340" s="1541"/>
      <c r="K340" s="1541"/>
      <c r="L340" s="75"/>
    </row>
    <row r="341" spans="1:12" s="74" customFormat="1" ht="12.75" customHeight="1" x14ac:dyDescent="0.3">
      <c r="A341" s="75" t="str">
        <f>IF(A340="Print","Print","Do Not Print")</f>
        <v>Print</v>
      </c>
      <c r="B341" s="585"/>
      <c r="C341" s="585"/>
      <c r="D341" s="1542"/>
      <c r="E341" s="1542"/>
      <c r="F341" s="1542"/>
      <c r="G341" s="1542"/>
      <c r="H341" s="1542"/>
      <c r="I341" s="1542"/>
      <c r="J341" s="1542"/>
      <c r="K341" s="1542"/>
      <c r="L341" s="75"/>
    </row>
    <row r="342" spans="1:12" s="78" customFormat="1" ht="17.55" customHeight="1" x14ac:dyDescent="0.3">
      <c r="A342" s="77" t="str">
        <f>IF('Non TB - Note 11'!F107=1,"Print","Do Not Print")</f>
        <v>Print</v>
      </c>
      <c r="B342" s="597"/>
      <c r="C342" s="597"/>
      <c r="D342" s="1504" t="str">
        <f>IF('Non TB - Note 11'!F107=1,'Non TB - Note 11'!H107,"")</f>
        <v>There has been no change in the valuation techniques used during the year for surplus assets.</v>
      </c>
      <c r="E342" s="1504"/>
      <c r="F342" s="1504"/>
      <c r="G342" s="1504"/>
      <c r="H342" s="1504"/>
      <c r="I342" s="1504"/>
      <c r="J342" s="1504"/>
      <c r="K342" s="1504"/>
      <c r="L342" s="77"/>
    </row>
    <row r="343" spans="1:12" s="78" customFormat="1" ht="12.75" customHeight="1" x14ac:dyDescent="0.3">
      <c r="A343" s="77" t="str">
        <f>IF(A342="Print","Print","Do Not Print")</f>
        <v>Print</v>
      </c>
      <c r="B343" s="597"/>
      <c r="C343" s="597"/>
      <c r="D343" s="1504"/>
      <c r="E343" s="1504"/>
      <c r="F343" s="1504"/>
      <c r="G343" s="1504"/>
      <c r="H343" s="1504"/>
      <c r="I343" s="1504"/>
      <c r="J343" s="1504"/>
      <c r="K343" s="1504"/>
      <c r="L343" s="77"/>
    </row>
    <row r="344" spans="1:12" s="78" customFormat="1" ht="28.5" customHeight="1" x14ac:dyDescent="0.3">
      <c r="A344" s="77" t="str">
        <f>IF('Non TB - Note 11'!F108=1,"Print","Do Not Print")</f>
        <v>Print</v>
      </c>
      <c r="B344" s="597"/>
      <c r="C344" s="597"/>
      <c r="D344" s="1504" t="str">
        <f>IF('Non TB - Note 11'!F108=1,'Non TB - Note 11'!H108,"")</f>
        <v>[If there has been a change in valuation technique (e.g. changing from a market approach to an income approach, or the use of an additional valuation technique), the Council is required to disclose that change and the reason(s) for making it.]</v>
      </c>
      <c r="E344" s="1504"/>
      <c r="F344" s="1504"/>
      <c r="G344" s="1504"/>
      <c r="H344" s="1504"/>
      <c r="I344" s="1504"/>
      <c r="J344" s="1504"/>
      <c r="K344" s="1504"/>
      <c r="L344" s="77"/>
    </row>
    <row r="345" spans="1:12" s="74" customFormat="1" ht="13.5" customHeight="1" x14ac:dyDescent="0.3">
      <c r="A345" s="75" t="str">
        <f>IF(A344="Print","Print","Do Not Print")</f>
        <v>Print</v>
      </c>
      <c r="B345" s="585"/>
      <c r="C345" s="585"/>
      <c r="D345" s="1542"/>
      <c r="E345" s="1542"/>
      <c r="F345" s="1542"/>
      <c r="G345" s="1542"/>
      <c r="H345" s="1542"/>
      <c r="I345" s="1542"/>
      <c r="J345" s="1542"/>
      <c r="K345" s="1542"/>
      <c r="L345" s="75"/>
    </row>
    <row r="346" spans="1:12" s="74" customFormat="1" ht="25.95" customHeight="1" x14ac:dyDescent="0.3">
      <c r="A346" s="75" t="str">
        <f>IF('Non TB - Note 11'!F109=1,"Print","Do Not Print")</f>
        <v>Print</v>
      </c>
      <c r="B346" s="585"/>
      <c r="C346" s="585"/>
      <c r="D346" s="1504" t="str">
        <f>IF('Non TB - Note 11'!F109=1,'Non TB - Note 11'!E109,"")</f>
        <v>Reconciliation of Fair Value Measurements (using Significant Unobservable Inputs) Categorised within Level 3 of the Fair Value Hierarchy</v>
      </c>
      <c r="E346" s="1504"/>
      <c r="F346" s="1504"/>
      <c r="G346" s="1504"/>
      <c r="H346" s="1504"/>
      <c r="I346" s="1504"/>
      <c r="J346" s="1504"/>
      <c r="K346" s="1504"/>
      <c r="L346" s="75"/>
    </row>
    <row r="347" spans="1:12" s="74" customFormat="1" ht="13.5" customHeight="1" x14ac:dyDescent="0.3">
      <c r="A347" s="75" t="str">
        <f>IF(A346="Print","Print","Do Not Print")</f>
        <v>Print</v>
      </c>
      <c r="B347" s="585"/>
      <c r="C347" s="585"/>
      <c r="D347" s="1542"/>
      <c r="E347" s="1542"/>
      <c r="F347" s="1542"/>
      <c r="G347" s="1542"/>
      <c r="H347" s="1542"/>
      <c r="I347" s="1542"/>
      <c r="J347" s="1542"/>
      <c r="K347" s="1542"/>
      <c r="L347" s="75"/>
    </row>
    <row r="348" spans="1:12" s="74" customFormat="1" ht="29.1" customHeight="1" x14ac:dyDescent="0.3">
      <c r="A348" s="75" t="str">
        <f>IF('Non TB - Note 11'!F109=1,"Print","Do Not Print")</f>
        <v>Print</v>
      </c>
      <c r="B348" s="585"/>
      <c r="C348" s="585"/>
      <c r="D348" s="1504" t="str">
        <f>IF('Non TB - Note 11'!F109=1,'Non TB - Note 11'!H109,"")</f>
        <v>[Note: Although the Code considers that it will be rare for local authorities to transfer between levels of the fair value hierarchy, the example includes transfers into and out of level 3 to assist those authorities where this might take place]</v>
      </c>
      <c r="E348" s="1504"/>
      <c r="F348" s="1504"/>
      <c r="G348" s="1504"/>
      <c r="H348" s="1504"/>
      <c r="I348" s="1504"/>
      <c r="J348" s="1504"/>
      <c r="K348" s="1504"/>
      <c r="L348" s="75"/>
    </row>
    <row r="349" spans="1:12" s="74" customFormat="1" ht="14.25" customHeight="1" x14ac:dyDescent="0.3">
      <c r="A349" s="75" t="str">
        <f>IF(A348="Print","Print","Do Not Print")</f>
        <v>Print</v>
      </c>
      <c r="B349" s="585"/>
      <c r="C349" s="585"/>
      <c r="D349" s="402"/>
      <c r="E349" s="402"/>
      <c r="F349" s="402"/>
      <c r="G349" s="402"/>
      <c r="H349" s="402"/>
      <c r="I349" s="402"/>
      <c r="J349" s="402"/>
      <c r="K349" s="402"/>
      <c r="L349" s="75"/>
    </row>
    <row r="350" spans="1:12" s="74" customFormat="1" ht="14.25" customHeight="1" x14ac:dyDescent="0.3">
      <c r="A350" s="75" t="str">
        <f>IF(AND(J358=0,K358=0),"Do Not Print","Print")</f>
        <v>Do Not Print</v>
      </c>
      <c r="B350" s="585"/>
      <c r="C350" s="585"/>
      <c r="D350" s="1820" t="s">
        <v>1383</v>
      </c>
      <c r="E350" s="1820"/>
      <c r="F350" s="1820"/>
      <c r="G350" s="1820"/>
      <c r="H350" s="1820"/>
      <c r="I350" s="1820"/>
      <c r="J350" s="1143">
        <f>J60</f>
        <v>46112</v>
      </c>
      <c r="K350" s="1143">
        <f>K60</f>
        <v>45747</v>
      </c>
      <c r="L350" s="114"/>
    </row>
    <row r="351" spans="1:12" s="74" customFormat="1" ht="13.5" customHeight="1" x14ac:dyDescent="0.2">
      <c r="A351" s="75" t="str">
        <f>IF(A350="Print","Print","Do Not Print")</f>
        <v>Do Not Print</v>
      </c>
      <c r="B351" s="585"/>
      <c r="C351" s="585"/>
      <c r="D351" s="1820"/>
      <c r="E351" s="1820"/>
      <c r="F351" s="1820"/>
      <c r="G351" s="1820"/>
      <c r="H351" s="1820"/>
      <c r="I351" s="1820"/>
      <c r="J351" s="1150" t="str">
        <f>J61</f>
        <v>£</v>
      </c>
      <c r="K351" s="1150" t="str">
        <f>K61</f>
        <v>£</v>
      </c>
      <c r="L351" s="75"/>
    </row>
    <row r="352" spans="1:12" s="74" customFormat="1" ht="13.5" customHeight="1" x14ac:dyDescent="0.25">
      <c r="A352" s="75" t="str">
        <f>IF(AND(J352=0,K352=0),"Do Not Print","Print")</f>
        <v>Do Not Print</v>
      </c>
      <c r="B352" s="585"/>
      <c r="C352" s="585"/>
      <c r="D352" s="1825" t="s">
        <v>402</v>
      </c>
      <c r="E352" s="1825"/>
      <c r="F352" s="1825"/>
      <c r="G352" s="1825"/>
      <c r="H352" s="1825"/>
      <c r="I352" s="1825"/>
      <c r="J352" s="1148">
        <f>'Non TB - Note 11'!H111</f>
        <v>0</v>
      </c>
      <c r="K352" s="1148">
        <f>'Non TB - Note 11'!I111</f>
        <v>0</v>
      </c>
      <c r="L352" s="75"/>
    </row>
    <row r="353" spans="1:12" s="74" customFormat="1" ht="13.5" customHeight="1" x14ac:dyDescent="0.25">
      <c r="A353" s="75" t="str">
        <f t="shared" ref="A353:A358" si="13">IF(AND(J353=0,K353=0),"Do Not Print","Print")</f>
        <v>Do Not Print</v>
      </c>
      <c r="B353" s="585"/>
      <c r="C353" s="585"/>
      <c r="D353" s="1818" t="s">
        <v>1365</v>
      </c>
      <c r="E353" s="1818"/>
      <c r="F353" s="1818"/>
      <c r="G353" s="1818"/>
      <c r="H353" s="1818"/>
      <c r="I353" s="1818"/>
      <c r="J353" s="1148">
        <f>'Non TB - Note 11'!H112</f>
        <v>0</v>
      </c>
      <c r="K353" s="1148">
        <f>'Non TB - Note 11'!I112</f>
        <v>0</v>
      </c>
      <c r="L353" s="75"/>
    </row>
    <row r="354" spans="1:12" s="74" customFormat="1" ht="13.5" customHeight="1" x14ac:dyDescent="0.25">
      <c r="A354" s="75" t="str">
        <f t="shared" si="13"/>
        <v>Do Not Print</v>
      </c>
      <c r="B354" s="585"/>
      <c r="C354" s="585"/>
      <c r="D354" s="1818" t="s">
        <v>1381</v>
      </c>
      <c r="E354" s="1818"/>
      <c r="F354" s="1818"/>
      <c r="G354" s="1818"/>
      <c r="H354" s="1818"/>
      <c r="I354" s="1818"/>
      <c r="J354" s="1148">
        <f>'Non TB - Note 11'!H113</f>
        <v>0</v>
      </c>
      <c r="K354" s="1148">
        <f>'Non TB - Note 11'!I113</f>
        <v>0</v>
      </c>
      <c r="L354" s="75"/>
    </row>
    <row r="355" spans="1:12" s="74" customFormat="1" ht="25.5" customHeight="1" x14ac:dyDescent="0.25">
      <c r="A355" s="75" t="str">
        <f t="shared" si="13"/>
        <v>Do Not Print</v>
      </c>
      <c r="B355" s="585"/>
      <c r="C355" s="585"/>
      <c r="D355" s="1826" t="s">
        <v>1367</v>
      </c>
      <c r="E355" s="1826"/>
      <c r="F355" s="1826"/>
      <c r="G355" s="1826"/>
      <c r="H355" s="1826"/>
      <c r="I355" s="1826"/>
      <c r="J355" s="1148">
        <f>'Non TB - Note 11'!H114</f>
        <v>0</v>
      </c>
      <c r="K355" s="1148">
        <f>'Non TB - Note 11'!I114</f>
        <v>0</v>
      </c>
      <c r="L355" s="75"/>
    </row>
    <row r="356" spans="1:12" s="74" customFormat="1" ht="13.5" customHeight="1" x14ac:dyDescent="0.25">
      <c r="A356" s="75" t="str">
        <f t="shared" si="13"/>
        <v>Do Not Print</v>
      </c>
      <c r="B356" s="585"/>
      <c r="C356" s="585"/>
      <c r="D356" s="1818" t="s">
        <v>973</v>
      </c>
      <c r="E356" s="1818"/>
      <c r="F356" s="1818"/>
      <c r="G356" s="1818"/>
      <c r="H356" s="1818"/>
      <c r="I356" s="1818"/>
      <c r="J356" s="1148">
        <f>'Non TB - Note 11'!H115</f>
        <v>0</v>
      </c>
      <c r="K356" s="1148">
        <f>'Non TB - Note 11'!I115</f>
        <v>0</v>
      </c>
      <c r="L356" s="75"/>
    </row>
    <row r="357" spans="1:12" s="74" customFormat="1" ht="13.5" customHeight="1" x14ac:dyDescent="0.25">
      <c r="A357" s="75" t="str">
        <f t="shared" si="13"/>
        <v>Do Not Print</v>
      </c>
      <c r="B357" s="585"/>
      <c r="C357" s="585"/>
      <c r="D357" s="1827" t="s">
        <v>977</v>
      </c>
      <c r="E357" s="1827"/>
      <c r="F357" s="1827"/>
      <c r="G357" s="1827"/>
      <c r="H357" s="1827"/>
      <c r="I357" s="1827"/>
      <c r="J357" s="1148">
        <f>'Non TB - Note 11'!H116</f>
        <v>0</v>
      </c>
      <c r="K357" s="1148">
        <f>'Non TB - Note 11'!I116</f>
        <v>0</v>
      </c>
      <c r="L357" s="75"/>
    </row>
    <row r="358" spans="1:12" s="74" customFormat="1" ht="13.5" customHeight="1" x14ac:dyDescent="0.3">
      <c r="A358" s="75" t="str">
        <f t="shared" si="13"/>
        <v>Do Not Print</v>
      </c>
      <c r="B358" s="585"/>
      <c r="C358" s="585"/>
      <c r="D358" s="1831" t="s">
        <v>206</v>
      </c>
      <c r="E358" s="1831"/>
      <c r="F358" s="1831"/>
      <c r="G358" s="1831"/>
      <c r="H358" s="1831"/>
      <c r="I358" s="1831"/>
      <c r="J358" s="1151">
        <f>SUM(J352:J357)</f>
        <v>0</v>
      </c>
      <c r="K358" s="1151">
        <f>SUM(K352:K357)</f>
        <v>0</v>
      </c>
      <c r="L358" s="75"/>
    </row>
    <row r="359" spans="1:12" s="74" customFormat="1" ht="13.5" customHeight="1" x14ac:dyDescent="0.3">
      <c r="A359" s="75" t="str">
        <f>IF(A358="Print","Print","Do Not Print")</f>
        <v>Do Not Print</v>
      </c>
      <c r="B359" s="585"/>
      <c r="C359" s="585"/>
      <c r="D359" s="402"/>
      <c r="E359" s="402"/>
      <c r="F359" s="402"/>
      <c r="G359" s="402"/>
      <c r="H359" s="402"/>
      <c r="I359" s="402"/>
      <c r="J359" s="402"/>
      <c r="K359" s="402"/>
      <c r="L359" s="75"/>
    </row>
    <row r="360" spans="1:12" s="74" customFormat="1" ht="50.55" customHeight="1" x14ac:dyDescent="0.3">
      <c r="A360" s="75" t="str">
        <f>IF('Non TB - Note 11'!F117=1,"Print","Do Not Print")</f>
        <v>Print</v>
      </c>
      <c r="B360" s="585"/>
      <c r="C360" s="585"/>
      <c r="D360" s="1504" t="str">
        <f>IF('Non TB - Note 11'!F117=1,'Non TB - Note 11'!H117,"")</f>
        <v>Gains arising from changes in the fair value of surplus assets are recognised in the revaluation reserve, unless they reverse a previous impairment charged to the Surplus or Deficit on the Provision of Services. Losses arising from changes in the fair value of the surplus assets reduce any revaluation reserve balance relating to that asset and, thereafter, are recognised in Surplus or Deficit on the Provision of Services.</v>
      </c>
      <c r="E360" s="1504"/>
      <c r="F360" s="1504"/>
      <c r="G360" s="1504"/>
      <c r="H360" s="1504"/>
      <c r="I360" s="1504"/>
      <c r="J360" s="1504"/>
      <c r="K360" s="1504"/>
      <c r="L360" s="75"/>
    </row>
    <row r="361" spans="1:12" s="74" customFormat="1" ht="13.5" customHeight="1" x14ac:dyDescent="0.3">
      <c r="A361" s="75" t="str">
        <f>IF(A360="Print","Print","Do Not Print")</f>
        <v>Print</v>
      </c>
      <c r="B361" s="585"/>
      <c r="C361" s="585"/>
      <c r="D361" s="1542"/>
      <c r="E361" s="1542"/>
      <c r="F361" s="1542"/>
      <c r="G361" s="1542"/>
      <c r="H361" s="1542"/>
      <c r="I361" s="1542"/>
      <c r="J361" s="1542"/>
      <c r="K361" s="1542"/>
      <c r="L361" s="75"/>
    </row>
    <row r="362" spans="1:12" s="74" customFormat="1" ht="56.1" customHeight="1" x14ac:dyDescent="0.3">
      <c r="A362" s="75" t="str">
        <f>IF('Non TB - Note 11'!F118=1,"Print","Do Not Print")</f>
        <v>Print</v>
      </c>
      <c r="B362" s="585"/>
      <c r="C362" s="585"/>
      <c r="D362" s="1504" t="str">
        <f>IF('Non TB - Note 11'!F118=1,'Non TB - Note 11'!H118,"")</f>
        <v>[Where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v>
      </c>
      <c r="E362" s="1504"/>
      <c r="F362" s="1504"/>
      <c r="G362" s="1504"/>
      <c r="H362" s="1504"/>
      <c r="I362" s="1504"/>
      <c r="J362" s="1504"/>
      <c r="K362" s="1504"/>
      <c r="L362" s="75"/>
    </row>
    <row r="363" spans="1:12" s="74" customFormat="1" ht="13.5" customHeight="1" x14ac:dyDescent="0.3">
      <c r="A363" s="75" t="str">
        <f>IF(A362="Print","Print","Do Not Print")</f>
        <v>Print</v>
      </c>
      <c r="B363" s="585"/>
      <c r="C363" s="585"/>
      <c r="D363" s="1542"/>
      <c r="E363" s="1542"/>
      <c r="F363" s="1542"/>
      <c r="G363" s="1542"/>
      <c r="H363" s="1542"/>
      <c r="I363" s="1542"/>
      <c r="J363" s="1542"/>
      <c r="K363" s="1542"/>
      <c r="L363" s="75"/>
    </row>
    <row r="364" spans="1:12" s="74" customFormat="1" ht="18" customHeight="1" x14ac:dyDescent="0.3">
      <c r="A364" s="75" t="str">
        <f>IF('Non TB - Note 11'!F119=1,"Print","Do Not Print")</f>
        <v>Print</v>
      </c>
      <c r="B364" s="585"/>
      <c r="C364" s="585"/>
      <c r="D364" s="1543" t="str">
        <f>IF('Non TB - Note 11'!F119=1,'Non TB - Note 11'!C119,"")</f>
        <v>Quantitative information about Fair Value Measurement of Surplus Assets using Significant Unobservable Inputs - Level 3</v>
      </c>
      <c r="E364" s="1543"/>
      <c r="F364" s="1543"/>
      <c r="G364" s="1543"/>
      <c r="H364" s="1543"/>
      <c r="I364" s="1543"/>
      <c r="J364" s="1543"/>
      <c r="K364" s="1543"/>
      <c r="L364" s="75"/>
    </row>
    <row r="365" spans="1:12" s="74" customFormat="1" ht="13.5" customHeight="1" x14ac:dyDescent="0.3">
      <c r="A365" s="75" t="str">
        <f>IF(A364="Print","Print","Do Not Print")</f>
        <v>Print</v>
      </c>
      <c r="B365" s="585"/>
      <c r="C365" s="585"/>
      <c r="D365" s="1542"/>
      <c r="E365" s="1542"/>
      <c r="F365" s="1542"/>
      <c r="G365" s="1542"/>
      <c r="H365" s="1542"/>
      <c r="I365" s="1542"/>
      <c r="J365" s="1542"/>
      <c r="K365" s="1542"/>
      <c r="L365" s="75"/>
    </row>
    <row r="366" spans="1:12" s="74" customFormat="1" ht="25.5" customHeight="1" x14ac:dyDescent="0.2">
      <c r="A366" s="75" t="str">
        <f>IF(OR(A368="Print",A369="Print"),"Print","Do Not Print")</f>
        <v>Print</v>
      </c>
      <c r="B366" s="585"/>
      <c r="C366" s="585"/>
      <c r="D366" s="1819" t="s">
        <v>1382</v>
      </c>
      <c r="E366" s="1819"/>
      <c r="F366" s="1143">
        <f>J60</f>
        <v>46112</v>
      </c>
      <c r="G366" s="1971" t="s">
        <v>1370</v>
      </c>
      <c r="H366" s="1971"/>
      <c r="I366" s="1152" t="s">
        <v>1371</v>
      </c>
      <c r="J366" s="1152" t="s">
        <v>1372</v>
      </c>
      <c r="K366" s="1152" t="s">
        <v>1373</v>
      </c>
      <c r="L366" s="75"/>
    </row>
    <row r="367" spans="1:12" s="74" customFormat="1" ht="32.25" customHeight="1" x14ac:dyDescent="0.2">
      <c r="A367" s="75" t="str">
        <f>IF(A366="Print","Print","Do Not Print")</f>
        <v>Print</v>
      </c>
      <c r="B367" s="585"/>
      <c r="C367" s="585"/>
      <c r="D367" s="1819"/>
      <c r="E367" s="1819"/>
      <c r="F367" s="1143" t="str">
        <f>J61</f>
        <v>£</v>
      </c>
      <c r="G367" s="1153"/>
      <c r="H367" s="1153"/>
      <c r="I367" s="1152"/>
      <c r="J367" s="1152"/>
      <c r="K367" s="1152"/>
      <c r="L367" s="75"/>
    </row>
    <row r="368" spans="1:12" s="74" customFormat="1" ht="13.5" customHeight="1" x14ac:dyDescent="0.25">
      <c r="A368" s="75" t="str">
        <f>IF('Non TB - Note 11'!F119=1,"Print","Do Not Print")</f>
        <v>Print</v>
      </c>
      <c r="B368" s="585"/>
      <c r="C368" s="585"/>
      <c r="D368" s="1818" t="str">
        <f>IF('Non TB - Note 11'!F119=1,'Non TB - Note 11'!D119,"")</f>
        <v>Type 1</v>
      </c>
      <c r="E368" s="1818"/>
      <c r="F368" s="1148">
        <f>'Non TB - Note 11'!H119</f>
        <v>0</v>
      </c>
      <c r="G368" s="1970">
        <f>'Non TB - Note 11'!H120</f>
        <v>0</v>
      </c>
      <c r="H368" s="1970"/>
      <c r="I368" s="1148">
        <f>'Non TB - Note 11'!H121</f>
        <v>0</v>
      </c>
      <c r="J368" s="1148">
        <f>'Non TB - Note 11'!H122</f>
        <v>0</v>
      </c>
      <c r="K368" s="1148">
        <f>'Non TB - Note 11'!H123</f>
        <v>0</v>
      </c>
      <c r="L368" s="75"/>
    </row>
    <row r="369" spans="1:13" s="74" customFormat="1" ht="13.5" customHeight="1" x14ac:dyDescent="0.25">
      <c r="A369" s="75" t="str">
        <f>IF('Non TB - Note 11'!F124=1,"Print","Do Not Print")</f>
        <v>Print</v>
      </c>
      <c r="B369" s="585"/>
      <c r="C369" s="585"/>
      <c r="D369" s="1818" t="str">
        <f>IF('Non TB - Note 11'!F124=1,'Non TB - Note 11'!D124,"")</f>
        <v>Type 2</v>
      </c>
      <c r="E369" s="1818"/>
      <c r="F369" s="1148">
        <f>'Non TB - Note 11'!H124</f>
        <v>0</v>
      </c>
      <c r="G369" s="1970">
        <f>'Non TB - Note 11'!H125</f>
        <v>0</v>
      </c>
      <c r="H369" s="1970"/>
      <c r="I369" s="1148">
        <f>'Non TB - Note 11'!H126</f>
        <v>0</v>
      </c>
      <c r="J369" s="1148">
        <f>'Non TB - Note 11'!H127</f>
        <v>0</v>
      </c>
      <c r="K369" s="1148">
        <f>'Non TB - Note 11'!H128</f>
        <v>0</v>
      </c>
      <c r="L369" s="75"/>
    </row>
    <row r="370" spans="1:13" s="74" customFormat="1" ht="13.5" customHeight="1" x14ac:dyDescent="0.25">
      <c r="A370" s="75" t="str">
        <f>IF(A369="Print","Print","Do Not Print")</f>
        <v>Print</v>
      </c>
      <c r="B370" s="585"/>
      <c r="C370" s="585"/>
      <c r="D370" s="402"/>
      <c r="E370" s="912"/>
      <c r="F370" s="912"/>
      <c r="G370" s="912"/>
      <c r="H370" s="912"/>
      <c r="I370" s="912"/>
      <c r="J370" s="912"/>
      <c r="K370" s="912"/>
      <c r="L370" s="75"/>
    </row>
    <row r="371" spans="1:13" s="74" customFormat="1" ht="13.5" customHeight="1" x14ac:dyDescent="0.3">
      <c r="A371" s="75" t="str">
        <f>IF(A369="Print","Print","Do Not Print")</f>
        <v>Print</v>
      </c>
      <c r="B371" s="585"/>
      <c r="C371" s="585"/>
      <c r="D371" s="402"/>
      <c r="E371" s="402"/>
      <c r="F371" s="402"/>
      <c r="G371" s="402"/>
      <c r="H371" s="402"/>
      <c r="I371" s="402"/>
      <c r="J371" s="402"/>
      <c r="K371" s="402"/>
      <c r="L371" s="75"/>
    </row>
    <row r="372" spans="1:13" s="74" customFormat="1" ht="13.5" customHeight="1" x14ac:dyDescent="0.3">
      <c r="A372" s="75" t="str">
        <f>IF('Non TB - Note 11'!F129=1,"Print","Do Not Print")</f>
        <v>Print</v>
      </c>
      <c r="B372" s="585"/>
      <c r="C372" s="585"/>
      <c r="D372" s="1541" t="str">
        <f>IF('Non TB - Note 11'!F129=1,'Non TB - Note 11'!E129,"")</f>
        <v>Valuation Process for Surplus Assets</v>
      </c>
      <c r="E372" s="1541"/>
      <c r="F372" s="1541"/>
      <c r="G372" s="1541"/>
      <c r="H372" s="1541"/>
      <c r="I372" s="1541"/>
      <c r="J372" s="1541"/>
      <c r="K372" s="1541"/>
      <c r="L372" s="75"/>
    </row>
    <row r="373" spans="1:13" s="74" customFormat="1" ht="13.5" customHeight="1" x14ac:dyDescent="0.3">
      <c r="A373" s="75" t="str">
        <f>IF(A372="Print","Print","Do Not Print")</f>
        <v>Print</v>
      </c>
      <c r="B373" s="585"/>
      <c r="C373" s="585"/>
      <c r="D373" s="1542"/>
      <c r="E373" s="1542"/>
      <c r="F373" s="1542"/>
      <c r="G373" s="1542"/>
      <c r="H373" s="1542"/>
      <c r="I373" s="1542"/>
      <c r="J373" s="1542"/>
      <c r="K373" s="1542"/>
      <c r="L373" s="75"/>
    </row>
    <row r="374" spans="1:13" s="74" customFormat="1" ht="41.1" customHeight="1" x14ac:dyDescent="0.3">
      <c r="A374" s="75" t="str">
        <f>IF('Non TB - Note 11'!F129=1,"Print","Do Not Print")</f>
        <v>Print</v>
      </c>
      <c r="B374" s="585"/>
      <c r="C374" s="585"/>
      <c r="D374" s="1504" t="str">
        <f>IF('Non TB - Note 11'!F129=1,'Non TB - Note 11'!H129,"")</f>
        <v xml:space="preserve">The fair value of the Council’s Surplus Assets is measured at minimum 5 year intervals. All valuations are carried out externally by Land &amp; Property Services, in accordance with the methodologies and basis for estimation set out in the professional standards of the Royal Institution of Chartered Surveyors. </v>
      </c>
      <c r="E374" s="1504"/>
      <c r="F374" s="1504"/>
      <c r="G374" s="1504"/>
      <c r="H374" s="1504"/>
      <c r="I374" s="1504"/>
      <c r="J374" s="1504"/>
      <c r="K374" s="1504"/>
      <c r="L374" s="75"/>
    </row>
    <row r="375" spans="1:13" s="74" customFormat="1" ht="12.75" customHeight="1" x14ac:dyDescent="0.3">
      <c r="A375" s="75" t="str">
        <f>IF(A374="Print","Print","Do Not Print")</f>
        <v>Print</v>
      </c>
      <c r="B375" s="585"/>
      <c r="C375" s="585"/>
      <c r="D375" s="402"/>
      <c r="E375" s="1542"/>
      <c r="F375" s="1542"/>
      <c r="G375" s="1542"/>
      <c r="H375" s="1542"/>
      <c r="I375" s="1542"/>
      <c r="J375" s="1542"/>
      <c r="K375" s="1542"/>
      <c r="L375" s="75"/>
    </row>
    <row r="376" spans="1:13" s="74" customFormat="1" ht="12.75" customHeight="1" x14ac:dyDescent="0.2">
      <c r="A376" s="75" t="str">
        <f>IF(AND(I400=0,J400=0,K400=0),"Do Not Print","Print")</f>
        <v>Do Not Print</v>
      </c>
      <c r="B376" s="585">
        <f>Checklist!E99</f>
        <v>12</v>
      </c>
      <c r="C376" s="585"/>
      <c r="D376" s="474" t="s">
        <v>294</v>
      </c>
      <c r="E376" s="474"/>
      <c r="F376" s="474"/>
      <c r="G376" s="474"/>
      <c r="H376" s="474"/>
      <c r="I376" s="481"/>
      <c r="J376" s="481"/>
      <c r="K376" s="481"/>
    </row>
    <row r="377" spans="1:13" s="74" customFormat="1" ht="13.5" customHeight="1" x14ac:dyDescent="0.3">
      <c r="A377" s="75" t="str">
        <f>IF(A376="Print","Print","Do Not Print")</f>
        <v>Do Not Print</v>
      </c>
      <c r="B377" s="585"/>
      <c r="C377" s="585"/>
      <c r="D377" s="1542"/>
      <c r="E377" s="1542"/>
      <c r="F377" s="1542"/>
      <c r="G377" s="1542"/>
      <c r="H377" s="1542"/>
      <c r="I377" s="1542"/>
      <c r="J377" s="1542"/>
      <c r="K377" s="1542"/>
      <c r="L377" s="75"/>
    </row>
    <row r="378" spans="1:13" s="74" customFormat="1" ht="68.55" customHeight="1" x14ac:dyDescent="0.3">
      <c r="A378" s="75" t="str">
        <f>IF('Non TB - Note 12 to 24'!F2=1,"Print","Do Not Print")</f>
        <v>Print</v>
      </c>
      <c r="B378" s="585"/>
      <c r="C378" s="585"/>
      <c r="D378" s="1504" t="str">
        <f>IF('Non TB - Note 12 to 24'!F2=1,'Non TB - Note 12 to 24'!H2,"")</f>
        <v>The total amount of capital expenditure incurred in the year is shown in the table below (including the value of assets acquired under leases and PFI contracts), together with the resources that have been used to finance it.  Where capital expenditure is to be financed in future years by charges to revenue as assets are used by the Council, the expenditure results in an increase in the Capital Financing Requirement (CF), a measure of the capital expenditure incurred historically by the Council that is yet to be financed.  The CFR is analysed in the second part of this note.</v>
      </c>
      <c r="E378" s="1504"/>
      <c r="F378" s="1504"/>
      <c r="G378" s="1504"/>
      <c r="H378" s="1504"/>
      <c r="I378" s="1504"/>
      <c r="J378" s="1504"/>
      <c r="K378" s="1504"/>
      <c r="L378" s="75"/>
    </row>
    <row r="379" spans="1:13" s="74" customFormat="1" ht="13.5" customHeight="1" x14ac:dyDescent="0.3">
      <c r="A379" s="75" t="str">
        <f>IF(A378="Print","Print","Do Not Print")</f>
        <v>Print</v>
      </c>
      <c r="B379" s="585"/>
      <c r="C379" s="585"/>
      <c r="D379" s="1533"/>
      <c r="E379" s="1533"/>
      <c r="F379" s="1533"/>
      <c r="G379" s="1533"/>
      <c r="H379" s="1533"/>
      <c r="I379" s="1533"/>
      <c r="J379" s="1533"/>
      <c r="K379" s="1533"/>
      <c r="L379" s="75"/>
      <c r="M379" s="75"/>
    </row>
    <row r="380" spans="1:13" ht="12.75" customHeight="1" x14ac:dyDescent="0.3">
      <c r="A380" s="3" t="str">
        <f>IF(AND(I400=0,J400=0,K400=0),"Do Not Print","Print")</f>
        <v>Do Not Print</v>
      </c>
      <c r="D380" s="1997" t="s">
        <v>819</v>
      </c>
      <c r="E380" s="1998"/>
      <c r="F380" s="1998"/>
      <c r="G380" s="1998"/>
      <c r="H380" s="1999"/>
      <c r="I380" s="915" t="str">
        <f>'Standing Data'!D34</f>
        <v>2025/26</v>
      </c>
      <c r="J380" s="915" t="str">
        <f>'Standing Data'!D52</f>
        <v>2024/25</v>
      </c>
      <c r="K380" s="402"/>
      <c r="L380" s="75"/>
      <c r="M380" s="75"/>
    </row>
    <row r="381" spans="1:13" ht="12.75" customHeight="1" x14ac:dyDescent="0.3">
      <c r="A381" s="3" t="str">
        <f>IF(A380="Print","Print","Do Not Print")</f>
        <v>Do Not Print</v>
      </c>
      <c r="D381" s="1997"/>
      <c r="E381" s="1998"/>
      <c r="F381" s="1998"/>
      <c r="G381" s="1998"/>
      <c r="H381" s="1999"/>
      <c r="I381" s="915" t="s">
        <v>450</v>
      </c>
      <c r="J381" s="915" t="s">
        <v>450</v>
      </c>
      <c r="K381" s="609"/>
      <c r="L381" s="75"/>
      <c r="M381" s="75"/>
    </row>
    <row r="382" spans="1:13" ht="13.5" customHeight="1" x14ac:dyDescent="0.3">
      <c r="A382" s="3" t="str">
        <f>IF(AND(I382=0,J382=0,K382=0),"Do Not Print","Print")</f>
        <v>Do Not Print</v>
      </c>
      <c r="D382" s="1805" t="s">
        <v>601</v>
      </c>
      <c r="E382" s="1806"/>
      <c r="F382" s="1806"/>
      <c r="G382" s="1806"/>
      <c r="H382" s="1807"/>
      <c r="I382" s="917">
        <f>J400</f>
        <v>0</v>
      </c>
      <c r="J382" s="917">
        <f>'Non TB - Note 12 to 24'!I3</f>
        <v>0</v>
      </c>
      <c r="K382" s="520"/>
      <c r="L382" s="75"/>
      <c r="M382" s="75"/>
    </row>
    <row r="383" spans="1:13" ht="13.5" customHeight="1" x14ac:dyDescent="0.3">
      <c r="A383" s="3" t="str">
        <f>IF(A382="Print","Print","Do Not Print")</f>
        <v>Do Not Print</v>
      </c>
      <c r="D383" s="1994"/>
      <c r="E383" s="1995"/>
      <c r="F383" s="1995"/>
      <c r="G383" s="1995"/>
      <c r="H383" s="1996"/>
      <c r="I383" s="942"/>
      <c r="J383" s="942"/>
      <c r="L383" s="75"/>
      <c r="M383" s="75"/>
    </row>
    <row r="384" spans="1:13" ht="12.75" customHeight="1" x14ac:dyDescent="0.3">
      <c r="A384" s="3" t="str">
        <f>IF(OR(A385="Print",A386="Print",A387="Print",A388="Print"),"Print","Do Not Print")</f>
        <v>Do Not Print</v>
      </c>
      <c r="D384" s="1805" t="s">
        <v>602</v>
      </c>
      <c r="E384" s="1806"/>
      <c r="F384" s="1806"/>
      <c r="G384" s="1806"/>
      <c r="H384" s="1807"/>
      <c r="I384" s="943"/>
      <c r="J384" s="943"/>
      <c r="K384" s="405"/>
      <c r="L384" s="75"/>
      <c r="M384" s="75"/>
    </row>
    <row r="385" spans="1:13" ht="13.5" customHeight="1" x14ac:dyDescent="0.3">
      <c r="A385" s="3" t="str">
        <f>IF(AND(I385=0,J385=0,K385=0),"Do Not Print","Print")</f>
        <v>Do Not Print</v>
      </c>
      <c r="D385" s="1738" t="s">
        <v>603</v>
      </c>
      <c r="E385" s="1803"/>
      <c r="F385" s="1803"/>
      <c r="G385" s="1739"/>
      <c r="H385" s="941">
        <v>11</v>
      </c>
      <c r="I385" s="916">
        <f>'Det BS '!J9+'Det BS '!J33+'Det BS '!J57+'Det BS '!J81+'Det BS '!J105+'Det BS '!J129+'Det BS '!J153+'Det BS '!J177+'Det BS '!J201</f>
        <v>0</v>
      </c>
      <c r="J385" s="916">
        <f>'Det BS '!K9+'Det BS '!K33+'Det BS '!K57+'Det BS '!K81+'Det BS '!K105+'Det BS '!K129+'Det BS '!K153+'Det BS '!K177+'Det BS '!K201</f>
        <v>0</v>
      </c>
      <c r="K385" s="520"/>
      <c r="L385" s="75"/>
      <c r="M385" s="75"/>
    </row>
    <row r="386" spans="1:13" x14ac:dyDescent="0.3">
      <c r="A386" s="3" t="str">
        <f>IF(AND(I386=0,J386=0,K386=0),"Do Not Print","Print")</f>
        <v>Do Not Print</v>
      </c>
      <c r="D386" s="1738" t="s">
        <v>902</v>
      </c>
      <c r="E386" s="1803"/>
      <c r="F386" s="1803"/>
      <c r="G386" s="1739"/>
      <c r="H386" s="599"/>
      <c r="I386" s="600">
        <f>'Det BS '!J224</f>
        <v>0</v>
      </c>
      <c r="J386" s="600">
        <f>'Det BS '!K224</f>
        <v>0</v>
      </c>
      <c r="L386" s="75"/>
      <c r="M386" s="75"/>
    </row>
    <row r="387" spans="1:13" x14ac:dyDescent="0.3">
      <c r="A387" s="3" t="str">
        <f>IF(AND(I387=0,J387=0,K387=0),"Do Not Print","Print")</f>
        <v>Do Not Print</v>
      </c>
      <c r="D387" s="1738" t="s">
        <v>354</v>
      </c>
      <c r="E387" s="1803"/>
      <c r="F387" s="1803"/>
      <c r="G387" s="1739"/>
      <c r="H387" s="913"/>
      <c r="I387" s="914">
        <f>'Det BS '!J234</f>
        <v>0</v>
      </c>
      <c r="J387" s="914">
        <f>'Det BS '!K234</f>
        <v>0</v>
      </c>
      <c r="K387" s="405"/>
      <c r="L387" s="75"/>
      <c r="M387" s="75"/>
    </row>
    <row r="388" spans="1:13" ht="15.75" customHeight="1" x14ac:dyDescent="0.3">
      <c r="A388" s="3" t="str">
        <f>IF(AND(I388=0,J388=0,K388=0),"Do Not Print","Print")</f>
        <v>Do Not Print</v>
      </c>
      <c r="D388" s="2000" t="s">
        <v>604</v>
      </c>
      <c r="E388" s="2001"/>
      <c r="F388" s="2001"/>
      <c r="G388" s="2002"/>
      <c r="H388" s="941"/>
      <c r="I388" s="916">
        <f>'Non TB - Note 12 to 24'!H7</f>
        <v>0</v>
      </c>
      <c r="J388" s="916">
        <f>'Non TB - Note 12 to 24'!I7</f>
        <v>0</v>
      </c>
      <c r="L388" s="75"/>
      <c r="M388" s="75"/>
    </row>
    <row r="389" spans="1:13" x14ac:dyDescent="0.3">
      <c r="A389" s="3" t="str">
        <f>IF(AND(I389=0,J389=0,K389=0),"Do Not Print","Print")</f>
        <v>Do Not Print</v>
      </c>
      <c r="D389" s="1738" t="s">
        <v>1104</v>
      </c>
      <c r="E389" s="1803"/>
      <c r="F389" s="1803"/>
      <c r="G389" s="1739"/>
      <c r="H389" s="913"/>
      <c r="I389" s="896">
        <f>'Non TB - Note 12 to 24'!H8</f>
        <v>0</v>
      </c>
      <c r="J389" s="896">
        <f>'Non TB - Note 12 to 24'!I8</f>
        <v>0</v>
      </c>
      <c r="K389" s="405"/>
      <c r="L389" s="75"/>
      <c r="M389" s="75"/>
    </row>
    <row r="390" spans="1:13" ht="13.5" customHeight="1" x14ac:dyDescent="0.3">
      <c r="A390" s="3" t="str">
        <f>IF(A388="Print","Print","Do Not Print")</f>
        <v>Do Not Print</v>
      </c>
      <c r="D390" s="1738"/>
      <c r="E390" s="1803"/>
      <c r="F390" s="1803"/>
      <c r="G390" s="1803"/>
      <c r="H390" s="1739"/>
      <c r="I390" s="942"/>
      <c r="J390" s="942"/>
      <c r="L390" s="951"/>
      <c r="M390" s="75"/>
    </row>
    <row r="391" spans="1:13" s="6" customFormat="1" ht="12.75" customHeight="1" x14ac:dyDescent="0.3">
      <c r="A391" s="6" t="str">
        <f>IF(OR(A392="Print",A393="Print",A394="Print"),"Print","Do Not Print")</f>
        <v>Do Not Print</v>
      </c>
      <c r="B391" s="585"/>
      <c r="C391" s="585"/>
      <c r="D391" s="1805" t="s">
        <v>605</v>
      </c>
      <c r="E391" s="1806"/>
      <c r="F391" s="1806"/>
      <c r="G391" s="1806"/>
      <c r="H391" s="1807"/>
      <c r="I391" s="943"/>
      <c r="J391" s="943"/>
      <c r="K391" s="405"/>
      <c r="L391" s="75"/>
      <c r="M391" s="75"/>
    </row>
    <row r="392" spans="1:13" x14ac:dyDescent="0.3">
      <c r="A392" s="3" t="str">
        <f>IF(AND(I392=0,J392=0),"Do Not Print","Print")</f>
        <v>Do Not Print</v>
      </c>
      <c r="D392" s="1738" t="s">
        <v>606</v>
      </c>
      <c r="E392" s="1803"/>
      <c r="F392" s="1803"/>
      <c r="G392" s="1739"/>
      <c r="H392" s="913"/>
      <c r="I392" s="896">
        <f>'Non TB - Note 12 to 24'!H9</f>
        <v>0</v>
      </c>
      <c r="J392" s="896">
        <f>'Non TB - Note 12 to 24'!I9</f>
        <v>0</v>
      </c>
      <c r="L392" s="75"/>
      <c r="M392" s="75"/>
    </row>
    <row r="393" spans="1:13" ht="13.5" customHeight="1" x14ac:dyDescent="0.3">
      <c r="A393" s="3" t="str">
        <f>IF(AND(I393=0,J393=0),"Do Not Print","Print")</f>
        <v>Do Not Print</v>
      </c>
      <c r="D393" s="1738" t="s">
        <v>607</v>
      </c>
      <c r="E393" s="1803"/>
      <c r="F393" s="1803"/>
      <c r="G393" s="1739"/>
      <c r="H393" s="941">
        <v>10</v>
      </c>
      <c r="I393" s="917">
        <f>SUM('Det CIES'!P126:P129)-'Notes 11c to 24'!J1516</f>
        <v>0</v>
      </c>
      <c r="J393" s="917">
        <f>SUM('Det CIES'!S126:S129)-'Notes 11c to 24'!L1516</f>
        <v>0</v>
      </c>
      <c r="K393" s="405"/>
      <c r="L393" s="75"/>
      <c r="M393" s="75"/>
    </row>
    <row r="394" spans="1:13" ht="13.5" customHeight="1" x14ac:dyDescent="0.3">
      <c r="A394" s="3" t="str">
        <f>IF(AND(I394=0,J394=0),"Do Not Print","Print")</f>
        <v>Do Not Print</v>
      </c>
      <c r="D394" s="1738" t="s">
        <v>608</v>
      </c>
      <c r="E394" s="1803"/>
      <c r="F394" s="1803"/>
      <c r="G394" s="1739"/>
      <c r="H394" s="941"/>
      <c r="I394" s="917">
        <f>-'Note 25 to end'!J254</f>
        <v>0</v>
      </c>
      <c r="J394" s="917">
        <f>-'Note 25 to end'!K254</f>
        <v>0</v>
      </c>
      <c r="L394" s="75"/>
      <c r="M394" s="75"/>
    </row>
    <row r="395" spans="1:13" ht="13.5" customHeight="1" x14ac:dyDescent="0.3">
      <c r="A395" s="3" t="str">
        <f>IF(A394="Print","Print","Do Not Print")</f>
        <v>Do Not Print</v>
      </c>
      <c r="D395" s="1738"/>
      <c r="E395" s="1803"/>
      <c r="F395" s="1803"/>
      <c r="G395" s="1803"/>
      <c r="H395" s="1739"/>
      <c r="I395" s="942"/>
      <c r="J395" s="942"/>
      <c r="K395" s="405"/>
      <c r="L395" s="75"/>
      <c r="M395" s="75"/>
    </row>
    <row r="396" spans="1:13" ht="13.5" customHeight="1" x14ac:dyDescent="0.3">
      <c r="A396" s="3" t="str">
        <f>IF(OR(A397="Print",A398="Print"),"Print","Do Not Print")</f>
        <v>Do Not Print</v>
      </c>
      <c r="D396" s="1805" t="s">
        <v>609</v>
      </c>
      <c r="E396" s="1806"/>
      <c r="F396" s="1806"/>
      <c r="G396" s="1807"/>
      <c r="H396" s="941"/>
      <c r="I396" s="918"/>
      <c r="J396" s="918"/>
      <c r="L396" s="75"/>
      <c r="M396" s="75"/>
    </row>
    <row r="397" spans="1:13" x14ac:dyDescent="0.3">
      <c r="A397" s="3" t="str">
        <f>IF(AND(I397=0,J397=0,K397=0),"Do Not Print","Print")</f>
        <v>Do Not Print</v>
      </c>
      <c r="D397" s="1738" t="s">
        <v>610</v>
      </c>
      <c r="E397" s="1803"/>
      <c r="F397" s="1803"/>
      <c r="G397" s="1739"/>
      <c r="H397" s="913"/>
      <c r="I397" s="1081">
        <f>'Non TB - Note 12 to 24'!H12</f>
        <v>0</v>
      </c>
      <c r="J397" s="1081">
        <f>'Non TB - Note 12 to 24'!I12</f>
        <v>0</v>
      </c>
      <c r="K397" s="405"/>
      <c r="L397" s="75"/>
      <c r="M397" s="75"/>
    </row>
    <row r="398" spans="1:13" ht="13.5" customHeight="1" x14ac:dyDescent="0.3">
      <c r="A398" s="3" t="str">
        <f>IF(AND(I398=0,J398=0,K398=0),"Do Not Print","Print")</f>
        <v>Do Not Print</v>
      </c>
      <c r="D398" s="1738" t="s">
        <v>4</v>
      </c>
      <c r="E398" s="1803"/>
      <c r="F398" s="1803"/>
      <c r="G398" s="1739"/>
      <c r="H398" s="941"/>
      <c r="I398" s="917">
        <f>'Non TB - Note 12 to 24'!H13</f>
        <v>0</v>
      </c>
      <c r="J398" s="917">
        <f>'Non TB - Note 12 to 24'!I13</f>
        <v>0</v>
      </c>
      <c r="L398" s="75"/>
      <c r="M398" s="75"/>
    </row>
    <row r="399" spans="1:13" ht="13.5" customHeight="1" x14ac:dyDescent="0.3">
      <c r="A399" s="3" t="str">
        <f>IF(A398="Print","Print","Do Not Print")</f>
        <v>Do Not Print</v>
      </c>
      <c r="D399" s="869"/>
      <c r="E399" s="747"/>
      <c r="F399" s="747"/>
      <c r="G399" s="747"/>
      <c r="H399" s="747"/>
      <c r="I399" s="747"/>
      <c r="J399" s="747"/>
      <c r="K399" s="405"/>
    </row>
    <row r="400" spans="1:13" ht="13.5" customHeight="1" x14ac:dyDescent="0.3">
      <c r="A400" s="3" t="str">
        <f>IF(AND(I400=0,J400=0,K400=0),"Do Not Print","Print")</f>
        <v>Do Not Print</v>
      </c>
      <c r="D400" s="474" t="s">
        <v>611</v>
      </c>
      <c r="E400" s="604"/>
      <c r="F400" s="474"/>
      <c r="G400" s="474"/>
      <c r="H400" s="486"/>
      <c r="I400" s="605">
        <f>SUM(I382:I399)</f>
        <v>0</v>
      </c>
      <c r="J400" s="605">
        <f>SUM(J382:J399)</f>
        <v>0</v>
      </c>
    </row>
    <row r="401" spans="1:12" ht="13.5" customHeight="1" x14ac:dyDescent="0.3">
      <c r="A401" s="3" t="str">
        <f>IF(A400="Print","Print","Do Not Print")</f>
        <v>Do Not Print</v>
      </c>
      <c r="D401" s="401"/>
      <c r="K401" s="405"/>
    </row>
    <row r="402" spans="1:12" ht="13.5" customHeight="1" x14ac:dyDescent="0.3">
      <c r="A402" s="3" t="str">
        <f>IF(A400="Print","Print","Do Not Print")</f>
        <v>Do Not Print</v>
      </c>
      <c r="D402" s="474" t="s">
        <v>612</v>
      </c>
      <c r="E402" s="604"/>
      <c r="F402" s="474"/>
      <c r="G402" s="474"/>
      <c r="H402" s="474"/>
      <c r="I402" s="586" t="str">
        <f>I380</f>
        <v>2025/26</v>
      </c>
      <c r="J402" s="586" t="str">
        <f>J380</f>
        <v>2024/25</v>
      </c>
      <c r="L402" s="3"/>
    </row>
    <row r="403" spans="1:12" ht="12.75" customHeight="1" x14ac:dyDescent="0.3">
      <c r="A403" s="3" t="str">
        <f>IF(A402="Print","Print","Do Not Print")</f>
        <v>Do Not Print</v>
      </c>
      <c r="D403" s="1816"/>
      <c r="E403" s="1816"/>
      <c r="F403" s="1816"/>
      <c r="G403" s="1816"/>
      <c r="H403" s="1816"/>
      <c r="I403" s="586" t="s">
        <v>450</v>
      </c>
      <c r="J403" s="586" t="s">
        <v>450</v>
      </c>
      <c r="K403" s="405"/>
      <c r="L403" s="3"/>
    </row>
    <row r="404" spans="1:12" ht="13.5" customHeight="1" x14ac:dyDescent="0.3">
      <c r="A404" s="3" t="str">
        <f>IF(AND(I404=0,J404=0,K404=0),"Do Not Print","Print")</f>
        <v>Do Not Print</v>
      </c>
      <c r="D404" s="1738" t="s">
        <v>613</v>
      </c>
      <c r="E404" s="1803"/>
      <c r="F404" s="1803"/>
      <c r="G404" s="1803"/>
      <c r="H404" s="1739"/>
      <c r="I404" s="601">
        <f>'Non TB - Note 12 to 24'!H14</f>
        <v>0</v>
      </c>
      <c r="J404" s="601">
        <f>'Non TB - Note 12 to 24'!I14</f>
        <v>0</v>
      </c>
      <c r="L404" s="75"/>
    </row>
    <row r="405" spans="1:12" x14ac:dyDescent="0.3">
      <c r="A405" s="3" t="str">
        <f>IF(AND(I405=0,J405=0,K405=0),"Do Not Print","Print")</f>
        <v>Do Not Print</v>
      </c>
      <c r="D405" s="1738" t="s">
        <v>2841</v>
      </c>
      <c r="E405" s="1803"/>
      <c r="F405" s="1803"/>
      <c r="G405" s="1803"/>
      <c r="H405" s="1739"/>
      <c r="I405" s="598">
        <f>'Non TB - Note 12 to 24'!H15</f>
        <v>0</v>
      </c>
      <c r="J405" s="598">
        <f>'Non TB - Note 12 to 24'!I15</f>
        <v>0</v>
      </c>
      <c r="K405" s="405"/>
      <c r="L405" s="75"/>
    </row>
    <row r="406" spans="1:12" x14ac:dyDescent="0.3">
      <c r="A406" s="3" t="str">
        <f>IF(AND(I406=0,J406=0,K406=0),"Do Not Print","Print")</f>
        <v>Do Not Print</v>
      </c>
      <c r="D406" s="1738" t="s">
        <v>614</v>
      </c>
      <c r="E406" s="1803"/>
      <c r="F406" s="1803"/>
      <c r="G406" s="1803"/>
      <c r="H406" s="1739"/>
      <c r="I406" s="598">
        <f>'Non TB - Note 12 to 24'!H16</f>
        <v>0</v>
      </c>
      <c r="J406" s="598">
        <f>'Non TB - Note 12 to 24'!I16</f>
        <v>0</v>
      </c>
      <c r="L406" s="75"/>
    </row>
    <row r="407" spans="1:12" x14ac:dyDescent="0.3">
      <c r="A407" s="3" t="str">
        <f>IF(A406="Print","Print","Do Not Print")</f>
        <v>Do Not Print</v>
      </c>
      <c r="D407" s="610"/>
      <c r="E407" s="610"/>
      <c r="F407" s="610"/>
      <c r="G407" s="610"/>
      <c r="H407" s="610"/>
      <c r="I407" s="610"/>
      <c r="J407" s="610"/>
      <c r="K407" s="405"/>
      <c r="L407" s="75"/>
    </row>
    <row r="408" spans="1:12" ht="13.5" customHeight="1" x14ac:dyDescent="0.3">
      <c r="A408" s="3" t="str">
        <f>IF(AND(I408=0,J408=0,K408=0),"Do Not Print","Print")</f>
        <v>Do Not Print</v>
      </c>
      <c r="D408" s="474" t="s">
        <v>615</v>
      </c>
      <c r="E408" s="604"/>
      <c r="F408" s="474"/>
      <c r="G408" s="474"/>
      <c r="H408" s="474"/>
      <c r="I408" s="606">
        <f>SUM(I404:I406)</f>
        <v>0</v>
      </c>
      <c r="J408" s="606">
        <f>SUM(J404:J406)</f>
        <v>0</v>
      </c>
    </row>
    <row r="409" spans="1:12" ht="13.5" customHeight="1" x14ac:dyDescent="0.3">
      <c r="A409" s="3" t="str">
        <f>IF(A408="Print","Print","Do Not Print")</f>
        <v>Do Not Print</v>
      </c>
      <c r="D409" s="401"/>
      <c r="K409" s="405"/>
    </row>
    <row r="410" spans="1:12" ht="13.5" customHeight="1" x14ac:dyDescent="0.3">
      <c r="A410" s="3" t="str">
        <f>IF(A412="Print","Print","Do Not Print")</f>
        <v>Print</v>
      </c>
      <c r="B410" s="585">
        <f>Checklist!E100</f>
        <v>13</v>
      </c>
      <c r="D410" s="474" t="s">
        <v>295</v>
      </c>
      <c r="E410" s="604"/>
      <c r="F410" s="474"/>
      <c r="G410" s="474"/>
      <c r="H410" s="474"/>
      <c r="I410" s="481"/>
      <c r="J410" s="481"/>
      <c r="K410" s="481"/>
    </row>
    <row r="411" spans="1:12" ht="13.5" customHeight="1" x14ac:dyDescent="0.3">
      <c r="A411" s="3" t="str">
        <f>IF(A410="Print","Print","Do Not Print")</f>
        <v>Print</v>
      </c>
      <c r="D411" s="1500"/>
      <c r="E411" s="1500"/>
      <c r="F411" s="1500"/>
      <c r="G411" s="1500"/>
      <c r="H411" s="1500"/>
      <c r="I411" s="1500"/>
      <c r="J411" s="1500"/>
      <c r="K411" s="1500"/>
    </row>
    <row r="412" spans="1:12" ht="15.6" customHeight="1" x14ac:dyDescent="0.3">
      <c r="A412" s="3" t="str">
        <f>IF('Non TB - Note 12 to 24'!F17=1,"Print","Do Not Print")</f>
        <v>Print</v>
      </c>
      <c r="D412" s="1506" t="str">
        <f>IF('Non TB - Note 12 to 24'!F17=1,'Non TB - Note 12 to 24'!H17,"")</f>
        <v xml:space="preserve">The Council has an ongoing programme of capital works and the estimated cost of the schemes is as follows: </v>
      </c>
      <c r="E412" s="1506"/>
      <c r="F412" s="1506"/>
      <c r="G412" s="1506"/>
      <c r="H412" s="1506"/>
      <c r="I412" s="1506"/>
      <c r="J412" s="1506"/>
      <c r="K412" s="1506"/>
    </row>
    <row r="413" spans="1:12" ht="13.5" customHeight="1" x14ac:dyDescent="0.3">
      <c r="A413" s="3" t="str">
        <f>IF(A412="Print","Print","Do Not Print")</f>
        <v>Print</v>
      </c>
      <c r="D413" s="1547"/>
      <c r="E413" s="1547"/>
      <c r="F413" s="1547"/>
      <c r="G413" s="1547"/>
      <c r="H413" s="1547"/>
      <c r="I413" s="1547"/>
      <c r="J413" s="1547"/>
      <c r="K413" s="1547"/>
    </row>
    <row r="414" spans="1:12" ht="27.75" customHeight="1" x14ac:dyDescent="0.3">
      <c r="A414" s="3" t="str">
        <f>IF('Non TB - Note 12 to 24'!F18=1,"Print","Do Not Print")</f>
        <v>Print</v>
      </c>
      <c r="D414" s="1501" t="str">
        <f>IF('Non TB - Note 12 to 24'!F18=1,'Non TB - Note 12 to 24'!H18,"")</f>
        <v>Landfill related projects - £x.x million, Other - not yet specified in sufficient detail and/or subject to tender and therefore unable to reasonably estimate.</v>
      </c>
      <c r="E414" s="1501"/>
      <c r="F414" s="1501"/>
      <c r="G414" s="1501"/>
      <c r="H414" s="1501"/>
      <c r="I414" s="1501"/>
      <c r="J414" s="1501"/>
      <c r="K414" s="1501"/>
    </row>
    <row r="415" spans="1:12" x14ac:dyDescent="0.3">
      <c r="A415" s="3" t="str">
        <f>IF(A414="Print","Print","Do Not Print")</f>
        <v>Print</v>
      </c>
      <c r="D415" s="401"/>
    </row>
    <row r="416" spans="1:12" x14ac:dyDescent="0.3">
      <c r="A416" s="3" t="str">
        <f>IF(AND(H421=0,I421=0,J421=0),"Do Not Print","Print")</f>
        <v>Do Not Print</v>
      </c>
      <c r="D416" s="474"/>
      <c r="E416" s="607"/>
      <c r="F416" s="474"/>
      <c r="G416" s="474"/>
      <c r="H416" s="481" t="s">
        <v>616</v>
      </c>
      <c r="I416" s="481" t="s">
        <v>617</v>
      </c>
      <c r="J416" s="481" t="s">
        <v>1113</v>
      </c>
      <c r="K416" s="523"/>
    </row>
    <row r="417" spans="1:12" x14ac:dyDescent="0.3">
      <c r="A417" s="3" t="str">
        <f>IF(A416="Print","Print","Do Not Print")</f>
        <v>Do Not Print</v>
      </c>
      <c r="D417" s="935"/>
      <c r="E417" s="935"/>
      <c r="F417" s="935"/>
      <c r="G417" s="935"/>
      <c r="H417" s="608" t="s">
        <v>450</v>
      </c>
      <c r="I417" s="586" t="s">
        <v>450</v>
      </c>
      <c r="J417" s="586" t="s">
        <v>450</v>
      </c>
      <c r="K417" s="609"/>
    </row>
    <row r="418" spans="1:12" x14ac:dyDescent="0.3">
      <c r="A418" s="3" t="str">
        <f>IF(AND(H418=0,I418=0,J418=0),"Do Not Print","Print")</f>
        <v>Do Not Print</v>
      </c>
      <c r="D418" s="1738" t="s">
        <v>618</v>
      </c>
      <c r="E418" s="1803"/>
      <c r="F418" s="1739"/>
      <c r="G418" s="610"/>
      <c r="H418" s="601">
        <f>'Non TB - Note 12 to 24'!H19</f>
        <v>0</v>
      </c>
      <c r="I418" s="601">
        <f>'Non TB - Note 12 to 24'!H21</f>
        <v>0</v>
      </c>
      <c r="J418" s="600">
        <f>H418-I418</f>
        <v>0</v>
      </c>
      <c r="K418" s="402"/>
      <c r="L418" s="75"/>
    </row>
    <row r="419" spans="1:12" x14ac:dyDescent="0.3">
      <c r="A419" s="3" t="str">
        <f>IF(AND(H419=0,I419=0,J419=0),"Do Not Print","Print")</f>
        <v>Do Not Print</v>
      </c>
      <c r="D419" s="1738" t="s">
        <v>619</v>
      </c>
      <c r="E419" s="1803"/>
      <c r="F419" s="1739"/>
      <c r="G419" s="610"/>
      <c r="H419" s="598">
        <f>'Non TB - Note 12 to 24'!H20</f>
        <v>0</v>
      </c>
      <c r="I419" s="598">
        <f>'Non TB - Note 12 to 24'!H22</f>
        <v>0</v>
      </c>
      <c r="J419" s="611">
        <f>H419-I419</f>
        <v>0</v>
      </c>
      <c r="K419" s="402"/>
      <c r="L419" s="75"/>
    </row>
    <row r="420" spans="1:12" x14ac:dyDescent="0.3">
      <c r="A420" s="3" t="s">
        <v>448</v>
      </c>
      <c r="D420" s="944"/>
      <c r="E420" s="945"/>
      <c r="F420" s="945"/>
      <c r="G420" s="945"/>
      <c r="H420" s="945"/>
      <c r="I420" s="945"/>
      <c r="J420" s="946"/>
      <c r="K420" s="402"/>
      <c r="L420" s="75"/>
    </row>
    <row r="421" spans="1:12" x14ac:dyDescent="0.3">
      <c r="A421" s="3" t="str">
        <f>IF(AND(H421=0,I421=0,J421=0),"Do Not Print","Print")</f>
        <v>Do Not Print</v>
      </c>
      <c r="D421" s="474" t="s">
        <v>74</v>
      </c>
      <c r="E421" s="474"/>
      <c r="F421" s="474"/>
      <c r="G421" s="474"/>
      <c r="H421" s="612">
        <f>SUM(H418:H419)</f>
        <v>0</v>
      </c>
      <c r="I421" s="612">
        <f>SUM(I418:I419)</f>
        <v>0</v>
      </c>
      <c r="J421" s="612">
        <f>SUM(J418:J419)</f>
        <v>0</v>
      </c>
      <c r="K421" s="402"/>
      <c r="L421" s="75"/>
    </row>
    <row r="422" spans="1:12" x14ac:dyDescent="0.3">
      <c r="A422" s="3" t="str">
        <f>IF(A421="Print","Print","Do Not Print")</f>
        <v>Do Not Print</v>
      </c>
      <c r="D422" s="401"/>
      <c r="K422" s="402"/>
      <c r="L422" s="75"/>
    </row>
    <row r="423" spans="1:12" ht="13.5" customHeight="1" x14ac:dyDescent="0.3">
      <c r="A423" s="3" t="str">
        <f>IF(AND(I432=0,J432=0),"Do Not Print","Print")</f>
        <v>Do Not Print</v>
      </c>
      <c r="B423" s="585">
        <f>Checklist!E101</f>
        <v>14</v>
      </c>
      <c r="D423" s="474" t="s">
        <v>296</v>
      </c>
      <c r="E423" s="474"/>
      <c r="F423" s="474"/>
      <c r="G423" s="474"/>
      <c r="H423" s="604"/>
      <c r="I423" s="586" t="str">
        <f>'Standing Data'!D34</f>
        <v>2025/26</v>
      </c>
      <c r="J423" s="586" t="str">
        <f>'Standing Data'!D52</f>
        <v>2024/25</v>
      </c>
      <c r="K423" s="402"/>
      <c r="L423" s="75"/>
    </row>
    <row r="424" spans="1:12" ht="13.5" customHeight="1" x14ac:dyDescent="0.3">
      <c r="A424" s="3" t="str">
        <f>IF(A423="Print","Print","Do Not Print")</f>
        <v>Do Not Print</v>
      </c>
      <c r="D424" s="474"/>
      <c r="E424" s="474"/>
      <c r="F424" s="474"/>
      <c r="G424" s="474"/>
      <c r="H424" s="604"/>
      <c r="I424" s="586" t="s">
        <v>450</v>
      </c>
      <c r="J424" s="586" t="s">
        <v>450</v>
      </c>
      <c r="K424" s="402"/>
      <c r="L424" s="75"/>
    </row>
    <row r="425" spans="1:12" ht="13.5" customHeight="1" x14ac:dyDescent="0.3">
      <c r="A425" s="3" t="str">
        <f t="shared" ref="A425:A430" si="14">IF(AND(I425=0,J425=0),"Do Not Print","Print")</f>
        <v>Do Not Print</v>
      </c>
      <c r="D425" s="1785" t="str">
        <f>'Det BS '!C333</f>
        <v>Central Stores</v>
      </c>
      <c r="E425" s="1786"/>
      <c r="F425" s="1786"/>
      <c r="G425" s="1786"/>
      <c r="H425" s="1739"/>
      <c r="I425" s="600">
        <f>'Det BS '!J333</f>
        <v>0</v>
      </c>
      <c r="J425" s="600">
        <f>'Det BS '!K333</f>
        <v>0</v>
      </c>
      <c r="K425" s="402"/>
      <c r="L425" s="75"/>
    </row>
    <row r="426" spans="1:12" ht="13.5" customHeight="1" x14ac:dyDescent="0.3">
      <c r="A426" s="3" t="str">
        <f t="shared" si="14"/>
        <v>Do Not Print</v>
      </c>
      <c r="D426" s="1785" t="str">
        <f>'Det BS '!C334</f>
        <v xml:space="preserve">Other </v>
      </c>
      <c r="E426" s="1786"/>
      <c r="F426" s="1786"/>
      <c r="G426" s="1786"/>
      <c r="H426" s="1739"/>
      <c r="I426" s="600">
        <f>'Det BS '!J334</f>
        <v>0</v>
      </c>
      <c r="J426" s="600">
        <f>'Det BS '!K334</f>
        <v>0</v>
      </c>
      <c r="K426" s="402"/>
      <c r="L426" s="75"/>
    </row>
    <row r="427" spans="1:12" x14ac:dyDescent="0.3">
      <c r="A427" s="3" t="str">
        <f t="shared" si="14"/>
        <v>Do Not Print</v>
      </c>
      <c r="D427" s="1785" t="str">
        <f>'Det BS '!C335</f>
        <v>Inventories 3</v>
      </c>
      <c r="E427" s="1786"/>
      <c r="F427" s="1786"/>
      <c r="G427" s="1786"/>
      <c r="H427" s="1739"/>
      <c r="I427" s="600">
        <f>'Det BS '!J335</f>
        <v>0</v>
      </c>
      <c r="J427" s="600">
        <f>'Det BS '!K335</f>
        <v>0</v>
      </c>
      <c r="K427" s="402"/>
      <c r="L427" s="75"/>
    </row>
    <row r="428" spans="1:12" x14ac:dyDescent="0.3">
      <c r="A428" s="3" t="str">
        <f t="shared" si="14"/>
        <v>Do Not Print</v>
      </c>
      <c r="D428" s="1785" t="str">
        <f>'Det BS '!C336</f>
        <v>Inventories 4</v>
      </c>
      <c r="E428" s="1786"/>
      <c r="F428" s="1786"/>
      <c r="G428" s="1786"/>
      <c r="H428" s="1739"/>
      <c r="I428" s="600">
        <f>'Det BS '!J336</f>
        <v>0</v>
      </c>
      <c r="J428" s="600">
        <f>'Det BS '!K336</f>
        <v>0</v>
      </c>
      <c r="K428" s="402"/>
      <c r="L428" s="75"/>
    </row>
    <row r="429" spans="1:12" x14ac:dyDescent="0.3">
      <c r="A429" s="3" t="str">
        <f t="shared" si="14"/>
        <v>Do Not Print</v>
      </c>
      <c r="D429" s="1785" t="str">
        <f>'Det BS '!C337</f>
        <v>Inventories 5</v>
      </c>
      <c r="E429" s="1786"/>
      <c r="F429" s="1786"/>
      <c r="G429" s="1786"/>
      <c r="H429" s="1739"/>
      <c r="I429" s="600">
        <f>'Det BS '!J337</f>
        <v>0</v>
      </c>
      <c r="J429" s="600">
        <f>'Det BS '!K337</f>
        <v>0</v>
      </c>
      <c r="K429" s="544"/>
    </row>
    <row r="430" spans="1:12" x14ac:dyDescent="0.3">
      <c r="A430" s="3" t="str">
        <f t="shared" si="14"/>
        <v>Do Not Print</v>
      </c>
      <c r="D430" s="1785" t="str">
        <f>'Det BS '!C338</f>
        <v>Inventories 6</v>
      </c>
      <c r="E430" s="1786"/>
      <c r="F430" s="1786"/>
      <c r="G430" s="1786"/>
      <c r="H430" s="1739"/>
      <c r="I430" s="600">
        <f>'Det BS '!J338</f>
        <v>0</v>
      </c>
      <c r="J430" s="600">
        <f>'Det BS '!K338</f>
        <v>0</v>
      </c>
      <c r="K430" s="544"/>
    </row>
    <row r="431" spans="1:12" ht="13.5" customHeight="1" x14ac:dyDescent="0.3">
      <c r="A431" s="3" t="str">
        <f>IF(A426="Print","Print","Do Not Print")</f>
        <v>Do Not Print</v>
      </c>
      <c r="D431" s="1994"/>
      <c r="E431" s="1995"/>
      <c r="F431" s="1995"/>
      <c r="G431" s="1995"/>
      <c r="H431" s="1995"/>
      <c r="I431" s="1995"/>
      <c r="J431" s="1996"/>
      <c r="K431" s="544"/>
    </row>
    <row r="432" spans="1:12" ht="13.5" customHeight="1" x14ac:dyDescent="0.3">
      <c r="A432" s="3" t="str">
        <f>IF(AND(I432=0,J432=0),"Do Not Print","Print")</f>
        <v>Do Not Print</v>
      </c>
      <c r="D432" s="474" t="s">
        <v>74</v>
      </c>
      <c r="E432" s="474"/>
      <c r="F432" s="474"/>
      <c r="G432" s="474"/>
      <c r="H432" s="604"/>
      <c r="I432" s="606">
        <f>SUM(I425:I431)</f>
        <v>0</v>
      </c>
      <c r="J432" s="606">
        <f>SUM(J425:J431)</f>
        <v>0</v>
      </c>
      <c r="K432" s="613"/>
    </row>
    <row r="433" spans="1:18" ht="13.5" customHeight="1" x14ac:dyDescent="0.3">
      <c r="A433" s="3" t="str">
        <f>IF(A432="Print","Print","Do Not Print")</f>
        <v>Do Not Print</v>
      </c>
      <c r="D433" s="1500"/>
      <c r="E433" s="1500"/>
      <c r="F433" s="1500"/>
      <c r="G433" s="1500"/>
      <c r="H433" s="1500"/>
      <c r="I433" s="1500"/>
      <c r="J433" s="1500"/>
    </row>
    <row r="434" spans="1:18" ht="17.55" customHeight="1" x14ac:dyDescent="0.3">
      <c r="A434" s="3" t="str">
        <f>IF('Non TB - Note 12 to 24'!F23=1,"Print","Do Not Print")</f>
        <v>Print</v>
      </c>
      <c r="D434" s="1504" t="str">
        <f>IF('Non TB - Note 12 to 24'!F23=1,'Non TB - Note 12 to 24'!H23,"")</f>
        <v>The cost of inventories written down, recognised as an expense and included in ‘services’ amounted to £xxx.</v>
      </c>
      <c r="E434" s="1504"/>
      <c r="F434" s="1504"/>
      <c r="G434" s="1504"/>
      <c r="H434" s="1504"/>
      <c r="I434" s="1504"/>
      <c r="J434" s="1504"/>
      <c r="K434" s="1504"/>
    </row>
    <row r="435" spans="1:18" x14ac:dyDescent="0.3">
      <c r="A435" s="3" t="str">
        <f>IF(A434="Print","Print","Do Not Print")</f>
        <v>Print</v>
      </c>
      <c r="D435" s="1500"/>
      <c r="E435" s="1500"/>
      <c r="F435" s="1500"/>
      <c r="G435" s="1500"/>
      <c r="H435" s="1500"/>
      <c r="I435" s="1500"/>
      <c r="J435" s="1500"/>
      <c r="K435" s="1500"/>
    </row>
    <row r="436" spans="1:18" ht="27" customHeight="1" x14ac:dyDescent="0.3">
      <c r="A436" s="3" t="str">
        <f>IF('Non TB - Note 12 to 24'!F24=1,"Print","Do Not Print")</f>
        <v>Print</v>
      </c>
      <c r="D436" s="1504" t="str">
        <f>IF('Non TB - Note 12 to 24'!F24=1,'Non TB - Note 12 to 24'!H24,"")</f>
        <v>The Council reversed £x of a previous inventory write-down in 20XX/YY. The Council has used the inventories that were written down. The amount reversed has been included in ‘services’ in the Comprehensive Income and expenditure Statement.</v>
      </c>
      <c r="E436" s="1504"/>
      <c r="F436" s="1504"/>
      <c r="G436" s="1504"/>
      <c r="H436" s="1504"/>
      <c r="I436" s="1504"/>
      <c r="J436" s="1504"/>
      <c r="K436" s="1504"/>
    </row>
    <row r="437" spans="1:18" x14ac:dyDescent="0.3">
      <c r="A437" s="3" t="str">
        <f>IF(A436="Print","Print","Do Not Print")</f>
        <v>Print</v>
      </c>
      <c r="D437" s="1500"/>
      <c r="E437" s="1500"/>
      <c r="F437" s="1500"/>
      <c r="G437" s="1500"/>
      <c r="H437" s="1500"/>
      <c r="I437" s="1500"/>
      <c r="J437" s="1500"/>
      <c r="K437" s="1500"/>
    </row>
    <row r="438" spans="1:18" ht="15.75" customHeight="1" x14ac:dyDescent="0.3">
      <c r="A438" s="3" t="str">
        <f>IF('Non TB - Note 12 to 24'!F25=1,"Print","Do Not Print")</f>
        <v>Print</v>
      </c>
      <c r="D438" s="1504" t="str">
        <f>IF('Non TB - Note 12 to 24'!F25=1,'Non TB - Note 12 to 24'!H25,"")</f>
        <v>Council specific text</v>
      </c>
      <c r="E438" s="1504"/>
      <c r="F438" s="1504"/>
      <c r="G438" s="1504"/>
      <c r="H438" s="1504"/>
      <c r="I438" s="1504"/>
      <c r="J438" s="1504"/>
      <c r="K438" s="1504"/>
    </row>
    <row r="439" spans="1:18" x14ac:dyDescent="0.3">
      <c r="A439" s="3" t="str">
        <f>IF(A438="Print","Print","Do Not Print")</f>
        <v>Print</v>
      </c>
      <c r="D439" s="401"/>
    </row>
    <row r="440" spans="1:18" ht="13.5" customHeight="1" x14ac:dyDescent="0.3">
      <c r="A440" s="3" t="str">
        <f>IF(OR(I484=0,J484=0),"Do Not Print","Print")</f>
        <v>Do Not Print</v>
      </c>
      <c r="B440" s="585">
        <f>Checklist!E102</f>
        <v>15</v>
      </c>
      <c r="D440" s="474" t="s">
        <v>297</v>
      </c>
      <c r="E440" s="474"/>
      <c r="F440" s="474"/>
      <c r="G440" s="474"/>
      <c r="H440" s="604"/>
      <c r="I440" s="586"/>
      <c r="J440" s="586"/>
      <c r="L440" s="75"/>
      <c r="M440" s="75"/>
      <c r="N440" s="75"/>
      <c r="O440" s="75"/>
      <c r="P440" s="75"/>
      <c r="Q440" s="75"/>
      <c r="R440" s="75"/>
    </row>
    <row r="441" spans="1:18" ht="13.5" customHeight="1" x14ac:dyDescent="0.3">
      <c r="A441" s="3" t="str">
        <f>IF(A460="Print","Print","Do Not Print")</f>
        <v>Do Not Print</v>
      </c>
      <c r="C441" s="585" t="str">
        <f>Checklist!E103</f>
        <v>a</v>
      </c>
      <c r="D441" s="474" t="s">
        <v>620</v>
      </c>
      <c r="E441" s="474"/>
      <c r="F441" s="474"/>
      <c r="G441" s="474"/>
      <c r="H441" s="604"/>
      <c r="I441" s="586" t="str">
        <f>'Standing Data'!D34</f>
        <v>2025/26</v>
      </c>
      <c r="J441" s="586" t="str">
        <f>J532</f>
        <v>2024/25</v>
      </c>
      <c r="K441" s="402"/>
      <c r="L441" s="75"/>
      <c r="M441" s="75"/>
      <c r="N441" s="75"/>
      <c r="O441" s="75"/>
      <c r="P441" s="75"/>
      <c r="Q441" s="75"/>
      <c r="R441" s="75"/>
    </row>
    <row r="442" spans="1:18" x14ac:dyDescent="0.3">
      <c r="A442" s="3" t="str">
        <f>IF(A439="Print","Print","Do Not Print")</f>
        <v>Print</v>
      </c>
      <c r="D442" s="474"/>
      <c r="E442" s="474"/>
      <c r="F442" s="474"/>
      <c r="G442" s="474"/>
      <c r="H442" s="604"/>
      <c r="I442" s="586" t="s">
        <v>450</v>
      </c>
      <c r="J442" s="586" t="s">
        <v>450</v>
      </c>
      <c r="K442" s="402"/>
      <c r="L442" s="75"/>
      <c r="M442" s="75"/>
      <c r="N442" s="75"/>
      <c r="O442" s="75"/>
      <c r="P442" s="75"/>
      <c r="Q442" s="75"/>
      <c r="R442" s="75"/>
    </row>
    <row r="443" spans="1:18" x14ac:dyDescent="0.3">
      <c r="A443" s="3" t="str">
        <f>IF(AND(I443=0,J443=0),"Do Not Print","Print")</f>
        <v>Do Not Print</v>
      </c>
      <c r="D443" s="1785" t="s">
        <v>365</v>
      </c>
      <c r="E443" s="1786"/>
      <c r="F443" s="1786"/>
      <c r="G443" s="1786"/>
      <c r="H443" s="1739"/>
      <c r="I443" s="600">
        <f>'Det BS '!J298</f>
        <v>0</v>
      </c>
      <c r="J443" s="600">
        <f>'Det BS '!K298</f>
        <v>0</v>
      </c>
      <c r="K443" s="402"/>
      <c r="L443" s="75"/>
      <c r="M443" s="75"/>
      <c r="N443" s="75"/>
      <c r="O443" s="75"/>
      <c r="P443" s="75"/>
      <c r="Q443" s="75"/>
      <c r="R443" s="75"/>
    </row>
    <row r="444" spans="1:18" x14ac:dyDescent="0.3">
      <c r="A444" s="3" t="str">
        <f t="shared" ref="A444:A458" si="15">IF(AND(I444=0,J444=0),"Do Not Print","Print")</f>
        <v>Do Not Print</v>
      </c>
      <c r="D444" s="1785" t="s">
        <v>366</v>
      </c>
      <c r="E444" s="1786"/>
      <c r="F444" s="1786"/>
      <c r="G444" s="1786"/>
      <c r="H444" s="1739"/>
      <c r="I444" s="600">
        <f>'Det BS '!J299</f>
        <v>0</v>
      </c>
      <c r="J444" s="600">
        <f>'Det BS '!K299</f>
        <v>0</v>
      </c>
      <c r="K444" s="402"/>
      <c r="L444" s="75"/>
      <c r="M444" s="75"/>
      <c r="N444" s="75"/>
      <c r="O444" s="75"/>
      <c r="P444" s="75"/>
      <c r="Q444" s="75"/>
      <c r="R444" s="75"/>
    </row>
    <row r="445" spans="1:18" x14ac:dyDescent="0.3">
      <c r="A445" s="3" t="str">
        <f t="shared" si="15"/>
        <v>Do Not Print</v>
      </c>
      <c r="D445" s="1785" t="s">
        <v>367</v>
      </c>
      <c r="E445" s="1786"/>
      <c r="F445" s="1786"/>
      <c r="G445" s="1786"/>
      <c r="H445" s="1739"/>
      <c r="I445" s="600">
        <f>'Det BS '!J300</f>
        <v>0</v>
      </c>
      <c r="J445" s="600">
        <f>'Det BS '!K300</f>
        <v>0</v>
      </c>
      <c r="K445" s="402"/>
      <c r="L445" s="75"/>
      <c r="M445" s="75"/>
      <c r="N445" s="75"/>
      <c r="O445" s="75"/>
      <c r="P445" s="75"/>
      <c r="Q445" s="75"/>
      <c r="R445" s="75"/>
    </row>
    <row r="446" spans="1:18" x14ac:dyDescent="0.3">
      <c r="A446" s="3" t="str">
        <f t="shared" si="15"/>
        <v>Do Not Print</v>
      </c>
      <c r="D446" s="1785" t="s">
        <v>368</v>
      </c>
      <c r="E446" s="1786"/>
      <c r="F446" s="1786"/>
      <c r="G446" s="1786"/>
      <c r="H446" s="1739"/>
      <c r="I446" s="600">
        <f>'Det BS '!J301</f>
        <v>0</v>
      </c>
      <c r="J446" s="600">
        <f>'Det BS '!K301</f>
        <v>0</v>
      </c>
      <c r="K446" s="402"/>
      <c r="L446" s="75"/>
      <c r="M446" s="75"/>
      <c r="N446" s="75"/>
      <c r="O446" s="75"/>
      <c r="P446" s="75"/>
      <c r="Q446" s="75"/>
      <c r="R446" s="75"/>
    </row>
    <row r="447" spans="1:18" x14ac:dyDescent="0.3">
      <c r="A447" s="3" t="str">
        <f t="shared" si="15"/>
        <v>Do Not Print</v>
      </c>
      <c r="D447" s="1785" t="s">
        <v>369</v>
      </c>
      <c r="E447" s="1786"/>
      <c r="F447" s="1786"/>
      <c r="G447" s="1786"/>
      <c r="H447" s="1739"/>
      <c r="I447" s="600">
        <f>'Det BS '!J302</f>
        <v>0</v>
      </c>
      <c r="J447" s="600">
        <f>'Det BS '!K302</f>
        <v>0</v>
      </c>
      <c r="K447" s="402"/>
      <c r="L447" s="75"/>
      <c r="M447" s="75"/>
      <c r="N447" s="75"/>
      <c r="O447" s="75"/>
      <c r="P447" s="75"/>
      <c r="Q447" s="75"/>
      <c r="R447" s="75"/>
    </row>
    <row r="448" spans="1:18" x14ac:dyDescent="0.3">
      <c r="A448" s="3" t="str">
        <f t="shared" si="15"/>
        <v>Do Not Print</v>
      </c>
      <c r="D448" s="1785" t="s">
        <v>665</v>
      </c>
      <c r="E448" s="1786"/>
      <c r="F448" s="1786"/>
      <c r="G448" s="1786"/>
      <c r="H448" s="1739"/>
      <c r="I448" s="600">
        <f>'Det BS '!J303</f>
        <v>0</v>
      </c>
      <c r="J448" s="600">
        <f>'Det BS '!K303</f>
        <v>0</v>
      </c>
      <c r="K448" s="402"/>
      <c r="L448" s="75"/>
      <c r="M448" s="75"/>
      <c r="N448" s="75"/>
      <c r="O448" s="75"/>
      <c r="P448" s="75"/>
      <c r="Q448" s="75"/>
      <c r="R448" s="75"/>
    </row>
    <row r="449" spans="1:18" x14ac:dyDescent="0.3">
      <c r="A449" s="3" t="str">
        <f t="shared" si="15"/>
        <v>Do Not Print</v>
      </c>
      <c r="D449" s="1785" t="s">
        <v>519</v>
      </c>
      <c r="E449" s="1786"/>
      <c r="F449" s="1786"/>
      <c r="G449" s="1786"/>
      <c r="H449" s="1739"/>
      <c r="I449" s="600">
        <f>'Det BS '!J304</f>
        <v>0</v>
      </c>
      <c r="J449" s="600">
        <f>'Det BS '!K304</f>
        <v>0</v>
      </c>
      <c r="K449" s="402"/>
      <c r="L449" s="75"/>
      <c r="M449" s="75"/>
      <c r="N449" s="75"/>
      <c r="O449" s="75"/>
      <c r="P449" s="75"/>
      <c r="Q449" s="75"/>
      <c r="R449" s="75"/>
    </row>
    <row r="450" spans="1:18" x14ac:dyDescent="0.3">
      <c r="A450" s="3" t="str">
        <f t="shared" si="15"/>
        <v>Do Not Print</v>
      </c>
      <c r="D450" s="1785" t="s">
        <v>520</v>
      </c>
      <c r="E450" s="1786"/>
      <c r="F450" s="1786"/>
      <c r="G450" s="1786"/>
      <c r="H450" s="1739"/>
      <c r="I450" s="600">
        <f>'Det BS '!J305</f>
        <v>0</v>
      </c>
      <c r="J450" s="600">
        <f>'Det BS '!K305</f>
        <v>0</v>
      </c>
      <c r="K450" s="402"/>
      <c r="L450" s="75"/>
      <c r="M450" s="75"/>
      <c r="N450" s="75"/>
      <c r="O450" s="75"/>
      <c r="P450" s="75"/>
      <c r="Q450" s="75"/>
      <c r="R450" s="75"/>
    </row>
    <row r="451" spans="1:18" x14ac:dyDescent="0.3">
      <c r="A451" s="3" t="str">
        <f t="shared" si="15"/>
        <v>Do Not Print</v>
      </c>
      <c r="D451" s="1785" t="s">
        <v>521</v>
      </c>
      <c r="E451" s="1786"/>
      <c r="F451" s="1786"/>
      <c r="G451" s="1786"/>
      <c r="H451" s="1739"/>
      <c r="I451" s="600">
        <f>'Det BS '!J306</f>
        <v>0</v>
      </c>
      <c r="J451" s="600">
        <f>'Det BS '!K306</f>
        <v>0</v>
      </c>
      <c r="K451" s="402"/>
      <c r="L451" s="75"/>
      <c r="M451" s="75"/>
      <c r="N451" s="75"/>
      <c r="O451" s="75"/>
      <c r="P451" s="75"/>
      <c r="Q451" s="75"/>
      <c r="R451" s="75"/>
    </row>
    <row r="452" spans="1:18" x14ac:dyDescent="0.3">
      <c r="A452" s="3" t="str">
        <f t="shared" si="15"/>
        <v>Do Not Print</v>
      </c>
      <c r="D452" s="1785" t="s">
        <v>370</v>
      </c>
      <c r="E452" s="1786"/>
      <c r="F452" s="1786"/>
      <c r="G452" s="1786"/>
      <c r="H452" s="1739"/>
      <c r="I452" s="600">
        <f>'Det BS '!J307</f>
        <v>0</v>
      </c>
      <c r="J452" s="600">
        <f>'Det BS '!K307</f>
        <v>0</v>
      </c>
      <c r="K452" s="402"/>
      <c r="L452" s="75"/>
      <c r="M452" s="75"/>
      <c r="N452" s="75"/>
      <c r="O452" s="75"/>
      <c r="P452" s="75"/>
      <c r="Q452" s="75"/>
      <c r="R452" s="75"/>
    </row>
    <row r="453" spans="1:18" x14ac:dyDescent="0.3">
      <c r="A453" s="3" t="str">
        <f t="shared" si="15"/>
        <v>Do Not Print</v>
      </c>
      <c r="D453" s="1785" t="s">
        <v>2939</v>
      </c>
      <c r="E453" s="1786"/>
      <c r="F453" s="1786"/>
      <c r="G453" s="1786"/>
      <c r="H453" s="1739"/>
      <c r="I453" s="600">
        <f>'Det BS '!J308</f>
        <v>0</v>
      </c>
      <c r="J453" s="600">
        <f>'Det BS '!K308</f>
        <v>0</v>
      </c>
      <c r="K453" s="402"/>
      <c r="L453" s="75"/>
      <c r="M453" s="75"/>
      <c r="N453" s="75"/>
      <c r="O453" s="75"/>
      <c r="P453" s="75"/>
      <c r="Q453" s="75"/>
      <c r="R453" s="75"/>
    </row>
    <row r="454" spans="1:18" ht="13.5" customHeight="1" x14ac:dyDescent="0.3">
      <c r="A454" s="3" t="str">
        <f t="shared" si="15"/>
        <v>Do Not Print</v>
      </c>
      <c r="D454" s="1785" t="s">
        <v>371</v>
      </c>
      <c r="E454" s="1786"/>
      <c r="F454" s="1786"/>
      <c r="G454" s="1786"/>
      <c r="H454" s="1739"/>
      <c r="I454" s="600">
        <f>'Det BS '!J309</f>
        <v>0</v>
      </c>
      <c r="J454" s="600">
        <f>'Det BS '!K309</f>
        <v>0</v>
      </c>
      <c r="K454" s="402"/>
      <c r="L454" s="75"/>
      <c r="M454" s="75"/>
      <c r="N454" s="75"/>
      <c r="O454" s="75"/>
      <c r="P454" s="75"/>
      <c r="Q454" s="75"/>
      <c r="R454" s="75"/>
    </row>
    <row r="455" spans="1:18" x14ac:dyDescent="0.3">
      <c r="A455" s="3" t="str">
        <f t="shared" si="15"/>
        <v>Do Not Print</v>
      </c>
      <c r="D455" s="1785" t="s">
        <v>372</v>
      </c>
      <c r="E455" s="1786"/>
      <c r="F455" s="1786"/>
      <c r="G455" s="1786"/>
      <c r="H455" s="1739"/>
      <c r="I455" s="600">
        <f>'Det BS '!J310</f>
        <v>0</v>
      </c>
      <c r="J455" s="600">
        <f>'Det BS '!K310</f>
        <v>0</v>
      </c>
      <c r="K455" s="402"/>
      <c r="L455" s="75"/>
      <c r="M455" s="75"/>
      <c r="N455" s="75"/>
      <c r="O455" s="75"/>
      <c r="P455" s="75"/>
      <c r="Q455" s="75"/>
      <c r="R455" s="75"/>
    </row>
    <row r="456" spans="1:18" x14ac:dyDescent="0.3">
      <c r="A456" s="3" t="str">
        <f t="shared" si="15"/>
        <v>Do Not Print</v>
      </c>
      <c r="D456" s="1785" t="s">
        <v>373</v>
      </c>
      <c r="E456" s="1786"/>
      <c r="F456" s="1786"/>
      <c r="G456" s="1786"/>
      <c r="H456" s="1739"/>
      <c r="I456" s="600">
        <f>'Det BS '!J311</f>
        <v>0</v>
      </c>
      <c r="J456" s="600">
        <f>'Det BS '!K311</f>
        <v>0</v>
      </c>
      <c r="K456" s="402"/>
      <c r="L456" s="75"/>
      <c r="M456" s="75"/>
      <c r="N456" s="75"/>
      <c r="O456" s="75"/>
      <c r="P456" s="75"/>
      <c r="Q456" s="75"/>
      <c r="R456" s="75"/>
    </row>
    <row r="457" spans="1:18" x14ac:dyDescent="0.3">
      <c r="A457" s="3" t="str">
        <f t="shared" si="15"/>
        <v>Do Not Print</v>
      </c>
      <c r="D457" s="1785" t="s">
        <v>374</v>
      </c>
      <c r="E457" s="1786"/>
      <c r="F457" s="1786"/>
      <c r="G457" s="1786"/>
      <c r="H457" s="1739"/>
      <c r="I457" s="600">
        <f>'Det BS '!J312</f>
        <v>0</v>
      </c>
      <c r="J457" s="600">
        <f>'Det BS '!K312</f>
        <v>0</v>
      </c>
      <c r="K457" s="881"/>
      <c r="L457" s="75"/>
      <c r="M457" s="75"/>
      <c r="N457" s="75"/>
      <c r="O457" s="75"/>
      <c r="P457" s="75"/>
      <c r="Q457" s="75"/>
      <c r="R457" s="75"/>
    </row>
    <row r="458" spans="1:18" x14ac:dyDescent="0.3">
      <c r="A458" s="3" t="str">
        <f t="shared" si="15"/>
        <v>Do Not Print</v>
      </c>
      <c r="D458" s="1817" t="s">
        <v>2750</v>
      </c>
      <c r="E458" s="1817"/>
      <c r="F458" s="1817"/>
      <c r="G458" s="1817"/>
      <c r="H458" s="1817"/>
      <c r="I458" s="1226">
        <f>'Det BS '!J313</f>
        <v>0</v>
      </c>
      <c r="J458" s="1226">
        <f>'Det BS '!K313</f>
        <v>0</v>
      </c>
      <c r="K458" s="881"/>
      <c r="L458" s="75"/>
      <c r="M458" s="75"/>
      <c r="N458" s="75"/>
      <c r="O458" s="75"/>
      <c r="P458" s="75"/>
      <c r="Q458" s="75"/>
      <c r="R458" s="75"/>
    </row>
    <row r="459" spans="1:18" x14ac:dyDescent="0.3">
      <c r="A459" s="3" t="str">
        <f>IF(A457="Print","Print","Do Not Print")</f>
        <v>Do Not Print</v>
      </c>
      <c r="D459" s="1738"/>
      <c r="E459" s="1803"/>
      <c r="F459" s="1803"/>
      <c r="G459" s="1803"/>
      <c r="H459" s="1803"/>
      <c r="I459" s="1803"/>
      <c r="J459" s="1739"/>
      <c r="K459" s="881"/>
      <c r="L459" s="75"/>
      <c r="M459" s="75"/>
      <c r="N459" s="75"/>
      <c r="O459" s="75"/>
      <c r="P459" s="75"/>
      <c r="Q459" s="75"/>
      <c r="R459" s="75"/>
    </row>
    <row r="460" spans="1:18" ht="13.5" customHeight="1" x14ac:dyDescent="0.3">
      <c r="A460" s="3" t="str">
        <f>IF(AND(I460=0,J460=0),"Do Not Print","Print")</f>
        <v>Do Not Print</v>
      </c>
      <c r="D460" s="474" t="s">
        <v>621</v>
      </c>
      <c r="E460" s="474"/>
      <c r="F460" s="474"/>
      <c r="G460" s="474"/>
      <c r="H460" s="882"/>
      <c r="I460" s="606">
        <f>SUM(I443:I457)</f>
        <v>0</v>
      </c>
      <c r="J460" s="606">
        <f>SUM(J443:J457)</f>
        <v>0</v>
      </c>
      <c r="K460" s="881"/>
      <c r="L460" s="75"/>
      <c r="M460" s="75"/>
      <c r="N460" s="75"/>
      <c r="O460" s="75"/>
      <c r="P460" s="75"/>
      <c r="Q460" s="75"/>
      <c r="R460" s="75"/>
    </row>
    <row r="461" spans="1:18" ht="13.5" customHeight="1" x14ac:dyDescent="0.3">
      <c r="A461" s="3" t="str">
        <f>IF(A460="Print","Print","Do Not Print")</f>
        <v>Do Not Print</v>
      </c>
      <c r="D461" s="1500"/>
      <c r="E461" s="1500"/>
      <c r="F461" s="1500"/>
      <c r="G461" s="1500"/>
      <c r="H461" s="1500"/>
      <c r="I461" s="1500"/>
      <c r="J461" s="1500"/>
      <c r="K461" s="881"/>
      <c r="L461" s="75"/>
      <c r="M461" s="75"/>
      <c r="N461" s="75"/>
      <c r="O461" s="75"/>
      <c r="P461" s="75"/>
      <c r="Q461" s="75"/>
      <c r="R461" s="75"/>
    </row>
    <row r="462" spans="1:18" ht="13.5" customHeight="1" x14ac:dyDescent="0.3">
      <c r="A462" s="3" t="str">
        <f>IF(AND(I482=0,J482=0),"Do Not Print","Print")</f>
        <v>Do Not Print</v>
      </c>
      <c r="C462" s="585" t="str">
        <f>Checklist!E104</f>
        <v>b</v>
      </c>
      <c r="D462" s="474" t="s">
        <v>622</v>
      </c>
      <c r="E462" s="474"/>
      <c r="F462" s="474"/>
      <c r="G462" s="474"/>
      <c r="H462" s="882"/>
      <c r="I462" s="475" t="str">
        <f>I441</f>
        <v>2025/26</v>
      </c>
      <c r="J462" s="475" t="str">
        <f>J441</f>
        <v>2024/25</v>
      </c>
      <c r="K462" s="881"/>
      <c r="L462" s="75"/>
      <c r="M462" s="75"/>
      <c r="N462" s="75"/>
      <c r="O462" s="75"/>
      <c r="P462" s="75"/>
      <c r="Q462" s="75"/>
      <c r="R462" s="75"/>
    </row>
    <row r="463" spans="1:18" ht="13.5" customHeight="1" x14ac:dyDescent="0.3">
      <c r="A463" s="3" t="str">
        <f>IF(A462="Print","Print","Do Not Print")</f>
        <v>Do Not Print</v>
      </c>
      <c r="D463" s="474"/>
      <c r="E463" s="474"/>
      <c r="F463" s="474"/>
      <c r="G463" s="474"/>
      <c r="H463" s="604"/>
      <c r="I463" s="586" t="s">
        <v>450</v>
      </c>
      <c r="J463" s="586" t="s">
        <v>450</v>
      </c>
      <c r="K463" s="402"/>
      <c r="L463" s="75"/>
      <c r="M463" s="75"/>
      <c r="N463" s="75"/>
      <c r="O463" s="75"/>
      <c r="P463" s="75"/>
      <c r="Q463" s="75"/>
      <c r="R463" s="75"/>
    </row>
    <row r="464" spans="1:18" ht="13.5" customHeight="1" x14ac:dyDescent="0.3">
      <c r="A464" s="3" t="str">
        <f>IF(AND(I464=0,J464=0),"Do Not Print","Print")</f>
        <v>Do Not Print</v>
      </c>
      <c r="D464" s="1785" t="s">
        <v>365</v>
      </c>
      <c r="E464" s="1786"/>
      <c r="F464" s="1786"/>
      <c r="G464" s="1786"/>
      <c r="H464" s="1739"/>
      <c r="I464" s="600">
        <f>'Det BS '!J342</f>
        <v>0</v>
      </c>
      <c r="J464" s="601">
        <f>'Det BS '!K342</f>
        <v>0</v>
      </c>
      <c r="K464" s="402"/>
      <c r="L464" s="75"/>
      <c r="M464" s="75"/>
      <c r="N464" s="75"/>
      <c r="O464" s="75"/>
      <c r="P464" s="75"/>
      <c r="Q464" s="75"/>
      <c r="R464" s="75"/>
    </row>
    <row r="465" spans="1:18" ht="13.5" customHeight="1" x14ac:dyDescent="0.3">
      <c r="A465" s="3" t="str">
        <f t="shared" ref="A465:A480" si="16">IF(AND(I465=0,J465=0),"Do Not Print","Print")</f>
        <v>Do Not Print</v>
      </c>
      <c r="D465" s="1785" t="s">
        <v>366</v>
      </c>
      <c r="E465" s="1786"/>
      <c r="F465" s="1786"/>
      <c r="G465" s="1786"/>
      <c r="H465" s="1739"/>
      <c r="I465" s="600">
        <f>'Det BS '!J343</f>
        <v>0</v>
      </c>
      <c r="J465" s="600">
        <f>'Det BS '!K343</f>
        <v>0</v>
      </c>
      <c r="K465" s="402"/>
      <c r="L465" s="75"/>
      <c r="M465" s="75"/>
      <c r="N465" s="75"/>
      <c r="O465" s="75"/>
      <c r="P465" s="75"/>
      <c r="Q465" s="75"/>
      <c r="R465" s="75"/>
    </row>
    <row r="466" spans="1:18" x14ac:dyDescent="0.3">
      <c r="A466" s="3" t="str">
        <f t="shared" si="16"/>
        <v>Do Not Print</v>
      </c>
      <c r="D466" s="1785" t="s">
        <v>367</v>
      </c>
      <c r="E466" s="1786"/>
      <c r="F466" s="1786"/>
      <c r="G466" s="1786"/>
      <c r="H466" s="1739"/>
      <c r="I466" s="600">
        <f>'Det BS '!J344</f>
        <v>0</v>
      </c>
      <c r="J466" s="600">
        <f>'Det BS '!K344</f>
        <v>0</v>
      </c>
      <c r="K466" s="402"/>
      <c r="L466" s="75"/>
      <c r="M466" s="75"/>
      <c r="N466" s="75"/>
      <c r="O466" s="75"/>
      <c r="P466" s="75"/>
      <c r="Q466" s="75"/>
      <c r="R466" s="75"/>
    </row>
    <row r="467" spans="1:18" x14ac:dyDescent="0.3">
      <c r="A467" s="3" t="str">
        <f t="shared" si="16"/>
        <v>Do Not Print</v>
      </c>
      <c r="D467" s="1785" t="s">
        <v>368</v>
      </c>
      <c r="E467" s="1786"/>
      <c r="F467" s="1786"/>
      <c r="G467" s="1786"/>
      <c r="H467" s="1739"/>
      <c r="I467" s="600">
        <f>'Det BS '!J345</f>
        <v>0</v>
      </c>
      <c r="J467" s="600">
        <f>'Det BS '!K345</f>
        <v>0</v>
      </c>
      <c r="K467" s="402"/>
      <c r="L467" s="75"/>
      <c r="M467" s="75"/>
      <c r="N467" s="75"/>
      <c r="O467" s="75"/>
      <c r="P467" s="75"/>
      <c r="Q467" s="75"/>
      <c r="R467" s="75"/>
    </row>
    <row r="468" spans="1:18" x14ac:dyDescent="0.3">
      <c r="A468" s="3" t="str">
        <f t="shared" si="16"/>
        <v>Do Not Print</v>
      </c>
      <c r="D468" s="1785" t="s">
        <v>1114</v>
      </c>
      <c r="E468" s="1786"/>
      <c r="F468" s="1786"/>
      <c r="G468" s="1786"/>
      <c r="H468" s="1739"/>
      <c r="I468" s="600">
        <f>'Det BS '!J346</f>
        <v>0</v>
      </c>
      <c r="J468" s="600">
        <f>'Det BS '!K346</f>
        <v>0</v>
      </c>
      <c r="K468" s="881"/>
      <c r="L468" s="75"/>
      <c r="M468" s="75"/>
      <c r="N468" s="75"/>
      <c r="O468" s="75"/>
      <c r="P468" s="75"/>
      <c r="Q468" s="75"/>
      <c r="R468" s="75"/>
    </row>
    <row r="469" spans="1:18" x14ac:dyDescent="0.3">
      <c r="A469" s="3" t="str">
        <f t="shared" si="16"/>
        <v>Do Not Print</v>
      </c>
      <c r="D469" s="1785" t="s">
        <v>369</v>
      </c>
      <c r="E469" s="1786"/>
      <c r="F469" s="1786"/>
      <c r="G469" s="1786"/>
      <c r="H469" s="1739"/>
      <c r="I469" s="600">
        <f>'Det BS '!J347</f>
        <v>0</v>
      </c>
      <c r="J469" s="600">
        <f>'Det BS '!K347</f>
        <v>0</v>
      </c>
      <c r="K469" s="881"/>
      <c r="L469" s="75"/>
      <c r="M469" s="75"/>
      <c r="N469" s="75"/>
      <c r="O469" s="75"/>
      <c r="P469" s="75"/>
      <c r="Q469" s="75"/>
      <c r="R469" s="75"/>
    </row>
    <row r="470" spans="1:18" ht="13.5" customHeight="1" x14ac:dyDescent="0.3">
      <c r="A470" s="3" t="str">
        <f t="shared" si="16"/>
        <v>Do Not Print</v>
      </c>
      <c r="D470" s="1785" t="s">
        <v>665</v>
      </c>
      <c r="E470" s="1786"/>
      <c r="F470" s="1786"/>
      <c r="G470" s="1786"/>
      <c r="H470" s="1739"/>
      <c r="I470" s="600">
        <f>'Det BS '!J348</f>
        <v>0</v>
      </c>
      <c r="J470" s="600">
        <f>'Det BS '!K348</f>
        <v>0</v>
      </c>
      <c r="K470" s="881"/>
      <c r="L470" s="75"/>
      <c r="M470" s="75"/>
      <c r="N470" s="75"/>
      <c r="O470" s="75"/>
      <c r="P470" s="75"/>
      <c r="Q470" s="75"/>
      <c r="R470" s="75"/>
    </row>
    <row r="471" spans="1:18" x14ac:dyDescent="0.3">
      <c r="A471" s="3" t="str">
        <f t="shared" si="16"/>
        <v>Do Not Print</v>
      </c>
      <c r="D471" s="1785" t="s">
        <v>519</v>
      </c>
      <c r="E471" s="1786"/>
      <c r="F471" s="1786"/>
      <c r="G471" s="1786"/>
      <c r="H471" s="1739"/>
      <c r="I471" s="600">
        <f>'Det BS '!J349</f>
        <v>0</v>
      </c>
      <c r="J471" s="600">
        <f>'Det BS '!K349</f>
        <v>0</v>
      </c>
      <c r="K471" s="881"/>
      <c r="L471" s="75"/>
      <c r="M471" s="75"/>
      <c r="N471" s="75"/>
      <c r="O471" s="75"/>
      <c r="P471" s="75"/>
      <c r="Q471" s="75"/>
      <c r="R471" s="75"/>
    </row>
    <row r="472" spans="1:18" x14ac:dyDescent="0.3">
      <c r="A472" s="3" t="str">
        <f t="shared" si="16"/>
        <v>Do Not Print</v>
      </c>
      <c r="D472" s="1785" t="s">
        <v>520</v>
      </c>
      <c r="E472" s="1786"/>
      <c r="F472" s="1786"/>
      <c r="G472" s="1786"/>
      <c r="H472" s="1739"/>
      <c r="I472" s="600">
        <f>'Det BS '!J350</f>
        <v>0</v>
      </c>
      <c r="J472" s="600">
        <f>'Det BS '!K350</f>
        <v>0</v>
      </c>
      <c r="K472" s="881"/>
      <c r="L472" s="75"/>
      <c r="M472" s="75"/>
      <c r="N472" s="75"/>
      <c r="O472" s="75"/>
      <c r="P472" s="75"/>
      <c r="Q472" s="75"/>
      <c r="R472" s="75"/>
    </row>
    <row r="473" spans="1:18" x14ac:dyDescent="0.3">
      <c r="A473" s="3" t="str">
        <f t="shared" si="16"/>
        <v>Do Not Print</v>
      </c>
      <c r="D473" s="1785" t="s">
        <v>521</v>
      </c>
      <c r="E473" s="1786"/>
      <c r="F473" s="1786"/>
      <c r="G473" s="1786"/>
      <c r="H473" s="1739"/>
      <c r="I473" s="600">
        <f>'Det BS '!J351</f>
        <v>0</v>
      </c>
      <c r="J473" s="600">
        <f>'Det BS '!K351</f>
        <v>0</v>
      </c>
      <c r="K473" s="881"/>
      <c r="L473" s="75"/>
      <c r="M473" s="75"/>
      <c r="N473" s="75"/>
      <c r="O473" s="75"/>
      <c r="P473" s="75"/>
      <c r="Q473" s="75"/>
      <c r="R473" s="75"/>
    </row>
    <row r="474" spans="1:18" ht="13.5" customHeight="1" x14ac:dyDescent="0.3">
      <c r="A474" s="3" t="str">
        <f t="shared" si="16"/>
        <v>Do Not Print</v>
      </c>
      <c r="D474" s="1785" t="s">
        <v>377</v>
      </c>
      <c r="E474" s="1786"/>
      <c r="F474" s="1786"/>
      <c r="G474" s="1786"/>
      <c r="H474" s="1739"/>
      <c r="I474" s="600">
        <f>'Det BS '!J352</f>
        <v>0</v>
      </c>
      <c r="J474" s="600">
        <f>'Det BS '!K352</f>
        <v>0</v>
      </c>
      <c r="K474" s="881"/>
      <c r="L474" s="75"/>
      <c r="M474" s="75"/>
      <c r="N474" s="75"/>
      <c r="O474" s="75"/>
      <c r="P474" s="75"/>
      <c r="Q474" s="75"/>
      <c r="R474" s="75"/>
    </row>
    <row r="475" spans="1:18" ht="13.5" customHeight="1" x14ac:dyDescent="0.3">
      <c r="A475" s="3" t="str">
        <f t="shared" si="16"/>
        <v>Do Not Print</v>
      </c>
      <c r="D475" s="1785" t="s">
        <v>378</v>
      </c>
      <c r="E475" s="1786"/>
      <c r="F475" s="1786"/>
      <c r="G475" s="1786"/>
      <c r="H475" s="1739"/>
      <c r="I475" s="600">
        <f>'Det BS '!J353</f>
        <v>0</v>
      </c>
      <c r="J475" s="600">
        <f>'Det BS '!K353</f>
        <v>0</v>
      </c>
      <c r="K475" s="881"/>
      <c r="L475" s="75"/>
      <c r="M475" s="75"/>
      <c r="N475" s="75"/>
      <c r="O475" s="75"/>
      <c r="P475" s="75"/>
      <c r="Q475" s="75"/>
      <c r="R475" s="75"/>
    </row>
    <row r="476" spans="1:18" x14ac:dyDescent="0.3">
      <c r="A476" s="3" t="str">
        <f t="shared" si="16"/>
        <v>Do Not Print</v>
      </c>
      <c r="D476" s="1785" t="s">
        <v>2939</v>
      </c>
      <c r="E476" s="1786"/>
      <c r="F476" s="1786"/>
      <c r="G476" s="1786"/>
      <c r="H476" s="1739"/>
      <c r="I476" s="600">
        <f>'Det BS '!J354</f>
        <v>0</v>
      </c>
      <c r="J476" s="600">
        <f>'Det BS '!K354</f>
        <v>0</v>
      </c>
      <c r="K476" s="881"/>
      <c r="L476" s="75"/>
      <c r="M476" s="75"/>
      <c r="N476" s="75"/>
      <c r="O476" s="75"/>
      <c r="P476" s="75"/>
      <c r="Q476" s="75"/>
      <c r="R476" s="75"/>
    </row>
    <row r="477" spans="1:18" ht="13.5" customHeight="1" x14ac:dyDescent="0.3">
      <c r="A477" s="3" t="str">
        <f t="shared" si="16"/>
        <v>Do Not Print</v>
      </c>
      <c r="D477" s="1785" t="s">
        <v>379</v>
      </c>
      <c r="E477" s="1786"/>
      <c r="F477" s="1786"/>
      <c r="G477" s="1786"/>
      <c r="H477" s="1739"/>
      <c r="I477" s="600">
        <f>'Det BS '!J355</f>
        <v>0</v>
      </c>
      <c r="J477" s="600">
        <f>'Det BS '!K355</f>
        <v>0</v>
      </c>
      <c r="K477" s="881"/>
      <c r="L477" s="75"/>
      <c r="M477" s="75"/>
      <c r="N477" s="75"/>
      <c r="O477" s="75"/>
      <c r="P477" s="75"/>
      <c r="Q477" s="75"/>
      <c r="R477" s="75"/>
    </row>
    <row r="478" spans="1:18" ht="13.5" customHeight="1" x14ac:dyDescent="0.3">
      <c r="A478" s="3" t="str">
        <f t="shared" si="16"/>
        <v>Do Not Print</v>
      </c>
      <c r="D478" s="1785" t="s">
        <v>380</v>
      </c>
      <c r="E478" s="1786"/>
      <c r="F478" s="1786"/>
      <c r="G478" s="1786"/>
      <c r="H478" s="1739"/>
      <c r="I478" s="600">
        <f>'Det BS '!J356</f>
        <v>0</v>
      </c>
      <c r="J478" s="600">
        <f>'Det BS '!K356</f>
        <v>0</v>
      </c>
      <c r="K478" s="881"/>
      <c r="L478" s="75"/>
      <c r="M478" s="75"/>
      <c r="N478" s="75"/>
      <c r="O478" s="75"/>
      <c r="P478" s="75"/>
      <c r="Q478" s="75"/>
      <c r="R478" s="75"/>
    </row>
    <row r="479" spans="1:18" ht="13.5" customHeight="1" x14ac:dyDescent="0.3">
      <c r="A479" s="3" t="str">
        <f t="shared" si="16"/>
        <v>Do Not Print</v>
      </c>
      <c r="D479" s="1785" t="s">
        <v>381</v>
      </c>
      <c r="E479" s="1786"/>
      <c r="F479" s="1786"/>
      <c r="G479" s="1786"/>
      <c r="H479" s="1739"/>
      <c r="I479" s="600">
        <f>'Det BS '!J357</f>
        <v>0</v>
      </c>
      <c r="J479" s="600">
        <f>'Det BS '!K357</f>
        <v>0</v>
      </c>
      <c r="K479" s="881"/>
      <c r="L479" s="75"/>
      <c r="M479" s="75"/>
      <c r="N479" s="953"/>
      <c r="O479" s="75"/>
      <c r="P479" s="75"/>
      <c r="Q479" s="75"/>
      <c r="R479" s="75"/>
    </row>
    <row r="480" spans="1:18" ht="13.5" customHeight="1" x14ac:dyDescent="0.3">
      <c r="A480" s="3" t="str">
        <f t="shared" si="16"/>
        <v>Do Not Print</v>
      </c>
      <c r="D480" s="1785" t="s">
        <v>2750</v>
      </c>
      <c r="E480" s="1786"/>
      <c r="F480" s="1786"/>
      <c r="G480" s="1786"/>
      <c r="H480" s="1739"/>
      <c r="I480" s="1226">
        <f>'Det BS '!J358</f>
        <v>0</v>
      </c>
      <c r="J480" s="1226">
        <f>'Det BS '!K358</f>
        <v>0</v>
      </c>
      <c r="K480" s="881"/>
      <c r="L480" s="75"/>
      <c r="M480" s="75"/>
      <c r="N480" s="953"/>
      <c r="O480" s="75"/>
      <c r="P480" s="75"/>
      <c r="Q480" s="75"/>
      <c r="R480" s="75"/>
    </row>
    <row r="481" spans="1:18" x14ac:dyDescent="0.3">
      <c r="A481" s="3" t="str">
        <f>IF(AND(I481=0,J481=0),"Do Not Print","Print")</f>
        <v>Do Not Print</v>
      </c>
      <c r="D481" s="1738"/>
      <c r="E481" s="1803"/>
      <c r="F481" s="1803"/>
      <c r="G481" s="1803"/>
      <c r="H481" s="1803"/>
      <c r="I481" s="1803"/>
      <c r="J481" s="1739"/>
      <c r="K481" s="881"/>
      <c r="L481" s="75"/>
      <c r="M481" s="75"/>
      <c r="N481" s="75"/>
      <c r="O481" s="75"/>
      <c r="P481" s="75"/>
      <c r="Q481" s="75"/>
      <c r="R481" s="75"/>
    </row>
    <row r="482" spans="1:18" ht="13.5" customHeight="1" x14ac:dyDescent="0.3">
      <c r="A482" s="3" t="str">
        <f>IF(AND(I482=0,J482=0),"Do Not Print","Print")</f>
        <v>Do Not Print</v>
      </c>
      <c r="D482" s="474" t="s">
        <v>623</v>
      </c>
      <c r="E482" s="474"/>
      <c r="F482" s="474"/>
      <c r="G482" s="474"/>
      <c r="H482" s="604"/>
      <c r="I482" s="606">
        <f>SUM(I464:I481)</f>
        <v>0</v>
      </c>
      <c r="J482" s="606">
        <f>SUM(J464:J481)</f>
        <v>0</v>
      </c>
      <c r="K482" s="402"/>
      <c r="L482" s="75"/>
      <c r="M482" s="75"/>
      <c r="N482" s="75"/>
      <c r="O482" s="75"/>
      <c r="P482" s="75"/>
      <c r="Q482" s="75"/>
      <c r="R482" s="75"/>
    </row>
    <row r="483" spans="1:18" ht="13.5" customHeight="1" x14ac:dyDescent="0.3">
      <c r="A483" s="3" t="str">
        <f>IF(A482="Print","Print","Do Not Print")</f>
        <v>Do Not Print</v>
      </c>
      <c r="D483" s="1547"/>
      <c r="E483" s="1547"/>
      <c r="F483" s="1547"/>
      <c r="G483" s="1547"/>
      <c r="H483" s="1547"/>
      <c r="I483" s="1547"/>
      <c r="J483" s="1547"/>
      <c r="K483" s="402"/>
      <c r="L483" s="75"/>
      <c r="M483" s="75"/>
      <c r="N483" s="75"/>
      <c r="O483" s="75"/>
      <c r="P483" s="75"/>
      <c r="Q483" s="75"/>
      <c r="R483" s="75"/>
    </row>
    <row r="484" spans="1:18" ht="13.5" customHeight="1" x14ac:dyDescent="0.3">
      <c r="A484" s="3" t="str">
        <f>IF(AND(I484=0,J484=0),"Do Not Print","Print")</f>
        <v>Do Not Print</v>
      </c>
      <c r="D484" s="474" t="s">
        <v>624</v>
      </c>
      <c r="E484" s="474"/>
      <c r="F484" s="474"/>
      <c r="G484" s="474"/>
      <c r="H484" s="604"/>
      <c r="I484" s="511">
        <f>I460+I482</f>
        <v>0</v>
      </c>
      <c r="J484" s="511">
        <f>J460+J482</f>
        <v>0</v>
      </c>
      <c r="K484" s="402"/>
      <c r="L484" s="75"/>
      <c r="M484" s="75"/>
      <c r="N484" s="75"/>
      <c r="O484" s="75"/>
      <c r="P484" s="75"/>
      <c r="Q484" s="75"/>
      <c r="R484" s="75"/>
    </row>
    <row r="485" spans="1:18" ht="13.5" customHeight="1" x14ac:dyDescent="0.3">
      <c r="A485" s="3" t="str">
        <f>IF(A484="Print","Print","Do Not Print")</f>
        <v>Do Not Print</v>
      </c>
      <c r="D485" s="1500" t="s">
        <v>625</v>
      </c>
      <c r="E485" s="1500"/>
      <c r="F485" s="1500"/>
      <c r="G485" s="1500"/>
      <c r="H485" s="1500"/>
      <c r="I485" s="1500"/>
      <c r="J485" s="1500"/>
      <c r="K485" s="402"/>
      <c r="L485" s="75"/>
      <c r="M485" s="75"/>
      <c r="N485" s="75"/>
      <c r="O485" s="75"/>
      <c r="P485" s="75"/>
      <c r="Q485" s="75"/>
      <c r="R485" s="75"/>
    </row>
    <row r="486" spans="1:18" ht="27.6" customHeight="1" x14ac:dyDescent="0.3">
      <c r="A486" s="3" t="str">
        <f>IF('Non TB - Note 12 to 24'!F26=1,"Print","Do Not Print")</f>
        <v>Print</v>
      </c>
      <c r="D486" s="1504" t="str">
        <f>IF('Non TB - Note 12 to 24'!F26=1,'Non TB - Note 12 to 24'!H26,"")</f>
        <v xml:space="preserve">The large increase in debtors relates to the sale of the former games hall, completed in March 20YY, with the final cash settlement being received in April 20YY.  </v>
      </c>
      <c r="E486" s="1504"/>
      <c r="F486" s="1504"/>
      <c r="G486" s="1504"/>
      <c r="H486" s="1504"/>
      <c r="I486" s="1504"/>
      <c r="J486" s="1504"/>
      <c r="K486" s="1504"/>
      <c r="L486" s="75"/>
      <c r="M486" s="75"/>
      <c r="N486" s="75"/>
      <c r="O486" s="75"/>
      <c r="P486" s="75"/>
      <c r="Q486" s="75"/>
      <c r="R486" s="75"/>
    </row>
    <row r="487" spans="1:18" ht="16.5" customHeight="1" x14ac:dyDescent="0.3">
      <c r="A487" s="3" t="str">
        <f>IF(A486="Print","Print","Do Not Print")</f>
        <v>Print</v>
      </c>
      <c r="D487" s="1542"/>
      <c r="E487" s="1542"/>
      <c r="F487" s="1542"/>
      <c r="G487" s="1542"/>
      <c r="H487" s="1542"/>
      <c r="I487" s="1542"/>
      <c r="J487" s="1542"/>
      <c r="K487" s="1542"/>
      <c r="L487" s="75"/>
      <c r="M487" s="75"/>
      <c r="N487" s="75"/>
      <c r="O487" s="75"/>
      <c r="P487" s="75"/>
      <c r="Q487" s="75"/>
      <c r="R487" s="75"/>
    </row>
    <row r="488" spans="1:18" ht="16.5" customHeight="1" x14ac:dyDescent="0.3">
      <c r="A488" s="3" t="str">
        <f>IF('Non TB - Note 12 to 24'!F27=1,"Print","Do Not Print")</f>
        <v>Print</v>
      </c>
      <c r="D488" s="1542" t="str">
        <f>IF('Non TB - Note 12 to 24'!F27=1,'Non TB - Note 12 to 24'!H27,"")</f>
        <v>Council specific text</v>
      </c>
      <c r="E488" s="1542"/>
      <c r="F488" s="1542"/>
      <c r="G488" s="1542"/>
      <c r="H488" s="1542"/>
      <c r="I488" s="1542"/>
      <c r="J488" s="1542"/>
      <c r="K488" s="1542"/>
      <c r="L488" s="75"/>
      <c r="M488" s="75"/>
      <c r="N488" s="75"/>
      <c r="O488" s="75"/>
      <c r="P488" s="75"/>
      <c r="Q488" s="75"/>
      <c r="R488" s="75"/>
    </row>
    <row r="489" spans="1:18" x14ac:dyDescent="0.3">
      <c r="A489" s="3" t="str">
        <f>IF(A488="Print","Print","Do Not Print")</f>
        <v>Print</v>
      </c>
      <c r="D489" s="1542"/>
      <c r="E489" s="1542"/>
      <c r="F489" s="1542"/>
      <c r="G489" s="1542"/>
      <c r="H489" s="1542"/>
      <c r="I489" s="1542"/>
      <c r="J489" s="1542"/>
      <c r="K489" s="1542"/>
      <c r="L489" s="75"/>
      <c r="M489" s="75"/>
      <c r="N489" s="75"/>
      <c r="O489" s="75"/>
      <c r="P489" s="75"/>
      <c r="Q489" s="75"/>
      <c r="R489" s="75"/>
    </row>
    <row r="490" spans="1:18" x14ac:dyDescent="0.3">
      <c r="A490" s="3" t="str">
        <f>IF(AND(I498=0,J498=0),"Do Not Print","Print")</f>
        <v>Do Not Print</v>
      </c>
      <c r="B490" s="585">
        <f>Checklist!E105</f>
        <v>16</v>
      </c>
      <c r="D490" s="474" t="s">
        <v>1104</v>
      </c>
      <c r="E490" s="474"/>
      <c r="F490" s="474"/>
      <c r="G490" s="474"/>
      <c r="H490" s="604"/>
      <c r="I490" s="586"/>
      <c r="J490" s="586"/>
      <c r="K490" s="402"/>
      <c r="L490" s="75"/>
      <c r="M490" s="75"/>
      <c r="N490" s="75"/>
      <c r="O490" s="75"/>
      <c r="P490" s="75"/>
      <c r="Q490" s="75"/>
      <c r="R490" s="75"/>
    </row>
    <row r="491" spans="1:18" x14ac:dyDescent="0.3">
      <c r="A491" s="3" t="str">
        <f>IF(A490="Print","Print","Do Not Print")</f>
        <v>Do Not Print</v>
      </c>
      <c r="C491" s="585" t="str">
        <f>Checklist!E106</f>
        <v>a</v>
      </c>
      <c r="D491" s="474" t="s">
        <v>705</v>
      </c>
      <c r="E491" s="474"/>
      <c r="F491" s="474"/>
      <c r="G491" s="474"/>
      <c r="H491" s="604"/>
      <c r="I491" s="586" t="str">
        <f>I441</f>
        <v>2025/26</v>
      </c>
      <c r="J491" s="586" t="str">
        <f>'Standing Data'!D52</f>
        <v>2024/25</v>
      </c>
      <c r="K491" s="402"/>
      <c r="L491" s="75"/>
      <c r="M491" s="75"/>
      <c r="N491" s="75"/>
      <c r="O491" s="75"/>
      <c r="P491" s="75"/>
      <c r="Q491" s="75"/>
      <c r="R491" s="75"/>
    </row>
    <row r="492" spans="1:18" x14ac:dyDescent="0.3">
      <c r="A492" s="3" t="str">
        <f>IF(A490="Print","Print","Do Not Print")</f>
        <v>Do Not Print</v>
      </c>
      <c r="D492" s="474"/>
      <c r="E492" s="474"/>
      <c r="F492" s="474"/>
      <c r="G492" s="474"/>
      <c r="H492" s="604"/>
      <c r="I492" s="586" t="s">
        <v>450</v>
      </c>
      <c r="J492" s="586" t="s">
        <v>450</v>
      </c>
      <c r="K492" s="485"/>
    </row>
    <row r="493" spans="1:18" x14ac:dyDescent="0.3">
      <c r="A493" s="3" t="str">
        <f>IF(AND(I493=0,J493=0),"Do Not Print","Print")</f>
        <v>Do Not Print</v>
      </c>
      <c r="D493" s="1785" t="s">
        <v>627</v>
      </c>
      <c r="E493" s="1786"/>
      <c r="F493" s="1786"/>
      <c r="G493" s="1786"/>
      <c r="H493" s="1739"/>
      <c r="I493" s="600">
        <f>'Det BS '!J284</f>
        <v>0</v>
      </c>
      <c r="J493" s="600">
        <f>'Det BS '!K284</f>
        <v>0</v>
      </c>
    </row>
    <row r="494" spans="1:18" x14ac:dyDescent="0.3">
      <c r="A494" s="3" t="str">
        <f>IF(AND(I494=0,J494=0),"Do Not Print","Print")</f>
        <v>Do Not Print</v>
      </c>
      <c r="D494" s="1785" t="s">
        <v>628</v>
      </c>
      <c r="E494" s="1786"/>
      <c r="F494" s="1786"/>
      <c r="G494" s="1786"/>
      <c r="H494" s="1739"/>
      <c r="I494" s="600">
        <f>'Det BS '!J285</f>
        <v>0</v>
      </c>
      <c r="J494" s="600">
        <f>'Det BS '!K285</f>
        <v>0</v>
      </c>
    </row>
    <row r="495" spans="1:18" x14ac:dyDescent="0.3">
      <c r="A495" s="3" t="str">
        <f>IF(AND(I495=0,J495=0),"Do Not Print","Print")</f>
        <v>Do Not Print</v>
      </c>
      <c r="D495" s="1785" t="s">
        <v>629</v>
      </c>
      <c r="E495" s="1786"/>
      <c r="F495" s="1786"/>
      <c r="G495" s="1786"/>
      <c r="H495" s="1739"/>
      <c r="I495" s="600">
        <f>'Det BS '!J286</f>
        <v>0</v>
      </c>
      <c r="J495" s="600">
        <f>'Det BS '!K286</f>
        <v>0</v>
      </c>
    </row>
    <row r="496" spans="1:18" x14ac:dyDescent="0.3">
      <c r="A496" s="3" t="str">
        <f>IF(AND(I496=0,J496=0),"Do Not Print","Print")</f>
        <v>Do Not Print</v>
      </c>
      <c r="D496" s="1785" t="s">
        <v>630</v>
      </c>
      <c r="E496" s="1786"/>
      <c r="F496" s="1786"/>
      <c r="G496" s="1786"/>
      <c r="H496" s="1739"/>
      <c r="I496" s="600">
        <f>'Det BS '!J287</f>
        <v>0</v>
      </c>
      <c r="J496" s="600">
        <f>'Det BS '!K287</f>
        <v>0</v>
      </c>
    </row>
    <row r="497" spans="1:12" x14ac:dyDescent="0.3">
      <c r="A497" s="3" t="str">
        <f>IF(A496="Print","Print","Do Not Print")</f>
        <v>Do Not Print</v>
      </c>
      <c r="D497" s="944"/>
      <c r="E497" s="945"/>
      <c r="F497" s="945"/>
      <c r="G497" s="945"/>
      <c r="H497" s="945"/>
      <c r="I497" s="945"/>
      <c r="J497" s="946"/>
    </row>
    <row r="498" spans="1:12" x14ac:dyDescent="0.3">
      <c r="A498" s="3" t="str">
        <f>IF(AND(I498=0,J498=0),"Do Not Print","Print")</f>
        <v>Do Not Print</v>
      </c>
      <c r="D498" s="474" t="s">
        <v>631</v>
      </c>
      <c r="E498" s="474"/>
      <c r="F498" s="474"/>
      <c r="G498" s="474"/>
      <c r="H498" s="604"/>
      <c r="I498" s="606">
        <f>SUM(I493:I496)</f>
        <v>0</v>
      </c>
      <c r="J498" s="606">
        <f>SUM(J493:J496)</f>
        <v>0</v>
      </c>
      <c r="K498" s="476"/>
    </row>
    <row r="499" spans="1:12" x14ac:dyDescent="0.3">
      <c r="A499" s="3" t="str">
        <f>IF(A498="Print","Print","Do Not Print")</f>
        <v>Do Not Print</v>
      </c>
      <c r="D499" s="401"/>
    </row>
    <row r="500" spans="1:12" x14ac:dyDescent="0.3">
      <c r="A500" s="3" t="str">
        <f>IF(AND(I505=0,J505=0),"Do Not Print","Print")</f>
        <v>Do Not Print</v>
      </c>
      <c r="D500" s="474" t="s">
        <v>632</v>
      </c>
      <c r="E500" s="474"/>
      <c r="F500" s="474"/>
      <c r="G500" s="474"/>
      <c r="H500" s="604"/>
      <c r="I500" s="586" t="str">
        <f>I491</f>
        <v>2025/26</v>
      </c>
      <c r="J500" s="586" t="str">
        <f>J491</f>
        <v>2024/25</v>
      </c>
      <c r="K500" s="402"/>
    </row>
    <row r="501" spans="1:12" x14ac:dyDescent="0.3">
      <c r="A501" s="3" t="str">
        <f>IF(A500="Print","Print","Do Not Print")</f>
        <v>Do Not Print</v>
      </c>
      <c r="D501" s="474"/>
      <c r="E501" s="474"/>
      <c r="F501" s="474"/>
      <c r="G501" s="474"/>
      <c r="H501" s="604"/>
      <c r="I501" s="586" t="s">
        <v>450</v>
      </c>
      <c r="J501" s="586" t="s">
        <v>450</v>
      </c>
      <c r="K501" s="485"/>
    </row>
    <row r="502" spans="1:12" x14ac:dyDescent="0.3">
      <c r="A502" s="3" t="str">
        <f>IF(AND(I502=0,J502=0),"Do Not Print","Print")</f>
        <v>Do Not Print</v>
      </c>
      <c r="D502" s="1785" t="s">
        <v>633</v>
      </c>
      <c r="E502" s="1786"/>
      <c r="F502" s="1786"/>
      <c r="G502" s="1786"/>
      <c r="H502" s="1739"/>
      <c r="I502" s="598">
        <f>'Non TB - Note 12 to 24'!H28</f>
        <v>0</v>
      </c>
      <c r="J502" s="598">
        <f>'Non TB - Note 12 to 24'!I28</f>
        <v>0</v>
      </c>
    </row>
    <row r="503" spans="1:12" x14ac:dyDescent="0.3">
      <c r="A503" s="3" t="str">
        <f>IF(AND(I503=0,J503=0),"Do Not Print","Print")</f>
        <v>Do Not Print</v>
      </c>
      <c r="D503" s="1785" t="s">
        <v>634</v>
      </c>
      <c r="E503" s="1786"/>
      <c r="F503" s="1786"/>
      <c r="G503" s="1786"/>
      <c r="H503" s="1739"/>
      <c r="I503" s="598">
        <f>'Non TB - Note 12 to 24'!H29</f>
        <v>0</v>
      </c>
      <c r="J503" s="598">
        <f>'Non TB - Note 12 to 24'!I29</f>
        <v>0</v>
      </c>
    </row>
    <row r="504" spans="1:12" x14ac:dyDescent="0.3">
      <c r="A504" s="3" t="str">
        <f>IF(A503="Print","Print","Do Not Print")</f>
        <v>Do Not Print</v>
      </c>
      <c r="D504" s="944"/>
      <c r="E504" s="945"/>
      <c r="F504" s="945"/>
      <c r="G504" s="945"/>
      <c r="H504" s="945"/>
      <c r="I504" s="945"/>
      <c r="J504" s="946"/>
    </row>
    <row r="505" spans="1:12" x14ac:dyDescent="0.3">
      <c r="A505" s="3" t="str">
        <f>IF(AND(I505=0,J505=0),"Do Not Print","Print")</f>
        <v>Do Not Print</v>
      </c>
      <c r="D505" s="474" t="s">
        <v>631</v>
      </c>
      <c r="E505" s="474"/>
      <c r="F505" s="474"/>
      <c r="G505" s="474"/>
      <c r="H505" s="604"/>
      <c r="I505" s="606">
        <f>SUM(I502:I503)</f>
        <v>0</v>
      </c>
      <c r="J505" s="606">
        <f>SUM(J502:J503)</f>
        <v>0</v>
      </c>
      <c r="K505" s="476"/>
    </row>
    <row r="506" spans="1:12" x14ac:dyDescent="0.3">
      <c r="A506" s="3" t="str">
        <f>IF(A505="Print","Print","Do Not Print")</f>
        <v>Do Not Print</v>
      </c>
      <c r="D506" s="1500"/>
      <c r="E506" s="1500"/>
      <c r="F506" s="1500"/>
      <c r="G506" s="1500"/>
      <c r="H506" s="1500"/>
      <c r="I506" s="1500"/>
      <c r="J506" s="1500"/>
      <c r="K506" s="1500"/>
    </row>
    <row r="507" spans="1:12" ht="17.25" customHeight="1" x14ac:dyDescent="0.3">
      <c r="A507" s="3" t="str">
        <f>IF('Non TB - Note 12 to 24'!F30=1,"Print","Do Not Print")</f>
        <v>Print</v>
      </c>
      <c r="D507" s="1542" t="str">
        <f>IF('Non TB - Note 12 to 24'!F30=1,'Non TB - Note 12 to 24'!H30,"")</f>
        <v>Council specific text</v>
      </c>
      <c r="E507" s="1542"/>
      <c r="F507" s="1542"/>
      <c r="G507" s="1542"/>
      <c r="H507" s="1542"/>
      <c r="I507" s="1542"/>
      <c r="J507" s="1542"/>
      <c r="K507" s="1542"/>
    </row>
    <row r="508" spans="1:12" ht="12.75" customHeight="1" x14ac:dyDescent="0.3">
      <c r="A508" s="3" t="str">
        <f>IF(A507="Print","Print","Do Not Print")</f>
        <v>Print</v>
      </c>
      <c r="D508" s="1542"/>
      <c r="E508" s="1542"/>
      <c r="F508" s="1542"/>
      <c r="G508" s="1542"/>
      <c r="H508" s="1542"/>
      <c r="I508" s="1542"/>
      <c r="J508" s="1542"/>
      <c r="K508" s="1542"/>
    </row>
    <row r="509" spans="1:12" x14ac:dyDescent="0.3">
      <c r="A509" s="3" t="str">
        <f>IF(AND(I516=0,J516=0),"Do Not Print","Print")</f>
        <v>Do Not Print</v>
      </c>
      <c r="C509" s="585" t="str">
        <f>Checklist!E107</f>
        <v>b</v>
      </c>
      <c r="D509" s="474" t="s">
        <v>635</v>
      </c>
      <c r="E509" s="474"/>
      <c r="F509" s="474"/>
      <c r="G509" s="474"/>
      <c r="H509" s="604"/>
      <c r="I509" s="586" t="str">
        <f>I491</f>
        <v>2025/26</v>
      </c>
      <c r="J509" s="586" t="str">
        <f>J491</f>
        <v>2024/25</v>
      </c>
      <c r="K509" s="402"/>
      <c r="L509" s="75"/>
    </row>
    <row r="510" spans="1:12" x14ac:dyDescent="0.3">
      <c r="A510" s="3" t="str">
        <f>IF(A509="Print","Print","Do Not Print")</f>
        <v>Do Not Print</v>
      </c>
      <c r="D510" s="474"/>
      <c r="E510" s="474"/>
      <c r="F510" s="474"/>
      <c r="G510" s="474"/>
      <c r="H510" s="604"/>
      <c r="I510" s="586" t="s">
        <v>450</v>
      </c>
      <c r="J510" s="586" t="s">
        <v>450</v>
      </c>
      <c r="K510" s="485"/>
    </row>
    <row r="511" spans="1:12" x14ac:dyDescent="0.3">
      <c r="A511" s="3" t="str">
        <f>IF(AND(I511=0,J511=0),"Do Not Print","Print")</f>
        <v>Do Not Print</v>
      </c>
      <c r="D511" s="1785" t="s">
        <v>627</v>
      </c>
      <c r="E511" s="1786"/>
      <c r="F511" s="1786"/>
      <c r="G511" s="1786"/>
      <c r="H511" s="1739"/>
      <c r="I511" s="600">
        <f>'Det BS '!J325</f>
        <v>0</v>
      </c>
      <c r="J511" s="600">
        <f>'Det BS '!K325</f>
        <v>0</v>
      </c>
    </row>
    <row r="512" spans="1:12" x14ac:dyDescent="0.3">
      <c r="A512" s="3" t="str">
        <f>IF(AND(I512=0,J512=0),"Do Not Print","Print")</f>
        <v>Do Not Print</v>
      </c>
      <c r="D512" s="1785" t="s">
        <v>628</v>
      </c>
      <c r="E512" s="1786"/>
      <c r="F512" s="1786"/>
      <c r="G512" s="1786"/>
      <c r="H512" s="1739"/>
      <c r="I512" s="600">
        <f>'Det BS '!J326</f>
        <v>0</v>
      </c>
      <c r="J512" s="600">
        <f>'Det BS '!K326</f>
        <v>0</v>
      </c>
    </row>
    <row r="513" spans="1:11" x14ac:dyDescent="0.3">
      <c r="A513" s="3" t="str">
        <f>IF(AND(I513=0,J513=0),"Do Not Print","Print")</f>
        <v>Do Not Print</v>
      </c>
      <c r="D513" s="1785" t="s">
        <v>629</v>
      </c>
      <c r="E513" s="1786"/>
      <c r="F513" s="1786"/>
      <c r="G513" s="1786"/>
      <c r="H513" s="1739"/>
      <c r="I513" s="600">
        <f>'Det BS '!J327</f>
        <v>0</v>
      </c>
      <c r="J513" s="600">
        <f>'Det BS '!K327</f>
        <v>0</v>
      </c>
    </row>
    <row r="514" spans="1:11" x14ac:dyDescent="0.3">
      <c r="A514" s="3" t="str">
        <f>IF(AND(I514=0,J514=0),"Do Not Print","Print")</f>
        <v>Do Not Print</v>
      </c>
      <c r="D514" s="1785" t="s">
        <v>630</v>
      </c>
      <c r="E514" s="1786"/>
      <c r="F514" s="1786"/>
      <c r="G514" s="1786"/>
      <c r="H514" s="1739"/>
      <c r="I514" s="600">
        <f>'Det BS '!J328</f>
        <v>0</v>
      </c>
      <c r="J514" s="600">
        <f>'Det BS '!K328</f>
        <v>0</v>
      </c>
    </row>
    <row r="515" spans="1:11" x14ac:dyDescent="0.3">
      <c r="A515" s="3" t="str">
        <f>IF(A514="Print","Print","Do Not Print")</f>
        <v>Do Not Print</v>
      </c>
      <c r="D515" s="1994"/>
      <c r="E515" s="1995"/>
      <c r="F515" s="1995"/>
      <c r="G515" s="1995"/>
      <c r="H515" s="1995"/>
      <c r="I515" s="1995"/>
      <c r="J515" s="1996"/>
    </row>
    <row r="516" spans="1:11" x14ac:dyDescent="0.3">
      <c r="A516" s="3" t="str">
        <f>IF(AND(I516=0,J516=0),"Do Not Print","Print")</f>
        <v>Do Not Print</v>
      </c>
      <c r="D516" s="474" t="s">
        <v>636</v>
      </c>
      <c r="E516" s="474"/>
      <c r="F516" s="474"/>
      <c r="G516" s="474"/>
      <c r="H516" s="604"/>
      <c r="I516" s="606">
        <f>SUM(I511:I514)</f>
        <v>0</v>
      </c>
      <c r="J516" s="606">
        <f>SUM(J511:J514)</f>
        <v>0</v>
      </c>
      <c r="K516" s="476"/>
    </row>
    <row r="517" spans="1:11" x14ac:dyDescent="0.3">
      <c r="A517" s="3" t="str">
        <f>IF(A516="Print","Print","Do Not Print")</f>
        <v>Do Not Print</v>
      </c>
      <c r="D517" s="401"/>
    </row>
    <row r="518" spans="1:11" x14ac:dyDescent="0.3">
      <c r="A518" s="3" t="str">
        <f>IF(AND(I523=0,J523=0),"Do Not Print","Print")</f>
        <v>Do Not Print</v>
      </c>
      <c r="D518" s="474" t="s">
        <v>632</v>
      </c>
      <c r="E518" s="474"/>
      <c r="F518" s="474"/>
      <c r="G518" s="474"/>
      <c r="H518" s="604"/>
      <c r="I518" s="586" t="str">
        <f>I509</f>
        <v>2025/26</v>
      </c>
      <c r="J518" s="586" t="str">
        <f>J509</f>
        <v>2024/25</v>
      </c>
      <c r="K518" s="518"/>
    </row>
    <row r="519" spans="1:11" x14ac:dyDescent="0.3">
      <c r="A519" s="3" t="str">
        <f>IF(A518="Print","Print","Do Not Print")</f>
        <v>Do Not Print</v>
      </c>
      <c r="D519" s="474"/>
      <c r="E519" s="474"/>
      <c r="F519" s="474"/>
      <c r="G519" s="474"/>
      <c r="H519" s="604"/>
      <c r="I519" s="586" t="s">
        <v>450</v>
      </c>
      <c r="J519" s="586" t="s">
        <v>450</v>
      </c>
      <c r="K519" s="485"/>
    </row>
    <row r="520" spans="1:11" x14ac:dyDescent="0.3">
      <c r="A520" s="3" t="str">
        <f>IF(AND(I520=0,J520=0),"Do Not Print","Print")</f>
        <v>Do Not Print</v>
      </c>
      <c r="D520" s="1785" t="s">
        <v>633</v>
      </c>
      <c r="E520" s="1786"/>
      <c r="F520" s="1786"/>
      <c r="G520" s="1786"/>
      <c r="H520" s="1739"/>
      <c r="I520" s="598">
        <f>'Non TB - Note 12 to 24'!H31</f>
        <v>0</v>
      </c>
      <c r="J520" s="598">
        <f>'Non TB - Note 12 to 24'!I31</f>
        <v>0</v>
      </c>
    </row>
    <row r="521" spans="1:11" x14ac:dyDescent="0.3">
      <c r="A521" s="3" t="str">
        <f>IF(AND(I521=0,J521=0),"Do Not Print","Print")</f>
        <v>Do Not Print</v>
      </c>
      <c r="D521" s="1785" t="s">
        <v>634</v>
      </c>
      <c r="E521" s="1786"/>
      <c r="F521" s="1786"/>
      <c r="G521" s="1786"/>
      <c r="H521" s="1739"/>
      <c r="I521" s="598">
        <f>'Non TB - Note 12 to 24'!H32</f>
        <v>0</v>
      </c>
      <c r="J521" s="598">
        <f>'Non TB - Note 12 to 24'!I32</f>
        <v>0</v>
      </c>
    </row>
    <row r="522" spans="1:11" x14ac:dyDescent="0.3">
      <c r="A522" s="3" t="str">
        <f>IF(A521="Print","Print","Do Not Print")</f>
        <v>Do Not Print</v>
      </c>
      <c r="D522" s="1994"/>
      <c r="E522" s="1995"/>
      <c r="F522" s="1995"/>
      <c r="G522" s="1995"/>
      <c r="H522" s="1995"/>
      <c r="I522" s="1995"/>
      <c r="J522" s="1996"/>
    </row>
    <row r="523" spans="1:11" x14ac:dyDescent="0.3">
      <c r="A523" s="3" t="str">
        <f>IF(AND(I523=0,J523=0),"Do Not Print","Print")</f>
        <v>Do Not Print</v>
      </c>
      <c r="D523" s="474" t="s">
        <v>636</v>
      </c>
      <c r="E523" s="474"/>
      <c r="F523" s="474"/>
      <c r="G523" s="474"/>
      <c r="H523" s="604"/>
      <c r="I523" s="606">
        <f>SUM(I520:I521)</f>
        <v>0</v>
      </c>
      <c r="J523" s="606">
        <f>SUM(J520:J521)</f>
        <v>0</v>
      </c>
      <c r="K523" s="476"/>
    </row>
    <row r="524" spans="1:11" x14ac:dyDescent="0.3">
      <c r="A524" s="3" t="str">
        <f>IF(A523="Print","Print","Do Not Print")</f>
        <v>Do Not Print</v>
      </c>
      <c r="D524" s="401"/>
    </row>
    <row r="525" spans="1:11" x14ac:dyDescent="0.3">
      <c r="A525" s="3" t="str">
        <f>IF(AND(I525=0,J525=0),"Do Not Print","Print")</f>
        <v>Do Not Print</v>
      </c>
      <c r="D525" s="474" t="s">
        <v>2940</v>
      </c>
      <c r="E525" s="474"/>
      <c r="F525" s="474"/>
      <c r="G525" s="511"/>
      <c r="H525" s="882"/>
      <c r="I525" s="606">
        <f>I523+I505</f>
        <v>0</v>
      </c>
      <c r="J525" s="606">
        <f>J523+J505</f>
        <v>0</v>
      </c>
      <c r="K525" s="890"/>
    </row>
    <row r="526" spans="1:11" x14ac:dyDescent="0.3">
      <c r="A526" s="3" t="str">
        <f>IF(A525="Print","Print","Do Not Print")</f>
        <v>Do Not Print</v>
      </c>
      <c r="D526" s="1500"/>
      <c r="E526" s="1500"/>
      <c r="F526" s="1500"/>
      <c r="G526" s="1500"/>
      <c r="H526" s="1500"/>
      <c r="I526" s="1500"/>
      <c r="J526" s="1500"/>
      <c r="K526" s="525"/>
    </row>
    <row r="527" spans="1:11" ht="19.05" customHeight="1" x14ac:dyDescent="0.3">
      <c r="A527" s="3" t="str">
        <f>IF('Non TB - Note 12 to 24'!F33=1,"Print","Do Not Print")</f>
        <v>Print</v>
      </c>
      <c r="D527" s="1504" t="str">
        <f>IF('Non TB - Note 12 to 24'!F33=1,'Non TB - Note 12 to 24'!H33,"")</f>
        <v>The Council holds monies on deposit at xx% for xx month.  These amounts are included within Cash and Cash Equivalents.</v>
      </c>
      <c r="E527" s="1504"/>
      <c r="F527" s="1504"/>
      <c r="G527" s="1504"/>
      <c r="H527" s="1504"/>
      <c r="I527" s="1504"/>
      <c r="J527" s="1504"/>
      <c r="K527" s="1504"/>
    </row>
    <row r="528" spans="1:11" x14ac:dyDescent="0.3">
      <c r="A528" s="3" t="str">
        <f>IF(A527="Print","Print","Do Not Print")</f>
        <v>Print</v>
      </c>
      <c r="D528" s="1500"/>
      <c r="E528" s="1500"/>
      <c r="F528" s="1500"/>
      <c r="G528" s="1500"/>
      <c r="H528" s="1500"/>
      <c r="I528" s="1500"/>
      <c r="J528" s="1500"/>
      <c r="K528" s="1500"/>
    </row>
    <row r="529" spans="1:11" x14ac:dyDescent="0.3">
      <c r="A529" s="3" t="str">
        <f>IF('Non TB - Note 12 to 24'!F34=1,"Print","Do Not Print")</f>
        <v>Print</v>
      </c>
      <c r="D529" s="1500" t="str">
        <f>IF('Non TB - Note 12 to 24'!F34=1,'Non TB - Note 12 to 24'!H34,"")</f>
        <v>Council specific text</v>
      </c>
      <c r="E529" s="1500"/>
      <c r="F529" s="1500"/>
      <c r="G529" s="1500"/>
      <c r="H529" s="1500"/>
      <c r="I529" s="1500"/>
      <c r="J529" s="1500"/>
      <c r="K529" s="1500"/>
    </row>
    <row r="530" spans="1:11" x14ac:dyDescent="0.3">
      <c r="A530" s="3" t="str">
        <f>IF(A529="Print","Print","Do Not Print")</f>
        <v>Print</v>
      </c>
      <c r="D530" s="1500"/>
      <c r="E530" s="1500"/>
      <c r="F530" s="1500"/>
      <c r="G530" s="1500"/>
      <c r="H530" s="1500"/>
      <c r="I530" s="1500"/>
      <c r="J530" s="1500"/>
    </row>
    <row r="531" spans="1:11" ht="13.5" customHeight="1" x14ac:dyDescent="0.3">
      <c r="A531" s="3" t="str">
        <f>IF(AND(I537=0,J537=0),"Do Not Print","Print")</f>
        <v>Do Not Print</v>
      </c>
      <c r="B531" s="585">
        <f>Checklist!E108</f>
        <v>17</v>
      </c>
      <c r="C531" s="401"/>
      <c r="D531" s="474" t="s">
        <v>1478</v>
      </c>
      <c r="E531" s="474"/>
      <c r="F531" s="474"/>
      <c r="G531" s="474"/>
      <c r="H531" s="604"/>
      <c r="I531" s="586"/>
      <c r="J531" s="586"/>
    </row>
    <row r="532" spans="1:11" ht="13.5" customHeight="1" x14ac:dyDescent="0.3">
      <c r="A532" s="3" t="str">
        <f>IF(A537="Print","Print","Do Not Print")</f>
        <v>Do Not Print</v>
      </c>
      <c r="C532" s="585" t="str">
        <f>Checklist!E109</f>
        <v>a</v>
      </c>
      <c r="D532" s="474" t="s">
        <v>387</v>
      </c>
      <c r="E532" s="474"/>
      <c r="F532" s="474"/>
      <c r="G532" s="474"/>
      <c r="H532" s="604"/>
      <c r="I532" s="586" t="str">
        <f>I509</f>
        <v>2025/26</v>
      </c>
      <c r="J532" s="586" t="str">
        <f>J509</f>
        <v>2024/25</v>
      </c>
      <c r="K532" s="518"/>
    </row>
    <row r="533" spans="1:11" ht="13.5" customHeight="1" x14ac:dyDescent="0.3">
      <c r="A533" s="3" t="str">
        <f>IF(A531="Print","Print","Do Not Print")</f>
        <v>Do Not Print</v>
      </c>
      <c r="D533" s="474"/>
      <c r="E533" s="474"/>
      <c r="F533" s="474"/>
      <c r="G533" s="474"/>
      <c r="H533" s="604"/>
      <c r="I533" s="586" t="s">
        <v>450</v>
      </c>
      <c r="J533" s="586" t="s">
        <v>450</v>
      </c>
      <c r="K533" s="485"/>
    </row>
    <row r="534" spans="1:11" ht="13.5" customHeight="1" x14ac:dyDescent="0.3">
      <c r="A534" s="3" t="str">
        <f>IF(AND(I534=0,J534=0),"Do Not Print","Print")</f>
        <v>Do Not Print</v>
      </c>
      <c r="D534" s="1738" t="s">
        <v>637</v>
      </c>
      <c r="E534" s="1803"/>
      <c r="F534" s="1803"/>
      <c r="G534" s="1739"/>
      <c r="H534" s="610"/>
      <c r="I534" s="600">
        <f>'Det BS '!J390</f>
        <v>0</v>
      </c>
      <c r="J534" s="600">
        <f>'Det BS '!K390</f>
        <v>0</v>
      </c>
      <c r="K534" s="402"/>
    </row>
    <row r="535" spans="1:11" x14ac:dyDescent="0.3">
      <c r="A535" s="3" t="str">
        <f>IF(AND(I535=0,J535=0),"Do Not Print","Print")</f>
        <v>Do Not Print</v>
      </c>
      <c r="D535" s="1738" t="s">
        <v>2941</v>
      </c>
      <c r="E535" s="1803"/>
      <c r="F535" s="1803"/>
      <c r="G535" s="1739"/>
      <c r="H535" s="610"/>
      <c r="I535" s="598">
        <f>('Non TB - Note 3 - 9'!H79-'Non TB - Note 3 - 9'!H83)</f>
        <v>0</v>
      </c>
      <c r="J535" s="598">
        <f>('Non TB - Note 3 - 9'!I79-'Non TB - Note 3 - 9'!I83)</f>
        <v>0</v>
      </c>
      <c r="K535" s="402"/>
    </row>
    <row r="536" spans="1:11" x14ac:dyDescent="0.3">
      <c r="A536" s="3" t="str">
        <f>IF(A535="Print","Print","Do Not Print")</f>
        <v>Do Not Print</v>
      </c>
      <c r="D536" s="1994"/>
      <c r="E536" s="1995"/>
      <c r="F536" s="1995"/>
      <c r="G536" s="1995"/>
      <c r="H536" s="1995"/>
      <c r="I536" s="1995"/>
      <c r="J536" s="1996"/>
      <c r="K536" s="402"/>
    </row>
    <row r="537" spans="1:11" ht="13.5" customHeight="1" x14ac:dyDescent="0.3">
      <c r="A537" s="3" t="str">
        <f>IF(AND(I537=0,J537=0),"Do Not Print","Print")</f>
        <v>Do Not Print</v>
      </c>
      <c r="D537" s="474" t="s">
        <v>638</v>
      </c>
      <c r="E537" s="474"/>
      <c r="F537" s="474"/>
      <c r="G537" s="474"/>
      <c r="H537" s="604"/>
      <c r="I537" s="606">
        <f>SUM(I534:I535)</f>
        <v>0</v>
      </c>
      <c r="J537" s="606">
        <f>SUM(J534:J535)</f>
        <v>0</v>
      </c>
      <c r="K537" s="613"/>
    </row>
    <row r="538" spans="1:11" ht="13.5" customHeight="1" x14ac:dyDescent="0.3">
      <c r="A538" s="3" t="str">
        <f>IF(A537="Print","Print","Do Not Print")</f>
        <v>Do Not Print</v>
      </c>
      <c r="D538" s="1500"/>
      <c r="E538" s="1500"/>
      <c r="F538" s="1500"/>
      <c r="G538" s="1500"/>
      <c r="H538" s="1500"/>
      <c r="I538" s="1500"/>
      <c r="J538" s="1500"/>
    </row>
    <row r="539" spans="1:11" ht="13.5" customHeight="1" x14ac:dyDescent="0.3">
      <c r="A539" s="3" t="str">
        <f>IF(AND(I546=0,J546=0),"Do Not Print","Print")</f>
        <v>Do Not Print</v>
      </c>
      <c r="C539" s="585" t="str">
        <f>Checklist!E110</f>
        <v>b</v>
      </c>
      <c r="D539" s="474" t="s">
        <v>639</v>
      </c>
      <c r="E539" s="474"/>
      <c r="F539" s="474"/>
      <c r="G539" s="474"/>
      <c r="H539" s="604"/>
      <c r="I539" s="586" t="str">
        <f>I532</f>
        <v>2025/26</v>
      </c>
      <c r="J539" s="586" t="str">
        <f>J532</f>
        <v>2024/25</v>
      </c>
      <c r="K539" s="544"/>
    </row>
    <row r="540" spans="1:11" ht="13.5" customHeight="1" x14ac:dyDescent="0.3">
      <c r="A540" s="3" t="str">
        <f>IF(A539="Print","Print","Do Not Print")</f>
        <v>Do Not Print</v>
      </c>
      <c r="D540" s="474"/>
      <c r="E540" s="474"/>
      <c r="F540" s="474"/>
      <c r="G540" s="474"/>
      <c r="H540" s="604"/>
      <c r="I540" s="586" t="s">
        <v>450</v>
      </c>
      <c r="J540" s="586" t="s">
        <v>450</v>
      </c>
      <c r="K540" s="485"/>
    </row>
    <row r="541" spans="1:11" ht="13.5" customHeight="1" x14ac:dyDescent="0.3">
      <c r="A541" s="3" t="str">
        <f>IF(AND(I541=0,J541=0),"Do Not Print","Print")</f>
        <v>Do Not Print</v>
      </c>
      <c r="D541" s="1738" t="s">
        <v>640</v>
      </c>
      <c r="E541" s="1803"/>
      <c r="F541" s="1803"/>
      <c r="G541" s="1739"/>
      <c r="H541" s="610"/>
      <c r="I541" s="600">
        <f>'Det BS '!J439</f>
        <v>0</v>
      </c>
      <c r="J541" s="600">
        <f>'Det BS '!K439</f>
        <v>0</v>
      </c>
      <c r="K541" s="402"/>
    </row>
    <row r="542" spans="1:11" ht="13.5" customHeight="1" x14ac:dyDescent="0.3">
      <c r="A542" s="3" t="str">
        <f>IF(AND(I542=0,J542=0),"Do Not Print","Print")</f>
        <v>Do Not Print</v>
      </c>
      <c r="D542" s="1738" t="s">
        <v>641</v>
      </c>
      <c r="E542" s="1803"/>
      <c r="F542" s="1803"/>
      <c r="G542" s="1739"/>
      <c r="H542" s="610"/>
      <c r="I542" s="600">
        <f>'Det BS '!J440</f>
        <v>0</v>
      </c>
      <c r="J542" s="600">
        <f>'Det BS '!K440</f>
        <v>0</v>
      </c>
      <c r="K542" s="402"/>
    </row>
    <row r="543" spans="1:11" ht="13.5" customHeight="1" x14ac:dyDescent="0.3">
      <c r="A543" s="3" t="str">
        <f>IF(AND(I543=0,J543=0),"Do Not Print","Print")</f>
        <v>Do Not Print</v>
      </c>
      <c r="D543" s="1738" t="s">
        <v>642</v>
      </c>
      <c r="E543" s="1803"/>
      <c r="F543" s="1803"/>
      <c r="G543" s="1739"/>
      <c r="H543" s="610"/>
      <c r="I543" s="600">
        <f>'Det BS '!J441</f>
        <v>0</v>
      </c>
      <c r="J543" s="600">
        <f>'Det BS '!K441</f>
        <v>0</v>
      </c>
      <c r="K543" s="402"/>
    </row>
    <row r="544" spans="1:11" ht="13.5" customHeight="1" x14ac:dyDescent="0.3">
      <c r="A544" s="3" t="str">
        <f>IF(AND(I544=0,J544=0),"Do Not Print","Print")</f>
        <v>Do Not Print</v>
      </c>
      <c r="D544" s="1738" t="s">
        <v>643</v>
      </c>
      <c r="E544" s="1803"/>
      <c r="F544" s="1803"/>
      <c r="G544" s="1739"/>
      <c r="H544" s="610"/>
      <c r="I544" s="600">
        <f>'Det BS '!J442</f>
        <v>0</v>
      </c>
      <c r="J544" s="600">
        <f>'Det BS '!K442</f>
        <v>0</v>
      </c>
      <c r="K544" s="402"/>
    </row>
    <row r="545" spans="1:12" ht="13.5" customHeight="1" x14ac:dyDescent="0.3">
      <c r="A545" s="3" t="str">
        <f>IF(A544="Print","Print","Do Not Print")</f>
        <v>Do Not Print</v>
      </c>
      <c r="D545" s="1738"/>
      <c r="E545" s="1803"/>
      <c r="F545" s="1803"/>
      <c r="G545" s="1803"/>
      <c r="H545" s="1803"/>
      <c r="I545" s="1803"/>
      <c r="J545" s="1739"/>
      <c r="K545" s="402"/>
    </row>
    <row r="546" spans="1:12" ht="13.5" customHeight="1" x14ac:dyDescent="0.3">
      <c r="A546" s="3" t="str">
        <f>IF(AND(I546=0,J546=0),"Do Not Print","Print")</f>
        <v>Do Not Print</v>
      </c>
      <c r="D546" s="474" t="s">
        <v>644</v>
      </c>
      <c r="E546" s="474"/>
      <c r="F546" s="474"/>
      <c r="G546" s="474"/>
      <c r="H546" s="604"/>
      <c r="I546" s="606">
        <f>SUM(I541:I545)</f>
        <v>0</v>
      </c>
      <c r="J546" s="606">
        <f>SUM(J541:J545)</f>
        <v>0</v>
      </c>
      <c r="K546" s="402"/>
    </row>
    <row r="547" spans="1:12" ht="13.5" customHeight="1" x14ac:dyDescent="0.3">
      <c r="A547" s="3" t="str">
        <f>IF(A546="Print","Print","Do Not Print")</f>
        <v>Do Not Print</v>
      </c>
      <c r="D547" s="1500"/>
      <c r="E547" s="1500"/>
      <c r="F547" s="1500"/>
      <c r="G547" s="1500"/>
      <c r="H547" s="1500"/>
      <c r="I547" s="1500"/>
      <c r="J547" s="1500"/>
      <c r="K547" s="402"/>
    </row>
    <row r="548" spans="1:12" ht="13.5" customHeight="1" x14ac:dyDescent="0.3">
      <c r="A548" s="3" t="str">
        <f>IF(AND(I548=0,J548=0),"Do Not Print","Print")</f>
        <v>Do Not Print</v>
      </c>
      <c r="D548" s="474" t="s">
        <v>645</v>
      </c>
      <c r="E548" s="474"/>
      <c r="F548" s="474"/>
      <c r="G548" s="474"/>
      <c r="H548" s="604"/>
      <c r="I548" s="511">
        <f>I537+I546</f>
        <v>0</v>
      </c>
      <c r="J548" s="511">
        <f>J537+J546</f>
        <v>0</v>
      </c>
      <c r="K548" s="402"/>
    </row>
    <row r="549" spans="1:12" ht="13.5" customHeight="1" x14ac:dyDescent="0.3">
      <c r="A549" s="3" t="str">
        <f>IF(A548="Print","Print","Do Not Print")</f>
        <v>Do Not Print</v>
      </c>
      <c r="D549" s="1510"/>
      <c r="E549" s="1510"/>
      <c r="F549" s="1510"/>
      <c r="G549" s="1510"/>
      <c r="H549" s="1510"/>
      <c r="I549" s="1510"/>
      <c r="J549" s="1510"/>
      <c r="K549" s="402"/>
    </row>
    <row r="550" spans="1:12" ht="13.5" customHeight="1" x14ac:dyDescent="0.3">
      <c r="A550" s="3" t="str">
        <f>IF(AND(I568=0,J568=0),"Do Not Print","Print")</f>
        <v>Do Not Print</v>
      </c>
      <c r="B550" s="585">
        <f>Checklist!E111</f>
        <v>18</v>
      </c>
      <c r="C550" s="401"/>
      <c r="D550" s="474" t="s">
        <v>1479</v>
      </c>
      <c r="E550" s="474"/>
      <c r="F550" s="479"/>
      <c r="G550" s="479"/>
      <c r="H550" s="604"/>
      <c r="I550" s="586"/>
      <c r="J550" s="586"/>
      <c r="K550" s="402"/>
    </row>
    <row r="551" spans="1:12" ht="13.5" customHeight="1" x14ac:dyDescent="0.3">
      <c r="A551" s="3" t="str">
        <f>IF(A568="Print","Print","Do Not Print")</f>
        <v>Do Not Print</v>
      </c>
      <c r="C551" s="585" t="str">
        <f>Checklist!E112</f>
        <v>a</v>
      </c>
      <c r="D551" s="474" t="s">
        <v>395</v>
      </c>
      <c r="E551" s="474"/>
      <c r="F551" s="479"/>
      <c r="G551" s="479"/>
      <c r="H551" s="604"/>
      <c r="I551" s="586" t="str">
        <f>I539</f>
        <v>2025/26</v>
      </c>
      <c r="J551" s="586" t="str">
        <f>J532</f>
        <v>2024/25</v>
      </c>
      <c r="K551" s="609"/>
    </row>
    <row r="552" spans="1:12" ht="13.5" customHeight="1" x14ac:dyDescent="0.3">
      <c r="A552" s="3" t="str">
        <f>IF(A550="Print","Print","Do Not Print")</f>
        <v>Do Not Print</v>
      </c>
      <c r="D552" s="474"/>
      <c r="E552" s="474"/>
      <c r="F552" s="474"/>
      <c r="G552" s="474"/>
      <c r="H552" s="604"/>
      <c r="I552" s="586" t="s">
        <v>450</v>
      </c>
      <c r="J552" s="586" t="s">
        <v>450</v>
      </c>
      <c r="K552" s="609"/>
    </row>
    <row r="553" spans="1:12" ht="13.5" customHeight="1" x14ac:dyDescent="0.3">
      <c r="A553" s="3" t="str">
        <f>IF(AND(I553=0,J553=0),"Do Not Print","Print")</f>
        <v>Do Not Print</v>
      </c>
      <c r="D553" s="1738" t="s">
        <v>365</v>
      </c>
      <c r="E553" s="1803"/>
      <c r="F553" s="1803"/>
      <c r="G553" s="1739"/>
      <c r="H553" s="610"/>
      <c r="I553" s="600">
        <f>'Det BS '!J394</f>
        <v>0</v>
      </c>
      <c r="J553" s="600">
        <f>'Det BS '!K394</f>
        <v>0</v>
      </c>
      <c r="K553" s="933"/>
      <c r="L553" s="75"/>
    </row>
    <row r="554" spans="1:12" ht="13.5" customHeight="1" x14ac:dyDescent="0.3">
      <c r="A554" s="3" t="str">
        <f t="shared" ref="A554:A566" si="17">IF(AND(I554=0,J554=0),"Do Not Print","Print")</f>
        <v>Do Not Print</v>
      </c>
      <c r="D554" s="1738" t="s">
        <v>396</v>
      </c>
      <c r="E554" s="1803"/>
      <c r="F554" s="1803"/>
      <c r="G554" s="1739"/>
      <c r="H554" s="610"/>
      <c r="I554" s="600">
        <f>'Det BS '!J395</f>
        <v>0</v>
      </c>
      <c r="J554" s="600">
        <f>'Det BS '!K395</f>
        <v>0</v>
      </c>
      <c r="K554" s="933"/>
      <c r="L554" s="75"/>
    </row>
    <row r="555" spans="1:12" x14ac:dyDescent="0.3">
      <c r="A555" s="3" t="str">
        <f t="shared" si="17"/>
        <v>Do Not Print</v>
      </c>
      <c r="D555" s="1738" t="s">
        <v>367</v>
      </c>
      <c r="E555" s="1803"/>
      <c r="F555" s="1803"/>
      <c r="G555" s="1739"/>
      <c r="H555" s="610"/>
      <c r="I555" s="600">
        <f>'Det BS '!J396</f>
        <v>0</v>
      </c>
      <c r="J555" s="600">
        <f>'Det BS '!K396</f>
        <v>0</v>
      </c>
      <c r="K555" s="933"/>
      <c r="L555" s="75"/>
    </row>
    <row r="556" spans="1:12" x14ac:dyDescent="0.3">
      <c r="A556" s="3" t="str">
        <f t="shared" si="17"/>
        <v>Do Not Print</v>
      </c>
      <c r="D556" s="1738" t="s">
        <v>368</v>
      </c>
      <c r="E556" s="1803"/>
      <c r="F556" s="1803"/>
      <c r="G556" s="1739"/>
      <c r="H556" s="610"/>
      <c r="I556" s="600">
        <f>'Det BS '!J397</f>
        <v>0</v>
      </c>
      <c r="J556" s="600">
        <f>'Det BS '!K397</f>
        <v>0</v>
      </c>
      <c r="K556" s="933"/>
      <c r="L556" s="75"/>
    </row>
    <row r="557" spans="1:12" x14ac:dyDescent="0.3">
      <c r="A557" s="3" t="str">
        <f t="shared" si="17"/>
        <v>Do Not Print</v>
      </c>
      <c r="D557" s="1738" t="s">
        <v>397</v>
      </c>
      <c r="E557" s="1803"/>
      <c r="F557" s="1803"/>
      <c r="G557" s="1739"/>
      <c r="H557" s="610"/>
      <c r="I557" s="600">
        <f>'Det BS '!J399</f>
        <v>0</v>
      </c>
      <c r="J557" s="600">
        <f>'Det BS '!K399</f>
        <v>0</v>
      </c>
      <c r="K557" s="933"/>
      <c r="L557" s="75"/>
    </row>
    <row r="558" spans="1:12" ht="13.5" customHeight="1" x14ac:dyDescent="0.3">
      <c r="A558" s="3" t="str">
        <f t="shared" si="17"/>
        <v>Do Not Print</v>
      </c>
      <c r="D558" s="1738" t="s">
        <v>646</v>
      </c>
      <c r="E558" s="1803"/>
      <c r="F558" s="1803"/>
      <c r="G558" s="1739"/>
      <c r="H558" s="610"/>
      <c r="I558" s="600">
        <f>'Det BS '!J398</f>
        <v>0</v>
      </c>
      <c r="J558" s="600">
        <f>'Det BS '!K398</f>
        <v>0</v>
      </c>
      <c r="K558" s="933"/>
      <c r="L558" s="75"/>
    </row>
    <row r="559" spans="1:12" ht="13.5" customHeight="1" x14ac:dyDescent="0.3">
      <c r="A559" s="3" t="str">
        <f t="shared" si="17"/>
        <v>Do Not Print</v>
      </c>
      <c r="D559" s="1738" t="s">
        <v>398</v>
      </c>
      <c r="E559" s="1803"/>
      <c r="F559" s="1803"/>
      <c r="G559" s="1739"/>
      <c r="H559" s="610"/>
      <c r="I559" s="600">
        <f>'Det BS '!J400</f>
        <v>0</v>
      </c>
      <c r="J559" s="600">
        <f>'Det BS '!K400</f>
        <v>0</v>
      </c>
      <c r="K559" s="933"/>
      <c r="L559" s="75"/>
    </row>
    <row r="560" spans="1:12" ht="13.5" customHeight="1" x14ac:dyDescent="0.3">
      <c r="A560" s="3" t="str">
        <f t="shared" si="17"/>
        <v>Do Not Print</v>
      </c>
      <c r="D560" s="1738" t="s">
        <v>399</v>
      </c>
      <c r="E560" s="1803"/>
      <c r="F560" s="1803"/>
      <c r="G560" s="1739"/>
      <c r="H560" s="610"/>
      <c r="I560" s="600">
        <f>'Det BS '!J401</f>
        <v>0</v>
      </c>
      <c r="J560" s="600">
        <f>'Det BS '!K401</f>
        <v>0</v>
      </c>
      <c r="K560" s="933"/>
      <c r="L560" s="75"/>
    </row>
    <row r="561" spans="1:13" ht="13.5" customHeight="1" x14ac:dyDescent="0.3">
      <c r="A561" s="3" t="str">
        <f t="shared" si="17"/>
        <v>Do Not Print</v>
      </c>
      <c r="D561" s="1738" t="s">
        <v>522</v>
      </c>
      <c r="E561" s="1803"/>
      <c r="F561" s="1803"/>
      <c r="G561" s="1739"/>
      <c r="H561" s="861"/>
      <c r="I561" s="862">
        <f>'Det BS '!J402</f>
        <v>0</v>
      </c>
      <c r="J561" s="862">
        <f>'Det BS '!K402</f>
        <v>0</v>
      </c>
      <c r="K561" s="933"/>
      <c r="L561" s="75"/>
    </row>
    <row r="562" spans="1:13" x14ac:dyDescent="0.3">
      <c r="A562" s="3" t="str">
        <f t="shared" si="17"/>
        <v>Do Not Print</v>
      </c>
      <c r="D562" s="1738" t="s">
        <v>523</v>
      </c>
      <c r="E562" s="1803"/>
      <c r="F562" s="1803"/>
      <c r="G562" s="1739"/>
      <c r="H562" s="861"/>
      <c r="I562" s="862">
        <f>'Det BS '!J403</f>
        <v>0</v>
      </c>
      <c r="J562" s="862">
        <f>'Det BS '!K403</f>
        <v>0</v>
      </c>
      <c r="K562" s="933"/>
      <c r="L562" s="75"/>
    </row>
    <row r="563" spans="1:13" ht="13.5" customHeight="1" x14ac:dyDescent="0.3">
      <c r="A563" s="3" t="str">
        <f t="shared" si="17"/>
        <v>Do Not Print</v>
      </c>
      <c r="D563" s="1738" t="s">
        <v>400</v>
      </c>
      <c r="E563" s="1803"/>
      <c r="F563" s="1803"/>
      <c r="G563" s="1739"/>
      <c r="H563" s="610"/>
      <c r="I563" s="600">
        <f>'Det BS '!J404</f>
        <v>0</v>
      </c>
      <c r="J563" s="600">
        <f>'Det BS '!K404</f>
        <v>0</v>
      </c>
      <c r="K563" s="933"/>
      <c r="L563" s="75"/>
    </row>
    <row r="564" spans="1:13" ht="13.5" customHeight="1" x14ac:dyDescent="0.3">
      <c r="A564" s="3" t="str">
        <f t="shared" si="17"/>
        <v>Do Not Print</v>
      </c>
      <c r="D564" s="1738" t="s">
        <v>401</v>
      </c>
      <c r="E564" s="1803"/>
      <c r="F564" s="1803"/>
      <c r="G564" s="1739"/>
      <c r="H564" s="610"/>
      <c r="I564" s="600">
        <f>'Det BS '!J405</f>
        <v>0</v>
      </c>
      <c r="J564" s="600">
        <f>'Det BS '!K405</f>
        <v>0</v>
      </c>
      <c r="K564" s="933"/>
      <c r="L564" s="75"/>
    </row>
    <row r="565" spans="1:13" ht="13.5" customHeight="1" x14ac:dyDescent="0.3">
      <c r="A565" s="3" t="str">
        <f t="shared" si="17"/>
        <v>Do Not Print</v>
      </c>
      <c r="D565" s="1738" t="s">
        <v>379</v>
      </c>
      <c r="E565" s="1803"/>
      <c r="F565" s="1803"/>
      <c r="G565" s="1739"/>
      <c r="H565" s="610"/>
      <c r="I565" s="600">
        <f>'Det BS '!J406</f>
        <v>0</v>
      </c>
      <c r="J565" s="600">
        <f>'Det BS '!K406</f>
        <v>0</v>
      </c>
      <c r="K565" s="933"/>
      <c r="L565" s="75"/>
    </row>
    <row r="566" spans="1:13" ht="13.5" customHeight="1" x14ac:dyDescent="0.3">
      <c r="A566" s="3" t="str">
        <f t="shared" si="17"/>
        <v>Do Not Print</v>
      </c>
      <c r="D566" s="1817" t="s">
        <v>2751</v>
      </c>
      <c r="E566" s="1817"/>
      <c r="F566" s="1817"/>
      <c r="G566" s="1817"/>
      <c r="H566" s="1232"/>
      <c r="I566" s="1226">
        <f>'Det BS '!J407</f>
        <v>0</v>
      </c>
      <c r="J566" s="1226">
        <f>'Det BS '!K407</f>
        <v>0</v>
      </c>
      <c r="K566" s="933"/>
      <c r="L566" s="75"/>
    </row>
    <row r="567" spans="1:13" ht="13.5" customHeight="1" x14ac:dyDescent="0.3">
      <c r="A567" s="3" t="str">
        <f>IF(A565="Print","Print","Do Not Print")</f>
        <v>Do Not Print</v>
      </c>
      <c r="D567" s="1738"/>
      <c r="E567" s="1803"/>
      <c r="F567" s="1803"/>
      <c r="G567" s="1803"/>
      <c r="H567" s="1803"/>
      <c r="I567" s="1803"/>
      <c r="J567" s="1739"/>
      <c r="K567" s="875"/>
      <c r="L567" s="75"/>
    </row>
    <row r="568" spans="1:13" ht="13.5" customHeight="1" x14ac:dyDescent="0.3">
      <c r="A568" s="3" t="str">
        <f>IF(AND(I568=0,J568=0),"Do Not Print","Print")</f>
        <v>Do Not Print</v>
      </c>
      <c r="D568" s="474" t="s">
        <v>647</v>
      </c>
      <c r="E568" s="479"/>
      <c r="F568" s="479"/>
      <c r="G568" s="479"/>
      <c r="H568" s="604"/>
      <c r="I568" s="587">
        <f>SUM(I553:I566)</f>
        <v>0</v>
      </c>
      <c r="J568" s="587">
        <f>SUM(J553:J566)</f>
        <v>0</v>
      </c>
      <c r="K568" s="905"/>
      <c r="L568" s="75"/>
    </row>
    <row r="569" spans="1:13" ht="13.5" customHeight="1" x14ac:dyDescent="0.3">
      <c r="A569" s="3" t="str">
        <f>IF(A568="Print","Print","Do Not Print")</f>
        <v>Do Not Print</v>
      </c>
      <c r="D569" s="1500"/>
      <c r="E569" s="1500"/>
      <c r="F569" s="1500"/>
      <c r="G569" s="1500"/>
      <c r="H569" s="1500"/>
      <c r="I569" s="1500"/>
      <c r="J569" s="1500"/>
    </row>
    <row r="570" spans="1:13" x14ac:dyDescent="0.3">
      <c r="A570" s="3" t="str">
        <f>IF('Non TB - Note 12 to 24'!F35=1,"Print","Do Not Print")</f>
        <v>Print</v>
      </c>
      <c r="D570" s="401" t="str">
        <f>IF('Non TB - Note 12 to 24'!F35=1,'Non TB - Note 12 to 24'!H35,"")</f>
        <v>This amount includes £xxx,xxx of third party income.</v>
      </c>
    </row>
    <row r="571" spans="1:13" x14ac:dyDescent="0.3">
      <c r="A571" s="3" t="str">
        <f>IF(A570="Print","Print","Do Not Print")</f>
        <v>Print</v>
      </c>
      <c r="D571" s="401"/>
    </row>
    <row r="572" spans="1:13" x14ac:dyDescent="0.3">
      <c r="A572" s="3" t="str">
        <f>IF('Non TB - Note 12 to 24'!F36=1,"Print","Do Not Print")</f>
        <v>Print</v>
      </c>
      <c r="D572" s="401" t="str">
        <f>IF('Non TB - Note 12 to 24'!F36=1,'Non TB - Note 12 to 24'!H36,"")</f>
        <v>Council specific text</v>
      </c>
    </row>
    <row r="573" spans="1:13" x14ac:dyDescent="0.3">
      <c r="A573" s="3" t="str">
        <f>IF(A572="Print","Print","Do Not Print")</f>
        <v>Print</v>
      </c>
      <c r="D573" s="401"/>
    </row>
    <row r="574" spans="1:13" x14ac:dyDescent="0.3">
      <c r="A574" s="3" t="str">
        <f>IF(AND(I588=0,J588=0),"Do Not Print","Print")</f>
        <v>Do Not Print</v>
      </c>
      <c r="C574" s="585" t="str">
        <f>Checklist!E113</f>
        <v>b</v>
      </c>
      <c r="D574" s="474" t="s">
        <v>648</v>
      </c>
      <c r="E574" s="479"/>
      <c r="F574" s="479"/>
      <c r="G574" s="479"/>
      <c r="H574" s="604"/>
      <c r="I574" s="586" t="str">
        <f>I551</f>
        <v>2025/26</v>
      </c>
      <c r="J574" s="586" t="str">
        <f>J551</f>
        <v>2024/25</v>
      </c>
      <c r="L574" s="3"/>
    </row>
    <row r="575" spans="1:13" x14ac:dyDescent="0.3">
      <c r="A575" s="3" t="str">
        <f>IF(A574="Print","Print","Do Not Print")</f>
        <v>Do Not Print</v>
      </c>
      <c r="D575" s="479" t="s">
        <v>649</v>
      </c>
      <c r="E575" s="479"/>
      <c r="F575" s="479"/>
      <c r="G575" s="479"/>
      <c r="H575" s="479"/>
      <c r="I575" s="586" t="s">
        <v>450</v>
      </c>
      <c r="J575" s="586" t="s">
        <v>450</v>
      </c>
      <c r="M575" s="405"/>
    </row>
    <row r="576" spans="1:13" x14ac:dyDescent="0.3">
      <c r="A576" s="3" t="str">
        <f>IF(AND(I576=0,J576=0),"Do Not Print","Print")</f>
        <v>Do Not Print</v>
      </c>
      <c r="D576" s="1738" t="s">
        <v>365</v>
      </c>
      <c r="E576" s="1803"/>
      <c r="F576" s="1803"/>
      <c r="G576" s="1739"/>
      <c r="H576" s="610"/>
      <c r="I576" s="600">
        <f>'Det BS '!J447</f>
        <v>0</v>
      </c>
      <c r="J576" s="600">
        <f>'Det BS '!K447</f>
        <v>0</v>
      </c>
      <c r="L576" s="75"/>
    </row>
    <row r="577" spans="1:12" x14ac:dyDescent="0.3">
      <c r="A577" s="3" t="str">
        <f t="shared" ref="A577:A586" si="18">IF(AND(I577=0,J577=0),"Do Not Print","Print")</f>
        <v>Do Not Print</v>
      </c>
      <c r="D577" s="1738" t="s">
        <v>396</v>
      </c>
      <c r="E577" s="1803"/>
      <c r="F577" s="1803"/>
      <c r="G577" s="1739"/>
      <c r="H577" s="610"/>
      <c r="I577" s="600">
        <f>'Det BS '!J448</f>
        <v>0</v>
      </c>
      <c r="J577" s="600">
        <f>'Det BS '!K448</f>
        <v>0</v>
      </c>
      <c r="L577" s="75"/>
    </row>
    <row r="578" spans="1:12" x14ac:dyDescent="0.3">
      <c r="A578" s="3" t="str">
        <f t="shared" si="18"/>
        <v>Do Not Print</v>
      </c>
      <c r="D578" s="1738" t="s">
        <v>367</v>
      </c>
      <c r="E578" s="1803"/>
      <c r="F578" s="1803"/>
      <c r="G578" s="1739"/>
      <c r="H578" s="610"/>
      <c r="I578" s="600">
        <f>'Det BS '!J449</f>
        <v>0</v>
      </c>
      <c r="J578" s="600">
        <f>'Det BS '!K449</f>
        <v>0</v>
      </c>
      <c r="L578" s="75"/>
    </row>
    <row r="579" spans="1:12" x14ac:dyDescent="0.3">
      <c r="A579" s="3" t="str">
        <f t="shared" si="18"/>
        <v>Do Not Print</v>
      </c>
      <c r="D579" s="1738" t="s">
        <v>368</v>
      </c>
      <c r="E579" s="1803"/>
      <c r="F579" s="1803"/>
      <c r="G579" s="1739"/>
      <c r="H579" s="610"/>
      <c r="I579" s="600">
        <f>'Det BS '!J450</f>
        <v>0</v>
      </c>
      <c r="J579" s="600">
        <f>'Det BS '!K450</f>
        <v>0</v>
      </c>
      <c r="L579" s="75"/>
    </row>
    <row r="580" spans="1:12" x14ac:dyDescent="0.3">
      <c r="A580" s="3" t="str">
        <f t="shared" si="18"/>
        <v>Do Not Print</v>
      </c>
      <c r="D580" s="1738" t="s">
        <v>397</v>
      </c>
      <c r="E580" s="1803"/>
      <c r="F580" s="1803"/>
      <c r="G580" s="1739"/>
      <c r="H580" s="610"/>
      <c r="I580" s="600">
        <f>'Det BS '!J451</f>
        <v>0</v>
      </c>
      <c r="J580" s="600">
        <f>'Det BS '!K451</f>
        <v>0</v>
      </c>
      <c r="L580" s="75"/>
    </row>
    <row r="581" spans="1:12" x14ac:dyDescent="0.3">
      <c r="A581" s="3" t="str">
        <f t="shared" si="18"/>
        <v>Do Not Print</v>
      </c>
      <c r="D581" s="1738" t="s">
        <v>398</v>
      </c>
      <c r="E581" s="1803"/>
      <c r="F581" s="1803"/>
      <c r="G581" s="1739"/>
      <c r="H581" s="610"/>
      <c r="I581" s="600">
        <f>'Det BS '!J452</f>
        <v>0</v>
      </c>
      <c r="J581" s="600">
        <f>'Det BS '!K452</f>
        <v>0</v>
      </c>
      <c r="L581" s="75"/>
    </row>
    <row r="582" spans="1:12" x14ac:dyDescent="0.3">
      <c r="A582" s="3" t="str">
        <f t="shared" si="18"/>
        <v>Do Not Print</v>
      </c>
      <c r="D582" s="1738" t="s">
        <v>399</v>
      </c>
      <c r="E582" s="1803"/>
      <c r="F582" s="1803"/>
      <c r="G582" s="1739"/>
      <c r="H582" s="610"/>
      <c r="I582" s="600">
        <f>'Det BS '!J453</f>
        <v>0</v>
      </c>
      <c r="J582" s="600">
        <f>'Det BS '!K453</f>
        <v>0</v>
      </c>
      <c r="L582" s="75"/>
    </row>
    <row r="583" spans="1:12" x14ac:dyDescent="0.3">
      <c r="A583" s="3" t="str">
        <f t="shared" si="18"/>
        <v>Do Not Print</v>
      </c>
      <c r="D583" s="1738" t="s">
        <v>400</v>
      </c>
      <c r="E583" s="1803"/>
      <c r="F583" s="1803"/>
      <c r="G583" s="1739"/>
      <c r="H583" s="610"/>
      <c r="I583" s="600">
        <f>'Det BS '!J454</f>
        <v>0</v>
      </c>
      <c r="J583" s="600">
        <f>'Det BS '!K454</f>
        <v>0</v>
      </c>
      <c r="L583" s="75"/>
    </row>
    <row r="584" spans="1:12" x14ac:dyDescent="0.3">
      <c r="A584" s="3" t="str">
        <f t="shared" si="18"/>
        <v>Do Not Print</v>
      </c>
      <c r="D584" s="1738" t="s">
        <v>401</v>
      </c>
      <c r="E584" s="1803"/>
      <c r="F584" s="1803"/>
      <c r="G584" s="1739"/>
      <c r="H584" s="610"/>
      <c r="I584" s="600">
        <f>'Det BS '!J455</f>
        <v>0</v>
      </c>
      <c r="J584" s="600">
        <f>'Det BS '!K455</f>
        <v>0</v>
      </c>
      <c r="L584" s="75"/>
    </row>
    <row r="585" spans="1:12" x14ac:dyDescent="0.3">
      <c r="A585" s="3" t="str">
        <f t="shared" si="18"/>
        <v>Do Not Print</v>
      </c>
      <c r="D585" s="1738" t="s">
        <v>379</v>
      </c>
      <c r="E585" s="1803"/>
      <c r="F585" s="1803"/>
      <c r="G585" s="1739"/>
      <c r="H585" s="610"/>
      <c r="I585" s="600">
        <f>'Det BS '!J456</f>
        <v>0</v>
      </c>
      <c r="J585" s="600">
        <f>'Det BS '!K456</f>
        <v>0</v>
      </c>
      <c r="L585" s="75"/>
    </row>
    <row r="586" spans="1:12" x14ac:dyDescent="0.3">
      <c r="A586" s="3" t="str">
        <f t="shared" si="18"/>
        <v>Do Not Print</v>
      </c>
      <c r="D586" s="1817" t="s">
        <v>2751</v>
      </c>
      <c r="E586" s="1817"/>
      <c r="F586" s="1817"/>
      <c r="G586" s="1817"/>
      <c r="H586" s="1232"/>
      <c r="I586" s="1226">
        <f>'Det BS '!J457</f>
        <v>0</v>
      </c>
      <c r="J586" s="1226">
        <f>'Det BS '!K457</f>
        <v>0</v>
      </c>
      <c r="L586" s="75"/>
    </row>
    <row r="587" spans="1:12" x14ac:dyDescent="0.3">
      <c r="A587" s="3" t="str">
        <f>IF(A585="Print","Print","Do Not Print")</f>
        <v>Do Not Print</v>
      </c>
      <c r="D587" s="944"/>
      <c r="E587" s="945"/>
      <c r="F587" s="945"/>
      <c r="G587" s="945"/>
      <c r="H587" s="945"/>
      <c r="I587" s="945"/>
      <c r="J587" s="945"/>
      <c r="L587" s="75"/>
    </row>
    <row r="588" spans="1:12" x14ac:dyDescent="0.3">
      <c r="A588" s="3" t="str">
        <f>IF(AND(I588=0,J588=0),"Do Not Print","Print")</f>
        <v>Do Not Print</v>
      </c>
      <c r="D588" s="479" t="s">
        <v>650</v>
      </c>
      <c r="E588" s="479"/>
      <c r="F588" s="479"/>
      <c r="G588" s="479"/>
      <c r="H588" s="604"/>
      <c r="I588" s="614">
        <f>SUM(I576:I586)</f>
        <v>0</v>
      </c>
      <c r="J588" s="614">
        <f>SUM(J576:J586)</f>
        <v>0</v>
      </c>
    </row>
    <row r="589" spans="1:12" x14ac:dyDescent="0.3">
      <c r="A589" s="3" t="str">
        <f>IF(A588="Print","Print","Do Not Print")</f>
        <v>Do Not Print</v>
      </c>
      <c r="D589" s="401"/>
    </row>
    <row r="590" spans="1:12" ht="13.5" customHeight="1" x14ac:dyDescent="0.3">
      <c r="A590" s="3" t="str">
        <f>IF(AND(I590=0,J590=0),"Do Not Print","Print")</f>
        <v>Do Not Print</v>
      </c>
      <c r="D590" s="474" t="s">
        <v>651</v>
      </c>
      <c r="E590" s="474"/>
      <c r="F590" s="474"/>
      <c r="G590" s="474"/>
      <c r="H590" s="604"/>
      <c r="I590" s="511">
        <f>I568+I588</f>
        <v>0</v>
      </c>
      <c r="J590" s="511">
        <f>J568+J588</f>
        <v>0</v>
      </c>
      <c r="L590" s="3"/>
    </row>
    <row r="591" spans="1:12" ht="13.5" customHeight="1" x14ac:dyDescent="0.3">
      <c r="A591" s="3" t="str">
        <f>IF(A590="Print","Print","Do Not Print")</f>
        <v>Do Not Print</v>
      </c>
      <c r="D591" s="1500"/>
      <c r="E591" s="1500"/>
      <c r="F591" s="1500"/>
      <c r="G591" s="1500"/>
      <c r="H591" s="1500"/>
      <c r="I591" s="1500"/>
      <c r="J591" s="1500"/>
    </row>
    <row r="592" spans="1:12" x14ac:dyDescent="0.3">
      <c r="A592" s="3" t="str">
        <f>IF('Non TB - Note 12 to 24'!F37=1,"Print","Do Not Print")</f>
        <v>Print</v>
      </c>
      <c r="D592" s="1500" t="str">
        <f>IF('Non TB - Note 12 to 24'!F37=1,'Non TB - Note 12 to 24'!H37,"")</f>
        <v>The creditor balance for 'Other Councils' includes….xxxx</v>
      </c>
      <c r="E592" s="1500"/>
      <c r="F592" s="1500"/>
      <c r="G592" s="1500"/>
      <c r="H592" s="1500"/>
      <c r="I592" s="1500"/>
      <c r="J592" s="1500"/>
      <c r="K592" s="1500"/>
    </row>
    <row r="593" spans="1:12" x14ac:dyDescent="0.3">
      <c r="A593" s="3" t="str">
        <f>IF(A592="Print","Print","Do Not Print")</f>
        <v>Print</v>
      </c>
      <c r="D593" s="1500"/>
      <c r="E593" s="1500"/>
      <c r="F593" s="1500"/>
      <c r="G593" s="1500"/>
      <c r="H593" s="1500"/>
      <c r="I593" s="1500"/>
      <c r="J593" s="1500"/>
      <c r="K593" s="1500"/>
    </row>
    <row r="594" spans="1:12" x14ac:dyDescent="0.3">
      <c r="A594" s="3" t="str">
        <f>IF('Non TB - Note 12 to 24'!F38=1,"Print","Do Not Print")</f>
        <v>Print</v>
      </c>
      <c r="D594" s="1500" t="str">
        <f>IF('Non TB - Note 12 to 24'!F38=1,'Non TB - Note 12 to 24'!H38,"")</f>
        <v>The creditor balance for 'Other' includes……xxxx</v>
      </c>
      <c r="E594" s="1500"/>
      <c r="F594" s="1500"/>
      <c r="G594" s="1500"/>
      <c r="H594" s="1500"/>
      <c r="I594" s="1500"/>
      <c r="J594" s="1500"/>
      <c r="K594" s="1500"/>
    </row>
    <row r="595" spans="1:12" x14ac:dyDescent="0.3">
      <c r="A595" s="3" t="str">
        <f>IF(A594="Print","Print","Do Not Print")</f>
        <v>Print</v>
      </c>
      <c r="D595" s="1500"/>
      <c r="E595" s="1500"/>
      <c r="F595" s="1500"/>
      <c r="G595" s="1500"/>
      <c r="H595" s="1500"/>
      <c r="I595" s="1500"/>
      <c r="J595" s="1500"/>
      <c r="K595" s="1500"/>
    </row>
    <row r="596" spans="1:12" ht="13.5" customHeight="1" x14ac:dyDescent="0.3">
      <c r="A596" s="3" t="str">
        <f>IF(AND(A598="Print",A600="Print"),"Print","Do Not Print")</f>
        <v>Print</v>
      </c>
      <c r="C596" s="585" t="str">
        <f>Checklist!E114</f>
        <v>c</v>
      </c>
      <c r="D596" s="474" t="s">
        <v>5</v>
      </c>
      <c r="E596" s="474"/>
      <c r="F596" s="479"/>
      <c r="G596" s="479"/>
      <c r="H596" s="604"/>
      <c r="I596" s="586"/>
      <c r="J596" s="586"/>
      <c r="K596" s="481"/>
    </row>
    <row r="597" spans="1:12" ht="13.5" customHeight="1" x14ac:dyDescent="0.3">
      <c r="A597" s="3" t="str">
        <f>IF(A596="Print","Print","Do Not Print")</f>
        <v>Print</v>
      </c>
      <c r="D597" s="1500"/>
      <c r="E597" s="1500"/>
      <c r="F597" s="1500"/>
      <c r="G597" s="1500"/>
      <c r="H597" s="1500"/>
      <c r="I597" s="1500"/>
      <c r="J597" s="1500"/>
      <c r="K597" s="1500"/>
    </row>
    <row r="598" spans="1:12" ht="29.1" customHeight="1" x14ac:dyDescent="0.3">
      <c r="A598" s="3" t="str">
        <f>IF('Non TB - Note 12 to 24'!F39=1,"Print","Do Not Print")</f>
        <v>Print</v>
      </c>
      <c r="D598" s="1506" t="str">
        <f>IF('Non TB - Note 12 to 24'!F39=1,'Non TB - Note 12 to 24'!H39,"")</f>
        <v xml:space="preserve">The council has a target,  where no other terms are agreed, of paying supplier invoices within 30 calendar days.  During the year the Council paid xx invoices totalling £xx.    
</v>
      </c>
      <c r="E598" s="1506"/>
      <c r="F598" s="1506"/>
      <c r="G598" s="1506"/>
      <c r="H598" s="1506"/>
      <c r="I598" s="1506"/>
      <c r="J598" s="1506"/>
      <c r="K598" s="1506"/>
    </row>
    <row r="599" spans="1:12" ht="13.5" customHeight="1" x14ac:dyDescent="0.3">
      <c r="A599" s="3" t="str">
        <f>IF(A598="Print","Print","Do Not Print")</f>
        <v>Print</v>
      </c>
      <c r="D599" s="1500"/>
      <c r="E599" s="1500"/>
      <c r="F599" s="1500"/>
      <c r="G599" s="1500"/>
      <c r="H599" s="1500"/>
      <c r="I599" s="1500"/>
      <c r="J599" s="1500"/>
      <c r="K599" s="1500"/>
    </row>
    <row r="600" spans="1:12" ht="81.75" customHeight="1" x14ac:dyDescent="0.3">
      <c r="A600" s="3" t="str">
        <f>IF('Non TB - Note 12 to 24'!F40=1,"Print","Do Not Print")</f>
        <v>Print</v>
      </c>
      <c r="D600" s="1504" t="str">
        <f>IF('Non TB - Note 12 to 24'!F40=1,'Non TB - Note 12 to 24'!H40,"")</f>
        <v xml:space="preserve">The number of disputed invoices were xx.
The Council paid:
xx (xx%) invoices with 30 calendar days target;
xx(xx%) invoices within 10 working days target; and 
xx invoices outside of the 30 day target.
The average number of days taken to pay suppliers during the year was xx days.   </v>
      </c>
      <c r="E600" s="1504"/>
      <c r="F600" s="1504"/>
      <c r="G600" s="1504"/>
      <c r="H600" s="1504"/>
      <c r="I600" s="1504"/>
      <c r="J600" s="1504"/>
      <c r="K600" s="1504"/>
    </row>
    <row r="601" spans="1:12" ht="13.5" customHeight="1" x14ac:dyDescent="0.3">
      <c r="A601" s="3" t="str">
        <f>IF(A600="Print","Print","Do Not Print")</f>
        <v>Print</v>
      </c>
      <c r="D601" s="1500"/>
      <c r="E601" s="1500"/>
      <c r="F601" s="1500"/>
      <c r="G601" s="1500"/>
      <c r="H601" s="1500"/>
      <c r="I601" s="1500"/>
      <c r="J601" s="1500"/>
      <c r="K601" s="1500"/>
    </row>
    <row r="602" spans="1:12" ht="13.5" customHeight="1" x14ac:dyDescent="0.3">
      <c r="A602" s="3" t="str">
        <f>IF(AND(F611=0,G611=0,H611=0,I611=0,J611=0,K611=0),"Do Not Print","Print")</f>
        <v>Do Not Print</v>
      </c>
      <c r="D602" s="1500"/>
      <c r="E602" s="1500"/>
      <c r="F602" s="1500"/>
      <c r="G602" s="1500"/>
      <c r="H602" s="1500"/>
      <c r="I602" s="1500"/>
      <c r="J602" s="1500"/>
      <c r="K602" s="1500"/>
    </row>
    <row r="603" spans="1:12" ht="13.5" customHeight="1" x14ac:dyDescent="0.3">
      <c r="A603" s="3" t="str">
        <f>IF(A604="Print","Print","Do Not Print")</f>
        <v>Do Not Print</v>
      </c>
      <c r="B603" s="585">
        <f>Checklist!E115</f>
        <v>19</v>
      </c>
      <c r="D603" s="1764" t="s">
        <v>308</v>
      </c>
      <c r="E603" s="1764"/>
      <c r="F603" s="1764"/>
      <c r="G603" s="1764"/>
      <c r="H603" s="1764"/>
      <c r="I603" s="1764"/>
      <c r="J603" s="1764"/>
      <c r="K603" s="1764"/>
      <c r="L603" s="3"/>
    </row>
    <row r="604" spans="1:12" s="25" customFormat="1" ht="39" customHeight="1" x14ac:dyDescent="0.3">
      <c r="A604" s="3" t="str">
        <f>IF(AND(F611=0,G611=0,H611=0,I611=0,J611=0,K611=0),"Do Not Print","Print")</f>
        <v>Do Not Print</v>
      </c>
      <c r="B604" s="597"/>
      <c r="C604" s="597"/>
      <c r="D604" s="1764"/>
      <c r="E604" s="1764"/>
      <c r="F604" s="615" t="str">
        <f>'Standing Data'!D48</f>
        <v>Balance as at 1 April 2025</v>
      </c>
      <c r="G604" s="615" t="s">
        <v>652</v>
      </c>
      <c r="H604" s="615" t="s">
        <v>653</v>
      </c>
      <c r="I604" s="615" t="s">
        <v>654</v>
      </c>
      <c r="J604" s="615" t="s">
        <v>655</v>
      </c>
      <c r="K604" s="615" t="str">
        <f>'Standing Data'!D46</f>
        <v>Balance as at 31 March 2026</v>
      </c>
    </row>
    <row r="605" spans="1:12" ht="13.5" customHeight="1" x14ac:dyDescent="0.3">
      <c r="A605" s="3" t="str">
        <f>IF(A604="Print","Print","Do Not Print")</f>
        <v>Do Not Print</v>
      </c>
      <c r="D605" s="1968"/>
      <c r="E605" s="1968"/>
      <c r="F605" s="586" t="s">
        <v>450</v>
      </c>
      <c r="G605" s="586" t="s">
        <v>450</v>
      </c>
      <c r="H605" s="586" t="s">
        <v>450</v>
      </c>
      <c r="I605" s="586" t="s">
        <v>450</v>
      </c>
      <c r="J605" s="586" t="s">
        <v>450</v>
      </c>
      <c r="K605" s="586" t="s">
        <v>450</v>
      </c>
    </row>
    <row r="606" spans="1:12" ht="17.25" customHeight="1" x14ac:dyDescent="0.3">
      <c r="A606" s="3" t="str">
        <f>IF(AND(F606=0,G606=0,H606=0,I606=0,J606=0,K606=0),"Do Not Print","Print")</f>
        <v>Do Not Print</v>
      </c>
      <c r="D606" s="1957" t="str">
        <f>'Input - BS'!G376</f>
        <v>Outstanding legal cases</v>
      </c>
      <c r="E606" s="1959"/>
      <c r="F606" s="601">
        <f>'Det BS '!J411+'Det BS '!J461</f>
        <v>0</v>
      </c>
      <c r="G606" s="601">
        <f>'Det BS '!J412+'Det BS '!J462</f>
        <v>0</v>
      </c>
      <c r="H606" s="601">
        <f>-('Det BS '!J413+'Det BS '!J463)</f>
        <v>0</v>
      </c>
      <c r="I606" s="601">
        <f>-('Det BS '!J414+'Det BS '!J464)</f>
        <v>0</v>
      </c>
      <c r="J606" s="601">
        <f>'Det BS '!J465+'Det BS '!J415</f>
        <v>0</v>
      </c>
      <c r="K606" s="616">
        <f>SUM(F606:J606)</f>
        <v>0</v>
      </c>
      <c r="L606" s="75"/>
    </row>
    <row r="607" spans="1:12" ht="28.5" customHeight="1" x14ac:dyDescent="0.3">
      <c r="A607" s="3" t="str">
        <f>IF(AND(F607=0,G607=0,H607=0,I607=0,J607=0,K607=0),"Do Not Print","Print")</f>
        <v>Do Not Print</v>
      </c>
      <c r="D607" s="1957" t="str">
        <f>'Input - BS'!G381</f>
        <v>Injury and Damage Compensation claims</v>
      </c>
      <c r="E607" s="1959"/>
      <c r="F607" s="601">
        <f>'Det BS '!J466+'Det BS '!J416</f>
        <v>0</v>
      </c>
      <c r="G607" s="601">
        <f>'Det BS '!J467+'Det BS '!J417</f>
        <v>0</v>
      </c>
      <c r="H607" s="601">
        <f>-('Det BS '!J468+'Det BS '!J418)</f>
        <v>0</v>
      </c>
      <c r="I607" s="601">
        <f>-('Det BS '!J469+'Det BS '!J419)</f>
        <v>0</v>
      </c>
      <c r="J607" s="601">
        <f>'Det BS '!J470+'Det BS '!J420</f>
        <v>0</v>
      </c>
      <c r="K607" s="616">
        <f>SUM(F607:J607)</f>
        <v>0</v>
      </c>
      <c r="L607" s="75"/>
    </row>
    <row r="608" spans="1:12" x14ac:dyDescent="0.3">
      <c r="A608" s="3" t="str">
        <f>IF(AND(F608=0,G608=0,H608=0,I608=0,J608=0,K608=0),"Do Not Print","Print")</f>
        <v>Do Not Print</v>
      </c>
      <c r="D608" s="1738" t="str">
        <f>'Input - BS'!G386</f>
        <v>Provision 2</v>
      </c>
      <c r="E608" s="1739"/>
      <c r="F608" s="601">
        <f>'Det BS '!J471+'Det BS '!J421</f>
        <v>0</v>
      </c>
      <c r="G608" s="601">
        <f>'Det BS '!J472+'Det BS '!J422</f>
        <v>0</v>
      </c>
      <c r="H608" s="601">
        <f>-('Det BS '!J473+'Det BS '!J423)</f>
        <v>0</v>
      </c>
      <c r="I608" s="601">
        <f>-('Det BS '!J474+'Det BS '!J424)</f>
        <v>0</v>
      </c>
      <c r="J608" s="601">
        <f>'Det BS '!J475+'Det BS '!J425</f>
        <v>0</v>
      </c>
      <c r="K608" s="616">
        <f>SUM(F608:J608)</f>
        <v>0</v>
      </c>
      <c r="L608" s="75"/>
    </row>
    <row r="609" spans="1:14" ht="13.5" customHeight="1" x14ac:dyDescent="0.3">
      <c r="A609" s="3" t="str">
        <f>IF(AND(F609=0,G609=0,H609=0,I609=0,J609=0,K609=0),"Do Not Print","Print")</f>
        <v>Do Not Print</v>
      </c>
      <c r="D609" s="1738" t="str">
        <f>'Input - BS'!G391</f>
        <v>Other</v>
      </c>
      <c r="E609" s="1739"/>
      <c r="F609" s="601">
        <f>'Det BS '!J476+'Det BS '!J426</f>
        <v>0</v>
      </c>
      <c r="G609" s="601">
        <f>'Det BS '!J477+'Det BS '!J427</f>
        <v>0</v>
      </c>
      <c r="H609" s="601">
        <f>-('Det BS '!J478+'Det BS '!J428)</f>
        <v>0</v>
      </c>
      <c r="I609" s="601">
        <f>-('Det BS '!J479+'Det BS '!J429)</f>
        <v>0</v>
      </c>
      <c r="J609" s="601">
        <f>'Det BS '!J480+'Det BS '!J430</f>
        <v>0</v>
      </c>
      <c r="K609" s="616">
        <f>SUM(F609:J609)</f>
        <v>0</v>
      </c>
      <c r="L609" s="75"/>
      <c r="N609" s="3"/>
    </row>
    <row r="610" spans="1:14" ht="13.5" customHeight="1" x14ac:dyDescent="0.3">
      <c r="A610" s="3" t="str">
        <f>IF(A609="Print","Print","Do Not Print")</f>
        <v>Do Not Print</v>
      </c>
      <c r="D610" s="1738"/>
      <c r="E610" s="1803"/>
      <c r="F610" s="1803"/>
      <c r="G610" s="1803"/>
      <c r="H610" s="1803"/>
      <c r="I610" s="1803"/>
      <c r="J610" s="1803"/>
      <c r="K610" s="1739"/>
      <c r="L610" s="75"/>
    </row>
    <row r="611" spans="1:14" ht="13.5" customHeight="1" x14ac:dyDescent="0.3">
      <c r="A611" s="3" t="str">
        <f>IF(AND(F611=0,G611=0,H611=0,I611=0,J611=0,K611=0),"Do Not Print","Print")</f>
        <v>Do Not Print</v>
      </c>
      <c r="D611" s="474" t="s">
        <v>74</v>
      </c>
      <c r="E611" s="604"/>
      <c r="F611" s="606">
        <f t="shared" ref="F611:K611" si="19">SUM(F606:F610)</f>
        <v>0</v>
      </c>
      <c r="G611" s="606">
        <f t="shared" si="19"/>
        <v>0</v>
      </c>
      <c r="H611" s="606">
        <f t="shared" si="19"/>
        <v>0</v>
      </c>
      <c r="I611" s="606">
        <f t="shared" si="19"/>
        <v>0</v>
      </c>
      <c r="J611" s="606">
        <f t="shared" si="19"/>
        <v>0</v>
      </c>
      <c r="K611" s="606">
        <f t="shared" si="19"/>
        <v>0</v>
      </c>
      <c r="L611" s="75"/>
    </row>
    <row r="612" spans="1:14" ht="13.5" customHeight="1" x14ac:dyDescent="0.3">
      <c r="A612" s="3" t="str">
        <f>IF(A611="Print","Print","Do Not Print")</f>
        <v>Do Not Print</v>
      </c>
      <c r="D612" s="1500"/>
      <c r="E612" s="1500"/>
      <c r="F612" s="1500"/>
      <c r="G612" s="1500"/>
      <c r="H612" s="1500"/>
      <c r="I612" s="1500"/>
      <c r="J612" s="1500"/>
      <c r="K612" s="1500"/>
    </row>
    <row r="613" spans="1:14" ht="13.5" customHeight="1" x14ac:dyDescent="0.3">
      <c r="A613" s="3" t="str">
        <f>IF(A611="Print","Print","Do Not Print")</f>
        <v>Do Not Print</v>
      </c>
      <c r="D613" s="1948"/>
      <c r="E613" s="1948"/>
      <c r="F613" s="1948"/>
      <c r="G613" s="1948"/>
      <c r="H613" s="1948"/>
      <c r="I613" s="1948"/>
      <c r="J613" s="1948"/>
      <c r="K613" s="1948"/>
    </row>
    <row r="614" spans="1:14" x14ac:dyDescent="0.3">
      <c r="A614" s="3" t="s">
        <v>448</v>
      </c>
      <c r="D614" s="610" t="s">
        <v>703</v>
      </c>
      <c r="E614" s="610"/>
      <c r="F614" s="601">
        <f>'Det BS '!J411+'Det BS '!J416+'Det BS '!J421+'Det BS '!J426</f>
        <v>0</v>
      </c>
      <c r="G614" s="601">
        <f>'Det BS '!J412+'Det BS '!J417+'Det BS '!J422+'Det BS '!J427</f>
        <v>0</v>
      </c>
      <c r="H614" s="601">
        <f>-('Det BS '!J413+'Det BS '!J418+'Det BS '!J423+'Det BS '!J428)</f>
        <v>0</v>
      </c>
      <c r="I614" s="601">
        <f>-('Det BS '!J414+'Det BS '!J419+'Det BS '!J424+'Det BS '!J429)</f>
        <v>0</v>
      </c>
      <c r="J614" s="601">
        <f>'Det BS '!J415+'Det BS '!J420+'Det BS '!J425+'Det BS '!J430</f>
        <v>0</v>
      </c>
      <c r="K614" s="616">
        <f>SUM(F614:J614)</f>
        <v>0</v>
      </c>
    </row>
    <row r="615" spans="1:14" ht="13.5" customHeight="1" x14ac:dyDescent="0.3">
      <c r="A615" s="3" t="str">
        <f>IF(AND(F615=0,G615=0,H615=0,I615=0,J615=0,K615=0),"Do Not Print","Print")</f>
        <v>Do Not Print</v>
      </c>
      <c r="D615" s="610" t="s">
        <v>582</v>
      </c>
      <c r="E615" s="610"/>
      <c r="F615" s="601">
        <f>'Det BS '!J461+'Det BS '!J466+'Det BS '!J471+'Det BS '!J476</f>
        <v>0</v>
      </c>
      <c r="G615" s="601">
        <f>'Det BS '!J462+'Det BS '!J467+'Det BS '!J472+'Det BS '!J477</f>
        <v>0</v>
      </c>
      <c r="H615" s="601">
        <f>-('Det BS '!J463+'Det BS '!J468+'Det BS '!J473+'Det BS '!J478)</f>
        <v>0</v>
      </c>
      <c r="I615" s="601">
        <f>-('Det BS '!J464+'Det BS '!J469+'Det BS '!J474+'Det BS '!J479)</f>
        <v>0</v>
      </c>
      <c r="J615" s="601">
        <f>'Det BS '!J465+'Det BS '!J470+'Det BS '!J475+'Det BS '!J480</f>
        <v>0</v>
      </c>
      <c r="K615" s="616">
        <f>SUM(F615:J615)</f>
        <v>0</v>
      </c>
      <c r="L615" s="75"/>
    </row>
    <row r="616" spans="1:14" ht="13.5" customHeight="1" x14ac:dyDescent="0.3">
      <c r="A616" s="3" t="str">
        <f>IF(A615="Print","Print","Do Not Print")</f>
        <v>Do Not Print</v>
      </c>
      <c r="D616" s="1969"/>
      <c r="E616" s="1969"/>
      <c r="F616" s="1969"/>
      <c r="G616" s="1969"/>
      <c r="H616" s="1969"/>
      <c r="I616" s="1969"/>
      <c r="J616" s="1969"/>
      <c r="K616" s="1969"/>
    </row>
    <row r="617" spans="1:14" ht="13.5" customHeight="1" x14ac:dyDescent="0.3">
      <c r="A617" s="3" t="str">
        <f>IF(AND(I617=0,J617=0),"Do Not Print","Print")</f>
        <v>Do Not Print</v>
      </c>
      <c r="D617" s="474" t="s">
        <v>74</v>
      </c>
      <c r="E617" s="604"/>
      <c r="F617" s="606">
        <f t="shared" ref="F617:K617" si="20">SUM(F614:F616)</f>
        <v>0</v>
      </c>
      <c r="G617" s="606">
        <f t="shared" si="20"/>
        <v>0</v>
      </c>
      <c r="H617" s="606">
        <f t="shared" si="20"/>
        <v>0</v>
      </c>
      <c r="I617" s="606">
        <f t="shared" si="20"/>
        <v>0</v>
      </c>
      <c r="J617" s="606">
        <f t="shared" si="20"/>
        <v>0</v>
      </c>
      <c r="K617" s="606">
        <f t="shared" si="20"/>
        <v>0</v>
      </c>
      <c r="L617" s="1079" t="b">
        <f>K617=K611</f>
        <v>1</v>
      </c>
    </row>
    <row r="618" spans="1:14" ht="13.5" customHeight="1" x14ac:dyDescent="0.3">
      <c r="A618" s="3" t="str">
        <f>IF(A617="Print","Print","Do Not Print")</f>
        <v>Do Not Print</v>
      </c>
      <c r="D618" s="1500"/>
      <c r="E618" s="1500"/>
      <c r="F618" s="1500"/>
      <c r="G618" s="1500"/>
      <c r="H618" s="1500"/>
      <c r="I618" s="1500"/>
      <c r="J618" s="1500"/>
      <c r="K618" s="1500"/>
    </row>
    <row r="619" spans="1:14" ht="12.75" customHeight="1" x14ac:dyDescent="0.3">
      <c r="A619" s="3" t="str">
        <f>IF(AND(F627=0,G627=0,H627=0,I627=0,J627=0,K627=0),"Do Not Print","Print")</f>
        <v>Do Not Print</v>
      </c>
      <c r="D619" s="1538" t="s">
        <v>704</v>
      </c>
      <c r="E619" s="1538"/>
      <c r="F619" s="1538"/>
      <c r="G619" s="1538"/>
      <c r="H619" s="1538"/>
      <c r="I619" s="1538"/>
      <c r="J619" s="1538"/>
      <c r="K619" s="1538"/>
    </row>
    <row r="620" spans="1:14" s="25" customFormat="1" ht="39" customHeight="1" x14ac:dyDescent="0.3">
      <c r="A620" s="3" t="str">
        <f>IF(AND(F627=0,G627=0,H627=0,I627=0,J627=0,K627=0),"Do Not Print","Print")</f>
        <v>Do Not Print</v>
      </c>
      <c r="B620" s="597"/>
      <c r="C620" s="597"/>
      <c r="D620" s="1764" t="s">
        <v>308</v>
      </c>
      <c r="E620" s="1764"/>
      <c r="F620" s="615" t="str">
        <f>'Standing Data'!D86</f>
        <v>Balance as at 1 April 2024</v>
      </c>
      <c r="G620" s="615" t="s">
        <v>652</v>
      </c>
      <c r="H620" s="615" t="s">
        <v>653</v>
      </c>
      <c r="I620" s="615" t="s">
        <v>654</v>
      </c>
      <c r="J620" s="615" t="s">
        <v>655</v>
      </c>
      <c r="K620" s="615" t="str">
        <f>'Standing Data'!D84</f>
        <v>Restated Balance as at 31 March 2025</v>
      </c>
      <c r="L620" s="75"/>
    </row>
    <row r="621" spans="1:14" ht="13.5" customHeight="1" x14ac:dyDescent="0.3">
      <c r="A621" s="3" t="str">
        <f>IF(A620="Print","Print","Do Not Print")</f>
        <v>Do Not Print</v>
      </c>
      <c r="D621" s="1968"/>
      <c r="E621" s="1968"/>
      <c r="F621" s="586" t="s">
        <v>450</v>
      </c>
      <c r="G621" s="586" t="s">
        <v>450</v>
      </c>
      <c r="H621" s="586" t="s">
        <v>450</v>
      </c>
      <c r="I621" s="586" t="s">
        <v>450</v>
      </c>
      <c r="J621" s="586" t="s">
        <v>450</v>
      </c>
      <c r="K621" s="586" t="s">
        <v>450</v>
      </c>
      <c r="L621" s="75"/>
    </row>
    <row r="622" spans="1:14" ht="13.5" customHeight="1" x14ac:dyDescent="0.3">
      <c r="A622" s="3" t="str">
        <f>IF(AND(F622=0,G622=0,H622=0,I622=0,J622=0,K622=0),"Do Not Print","Print")</f>
        <v>Do Not Print</v>
      </c>
      <c r="D622" s="610" t="str">
        <f>D606</f>
        <v>Outstanding legal cases</v>
      </c>
      <c r="E622" s="610"/>
      <c r="F622" s="601">
        <f>'Det BS '!K411+'Det BS '!K461</f>
        <v>0</v>
      </c>
      <c r="G622" s="601">
        <f>'Det BS '!K412+'Det BS '!K462</f>
        <v>0</v>
      </c>
      <c r="H622" s="601">
        <f>-('Det BS '!K413+'Det BS '!K463)</f>
        <v>0</v>
      </c>
      <c r="I622" s="601">
        <f>-('Det BS '!K414+'Det BS '!K464)</f>
        <v>0</v>
      </c>
      <c r="J622" s="601">
        <f>'Det BS '!K465+'Det BS '!K415</f>
        <v>0</v>
      </c>
      <c r="K622" s="616">
        <f>SUM(F622:J622)</f>
        <v>0</v>
      </c>
      <c r="L622" s="75"/>
    </row>
    <row r="623" spans="1:14" ht="30" customHeight="1" x14ac:dyDescent="0.3">
      <c r="A623" s="3" t="str">
        <f>IF(AND(F623=0,G623=0,H623=0,I623=0,J623=0,K623=0),"Do Not Print","Print")</f>
        <v>Do Not Print</v>
      </c>
      <c r="D623" s="1957" t="s">
        <v>2578</v>
      </c>
      <c r="E623" s="1959"/>
      <c r="F623" s="601">
        <f>'Det BS '!K466+'Det BS '!K416</f>
        <v>0</v>
      </c>
      <c r="G623" s="601">
        <f>'Det BS '!K467+'Det BS '!K417</f>
        <v>0</v>
      </c>
      <c r="H623" s="601">
        <f>-('Det BS '!K468+'Det BS '!K418)</f>
        <v>0</v>
      </c>
      <c r="I623" s="601">
        <f>-('Det BS '!K469+'Det BS '!K419)</f>
        <v>0</v>
      </c>
      <c r="J623" s="601">
        <f>'Det BS '!K470+'Det BS '!K420</f>
        <v>0</v>
      </c>
      <c r="K623" s="616">
        <f>SUM(F623:J623)</f>
        <v>0</v>
      </c>
      <c r="L623" s="75"/>
      <c r="M623" s="3"/>
    </row>
    <row r="624" spans="1:14" ht="13.5" customHeight="1" x14ac:dyDescent="0.3">
      <c r="A624" s="3" t="str">
        <f>IF(AND(F624=0,G624=0,H624=0,I624=0,J624=0,K624=0),"Do Not Print","Print")</f>
        <v>Do Not Print</v>
      </c>
      <c r="D624" s="610" t="str">
        <f>D608</f>
        <v>Provision 2</v>
      </c>
      <c r="E624" s="610"/>
      <c r="F624" s="601">
        <f>'Det BS '!K471+'Det BS '!K421</f>
        <v>0</v>
      </c>
      <c r="G624" s="601">
        <f>'Det BS '!K472+'Det BS '!K422</f>
        <v>0</v>
      </c>
      <c r="H624" s="601">
        <f>-('Det BS '!K473+'Det BS '!K423)</f>
        <v>0</v>
      </c>
      <c r="I624" s="601">
        <f>-('Det BS '!K474+'Det BS '!K424)</f>
        <v>0</v>
      </c>
      <c r="J624" s="601">
        <f>'Det BS '!K475+'Det BS '!K425</f>
        <v>0</v>
      </c>
      <c r="K624" s="616">
        <f>SUM(F624:J624)</f>
        <v>0</v>
      </c>
      <c r="L624" s="75"/>
    </row>
    <row r="625" spans="1:23" ht="13.5" customHeight="1" x14ac:dyDescent="0.3">
      <c r="A625" s="3" t="str">
        <f>IF(AND(F625=0,G625=0,H625=0,I625=0,J625=0,K625=0),"Do Not Print","Print")</f>
        <v>Do Not Print</v>
      </c>
      <c r="D625" s="610" t="str">
        <f>D609</f>
        <v>Other</v>
      </c>
      <c r="E625" s="610"/>
      <c r="F625" s="601">
        <f>'Det BS '!K476+'Det BS '!K426</f>
        <v>0</v>
      </c>
      <c r="G625" s="601">
        <f>'Det BS '!K477+'Det BS '!K427</f>
        <v>0</v>
      </c>
      <c r="H625" s="601">
        <f>-('Det BS '!K478+'Det BS '!K428)</f>
        <v>0</v>
      </c>
      <c r="I625" s="601">
        <f>-('Det BS '!K479+'Det BS '!K429)</f>
        <v>0</v>
      </c>
      <c r="J625" s="601">
        <f>'Det BS '!K480+'Det BS '!K430</f>
        <v>0</v>
      </c>
      <c r="K625" s="616">
        <f>SUM(F625:J625)</f>
        <v>0</v>
      </c>
      <c r="L625" s="75"/>
    </row>
    <row r="626" spans="1:23" ht="13.5" customHeight="1" x14ac:dyDescent="0.3">
      <c r="A626" s="3" t="str">
        <f>IF(A625="Print","Print","Do Not Print")</f>
        <v>Do Not Print</v>
      </c>
      <c r="D626" s="1738"/>
      <c r="E626" s="1803"/>
      <c r="F626" s="1803"/>
      <c r="G626" s="1803"/>
      <c r="H626" s="1803"/>
      <c r="I626" s="1803"/>
      <c r="J626" s="1803"/>
      <c r="K626" s="1739"/>
      <c r="L626" s="75"/>
    </row>
    <row r="627" spans="1:23" ht="13.5" customHeight="1" x14ac:dyDescent="0.3">
      <c r="A627" s="3" t="str">
        <f>IF(AND(F627=0,G627=0,H627=0,I627=0,J627=0,K627=0),"Do Not Print","Print")</f>
        <v>Do Not Print</v>
      </c>
      <c r="D627" s="474" t="s">
        <v>74</v>
      </c>
      <c r="E627" s="604"/>
      <c r="F627" s="606">
        <f t="shared" ref="F627:K627" si="21">SUM(F622:F626)</f>
        <v>0</v>
      </c>
      <c r="G627" s="606">
        <f t="shared" si="21"/>
        <v>0</v>
      </c>
      <c r="H627" s="606">
        <f t="shared" si="21"/>
        <v>0</v>
      </c>
      <c r="I627" s="606">
        <f t="shared" si="21"/>
        <v>0</v>
      </c>
      <c r="J627" s="606">
        <f t="shared" si="21"/>
        <v>0</v>
      </c>
      <c r="K627" s="606">
        <f t="shared" si="21"/>
        <v>0</v>
      </c>
      <c r="L627" s="75"/>
    </row>
    <row r="628" spans="1:23" ht="13.5" customHeight="1" x14ac:dyDescent="0.3">
      <c r="A628" s="3" t="str">
        <f>IF(A627="Print","Print","Do Not Print")</f>
        <v>Do Not Print</v>
      </c>
      <c r="D628" s="1500"/>
      <c r="E628" s="1500"/>
      <c r="F628" s="1500"/>
      <c r="G628" s="1500"/>
      <c r="H628" s="1500"/>
      <c r="I628" s="1500"/>
      <c r="J628" s="1500"/>
      <c r="K628" s="1500"/>
      <c r="L628" s="75"/>
    </row>
    <row r="629" spans="1:23" ht="13.5" customHeight="1" x14ac:dyDescent="0.3">
      <c r="A629" s="3" t="str">
        <f>IF(A627="Print","Print","Do Not Print")</f>
        <v>Do Not Print</v>
      </c>
      <c r="D629" s="1948"/>
      <c r="E629" s="1948"/>
      <c r="F629" s="1948"/>
      <c r="G629" s="1948"/>
      <c r="H629" s="1948"/>
      <c r="I629" s="1948"/>
      <c r="J629" s="1948"/>
      <c r="K629" s="1948"/>
      <c r="L629" s="75"/>
    </row>
    <row r="630" spans="1:23" ht="13.5" customHeight="1" x14ac:dyDescent="0.3">
      <c r="A630" s="3" t="str">
        <f>IF(AND(F630=0,G630=0,H630=0,I630=0,J630=0,K630=0),"Do Not Print","Print")</f>
        <v>Do Not Print</v>
      </c>
      <c r="D630" s="610" t="s">
        <v>703</v>
      </c>
      <c r="E630" s="610"/>
      <c r="F630" s="601">
        <f>'Det BS '!K411+'Det BS '!K416+'Det BS '!K421+'Det BS '!K426</f>
        <v>0</v>
      </c>
      <c r="G630" s="601">
        <f>'Det BS '!K412+'Det BS '!K417+'Det BS '!K422+'Det BS '!K427</f>
        <v>0</v>
      </c>
      <c r="H630" s="601">
        <f>-('Det BS '!K413+'Det BS '!K418+'Det BS '!K423+'Det BS '!K428)</f>
        <v>0</v>
      </c>
      <c r="I630" s="601">
        <f>-('Det BS '!K414+'Det BS '!K419+'Det BS '!K424+'Det BS '!K429)</f>
        <v>0</v>
      </c>
      <c r="J630" s="601">
        <f>'Det BS '!K415+'Det BS '!K420+'Det BS '!K425+'Det BS '!K430</f>
        <v>0</v>
      </c>
      <c r="K630" s="616">
        <f>SUM(F630:J630)</f>
        <v>0</v>
      </c>
      <c r="L630" s="75"/>
    </row>
    <row r="631" spans="1:23" ht="13.5" customHeight="1" x14ac:dyDescent="0.3">
      <c r="A631" s="3" t="str">
        <f>IF(AND(F631=0,G631=0,H631=0,I631=0,J631=0,K631=0),"Do Not Print","Print")</f>
        <v>Do Not Print</v>
      </c>
      <c r="D631" s="610" t="s">
        <v>582</v>
      </c>
      <c r="E631" s="610"/>
      <c r="F631" s="601">
        <f>'Det BS '!K461+'Det BS '!K466+'Det BS '!K471+'Det BS '!K476</f>
        <v>0</v>
      </c>
      <c r="G631" s="601">
        <f>'Det BS '!K462+'Det BS '!K467+'Det BS '!K472+'Det BS '!K477</f>
        <v>0</v>
      </c>
      <c r="H631" s="601">
        <f>-('Det BS '!K463+'Det BS '!K468+'Det BS '!K473+'Det BS '!K478)</f>
        <v>0</v>
      </c>
      <c r="I631" s="601">
        <f>-('Det BS '!K464+'Det BS '!K469+'Det BS '!K474+'Det BS '!K479)</f>
        <v>0</v>
      </c>
      <c r="J631" s="601">
        <f>'Det BS '!K465+'Det BS '!K470+'Det BS '!K475+'Det BS '!K480</f>
        <v>0</v>
      </c>
      <c r="K631" s="616">
        <f>SUM(F631:J631)</f>
        <v>0</v>
      </c>
      <c r="L631" s="75"/>
    </row>
    <row r="632" spans="1:23" ht="13.5" customHeight="1" x14ac:dyDescent="0.3">
      <c r="A632" s="3" t="str">
        <f>IF(A631="Print","Print","Do Not Print")</f>
        <v>Do Not Print</v>
      </c>
      <c r="D632" s="1969"/>
      <c r="E632" s="1969"/>
      <c r="F632" s="1969"/>
      <c r="G632" s="1969"/>
      <c r="H632" s="1969"/>
      <c r="I632" s="1969"/>
      <c r="J632" s="1969"/>
      <c r="K632" s="1969"/>
      <c r="L632" s="75"/>
    </row>
    <row r="633" spans="1:23" ht="13.5" customHeight="1" x14ac:dyDescent="0.3">
      <c r="A633" s="3" t="str">
        <f>IF(AND(F633=0,G633=0,H633=0,I633=0,J633=0,K633=0),"Do Not Print","Print")</f>
        <v>Do Not Print</v>
      </c>
      <c r="D633" s="474" t="s">
        <v>74</v>
      </c>
      <c r="E633" s="604"/>
      <c r="F633" s="606">
        <f t="shared" ref="F633:K633" si="22">SUM(F630:F632)</f>
        <v>0</v>
      </c>
      <c r="G633" s="606">
        <f t="shared" si="22"/>
        <v>0</v>
      </c>
      <c r="H633" s="606">
        <f t="shared" si="22"/>
        <v>0</v>
      </c>
      <c r="I633" s="606">
        <f t="shared" si="22"/>
        <v>0</v>
      </c>
      <c r="J633" s="606">
        <f t="shared" si="22"/>
        <v>0</v>
      </c>
      <c r="K633" s="606">
        <f t="shared" si="22"/>
        <v>0</v>
      </c>
      <c r="L633" s="1080" t="b">
        <f>K633=K627</f>
        <v>1</v>
      </c>
    </row>
    <row r="634" spans="1:23" ht="13.5" customHeight="1" x14ac:dyDescent="0.3">
      <c r="A634" s="3" t="str">
        <f>IF(A633="Print","Print","Do Not Print")</f>
        <v>Do Not Print</v>
      </c>
      <c r="D634" s="1500"/>
      <c r="E634" s="1500"/>
      <c r="F634" s="1500"/>
      <c r="G634" s="1500"/>
      <c r="H634" s="1500"/>
      <c r="I634" s="1500"/>
      <c r="J634" s="1500"/>
      <c r="K634" s="1500"/>
      <c r="L634" s="75"/>
    </row>
    <row r="635" spans="1:23" ht="16.5" customHeight="1" x14ac:dyDescent="0.3">
      <c r="A635" s="3" t="str">
        <f>IF(A637="Print","Print","Do Not Print")</f>
        <v>Print</v>
      </c>
      <c r="D635" s="1538" t="str">
        <f>IF('Non TB - Note 12 to 24'!F41=1,'Non TB - Note 12 to 24'!E41,"")</f>
        <v>Outstanding legal cases</v>
      </c>
      <c r="E635" s="1538"/>
      <c r="F635" s="1538"/>
      <c r="G635" s="1538"/>
      <c r="H635" s="1538"/>
      <c r="I635" s="1538"/>
      <c r="J635" s="1538"/>
      <c r="K635" s="1538"/>
      <c r="L635" s="75"/>
    </row>
    <row r="636" spans="1:23" ht="12.75" customHeight="1" x14ac:dyDescent="0.3">
      <c r="A636" s="3" t="str">
        <f>IF(A635="Print","Print","Do Not Print")</f>
        <v>Print</v>
      </c>
      <c r="D636" s="1538"/>
      <c r="E636" s="1538"/>
      <c r="F636" s="1538"/>
      <c r="G636" s="1538"/>
      <c r="H636" s="1538"/>
      <c r="I636" s="1538"/>
      <c r="J636" s="1538"/>
      <c r="K636" s="1538"/>
      <c r="L636" s="75"/>
    </row>
    <row r="637" spans="1:23" ht="58.05" customHeight="1" x14ac:dyDescent="0.3">
      <c r="A637" s="3" t="str">
        <f>IF('Non TB - Note 12 to 24'!F41=1,"Print","Do Not Print")</f>
        <v>Print</v>
      </c>
      <c r="D637" s="1506" t="str">
        <f>IF('Non TB - Note 12 to 24'!F41=1,'Non TB - Note 12 to 24'!H41,"")</f>
        <v>A substantial legal case in progress that has been provided for relates to: Her Majesty's Revenue and Customs has made a claim against the authority for £x of unpaid VAT in relation to the provision of educational courses.  HMRC was awarded a sum of £x including interest and costs in the High Court, but the council is appealing against the decision.  Provision has been made for the amount awarded by the High Court pending the outcome of the appeal. It is expected that the appeal will be heard in Spring 20xx.</v>
      </c>
      <c r="E637" s="1506"/>
      <c r="F637" s="1506"/>
      <c r="G637" s="1506"/>
      <c r="H637" s="1506"/>
      <c r="I637" s="1506"/>
      <c r="J637" s="1506"/>
      <c r="K637" s="1506"/>
      <c r="Q637" s="76"/>
      <c r="R637" s="76"/>
      <c r="S637" s="76"/>
      <c r="T637" s="76"/>
      <c r="U637" s="76"/>
      <c r="V637" s="76"/>
      <c r="W637" s="76"/>
    </row>
    <row r="638" spans="1:23" ht="13.5" customHeight="1" x14ac:dyDescent="0.3">
      <c r="A638" s="3" t="str">
        <f>IF(A637="Print","Print","Do Not Print")</f>
        <v>Print</v>
      </c>
      <c r="D638" s="1542"/>
      <c r="E638" s="1542"/>
      <c r="F638" s="1542"/>
      <c r="G638" s="1542"/>
      <c r="H638" s="1542"/>
      <c r="I638" s="1542"/>
      <c r="J638" s="1542"/>
      <c r="K638" s="1542"/>
    </row>
    <row r="639" spans="1:23" ht="14.25" customHeight="1" x14ac:dyDescent="0.3">
      <c r="A639" s="3" t="str">
        <f>IF(A641="Print","Print","Do Not Print")</f>
        <v>Print</v>
      </c>
      <c r="D639" s="1541" t="str">
        <f>IF('Non TB - Note 12 to 24'!F42=1,'Non TB - Note 12 to 24'!E42,"")</f>
        <v>Injury and Damage Compensation claims</v>
      </c>
      <c r="E639" s="1541"/>
      <c r="F639" s="1541"/>
      <c r="G639" s="1541"/>
      <c r="H639" s="1541"/>
      <c r="I639" s="1541"/>
      <c r="J639" s="1541"/>
      <c r="K639" s="1541"/>
    </row>
    <row r="640" spans="1:23" ht="13.5" customHeight="1" x14ac:dyDescent="0.3">
      <c r="A640" s="3" t="str">
        <f>IF(A639="Print","Print","Do Not Print")</f>
        <v>Print</v>
      </c>
      <c r="D640" s="1542"/>
      <c r="E640" s="1542"/>
      <c r="F640" s="1542"/>
      <c r="G640" s="1542"/>
      <c r="H640" s="1542"/>
      <c r="I640" s="1542"/>
      <c r="J640" s="1542"/>
      <c r="K640" s="1542"/>
    </row>
    <row r="641" spans="1:11" ht="57" customHeight="1" x14ac:dyDescent="0.3">
      <c r="A641" s="3" t="str">
        <f>IF('Non TB - Note 12 to 24'!F42=1,"Print","Do Not Print")</f>
        <v>Print</v>
      </c>
      <c r="D641" s="1504" t="str">
        <f>IF('Non TB - Note 12 to 24'!F42=1,'Non TB - Note 12 to 24'!H42,"")</f>
        <v>A case has been lodged against the council for negligence in its responsibilities.  A provision of £x has been made for the possible settlement that the authority will have to pay.  However, in order not to prejudice seriously the privacy of individuals and the Council's position in the case, any further information has been withheld from this publication.  Experience of similar cases in other authorities suggests it will be three to five years before the case is concluded.</v>
      </c>
      <c r="E641" s="1504"/>
      <c r="F641" s="1504"/>
      <c r="G641" s="1504"/>
      <c r="H641" s="1504"/>
      <c r="I641" s="1504"/>
      <c r="J641" s="1504"/>
      <c r="K641" s="1504"/>
    </row>
    <row r="642" spans="1:11" ht="11.25" customHeight="1" x14ac:dyDescent="0.3">
      <c r="A642" s="3" t="str">
        <f>IF(A641="Print","Print","Do Not Print")</f>
        <v>Print</v>
      </c>
      <c r="D642" s="1542"/>
      <c r="E642" s="1542"/>
      <c r="F642" s="1542"/>
      <c r="G642" s="1542"/>
      <c r="H642" s="1542"/>
      <c r="I642" s="1542"/>
      <c r="J642" s="1542"/>
      <c r="K642" s="1542"/>
    </row>
    <row r="643" spans="1:11" ht="15.75" customHeight="1" x14ac:dyDescent="0.3">
      <c r="A643" s="3" t="str">
        <f>IF(A645="Print","Print","Do Not Print")</f>
        <v>Print</v>
      </c>
      <c r="D643" s="1541" t="str">
        <f>IF('Non TB - Note 12 to 24'!F43=1,'Non TB - Note 12 to 24'!E43,"")</f>
        <v>Provision 2</v>
      </c>
      <c r="E643" s="1541"/>
      <c r="F643" s="1541"/>
      <c r="G643" s="1541"/>
      <c r="H643" s="1541"/>
      <c r="I643" s="1541"/>
      <c r="J643" s="1541"/>
      <c r="K643" s="1541"/>
    </row>
    <row r="644" spans="1:11" ht="13.5" customHeight="1" x14ac:dyDescent="0.3">
      <c r="A644" s="3" t="str">
        <f>IF(A643="Print","Print","Do Not Print")</f>
        <v>Print</v>
      </c>
      <c r="D644" s="1542"/>
      <c r="E644" s="1542"/>
      <c r="F644" s="1542"/>
      <c r="G644" s="1542"/>
      <c r="H644" s="1542"/>
      <c r="I644" s="1542"/>
      <c r="J644" s="1542"/>
      <c r="K644" s="1542"/>
    </row>
    <row r="645" spans="1:11" ht="18" customHeight="1" x14ac:dyDescent="0.3">
      <c r="A645" s="3" t="str">
        <f>IF('Non TB - Note 12 to 24'!F43=1,"Print","Do Not Print")</f>
        <v>Print</v>
      </c>
      <c r="D645" s="1504" t="str">
        <f>IF('Non TB - Note 12 to 24'!F43=1,'Non TB - Note 12 to 24'!H43,"")</f>
        <v>Additional disclosure</v>
      </c>
      <c r="E645" s="1504"/>
      <c r="F645" s="1504"/>
      <c r="G645" s="1504"/>
      <c r="H645" s="1504"/>
      <c r="I645" s="1504"/>
      <c r="J645" s="1504"/>
      <c r="K645" s="1504"/>
    </row>
    <row r="646" spans="1:11" ht="13.5" customHeight="1" x14ac:dyDescent="0.3">
      <c r="A646" s="3" t="str">
        <f>IF(A645="Print","Print","Do Not Print")</f>
        <v>Print</v>
      </c>
      <c r="D646" s="1542"/>
      <c r="E646" s="1542"/>
      <c r="F646" s="1542"/>
      <c r="G646" s="1542"/>
      <c r="H646" s="1542"/>
      <c r="I646" s="1542"/>
      <c r="J646" s="1542"/>
      <c r="K646" s="1542"/>
    </row>
    <row r="647" spans="1:11" ht="16.5" customHeight="1" x14ac:dyDescent="0.3">
      <c r="A647" s="3" t="str">
        <f>IF(A649="Print","Print","Do Not Print")</f>
        <v>Print</v>
      </c>
      <c r="D647" s="404" t="str">
        <f>IF('Non TB - Note 12 to 24'!F44=1,'Non TB - Note 12 to 24'!E44,"")</f>
        <v>Other</v>
      </c>
      <c r="E647" s="404"/>
      <c r="F647" s="404"/>
      <c r="G647" s="404"/>
      <c r="H647" s="404"/>
      <c r="I647" s="404"/>
      <c r="J647" s="404"/>
      <c r="K647" s="404"/>
    </row>
    <row r="648" spans="1:11" x14ac:dyDescent="0.3">
      <c r="A648" s="3" t="str">
        <f>IF(A647="Print","Print","Do Not Print")</f>
        <v>Print</v>
      </c>
      <c r="D648" s="402"/>
      <c r="E648" s="402"/>
      <c r="F648" s="402"/>
      <c r="G648" s="402"/>
      <c r="H648" s="402"/>
      <c r="I648" s="402"/>
      <c r="J648" s="402"/>
      <c r="K648" s="402"/>
    </row>
    <row r="649" spans="1:11" ht="14.55" customHeight="1" x14ac:dyDescent="0.3">
      <c r="A649" s="3" t="str">
        <f>IF('Non TB - Note 12 to 24'!F44=1,"Print","Do Not Print")</f>
        <v>Print</v>
      </c>
      <c r="D649" s="402" t="str">
        <f>IF('Non TB - Note 12 to 24'!F44=1,'Non TB - Note 12 to 24'!H44,"")</f>
        <v>The Council has made provision for potential future uninsured losses.</v>
      </c>
      <c r="E649" s="402"/>
      <c r="F649" s="402"/>
      <c r="G649" s="402"/>
      <c r="H649" s="402"/>
      <c r="I649" s="402"/>
      <c r="J649" s="402"/>
      <c r="K649" s="402"/>
    </row>
    <row r="650" spans="1:11" x14ac:dyDescent="0.3">
      <c r="A650" s="3" t="str">
        <f>IF(A649="Print","Print","Do Not Print")</f>
        <v>Print</v>
      </c>
      <c r="D650" s="401"/>
    </row>
    <row r="651" spans="1:11" ht="19.5" customHeight="1" x14ac:dyDescent="0.3">
      <c r="A651" s="3" t="str">
        <f>IF(A653="Print","Print","Do Not Print")</f>
        <v>Print</v>
      </c>
      <c r="D651" s="405" t="str">
        <f>IF('Non TB - Note 12 to 24'!F45=1,'Non TB - Note 12 to 24'!E45,"")</f>
        <v>Provisions - Additional Disclosure</v>
      </c>
      <c r="E651" s="405"/>
      <c r="F651" s="405"/>
      <c r="G651" s="405"/>
      <c r="H651" s="405"/>
      <c r="I651" s="405"/>
      <c r="J651" s="405"/>
      <c r="K651" s="405"/>
    </row>
    <row r="652" spans="1:11" x14ac:dyDescent="0.3">
      <c r="A652" s="3" t="str">
        <f>IF(A651="Print","Print","Do Not Print")</f>
        <v>Print</v>
      </c>
      <c r="D652" s="1500"/>
      <c r="E652" s="1500"/>
      <c r="F652" s="1500"/>
      <c r="G652" s="1500"/>
      <c r="H652" s="1500"/>
      <c r="I652" s="1500"/>
      <c r="J652" s="1500"/>
      <c r="K652" s="1500"/>
    </row>
    <row r="653" spans="1:11" ht="40.5" customHeight="1" x14ac:dyDescent="0.3">
      <c r="A653" s="3" t="str">
        <f>IF('Non TB - Note 12 to 24'!F45=1,"Print","Do Not Print")</f>
        <v>Print</v>
      </c>
      <c r="D653" s="1504" t="str">
        <f>IF('Non TB - Note 12 to 24'!F45=1,'Non TB - Note 12 to 24'!H45,"")</f>
        <v>Councils should disclose information relating to the nature of the provision; an indication of any uncertainties of the amount provided, including the expected timing of any resulting cash outflows and any expected reimbursement, in accordance with paragraph 8.2.4.2.(2) of the Code</v>
      </c>
      <c r="E653" s="1504"/>
      <c r="F653" s="1504"/>
      <c r="G653" s="1504"/>
      <c r="H653" s="1504"/>
      <c r="I653" s="1504"/>
      <c r="J653" s="1504"/>
      <c r="K653" s="1504"/>
    </row>
    <row r="654" spans="1:11" x14ac:dyDescent="0.3">
      <c r="A654" s="3" t="str">
        <f>IF(A653="Print","Print","Do Not Print")</f>
        <v>Print</v>
      </c>
      <c r="D654" s="1500"/>
      <c r="E654" s="1500"/>
      <c r="F654" s="1500"/>
      <c r="G654" s="1500"/>
      <c r="H654" s="1500"/>
      <c r="I654" s="1500"/>
      <c r="J654" s="1500"/>
      <c r="K654" s="1500"/>
    </row>
    <row r="655" spans="1:11" ht="12.75" customHeight="1" x14ac:dyDescent="0.3">
      <c r="A655" s="3" t="str">
        <f>IF('Non TB - Note 12 to 24'!F46=1, "Print","Do Not Print")</f>
        <v>Print</v>
      </c>
      <c r="B655" s="585">
        <f>Checklist!E116</f>
        <v>20</v>
      </c>
      <c r="D655" s="1764" t="s">
        <v>309</v>
      </c>
      <c r="E655" s="1764"/>
      <c r="F655" s="1764"/>
      <c r="G655" s="1764"/>
      <c r="H655" s="1764"/>
      <c r="I655" s="1764"/>
      <c r="J655" s="1764"/>
      <c r="K655" s="1764"/>
    </row>
    <row r="656" spans="1:11" ht="12.75" customHeight="1" x14ac:dyDescent="0.3">
      <c r="A656" s="3" t="str">
        <f>IF('Non TB - Note 12 to 24'!F46=1, "Print","Do Not Print")</f>
        <v>Print</v>
      </c>
      <c r="D656" s="1726" t="str">
        <f>IF('Non TB - Note 12 to 24'!F46=1,'Non TB - Note 12 to 24'!E46,"")</f>
        <v>Categories of Financial Instruments</v>
      </c>
      <c r="E656" s="1726"/>
      <c r="F656" s="1726"/>
      <c r="G656" s="1726"/>
      <c r="H656" s="1726"/>
      <c r="I656" s="1726"/>
      <c r="J656" s="1726"/>
      <c r="K656" s="1726"/>
    </row>
    <row r="657" spans="1:11" ht="12.75" customHeight="1" x14ac:dyDescent="0.3">
      <c r="A657" s="3" t="str">
        <f>IF(A656="Print","Print","Do Not Print")</f>
        <v>Print</v>
      </c>
      <c r="D657" s="468"/>
      <c r="E657" s="468"/>
      <c r="F657" s="468"/>
      <c r="G657" s="468"/>
      <c r="H657" s="468"/>
      <c r="I657" s="468"/>
      <c r="J657" s="468"/>
      <c r="K657" s="468"/>
    </row>
    <row r="658" spans="1:11" ht="18" customHeight="1" x14ac:dyDescent="0.3">
      <c r="A658" s="3" t="str">
        <f>IF('Non TB - Note 12 to 24'!F46=1,"Print","Do Not Print")</f>
        <v>Print</v>
      </c>
      <c r="D658" s="1512" t="str">
        <f>IF('Non TB - Note 12 to 24'!F46=1,'Non TB - Note 12 to 24'!H46,"")</f>
        <v>The following categories of financial instrument are carried in the Balance Sheet:</v>
      </c>
      <c r="E658" s="1512"/>
      <c r="F658" s="1512"/>
      <c r="G658" s="1512"/>
      <c r="H658" s="1512"/>
      <c r="I658" s="1512"/>
      <c r="J658" s="1512"/>
      <c r="K658" s="1512"/>
    </row>
    <row r="659" spans="1:11" ht="13.5" customHeight="1" x14ac:dyDescent="0.3">
      <c r="A659" s="3" t="str">
        <f>IF(A669="Print","Print","Do Not Print")</f>
        <v>Do Not Print</v>
      </c>
      <c r="D659" s="1538" t="s">
        <v>3177</v>
      </c>
      <c r="E659" s="1538"/>
      <c r="F659" s="1538"/>
      <c r="G659" s="1538"/>
      <c r="H659" s="1538"/>
      <c r="I659" s="1538"/>
      <c r="J659" s="1538"/>
      <c r="K659" s="1538"/>
    </row>
    <row r="660" spans="1:11" ht="13.5" customHeight="1" x14ac:dyDescent="0.3">
      <c r="A660" s="3" t="str">
        <f>IF(A669="Print","Print","Do Not Print")</f>
        <v>Do Not Print</v>
      </c>
      <c r="D660" s="1108"/>
      <c r="E660" s="1108"/>
      <c r="F660" s="1952" t="s">
        <v>2506</v>
      </c>
      <c r="G660" s="1953"/>
      <c r="H660" s="1954" t="s">
        <v>1562</v>
      </c>
      <c r="I660" s="1955"/>
      <c r="J660" s="1864" t="s">
        <v>74</v>
      </c>
    </row>
    <row r="661" spans="1:11" ht="13.5" customHeight="1" x14ac:dyDescent="0.3">
      <c r="A661" s="3" t="str">
        <f>IF(A669="Print","Print","Do Not Print")</f>
        <v>Do Not Print</v>
      </c>
      <c r="D661" s="1864"/>
      <c r="E661" s="1864"/>
      <c r="F661" s="1109" t="s">
        <v>1104</v>
      </c>
      <c r="G661" s="1110" t="s">
        <v>297</v>
      </c>
      <c r="H661" s="1109" t="s">
        <v>1104</v>
      </c>
      <c r="I661" s="1110" t="s">
        <v>297</v>
      </c>
      <c r="J661" s="1864"/>
    </row>
    <row r="662" spans="1:11" ht="13.5" customHeight="1" x14ac:dyDescent="0.3">
      <c r="A662" s="3" t="str">
        <f>IF(A669="Print","Print","Do Not Print")</f>
        <v>Do Not Print</v>
      </c>
      <c r="D662" s="1864"/>
      <c r="E662" s="1864"/>
      <c r="F662" s="1109" t="s">
        <v>450</v>
      </c>
      <c r="G662" s="1110" t="s">
        <v>450</v>
      </c>
      <c r="H662" s="1109" t="s">
        <v>450</v>
      </c>
      <c r="I662" s="1110" t="s">
        <v>450</v>
      </c>
      <c r="J662" s="1108" t="s">
        <v>450</v>
      </c>
    </row>
    <row r="663" spans="1:11" ht="33" customHeight="1" x14ac:dyDescent="0.3">
      <c r="A663" s="3" t="str">
        <f>IF(OR(F663&gt;0,G663&gt;0,H663&gt;0,I663&gt;0,J663&gt;0),"Print","Do Not Print")</f>
        <v>Do Not Print</v>
      </c>
      <c r="C663" s="597"/>
      <c r="D663" s="1501" t="s">
        <v>2507</v>
      </c>
      <c r="E663" s="1501"/>
      <c r="F663" s="895">
        <f>'Non TB - Note 12 to 24'!H47</f>
        <v>0</v>
      </c>
      <c r="G663" s="1111">
        <f>'Non TB - Note 12 to 24'!H52</f>
        <v>0</v>
      </c>
      <c r="H663" s="895">
        <f>'Non TB - Note 12 to 24'!H57</f>
        <v>0</v>
      </c>
      <c r="I663" s="1111">
        <f>'Non TB - Note 12 to 24'!H62</f>
        <v>0</v>
      </c>
      <c r="J663" s="525">
        <f>F663+G663+H663+I663</f>
        <v>0</v>
      </c>
    </row>
    <row r="664" spans="1:11" ht="13.5" customHeight="1" x14ac:dyDescent="0.3">
      <c r="A664" s="3" t="str">
        <f t="shared" ref="A664:A669" si="23">IF(OR(F664&gt;0,G664&gt;0,H664&gt;0,I664&gt;0,J664&gt;0),"Print","Do Not Print")</f>
        <v>Do Not Print</v>
      </c>
      <c r="D664" s="1500" t="s">
        <v>2508</v>
      </c>
      <c r="E664" s="1500"/>
      <c r="F664" s="895">
        <f>'Non TB - Note 12 to 24'!H48</f>
        <v>0</v>
      </c>
      <c r="G664" s="1111">
        <f>'Non TB - Note 12 to 24'!H53</f>
        <v>0</v>
      </c>
      <c r="H664" s="895">
        <f>'Non TB - Note 12 to 24'!H58</f>
        <v>0</v>
      </c>
      <c r="I664" s="1111">
        <f>'Non TB - Note 12 to 24'!H63</f>
        <v>0</v>
      </c>
      <c r="J664" s="525">
        <f t="shared" ref="J664" si="24">F664+G664+H664+I664</f>
        <v>0</v>
      </c>
    </row>
    <row r="665" spans="1:11" ht="40.049999999999997" customHeight="1" x14ac:dyDescent="0.3">
      <c r="A665" s="3" t="str">
        <f t="shared" si="23"/>
        <v>Do Not Print</v>
      </c>
      <c r="D665" s="1501" t="s">
        <v>2509</v>
      </c>
      <c r="E665" s="1501"/>
      <c r="F665" s="895">
        <f>'Non TB - Note 12 to 24'!H49</f>
        <v>0</v>
      </c>
      <c r="G665" s="1111">
        <f>'Non TB - Note 12 to 24'!H54</f>
        <v>0</v>
      </c>
      <c r="H665" s="895">
        <f>'Non TB - Note 12 to 24'!H59</f>
        <v>0</v>
      </c>
      <c r="I665" s="1111">
        <f>'Non TB - Note 12 to 24'!H64</f>
        <v>0</v>
      </c>
      <c r="J665" s="525">
        <f>F665+G665+H665+I665</f>
        <v>0</v>
      </c>
    </row>
    <row r="666" spans="1:11" ht="30.6" customHeight="1" x14ac:dyDescent="0.3">
      <c r="A666" s="3" t="str">
        <f t="shared" si="23"/>
        <v>Do Not Print</v>
      </c>
      <c r="D666" s="1501" t="s">
        <v>2510</v>
      </c>
      <c r="E666" s="1501"/>
      <c r="F666" s="895">
        <f>'Non TB - Note 12 to 24'!H50</f>
        <v>0</v>
      </c>
      <c r="G666" s="1111">
        <f>'Non TB - Note 12 to 24'!H55</f>
        <v>0</v>
      </c>
      <c r="H666" s="895">
        <f>'Non TB - Note 12 to 24'!H60</f>
        <v>0</v>
      </c>
      <c r="I666" s="1111">
        <f>'Non TB - Note 12 to 24'!H65</f>
        <v>0</v>
      </c>
      <c r="J666" s="525">
        <f>F666+G666+H666+I666</f>
        <v>0</v>
      </c>
      <c r="K666" s="468"/>
    </row>
    <row r="667" spans="1:11" ht="15.75" customHeight="1" x14ac:dyDescent="0.3">
      <c r="A667" s="3" t="str">
        <f t="shared" si="23"/>
        <v>Do Not Print</v>
      </c>
      <c r="D667" s="1945" t="s">
        <v>2511</v>
      </c>
      <c r="E667" s="1945"/>
      <c r="F667" s="1112">
        <f>SUM(F663:F666)</f>
        <v>0</v>
      </c>
      <c r="G667" s="1113">
        <f>SUM(G663:G666)</f>
        <v>0</v>
      </c>
      <c r="H667" s="1112">
        <f>SUM(H663:H666)</f>
        <v>0</v>
      </c>
      <c r="I667" s="1113">
        <f>SUM(I663:I666)</f>
        <v>0</v>
      </c>
      <c r="J667" s="1114">
        <f>F667+G667+H667+I667</f>
        <v>0</v>
      </c>
      <c r="K667" s="639"/>
    </row>
    <row r="668" spans="1:11" ht="13.5" customHeight="1" x14ac:dyDescent="0.3">
      <c r="A668" s="3" t="str">
        <f t="shared" si="23"/>
        <v>Do Not Print</v>
      </c>
      <c r="D668" s="1948" t="s">
        <v>2512</v>
      </c>
      <c r="E668" s="1948"/>
      <c r="F668" s="1115">
        <f>'Non TB - Note 12 to 24'!H51</f>
        <v>0</v>
      </c>
      <c r="G668" s="1116">
        <f>'Non TB - Note 12 to 24'!H56</f>
        <v>0</v>
      </c>
      <c r="H668" s="1115">
        <f>'Non TB - Note 12 to 24'!H61</f>
        <v>0</v>
      </c>
      <c r="I668" s="1116">
        <f>'Non TB - Note 12 to 24'!H66</f>
        <v>0</v>
      </c>
      <c r="J668" s="1117">
        <f>F668+G668+H668+I668</f>
        <v>0</v>
      </c>
    </row>
    <row r="669" spans="1:11" x14ac:dyDescent="0.3">
      <c r="A669" s="3" t="str">
        <f t="shared" si="23"/>
        <v>Do Not Print</v>
      </c>
      <c r="D669" s="1879" t="s">
        <v>2513</v>
      </c>
      <c r="E669" s="1879"/>
      <c r="F669" s="1118">
        <f>F667+F668</f>
        <v>0</v>
      </c>
      <c r="G669" s="1119">
        <f>G667+G668</f>
        <v>0</v>
      </c>
      <c r="H669" s="1118">
        <f>H667+H668</f>
        <v>0</v>
      </c>
      <c r="I669" s="1119">
        <f>I667+I668</f>
        <v>0</v>
      </c>
      <c r="J669" s="1120">
        <f>F669+G669+H669+I669</f>
        <v>0</v>
      </c>
    </row>
    <row r="670" spans="1:11" x14ac:dyDescent="0.3">
      <c r="A670" s="3" t="str">
        <f>IF(A669="Print","Print","Do Not Print")</f>
        <v>Do Not Print</v>
      </c>
      <c r="D670" s="405"/>
      <c r="E670" s="405"/>
    </row>
    <row r="671" spans="1:11" x14ac:dyDescent="0.3">
      <c r="A671" s="3" t="str">
        <f>IF(A669="Print","Print","Do Not Print")</f>
        <v>Do Not Print</v>
      </c>
      <c r="D671" s="1538" t="s">
        <v>3018</v>
      </c>
      <c r="E671" s="1538"/>
      <c r="F671" s="1538"/>
      <c r="G671" s="1538"/>
      <c r="H671" s="1538"/>
      <c r="I671" s="1538"/>
      <c r="J671" s="1538"/>
      <c r="K671" s="1538"/>
    </row>
    <row r="672" spans="1:11" x14ac:dyDescent="0.3">
      <c r="A672" s="3" t="str">
        <f>IF(A669="Print","Print","Do Not Print")</f>
        <v>Do Not Print</v>
      </c>
      <c r="D672" s="1108"/>
      <c r="E672" s="1108"/>
      <c r="F672" s="1956" t="s">
        <v>2506</v>
      </c>
      <c r="G672" s="1881"/>
      <c r="H672" s="1956" t="s">
        <v>1562</v>
      </c>
      <c r="I672" s="1881"/>
      <c r="J672" s="1864" t="s">
        <v>74</v>
      </c>
    </row>
    <row r="673" spans="1:11" x14ac:dyDescent="0.3">
      <c r="A673" s="3" t="str">
        <f>IF(A669="Print","Print","Do Not Print")</f>
        <v>Do Not Print</v>
      </c>
      <c r="D673" s="1864"/>
      <c r="E673" s="1864"/>
      <c r="F673" s="1109" t="s">
        <v>1104</v>
      </c>
      <c r="G673" s="1110" t="s">
        <v>297</v>
      </c>
      <c r="H673" s="1109" t="s">
        <v>1104</v>
      </c>
      <c r="I673" s="1110" t="s">
        <v>297</v>
      </c>
      <c r="J673" s="1864"/>
    </row>
    <row r="674" spans="1:11" x14ac:dyDescent="0.3">
      <c r="A674" s="3" t="str">
        <f>IF(A669="Print","Print","Do Not Print")</f>
        <v>Do Not Print</v>
      </c>
      <c r="D674" s="1864"/>
      <c r="E674" s="1864"/>
      <c r="F674" s="1109" t="s">
        <v>450</v>
      </c>
      <c r="G674" s="1110" t="s">
        <v>450</v>
      </c>
      <c r="H674" s="1109" t="s">
        <v>450</v>
      </c>
      <c r="I674" s="1110" t="s">
        <v>450</v>
      </c>
      <c r="J674" s="1108" t="s">
        <v>450</v>
      </c>
    </row>
    <row r="675" spans="1:11" ht="13.5" customHeight="1" x14ac:dyDescent="0.3">
      <c r="A675" s="3" t="str">
        <f>IF(A669="Print","Print","Do Not Print")</f>
        <v>Do Not Print</v>
      </c>
      <c r="D675" s="1504" t="s">
        <v>2507</v>
      </c>
      <c r="E675" s="1504"/>
      <c r="F675" s="895">
        <f>'Non TB - Note 12 to 24'!I47</f>
        <v>0</v>
      </c>
      <c r="G675" s="1111">
        <f>'Non TB - Note 12 to 24'!I52</f>
        <v>0</v>
      </c>
      <c r="H675" s="895">
        <f>'Non TB - Note 12 to 24'!I57</f>
        <v>0</v>
      </c>
      <c r="I675" s="1111">
        <f>'Non TB - Note 12 to 24'!I62</f>
        <v>0</v>
      </c>
      <c r="J675" s="525">
        <f>SUM(F675:I675)</f>
        <v>0</v>
      </c>
    </row>
    <row r="676" spans="1:11" x14ac:dyDescent="0.3">
      <c r="A676" s="3" t="str">
        <f>IF(A669="Print","Print","Do Not Print")</f>
        <v>Do Not Print</v>
      </c>
      <c r="D676" s="1500" t="s">
        <v>2508</v>
      </c>
      <c r="E676" s="1500"/>
      <c r="F676" s="895">
        <f>'Non TB - Note 12 to 24'!I48</f>
        <v>0</v>
      </c>
      <c r="G676" s="1111">
        <f>'Non TB - Note 12 to 24'!I53</f>
        <v>0</v>
      </c>
      <c r="H676" s="895">
        <f>'Non TB - Note 12 to 24'!I58</f>
        <v>0</v>
      </c>
      <c r="I676" s="1111">
        <f>'Non TB - Note 12 to 24'!I63</f>
        <v>0</v>
      </c>
      <c r="J676" s="525">
        <f t="shared" ref="J676:J677" si="25">SUM(F676:I676)</f>
        <v>0</v>
      </c>
    </row>
    <row r="677" spans="1:11" ht="41.1" customHeight="1" x14ac:dyDescent="0.3">
      <c r="A677" s="3" t="str">
        <f>IF(A669="Print","Print","Do Not Print")</f>
        <v>Do Not Print</v>
      </c>
      <c r="D677" s="1504" t="s">
        <v>2509</v>
      </c>
      <c r="E677" s="1504"/>
      <c r="F677" s="895">
        <f>'Non TB - Note 12 to 24'!I49</f>
        <v>0</v>
      </c>
      <c r="G677" s="1111">
        <f>'Non TB - Note 12 to 24'!I54</f>
        <v>0</v>
      </c>
      <c r="H677" s="895">
        <f>'Non TB - Note 12 to 24'!I59</f>
        <v>0</v>
      </c>
      <c r="I677" s="1111">
        <f>'Non TB - Note 12 to 24'!I64</f>
        <v>0</v>
      </c>
      <c r="J677" s="525">
        <f t="shared" si="25"/>
        <v>0</v>
      </c>
    </row>
    <row r="678" spans="1:11" ht="28.5" customHeight="1" x14ac:dyDescent="0.3">
      <c r="A678" s="3" t="str">
        <f>IF(A669="Print","Print","Do Not Print")</f>
        <v>Do Not Print</v>
      </c>
      <c r="D678" s="1504" t="s">
        <v>2510</v>
      </c>
      <c r="E678" s="1504"/>
      <c r="F678" s="895">
        <f>'Non TB - Note 12 to 24'!H50</f>
        <v>0</v>
      </c>
      <c r="G678" s="1111">
        <f>'Non TB - Note 12 to 24'!I55</f>
        <v>0</v>
      </c>
      <c r="H678" s="895">
        <f>'Non TB - Note 12 to 24'!I60</f>
        <v>0</v>
      </c>
      <c r="I678" s="1111">
        <f>'Non TB - Note 12 to 24'!I65</f>
        <v>0</v>
      </c>
      <c r="J678" s="525">
        <f>SUM(F678:I678)</f>
        <v>0</v>
      </c>
      <c r="K678" s="468"/>
    </row>
    <row r="679" spans="1:11" x14ac:dyDescent="0.3">
      <c r="A679" s="3" t="str">
        <f>IF(A669="Print","Print","Do Not Print")</f>
        <v>Do Not Print</v>
      </c>
      <c r="D679" s="1945" t="s">
        <v>2511</v>
      </c>
      <c r="E679" s="1945"/>
      <c r="F679" s="1112">
        <f>SUM(F675:F678)</f>
        <v>0</v>
      </c>
      <c r="G679" s="1113">
        <f>SUM(G675:G678)</f>
        <v>0</v>
      </c>
      <c r="H679" s="1112">
        <f>SUM(H675:H678)</f>
        <v>0</v>
      </c>
      <c r="I679" s="1113">
        <f>SUM(I675:I678)</f>
        <v>0</v>
      </c>
      <c r="J679" s="1114">
        <f>SUM(F679:I679)</f>
        <v>0</v>
      </c>
      <c r="K679" s="639"/>
    </row>
    <row r="680" spans="1:11" x14ac:dyDescent="0.3">
      <c r="A680" s="3" t="str">
        <f>IF(A669="Print","Print","Do Not Print")</f>
        <v>Do Not Print</v>
      </c>
      <c r="D680" s="1948" t="s">
        <v>2512</v>
      </c>
      <c r="E680" s="1948"/>
      <c r="F680" s="1115">
        <f>'Non TB - Note 12 to 24'!H51</f>
        <v>0</v>
      </c>
      <c r="G680" s="1116">
        <f>'Non TB - Note 12 to 24'!I56</f>
        <v>0</v>
      </c>
      <c r="H680" s="1115">
        <f>'Non TB - Note 12 to 24'!I61</f>
        <v>0</v>
      </c>
      <c r="I680" s="1116">
        <f>'Non TB - Note 12 to 24'!I66</f>
        <v>0</v>
      </c>
      <c r="J680" s="1117">
        <f>SUM(F680:I680)</f>
        <v>0</v>
      </c>
    </row>
    <row r="681" spans="1:11" x14ac:dyDescent="0.3">
      <c r="A681" s="3" t="str">
        <f>IF(A669="Print","Print","Do Not Print")</f>
        <v>Do Not Print</v>
      </c>
      <c r="D681" s="1879" t="s">
        <v>2513</v>
      </c>
      <c r="E681" s="1879"/>
      <c r="F681" s="1118">
        <f>F679+F680</f>
        <v>0</v>
      </c>
      <c r="G681" s="1119">
        <f>G679+G680</f>
        <v>0</v>
      </c>
      <c r="H681" s="1118">
        <f>H679+H680</f>
        <v>0</v>
      </c>
      <c r="I681" s="1119">
        <f>I679+I680</f>
        <v>0</v>
      </c>
      <c r="J681" s="1120">
        <f>SUM(F681:I681)</f>
        <v>0</v>
      </c>
    </row>
    <row r="682" spans="1:11" x14ac:dyDescent="0.3">
      <c r="A682" s="3" t="str">
        <f>IF(A681="Print","Print","Do Not Print")</f>
        <v>Do Not Print</v>
      </c>
      <c r="D682" s="405"/>
      <c r="E682" s="405"/>
    </row>
    <row r="683" spans="1:11" x14ac:dyDescent="0.3">
      <c r="A683" s="3" t="str">
        <f>IF(A681="Print","Print","Do Not Print")</f>
        <v>Do Not Print</v>
      </c>
      <c r="D683" s="405"/>
      <c r="E683" s="405"/>
    </row>
    <row r="684" spans="1:11" x14ac:dyDescent="0.3">
      <c r="A684" s="3" t="str">
        <f>IF(A692="Print","Print","Do Not Print")</f>
        <v>Do Not Print</v>
      </c>
      <c r="D684" s="1538" t="s">
        <v>3178</v>
      </c>
      <c r="E684" s="1538"/>
      <c r="F684" s="1538"/>
      <c r="G684" s="1538"/>
      <c r="H684" s="1538"/>
      <c r="I684" s="1538"/>
      <c r="J684" s="1538"/>
      <c r="K684" s="1538"/>
    </row>
    <row r="685" spans="1:11" x14ac:dyDescent="0.3">
      <c r="A685" s="3" t="str">
        <f>IF(A692="Print","Print","Do Not Print")</f>
        <v>Do Not Print</v>
      </c>
      <c r="D685" s="1108"/>
      <c r="E685" s="1108"/>
      <c r="F685" s="1954" t="s">
        <v>2506</v>
      </c>
      <c r="G685" s="1955"/>
      <c r="H685" s="1954" t="s">
        <v>1562</v>
      </c>
      <c r="I685" s="1955"/>
      <c r="J685" s="1864" t="s">
        <v>74</v>
      </c>
    </row>
    <row r="686" spans="1:11" x14ac:dyDescent="0.3">
      <c r="A686" s="3" t="str">
        <f>IF(A692="Print","Print","Do Not Print")</f>
        <v>Do Not Print</v>
      </c>
      <c r="D686" s="1864"/>
      <c r="E686" s="1864"/>
      <c r="F686" s="1109" t="s">
        <v>1478</v>
      </c>
      <c r="G686" s="1110" t="s">
        <v>1479</v>
      </c>
      <c r="H686" s="1109" t="s">
        <v>1478</v>
      </c>
      <c r="I686" s="1110" t="s">
        <v>1479</v>
      </c>
      <c r="J686" s="1864"/>
    </row>
    <row r="687" spans="1:11" x14ac:dyDescent="0.3">
      <c r="A687" s="3" t="str">
        <f>IF(A692="Print","Print","Do Not Print")</f>
        <v>Do Not Print</v>
      </c>
      <c r="D687" s="1864"/>
      <c r="E687" s="1864"/>
      <c r="F687" s="1109" t="s">
        <v>450</v>
      </c>
      <c r="G687" s="1110" t="s">
        <v>450</v>
      </c>
      <c r="H687" s="1109" t="s">
        <v>450</v>
      </c>
      <c r="I687" s="1110" t="s">
        <v>450</v>
      </c>
      <c r="J687" s="1108" t="s">
        <v>450</v>
      </c>
    </row>
    <row r="688" spans="1:11" ht="15.6" customHeight="1" x14ac:dyDescent="0.3">
      <c r="A688" s="3" t="str">
        <f>IF(OR(F688&gt;0,G688&gt;0,H688&gt;0,I688&gt;0,J688&gt;0),"Print","Do Not Print")</f>
        <v>Do Not Print</v>
      </c>
      <c r="D688" s="1504" t="s">
        <v>2507</v>
      </c>
      <c r="E688" s="1504"/>
      <c r="F688" s="895">
        <f>'Non TB - Note 12 to 24'!H67</f>
        <v>0</v>
      </c>
      <c r="G688" s="1111">
        <f>'Non TB - Note 12 to 24'!H70</f>
        <v>0</v>
      </c>
      <c r="H688" s="895">
        <f>'Non TB - Note 12 to 24'!H73</f>
        <v>0</v>
      </c>
      <c r="I688" s="1111">
        <f>'Non TB - Note 12 to 24'!H76</f>
        <v>0</v>
      </c>
      <c r="J688" s="525">
        <f>SUM(F688:I688)</f>
        <v>0</v>
      </c>
    </row>
    <row r="689" spans="1:11" ht="15.6" customHeight="1" x14ac:dyDescent="0.3">
      <c r="A689" s="3" t="str">
        <f t="shared" ref="A689:A692" si="26">IF(OR(F689&gt;0,G689&gt;0,H689&gt;0,I689&gt;0,J689&gt;0),"Print","Do Not Print")</f>
        <v>Do Not Print</v>
      </c>
      <c r="D689" s="1500" t="s">
        <v>2508</v>
      </c>
      <c r="E689" s="1500"/>
      <c r="F689" s="895">
        <f>'Non TB - Note 12 to 24'!H68</f>
        <v>0</v>
      </c>
      <c r="G689" s="1111">
        <f>'Non TB - Note 12 to 24'!H71</f>
        <v>0</v>
      </c>
      <c r="H689" s="895">
        <f>'Non TB - Note 12 to 24'!H74</f>
        <v>0</v>
      </c>
      <c r="I689" s="1111">
        <f>'Non TB - Note 12 to 24'!H77</f>
        <v>0</v>
      </c>
      <c r="J689" s="525">
        <f t="shared" ref="J689:J690" si="27">SUM(F689:I689)</f>
        <v>0</v>
      </c>
    </row>
    <row r="690" spans="1:11" ht="15.6" customHeight="1" x14ac:dyDescent="0.3">
      <c r="A690" s="3" t="str">
        <f t="shared" si="26"/>
        <v>Do Not Print</v>
      </c>
      <c r="D690" s="1945" t="s">
        <v>2514</v>
      </c>
      <c r="E690" s="1945"/>
      <c r="F690" s="1121">
        <f>'Non TB - Note 12 to 24'!I62</f>
        <v>0</v>
      </c>
      <c r="G690" s="1122">
        <f>'Non TB - Note 12 to 24'!I67</f>
        <v>0</v>
      </c>
      <c r="H690" s="1121">
        <f>'Non TB - Note 12 to 24'!I72</f>
        <v>0</v>
      </c>
      <c r="I690" s="1122">
        <f>'Non TB - Note 12 to 24'!I77</f>
        <v>0</v>
      </c>
      <c r="J690" s="1123">
        <f t="shared" si="27"/>
        <v>0</v>
      </c>
    </row>
    <row r="691" spans="1:11" ht="15.6" customHeight="1" x14ac:dyDescent="0.3">
      <c r="A691" s="3" t="str">
        <f t="shared" si="26"/>
        <v>Do Not Print</v>
      </c>
      <c r="D691" s="1504" t="s">
        <v>2515</v>
      </c>
      <c r="E691" s="1504"/>
      <c r="F691" s="895">
        <f>'Non TB - Note 12 to 24'!H69</f>
        <v>0</v>
      </c>
      <c r="G691" s="1111">
        <f>'Non TB - Note 12 to 24'!H72</f>
        <v>0</v>
      </c>
      <c r="H691" s="895">
        <f>'Non TB - Note 12 to 24'!H75</f>
        <v>0</v>
      </c>
      <c r="I691" s="1111">
        <f>'Non TB - Note 12 to 24'!H78</f>
        <v>0</v>
      </c>
      <c r="J691" s="525">
        <f>SUM(F691:I691)</f>
        <v>0</v>
      </c>
      <c r="K691" s="468"/>
    </row>
    <row r="692" spans="1:11" x14ac:dyDescent="0.3">
      <c r="A692" s="3" t="str">
        <f t="shared" si="26"/>
        <v>Do Not Print</v>
      </c>
      <c r="D692" s="1879" t="s">
        <v>2513</v>
      </c>
      <c r="E692" s="1879"/>
      <c r="F692" s="1118">
        <f>F690+F691</f>
        <v>0</v>
      </c>
      <c r="G692" s="1119">
        <f>G690+G691</f>
        <v>0</v>
      </c>
      <c r="H692" s="1118">
        <f>H690+H691</f>
        <v>0</v>
      </c>
      <c r="I692" s="1119">
        <f>I690+I691</f>
        <v>0</v>
      </c>
      <c r="J692" s="1120">
        <f>SUM(F692:I692)</f>
        <v>0</v>
      </c>
    </row>
    <row r="693" spans="1:11" x14ac:dyDescent="0.3">
      <c r="A693" s="3" t="str">
        <f>IF(A692="Print","Print","Do Not Print")</f>
        <v>Do Not Print</v>
      </c>
      <c r="D693" s="405"/>
      <c r="E693" s="405"/>
    </row>
    <row r="694" spans="1:11" x14ac:dyDescent="0.3">
      <c r="A694" s="3" t="str">
        <f>IF(A692="Print","Print","Do Not Print")</f>
        <v>Do Not Print</v>
      </c>
      <c r="D694" s="405"/>
      <c r="E694" s="405"/>
    </row>
    <row r="695" spans="1:11" x14ac:dyDescent="0.3">
      <c r="A695" s="3" t="str">
        <f>IF(A692="Print","Print","Do Not Print")</f>
        <v>Do Not Print</v>
      </c>
      <c r="D695" s="1538" t="s">
        <v>3019</v>
      </c>
      <c r="E695" s="1538"/>
      <c r="F695" s="1538"/>
      <c r="G695" s="1538"/>
      <c r="H695" s="1538"/>
      <c r="I695" s="1538"/>
      <c r="J695" s="1538"/>
      <c r="K695" s="1538"/>
    </row>
    <row r="696" spans="1:11" x14ac:dyDescent="0.3">
      <c r="A696" s="3" t="str">
        <f>IF(A692="Print","Print","Do Not Print")</f>
        <v>Do Not Print</v>
      </c>
      <c r="D696" s="1108"/>
      <c r="E696" s="1108"/>
      <c r="F696" s="1954" t="s">
        <v>2506</v>
      </c>
      <c r="G696" s="1955"/>
      <c r="H696" s="1954" t="s">
        <v>1562</v>
      </c>
      <c r="I696" s="1955"/>
      <c r="J696" s="1864" t="s">
        <v>74</v>
      </c>
    </row>
    <row r="697" spans="1:11" x14ac:dyDescent="0.3">
      <c r="A697" s="3" t="str">
        <f>IF(A692="Print","Print","Do Not Print")</f>
        <v>Do Not Print</v>
      </c>
      <c r="D697" s="1864"/>
      <c r="E697" s="1864"/>
      <c r="F697" s="1109" t="s">
        <v>1478</v>
      </c>
      <c r="G697" s="1110" t="s">
        <v>1479</v>
      </c>
      <c r="H697" s="1109" t="s">
        <v>1478</v>
      </c>
      <c r="I697" s="1110" t="s">
        <v>1479</v>
      </c>
      <c r="J697" s="1864"/>
    </row>
    <row r="698" spans="1:11" x14ac:dyDescent="0.3">
      <c r="A698" s="3" t="str">
        <f>IF(A692="Print","Print","Do Not Print")</f>
        <v>Do Not Print</v>
      </c>
      <c r="D698" s="1864"/>
      <c r="E698" s="1864"/>
      <c r="F698" s="1109" t="s">
        <v>450</v>
      </c>
      <c r="G698" s="1110" t="s">
        <v>450</v>
      </c>
      <c r="H698" s="1109" t="s">
        <v>450</v>
      </c>
      <c r="I698" s="1110" t="s">
        <v>450</v>
      </c>
      <c r="J698" s="1108" t="s">
        <v>450</v>
      </c>
    </row>
    <row r="699" spans="1:11" ht="16.5" customHeight="1" x14ac:dyDescent="0.3">
      <c r="A699" s="3" t="str">
        <f>IF(A692="Print","Print","Do Not Print")</f>
        <v>Do Not Print</v>
      </c>
      <c r="D699" s="1504" t="s">
        <v>2507</v>
      </c>
      <c r="E699" s="1504"/>
      <c r="F699" s="895">
        <f>'Non TB - Note 12 to 24'!I67</f>
        <v>0</v>
      </c>
      <c r="G699" s="1111">
        <f>'Non TB - Note 12 to 24'!I70</f>
        <v>0</v>
      </c>
      <c r="H699" s="895">
        <f>'Non TB - Note 12 to 24'!I73</f>
        <v>0</v>
      </c>
      <c r="I699" s="1111">
        <f>'Non TB - Note 12 to 24'!I76</f>
        <v>0</v>
      </c>
      <c r="J699" s="525">
        <f>SUM(F699:I699)</f>
        <v>0</v>
      </c>
    </row>
    <row r="700" spans="1:11" ht="16.5" customHeight="1" x14ac:dyDescent="0.3">
      <c r="A700" s="3" t="str">
        <f>IF(A692="Print","Print","Do Not Print")</f>
        <v>Do Not Print</v>
      </c>
      <c r="D700" s="1500" t="s">
        <v>2508</v>
      </c>
      <c r="E700" s="1500"/>
      <c r="F700" s="895">
        <f>'Non TB - Note 12 to 24'!I68</f>
        <v>0</v>
      </c>
      <c r="G700" s="1111">
        <f>'Non TB - Note 12 to 24'!I71</f>
        <v>0</v>
      </c>
      <c r="H700" s="895">
        <f>'Non TB - Note 12 to 24'!I74</f>
        <v>0</v>
      </c>
      <c r="I700" s="1111">
        <f>'Non TB - Note 12 to 24'!I77</f>
        <v>0</v>
      </c>
      <c r="J700" s="525">
        <f t="shared" ref="J700:J701" si="28">SUM(F700:I700)</f>
        <v>0</v>
      </c>
    </row>
    <row r="701" spans="1:11" ht="16.5" customHeight="1" x14ac:dyDescent="0.3">
      <c r="A701" s="3" t="str">
        <f>IF(A692="Print","Print","Do Not Print")</f>
        <v>Do Not Print</v>
      </c>
      <c r="D701" s="1945" t="s">
        <v>2514</v>
      </c>
      <c r="E701" s="1945"/>
      <c r="F701" s="1121">
        <f>'Non TB - Note 12 to 24'!I73</f>
        <v>0</v>
      </c>
      <c r="G701" s="1122">
        <f>'Non TB - Note 12 to 24'!I78</f>
        <v>0</v>
      </c>
      <c r="H701" s="1121">
        <f>'Non TB - Note 12 to 24'!I83</f>
        <v>0</v>
      </c>
      <c r="I701" s="1122">
        <f>'Non TB - Note 12 to 24'!I88</f>
        <v>0</v>
      </c>
      <c r="J701" s="1123">
        <f t="shared" si="28"/>
        <v>0</v>
      </c>
    </row>
    <row r="702" spans="1:11" ht="16.5" customHeight="1" x14ac:dyDescent="0.3">
      <c r="A702" s="3" t="str">
        <f>IF(A692="Print","Print","Do Not Print")</f>
        <v>Do Not Print</v>
      </c>
      <c r="D702" s="1504" t="s">
        <v>2515</v>
      </c>
      <c r="E702" s="1504"/>
      <c r="F702" s="895">
        <f>'Non TB - Note 12 to 24'!I69</f>
        <v>0</v>
      </c>
      <c r="G702" s="1111">
        <f>'Non TB - Note 12 to 24'!I72</f>
        <v>0</v>
      </c>
      <c r="H702" s="895">
        <f>'Non TB - Note 12 to 24'!I75</f>
        <v>0</v>
      </c>
      <c r="I702" s="1111">
        <f>'Non TB - Note 12 to 24'!I78</f>
        <v>0</v>
      </c>
      <c r="J702" s="525">
        <f>SUM(F702:I702)</f>
        <v>0</v>
      </c>
      <c r="K702" s="468"/>
    </row>
    <row r="703" spans="1:11" ht="16.5" customHeight="1" x14ac:dyDescent="0.3">
      <c r="A703" s="3" t="str">
        <f>IF(A692="Print","Print","Do Not Print")</f>
        <v>Do Not Print</v>
      </c>
      <c r="D703" s="1879" t="s">
        <v>2513</v>
      </c>
      <c r="E703" s="1879"/>
      <c r="F703" s="1118">
        <f>F701+F702</f>
        <v>0</v>
      </c>
      <c r="G703" s="1119">
        <f>G701+G702</f>
        <v>0</v>
      </c>
      <c r="H703" s="1118">
        <f>H701+H702</f>
        <v>0</v>
      </c>
      <c r="I703" s="1119">
        <f>I701+I702</f>
        <v>0</v>
      </c>
      <c r="J703" s="1120">
        <f>SUM(F703:I703)</f>
        <v>0</v>
      </c>
    </row>
    <row r="704" spans="1:11" x14ac:dyDescent="0.3">
      <c r="A704" s="3" t="str">
        <f>IF(A703="Print","Print","Do Not Print")</f>
        <v>Do Not Print</v>
      </c>
      <c r="D704" s="405"/>
      <c r="E704" s="405"/>
    </row>
    <row r="705" spans="1:11" ht="13.5" customHeight="1" x14ac:dyDescent="0.3">
      <c r="A705" s="3" t="str">
        <f>IF('Non TB - Note 12 to 24'!F79=1,"Print","Do Not Print")</f>
        <v>Print</v>
      </c>
      <c r="D705" s="1946" t="str">
        <f>IF('Non TB - Note 12 to 24'!F79=1,'Non TB - Note 12 to 24'!D79,"")</f>
        <v>Material soft loans made by the Council</v>
      </c>
      <c r="E705" s="1946"/>
      <c r="F705" s="1946"/>
      <c r="G705" s="1946"/>
      <c r="H705" s="1946"/>
      <c r="I705" s="1946"/>
      <c r="J705" s="1946"/>
      <c r="K705" s="1946"/>
    </row>
    <row r="706" spans="1:11" ht="13.5" customHeight="1" x14ac:dyDescent="0.3">
      <c r="A706" s="3" t="str">
        <f>IF(A705="Print","Print","Do Not Print")</f>
        <v>Print</v>
      </c>
      <c r="D706" s="1538"/>
      <c r="E706" s="1538"/>
      <c r="F706" s="1538"/>
      <c r="G706" s="1538"/>
      <c r="H706" s="1538"/>
      <c r="I706" s="1538"/>
      <c r="J706" s="1538"/>
      <c r="K706" s="1538"/>
    </row>
    <row r="707" spans="1:11" ht="13.5" customHeight="1" x14ac:dyDescent="0.3">
      <c r="A707" s="3" t="str">
        <f>IF('Non TB - Note 12 to 24'!F79=1,"Print","Do Not Print")</f>
        <v>Print</v>
      </c>
      <c r="D707" s="1538" t="str">
        <f>IF('Non TB - Note 12 to 24'!F79=1,'Non TB - Note 12 to 24'!E79,"")</f>
        <v>Loan to Authority Y for the ABC Business Park</v>
      </c>
      <c r="E707" s="1538"/>
      <c r="F707" s="1538"/>
      <c r="G707" s="1538"/>
      <c r="H707" s="1538"/>
      <c r="I707" s="1538"/>
      <c r="J707" s="1538"/>
      <c r="K707" s="1538"/>
    </row>
    <row r="708" spans="1:11" ht="13.5" customHeight="1" x14ac:dyDescent="0.3">
      <c r="A708" s="3" t="str">
        <f>IF(A707="Print","Print","Do Not Print")</f>
        <v>Print</v>
      </c>
      <c r="D708" s="1538"/>
      <c r="E708" s="1538"/>
      <c r="F708" s="1538"/>
      <c r="G708" s="1538"/>
      <c r="H708" s="1538"/>
      <c r="I708" s="1538"/>
      <c r="J708" s="1538"/>
      <c r="K708" s="1538"/>
    </row>
    <row r="709" spans="1:11" ht="30.75" customHeight="1" x14ac:dyDescent="0.3">
      <c r="A709" s="3" t="str">
        <f>IF('Non TB - Note 12 to 24'!F79=1,"Print","Do Not Print")</f>
        <v>Print</v>
      </c>
      <c r="D709" s="1504" t="str">
        <f>IF('Non TB - Note 12 to 24'!F79=1,'Non TB - Note 12 to 24'!H79,"")</f>
        <v>The loan to Council A to redevelop the business park to make it fit for 21st century small and medium-sized businesses is deemed to be a material soft loan - the loan is an interest free loan of £x to Council A.</v>
      </c>
      <c r="E709" s="1504"/>
      <c r="F709" s="1504"/>
      <c r="G709" s="1504"/>
      <c r="H709" s="1504"/>
      <c r="I709" s="1504"/>
      <c r="J709" s="1504"/>
      <c r="K709" s="1504"/>
    </row>
    <row r="710" spans="1:11" ht="13.5" customHeight="1" x14ac:dyDescent="0.3">
      <c r="A710" s="3" t="str">
        <f>IF(A709="Print","Print","Do Not Print")</f>
        <v>Print</v>
      </c>
      <c r="D710" s="1538"/>
      <c r="E710" s="1538"/>
      <c r="F710" s="1538"/>
      <c r="G710" s="1538"/>
      <c r="H710" s="1538"/>
      <c r="I710" s="1538"/>
      <c r="J710" s="1538"/>
      <c r="K710" s="1538"/>
    </row>
    <row r="711" spans="1:11" ht="13.5" customHeight="1" x14ac:dyDescent="0.3">
      <c r="A711" s="3" t="str">
        <f>IF(A721="Print","Print","Do Not Print")</f>
        <v>Do Not Print</v>
      </c>
      <c r="D711" s="1109"/>
      <c r="E711" s="1110"/>
      <c r="F711" s="1923" t="str">
        <f>I551</f>
        <v>2025/26</v>
      </c>
      <c r="G711" s="1864"/>
      <c r="H711" s="1922" t="str">
        <f>J551</f>
        <v>2024/25</v>
      </c>
      <c r="I711" s="1865"/>
      <c r="J711" s="405"/>
      <c r="K711" s="405"/>
    </row>
    <row r="712" spans="1:11" ht="13.5" customHeight="1" x14ac:dyDescent="0.3">
      <c r="A712" s="3" t="str">
        <f>IF(A711="Print","Print","Do Not Print")</f>
        <v>Do Not Print</v>
      </c>
      <c r="D712" s="1863"/>
      <c r="E712" s="1865"/>
      <c r="F712" s="1108"/>
      <c r="G712" s="1108" t="s">
        <v>450</v>
      </c>
      <c r="H712" s="1109"/>
      <c r="I712" s="1110" t="s">
        <v>450</v>
      </c>
      <c r="J712" s="405"/>
      <c r="K712" s="405"/>
    </row>
    <row r="713" spans="1:11" ht="14.1" customHeight="1" x14ac:dyDescent="0.3">
      <c r="A713" s="3" t="str">
        <f>IF(A721="Print","Print","Do Not Print")</f>
        <v>Do Not Print</v>
      </c>
      <c r="D713" s="1944" t="s">
        <v>2517</v>
      </c>
      <c r="E713" s="1856"/>
      <c r="F713" s="1930"/>
      <c r="G713" s="1931"/>
      <c r="H713" s="1930"/>
      <c r="I713" s="1931"/>
      <c r="J713" s="405"/>
      <c r="K713" s="405"/>
    </row>
    <row r="714" spans="1:11" ht="13.5" customHeight="1" x14ac:dyDescent="0.3">
      <c r="A714" s="3" t="str">
        <f>IF(OR(F714&gt;0,H714&gt;0),"Print","Do Not Print")</f>
        <v>Do Not Print</v>
      </c>
      <c r="D714" s="1765" t="s">
        <v>789</v>
      </c>
      <c r="E714" s="1947"/>
      <c r="F714" s="1930">
        <f>'Non TB - Note 12 to 24'!H80</f>
        <v>0</v>
      </c>
      <c r="G714" s="1931"/>
      <c r="H714" s="1930">
        <f>'Non TB - Note 12 to 24'!I80</f>
        <v>0</v>
      </c>
      <c r="I714" s="1931"/>
      <c r="J714" s="405"/>
      <c r="K714" s="405"/>
    </row>
    <row r="715" spans="1:11" s="3" customFormat="1" ht="30" customHeight="1" x14ac:dyDescent="0.3">
      <c r="A715" s="3" t="str">
        <f t="shared" ref="A715:A720" si="29">IF(OR(F715&gt;0,H715&gt;0),"Print","Do Not Print")</f>
        <v>Do Not Print</v>
      </c>
      <c r="B715" s="1124"/>
      <c r="C715" s="1124"/>
      <c r="D715" s="1944" t="s">
        <v>2421</v>
      </c>
      <c r="E715" s="1856"/>
      <c r="F715" s="1930">
        <f>'Non TB - Note 12 to 24'!H81</f>
        <v>0</v>
      </c>
      <c r="G715" s="1931"/>
      <c r="H715" s="1930">
        <f>'Non TB - Note 12 to 24'!I81</f>
        <v>0</v>
      </c>
      <c r="I715" s="1931"/>
      <c r="J715" s="401"/>
      <c r="K715" s="401"/>
    </row>
    <row r="716" spans="1:11" s="3" customFormat="1" ht="28.05" customHeight="1" x14ac:dyDescent="0.3">
      <c r="A716" s="3" t="str">
        <f t="shared" si="29"/>
        <v>Do Not Print</v>
      </c>
      <c r="B716" s="1124"/>
      <c r="C716" s="1124"/>
      <c r="D716" s="1944" t="s">
        <v>2422</v>
      </c>
      <c r="E716" s="1856"/>
      <c r="F716" s="1930">
        <f>'Non TB - Note 12 to 24'!H82</f>
        <v>0</v>
      </c>
      <c r="G716" s="1931"/>
      <c r="H716" s="1930">
        <f>'Non TB - Note 12 to 24'!I82</f>
        <v>0</v>
      </c>
      <c r="I716" s="1931"/>
      <c r="J716" s="401"/>
      <c r="K716" s="401"/>
    </row>
    <row r="717" spans="1:11" s="3" customFormat="1" ht="13.5" customHeight="1" x14ac:dyDescent="0.3">
      <c r="A717" s="3" t="str">
        <f t="shared" si="29"/>
        <v>Do Not Print</v>
      </c>
      <c r="B717" s="1124"/>
      <c r="C717" s="1124"/>
      <c r="D717" s="1765" t="s">
        <v>2423</v>
      </c>
      <c r="E717" s="1947"/>
      <c r="F717" s="1930">
        <f>'Non TB - Note 12 to 24'!H83</f>
        <v>0</v>
      </c>
      <c r="G717" s="1931"/>
      <c r="H717" s="1930">
        <f>'Non TB - Note 12 to 24'!I83</f>
        <v>0</v>
      </c>
      <c r="I717" s="1931"/>
      <c r="J717" s="401"/>
      <c r="K717" s="401"/>
    </row>
    <row r="718" spans="1:11" s="3" customFormat="1" ht="13.5" customHeight="1" x14ac:dyDescent="0.3">
      <c r="A718" s="3" t="str">
        <f t="shared" si="29"/>
        <v>Do Not Print</v>
      </c>
      <c r="B718" s="1124"/>
      <c r="C718" s="1124"/>
      <c r="D718" s="1765" t="s">
        <v>2424</v>
      </c>
      <c r="E718" s="1947"/>
      <c r="F718" s="1930">
        <f>'Non TB - Note 12 to 24'!H84</f>
        <v>0</v>
      </c>
      <c r="G718" s="1931"/>
      <c r="H718" s="1930">
        <f>'Non TB - Note 12 to 24'!I84</f>
        <v>0</v>
      </c>
      <c r="I718" s="1931"/>
      <c r="J718" s="401"/>
      <c r="K718" s="401"/>
    </row>
    <row r="719" spans="1:11" s="3" customFormat="1" ht="15" customHeight="1" x14ac:dyDescent="0.3">
      <c r="A719" s="3" t="str">
        <f t="shared" si="29"/>
        <v>Do Not Print</v>
      </c>
      <c r="B719" s="1124"/>
      <c r="C719" s="1124"/>
      <c r="D719" s="1886" t="s">
        <v>2425</v>
      </c>
      <c r="E719" s="1887"/>
      <c r="F719" s="1930">
        <f>'Non TB - Note 12 to 24'!H85</f>
        <v>0</v>
      </c>
      <c r="G719" s="1931"/>
      <c r="H719" s="1930">
        <f>'Non TB - Note 12 to 24'!I85</f>
        <v>0</v>
      </c>
      <c r="I719" s="1931"/>
      <c r="J719" s="401"/>
      <c r="K719" s="401"/>
    </row>
    <row r="720" spans="1:11" s="3" customFormat="1" ht="13.5" customHeight="1" x14ac:dyDescent="0.3">
      <c r="A720" s="3" t="str">
        <f t="shared" si="29"/>
        <v>Do Not Print</v>
      </c>
      <c r="B720" s="1124"/>
      <c r="C720" s="1124"/>
      <c r="D720" s="1765" t="s">
        <v>2426</v>
      </c>
      <c r="E720" s="1947"/>
      <c r="F720" s="1930">
        <f>'Non TB - Note 12 to 24'!H86</f>
        <v>0</v>
      </c>
      <c r="G720" s="1931"/>
      <c r="H720" s="1930">
        <f>'Non TB - Note 12 to 24'!I86</f>
        <v>0</v>
      </c>
      <c r="I720" s="1931"/>
      <c r="J720" s="401"/>
      <c r="K720" s="401"/>
    </row>
    <row r="721" spans="1:11" s="3" customFormat="1" ht="16.5" customHeight="1" x14ac:dyDescent="0.3">
      <c r="A721" s="3" t="str">
        <f>IF(OR(F721&gt;0,H721&gt;0),"Print","Do Not Print")</f>
        <v>Do Not Print</v>
      </c>
      <c r="B721" s="1124"/>
      <c r="C721" s="1124"/>
      <c r="D721" s="1914" t="s">
        <v>2518</v>
      </c>
      <c r="E721" s="1916"/>
      <c r="F721" s="1942">
        <f>SUM(F714:G720)</f>
        <v>0</v>
      </c>
      <c r="G721" s="1943"/>
      <c r="H721" s="1942">
        <f>SUM(H714:I720)</f>
        <v>0</v>
      </c>
      <c r="I721" s="1943"/>
      <c r="J721" s="401"/>
      <c r="K721" s="401"/>
    </row>
    <row r="722" spans="1:11" s="3" customFormat="1" ht="13.5" customHeight="1" x14ac:dyDescent="0.3">
      <c r="A722" s="3" t="str">
        <f>IF(A721="Print","Print","Do Not Print")</f>
        <v>Do Not Print</v>
      </c>
      <c r="B722" s="1124"/>
      <c r="C722" s="1124"/>
      <c r="D722" s="401"/>
      <c r="E722" s="401"/>
      <c r="F722" s="401"/>
      <c r="G722" s="401"/>
      <c r="H722" s="401"/>
      <c r="I722" s="401"/>
      <c r="J722" s="401"/>
      <c r="K722" s="401"/>
    </row>
    <row r="723" spans="1:11" s="3" customFormat="1" ht="16.05" customHeight="1" x14ac:dyDescent="0.3">
      <c r="A723" s="3" t="str">
        <f>IF(OR(F723&gt;0,H723&gt;0),"Print","Do Not Print")</f>
        <v>Do Not Print</v>
      </c>
      <c r="B723" s="1124"/>
      <c r="C723" s="1124"/>
      <c r="D723" s="1898" t="s">
        <v>2427</v>
      </c>
      <c r="E723" s="1898"/>
      <c r="F723" s="1912">
        <f>'Non TB - Note 12 to 24'!H87</f>
        <v>0</v>
      </c>
      <c r="G723" s="1912"/>
      <c r="H723" s="1912">
        <f>'Non TB - Note 12 to 24'!I87</f>
        <v>0</v>
      </c>
      <c r="I723" s="1912"/>
      <c r="J723" s="401"/>
      <c r="K723" s="401"/>
    </row>
    <row r="724" spans="1:11" s="3" customFormat="1" ht="13.5" customHeight="1" x14ac:dyDescent="0.3">
      <c r="A724" s="3" t="str">
        <f>IF(A723="Print","Print","Do Not Print")</f>
        <v>Do Not Print</v>
      </c>
      <c r="B724" s="1124"/>
      <c r="C724" s="1124"/>
      <c r="D724" s="1500"/>
      <c r="E724" s="1500"/>
      <c r="F724" s="1500"/>
      <c r="G724" s="1500"/>
      <c r="H724" s="1500"/>
      <c r="I724" s="1500"/>
      <c r="J724" s="1500"/>
      <c r="K724" s="1500"/>
    </row>
    <row r="725" spans="1:11" s="3" customFormat="1" ht="13.5" customHeight="1" x14ac:dyDescent="0.3">
      <c r="A725" s="3" t="str">
        <f>IF('Non TB - Note 12 to 24'!F88=1,"Print","Do Not Print")</f>
        <v>Print</v>
      </c>
      <c r="B725" s="1124"/>
      <c r="C725" s="1124"/>
      <c r="D725" s="1538" t="str">
        <f>IF('Non TB - Note 12 to 24'!F88=1,'Non TB - Note 12 to 24'!E88,"")</f>
        <v>Valuation assumptions</v>
      </c>
      <c r="E725" s="1538"/>
      <c r="F725" s="1538"/>
      <c r="G725" s="1538"/>
      <c r="H725" s="1538"/>
      <c r="I725" s="1538"/>
      <c r="J725" s="1538"/>
      <c r="K725" s="1538"/>
    </row>
    <row r="726" spans="1:11" s="3" customFormat="1" ht="13.5" customHeight="1" x14ac:dyDescent="0.3">
      <c r="A726" s="3" t="str">
        <f>IF(A725="Print","Print","Do Not Print")</f>
        <v>Print</v>
      </c>
      <c r="B726" s="1124"/>
      <c r="C726" s="1124"/>
      <c r="D726" s="1500"/>
      <c r="E726" s="1500"/>
      <c r="F726" s="1500"/>
      <c r="G726" s="1500"/>
      <c r="H726" s="1500"/>
      <c r="I726" s="1500"/>
      <c r="J726" s="1500"/>
      <c r="K726" s="1500"/>
    </row>
    <row r="727" spans="1:11" s="3" customFormat="1" ht="31.5" customHeight="1" x14ac:dyDescent="0.3">
      <c r="A727" s="3" t="str">
        <f>IF('Non TB - Note 12 to 24'!F88=1,"Print","Do Not Print")</f>
        <v>Print</v>
      </c>
      <c r="B727" s="1124"/>
      <c r="C727" s="1124"/>
      <c r="D727" s="1504" t="str">
        <f>IF('Non TB - Note 12 to 24'!F88=1,'Non TB - Note 12 to 24'!H88,"")</f>
        <v>The interest rate at which the fair value of this soft loan has been made is arrived at by taking the Council's prevailing cost of borrowing (x%) and adding an allowance for the risk that the loan might not be repaid by Council A, in this case a zero rate.</v>
      </c>
      <c r="E727" s="1504"/>
      <c r="F727" s="1504"/>
      <c r="G727" s="1504"/>
      <c r="H727" s="1504"/>
      <c r="I727" s="1504"/>
      <c r="J727" s="1504"/>
      <c r="K727" s="1504"/>
    </row>
    <row r="728" spans="1:11" s="3" customFormat="1" ht="13.5" customHeight="1" x14ac:dyDescent="0.3">
      <c r="A728" s="3" t="str">
        <f>IF(A727="Print","Print","Do Not Print")</f>
        <v>Print</v>
      </c>
      <c r="B728" s="1124"/>
      <c r="C728" s="1124"/>
      <c r="D728" s="1500"/>
      <c r="E728" s="1500"/>
      <c r="F728" s="1500"/>
      <c r="G728" s="1500"/>
      <c r="H728" s="1500"/>
      <c r="I728" s="1500"/>
      <c r="J728" s="1500"/>
      <c r="K728" s="1500"/>
    </row>
    <row r="729" spans="1:11" s="3" customFormat="1" ht="13.5" customHeight="1" x14ac:dyDescent="0.3">
      <c r="A729" s="3" t="str">
        <f>IF('Non TB - Note 12 to 24'!F89=1,"Print","Do Not Print")</f>
        <v>Print</v>
      </c>
      <c r="B729" s="1124"/>
      <c r="C729" s="1124"/>
      <c r="D729" s="1538" t="str">
        <f>IF('Non TB - Note 12 to 24'!F89=1,'Non TB - Note 12 to 24'!E89,"")</f>
        <v>Employee Car Loans</v>
      </c>
      <c r="E729" s="1538"/>
      <c r="F729" s="1538"/>
      <c r="G729" s="1538"/>
      <c r="H729" s="1538"/>
      <c r="I729" s="1538"/>
      <c r="J729" s="1538"/>
      <c r="K729" s="1538"/>
    </row>
    <row r="730" spans="1:11" s="3" customFormat="1" ht="13.5" customHeight="1" x14ac:dyDescent="0.3">
      <c r="A730" s="3" t="str">
        <f>IF(A729="Print","Print","Do Not Print")</f>
        <v>Print</v>
      </c>
      <c r="B730" s="1124"/>
      <c r="C730" s="1124"/>
      <c r="D730" s="1500"/>
      <c r="E730" s="1500"/>
      <c r="F730" s="1500"/>
      <c r="G730" s="1500"/>
      <c r="H730" s="1500"/>
      <c r="I730" s="1500"/>
      <c r="J730" s="1500"/>
      <c r="K730" s="1500"/>
    </row>
    <row r="731" spans="1:11" s="3" customFormat="1" ht="27.75" customHeight="1" x14ac:dyDescent="0.3">
      <c r="A731" s="3" t="str">
        <f>IF('Non TB - Note 12 to 24'!F89=1,"Print","Do Not Print")</f>
        <v>Print</v>
      </c>
      <c r="B731" s="1124"/>
      <c r="C731" s="1124"/>
      <c r="D731" s="1504" t="str">
        <f>IF('Non TB - Note 12 to 24'!F89=1,'Non TB - Note 12 to 24'!H89,"")</f>
        <v>The Council makes loans for car purchases to X employees in the authority who are in posts that require them to drive regularly on the Council's business.</v>
      </c>
      <c r="E731" s="1504"/>
      <c r="F731" s="1504"/>
      <c r="G731" s="1504"/>
      <c r="H731" s="1504"/>
      <c r="I731" s="1504"/>
      <c r="J731" s="1504"/>
      <c r="K731" s="1504"/>
    </row>
    <row r="732" spans="1:11" s="3" customFormat="1" x14ac:dyDescent="0.3">
      <c r="A732" s="3" t="str">
        <f>IF(A731="Print","Print","Do Not Print")</f>
        <v>Print</v>
      </c>
      <c r="B732" s="1124"/>
      <c r="C732" s="1124"/>
      <c r="D732" s="1500"/>
      <c r="E732" s="1500"/>
      <c r="F732" s="1500"/>
      <c r="G732" s="1500"/>
      <c r="H732" s="1500"/>
      <c r="I732" s="1500"/>
      <c r="J732" s="1500"/>
      <c r="K732" s="1500"/>
    </row>
    <row r="733" spans="1:11" s="3" customFormat="1" x14ac:dyDescent="0.3">
      <c r="A733" s="3" t="str">
        <f>IF('Non TB - Note 12 to 24'!F90=1,"Print","Do Not Print")</f>
        <v>Print</v>
      </c>
      <c r="B733" s="1124"/>
      <c r="C733" s="1124"/>
      <c r="D733" s="1500" t="str">
        <f>IF('Non TB - Note 12 to 24'!F90=1,'Non TB - Note 12 to 24'!H90,"")</f>
        <v>No interest is charged on the loans but the Council assesses that an unsubsidised rate for such loans would have been y%.</v>
      </c>
      <c r="E733" s="1500"/>
      <c r="F733" s="1500"/>
      <c r="G733" s="1500"/>
      <c r="H733" s="1500"/>
      <c r="I733" s="1500"/>
      <c r="J733" s="1500"/>
      <c r="K733" s="1500"/>
    </row>
    <row r="734" spans="1:11" s="3" customFormat="1" x14ac:dyDescent="0.3">
      <c r="A734" s="3" t="str">
        <f>IF(A733="Print","Print","Do Not Print")</f>
        <v>Print</v>
      </c>
      <c r="B734" s="1124"/>
      <c r="C734" s="1124"/>
      <c r="D734" s="401"/>
      <c r="E734" s="401"/>
      <c r="F734" s="401"/>
      <c r="G734" s="401"/>
      <c r="H734" s="401"/>
      <c r="I734" s="401"/>
      <c r="J734" s="401"/>
      <c r="K734" s="401"/>
    </row>
    <row r="735" spans="1:11" s="3" customFormat="1" x14ac:dyDescent="0.3">
      <c r="A735" s="3" t="str">
        <f>IF(A746="Print","Print","Do Not Print")</f>
        <v>Do Not Print</v>
      </c>
      <c r="B735" s="1124"/>
      <c r="C735" s="1124"/>
      <c r="D735" s="1108"/>
      <c r="E735" s="1108"/>
      <c r="F735" s="1922" t="str">
        <f>I551</f>
        <v>2025/26</v>
      </c>
      <c r="G735" s="1865"/>
      <c r="H735" s="1923" t="str">
        <f>J551</f>
        <v>2024/25</v>
      </c>
      <c r="I735" s="1865"/>
      <c r="J735" s="401"/>
      <c r="K735" s="401"/>
    </row>
    <row r="736" spans="1:11" s="3" customFormat="1" x14ac:dyDescent="0.3">
      <c r="A736" s="3" t="str">
        <f>IF(A735="Print","Print","Do Not Print")</f>
        <v>Do Not Print</v>
      </c>
      <c r="B736" s="1124"/>
      <c r="C736" s="1124"/>
      <c r="D736" s="1864"/>
      <c r="E736" s="1864"/>
      <c r="F736" s="1126"/>
      <c r="G736" s="1128" t="s">
        <v>450</v>
      </c>
      <c r="H736" s="1127"/>
      <c r="I736" s="1128" t="s">
        <v>450</v>
      </c>
      <c r="J736" s="401"/>
      <c r="K736" s="401"/>
    </row>
    <row r="737" spans="1:11" s="3" customFormat="1" ht="16.05" customHeight="1" x14ac:dyDescent="0.3">
      <c r="A737" s="3" t="str">
        <f>IF(A746="Print","Print","Do Not Print")</f>
        <v>Do Not Print</v>
      </c>
      <c r="B737" s="1124"/>
      <c r="C737" s="1124"/>
      <c r="D737" s="1504" t="s">
        <v>2517</v>
      </c>
      <c r="E737" s="1504"/>
      <c r="F737" s="1131"/>
      <c r="G737" s="1111"/>
      <c r="H737" s="1131"/>
      <c r="I737" s="1111"/>
      <c r="J737" s="401"/>
      <c r="K737" s="401"/>
    </row>
    <row r="738" spans="1:11" s="3" customFormat="1" x14ac:dyDescent="0.3">
      <c r="A738" s="3" t="str">
        <f>IF(OR(G738&gt;0,I738&gt;0),"Print","Do Not Print")</f>
        <v>Do Not Print</v>
      </c>
      <c r="B738" s="1124"/>
      <c r="C738" s="1124"/>
      <c r="D738" s="1501" t="s">
        <v>789</v>
      </c>
      <c r="E738" s="1501"/>
      <c r="F738" s="895"/>
      <c r="G738" s="1111">
        <f>'Non TB - Note 12 to 24'!H91</f>
        <v>0</v>
      </c>
      <c r="H738" s="895"/>
      <c r="I738" s="1111">
        <f>'Non TB - Note 12 to 24'!I91</f>
        <v>0</v>
      </c>
      <c r="J738" s="401"/>
      <c r="K738" s="401"/>
    </row>
    <row r="739" spans="1:11" s="3" customFormat="1" ht="28.05" customHeight="1" x14ac:dyDescent="0.3">
      <c r="A739" s="3" t="str">
        <f>IF(OR(F739&gt;0,H739&gt;0),"Print","Do Not Print")</f>
        <v>Do Not Print</v>
      </c>
      <c r="B739" s="1124"/>
      <c r="C739" s="1124"/>
      <c r="D739" s="1504" t="s">
        <v>2421</v>
      </c>
      <c r="E739" s="1504"/>
      <c r="F739" s="895">
        <f>'Non TB - Note 12 to 24'!H92</f>
        <v>0</v>
      </c>
      <c r="G739" s="1111"/>
      <c r="H739" s="895">
        <f>'Non TB - Note 12 to 24'!I92</f>
        <v>0</v>
      </c>
      <c r="I739" s="1111"/>
      <c r="J739" s="401"/>
      <c r="K739" s="401"/>
    </row>
    <row r="740" spans="1:11" s="3" customFormat="1" ht="33" customHeight="1" x14ac:dyDescent="0.3">
      <c r="A740" s="3" t="str">
        <f>IF(OR(F740&gt;0,H740&gt;0),"Print","Do Not Print")</f>
        <v>Do Not Print</v>
      </c>
      <c r="B740" s="1124"/>
      <c r="C740" s="1124"/>
      <c r="D740" s="1857" t="s">
        <v>2422</v>
      </c>
      <c r="E740" s="1857"/>
      <c r="F740" s="1115">
        <f>'Non TB - Note 12 to 24'!H93</f>
        <v>0</v>
      </c>
      <c r="G740" s="1116"/>
      <c r="H740" s="1115">
        <f>'Non TB - Note 12 to 24'!I93</f>
        <v>0</v>
      </c>
      <c r="I740" s="1116"/>
      <c r="J740" s="401"/>
      <c r="K740" s="401"/>
    </row>
    <row r="741" spans="1:11" s="3" customFormat="1" x14ac:dyDescent="0.3">
      <c r="A741" s="3" t="str">
        <f>IF(OR(G741&gt;0,I741&gt;0),"Print","Do Not Print")</f>
        <v>Do Not Print</v>
      </c>
      <c r="B741" s="1124"/>
      <c r="C741" s="1124"/>
      <c r="D741" s="1501" t="s">
        <v>2519</v>
      </c>
      <c r="E741" s="1501"/>
      <c r="F741" s="895"/>
      <c r="G741" s="1111">
        <f>G738+F739+F740</f>
        <v>0</v>
      </c>
      <c r="H741" s="895"/>
      <c r="I741" s="1111">
        <f>I738+H739+H740</f>
        <v>0</v>
      </c>
      <c r="J741" s="401"/>
      <c r="K741" s="401"/>
    </row>
    <row r="742" spans="1:11" s="3" customFormat="1" x14ac:dyDescent="0.3">
      <c r="A742" s="3" t="str">
        <f t="shared" ref="A742:A746" si="30">IF(OR(G742&gt;0,I742&gt;0),"Print","Do Not Print")</f>
        <v>Do Not Print</v>
      </c>
      <c r="B742" s="1124"/>
      <c r="C742" s="1124"/>
      <c r="D742" s="1501" t="s">
        <v>2423</v>
      </c>
      <c r="E742" s="1501"/>
      <c r="F742" s="895"/>
      <c r="G742" s="1111">
        <f>'Non TB - Note 12 to 24'!H94</f>
        <v>0</v>
      </c>
      <c r="H742" s="895"/>
      <c r="I742" s="1111">
        <f>'Non TB - Note 12 to 24'!I94</f>
        <v>0</v>
      </c>
      <c r="J742" s="401"/>
      <c r="K742" s="401"/>
    </row>
    <row r="743" spans="1:11" s="3" customFormat="1" x14ac:dyDescent="0.3">
      <c r="A743" s="3" t="str">
        <f t="shared" si="30"/>
        <v>Do Not Print</v>
      </c>
      <c r="B743" s="1124"/>
      <c r="C743" s="1124"/>
      <c r="D743" s="1501" t="s">
        <v>2424</v>
      </c>
      <c r="E743" s="1501"/>
      <c r="F743" s="895"/>
      <c r="G743" s="1111">
        <f>'Non TB - Note 12 to 24'!H95</f>
        <v>0</v>
      </c>
      <c r="H743" s="895"/>
      <c r="I743" s="1111">
        <f>'Non TB - Note 12 to 24'!I95</f>
        <v>0</v>
      </c>
      <c r="J743" s="401"/>
      <c r="K743" s="401"/>
    </row>
    <row r="744" spans="1:11" s="3" customFormat="1" ht="15" customHeight="1" x14ac:dyDescent="0.3">
      <c r="A744" s="3" t="str">
        <f t="shared" si="30"/>
        <v>Do Not Print</v>
      </c>
      <c r="B744" s="1124"/>
      <c r="C744" s="1124"/>
      <c r="D744" s="1501" t="s">
        <v>2425</v>
      </c>
      <c r="E744" s="1501"/>
      <c r="F744" s="895"/>
      <c r="G744" s="1111">
        <f>'Non TB - Note 12 to 24'!H96</f>
        <v>0</v>
      </c>
      <c r="H744" s="895"/>
      <c r="I744" s="1111">
        <f>'Non TB - Note 12 to 24'!I96</f>
        <v>0</v>
      </c>
      <c r="J744" s="401"/>
      <c r="K744" s="401"/>
    </row>
    <row r="745" spans="1:11" s="3" customFormat="1" x14ac:dyDescent="0.3">
      <c r="A745" s="3" t="str">
        <f t="shared" si="30"/>
        <v>Do Not Print</v>
      </c>
      <c r="B745" s="1124"/>
      <c r="C745" s="1124"/>
      <c r="D745" s="1857" t="s">
        <v>2426</v>
      </c>
      <c r="E745" s="1857"/>
      <c r="F745" s="1115"/>
      <c r="G745" s="1116">
        <f>'Non TB - Note 12 to 24'!H97</f>
        <v>0</v>
      </c>
      <c r="H745" s="1115"/>
      <c r="I745" s="1116">
        <f>'Non TB - Note 12 to 24'!I97</f>
        <v>0</v>
      </c>
      <c r="J745" s="401"/>
      <c r="K745" s="401"/>
    </row>
    <row r="746" spans="1:11" s="3" customFormat="1" ht="16.05" customHeight="1" x14ac:dyDescent="0.3">
      <c r="A746" s="3" t="str">
        <f t="shared" si="30"/>
        <v>Do Not Print</v>
      </c>
      <c r="B746" s="1124"/>
      <c r="C746" s="1124"/>
      <c r="D746" s="1915" t="s">
        <v>2518</v>
      </c>
      <c r="E746" s="1915"/>
      <c r="F746" s="1103"/>
      <c r="G746" s="1119">
        <f>SUM(G741:G745)</f>
        <v>0</v>
      </c>
      <c r="H746" s="1103"/>
      <c r="I746" s="1104"/>
      <c r="J746" s="401"/>
      <c r="K746" s="401"/>
    </row>
    <row r="747" spans="1:11" s="3" customFormat="1" x14ac:dyDescent="0.3">
      <c r="A747" s="3" t="str">
        <f>IF(A746="Print","Print","Do Not Print")</f>
        <v>Do Not Print</v>
      </c>
      <c r="B747" s="1124"/>
      <c r="C747" s="1124"/>
      <c r="D747" s="478"/>
      <c r="E747" s="478"/>
      <c r="F747" s="401"/>
      <c r="G747" s="401"/>
      <c r="H747" s="401"/>
      <c r="I747" s="401"/>
      <c r="J747" s="401"/>
      <c r="K747" s="401"/>
    </row>
    <row r="748" spans="1:11" s="3" customFormat="1" ht="13.5" customHeight="1" x14ac:dyDescent="0.3">
      <c r="A748" s="3" t="str">
        <f>IF(OR(F748&gt;0,H748&gt;0),"Print","Do Not Print")</f>
        <v>Do Not Print</v>
      </c>
      <c r="B748" s="1124"/>
      <c r="C748" s="1124"/>
      <c r="D748" s="1915" t="s">
        <v>2432</v>
      </c>
      <c r="E748" s="1915"/>
      <c r="F748" s="1941">
        <f>'Non TB - Note 12 to 24'!H98</f>
        <v>0</v>
      </c>
      <c r="G748" s="1941"/>
      <c r="H748" s="1941">
        <f>'Non TB - Note 12 to 24'!I98</f>
        <v>0</v>
      </c>
      <c r="I748" s="1941"/>
      <c r="J748" s="401"/>
      <c r="K748" s="401"/>
    </row>
    <row r="749" spans="1:11" s="3" customFormat="1" x14ac:dyDescent="0.3">
      <c r="A749" s="3" t="str">
        <f>IF(A748="Print","Print","Do Not Print")</f>
        <v>Do Not Print</v>
      </c>
      <c r="B749" s="1124"/>
      <c r="C749" s="1124"/>
      <c r="D749" s="1500"/>
      <c r="E749" s="1500"/>
      <c r="F749" s="1500"/>
      <c r="G749" s="1500"/>
      <c r="H749" s="1500"/>
      <c r="I749" s="1500"/>
      <c r="J749" s="1500"/>
      <c r="K749" s="1500"/>
    </row>
    <row r="750" spans="1:11" s="3" customFormat="1" x14ac:dyDescent="0.3">
      <c r="A750" s="3" t="str">
        <f>IF('Non TB - Note 12 to 24'!F99=1,"Print","Do Not Print")</f>
        <v>Print</v>
      </c>
      <c r="B750" s="1124"/>
      <c r="C750" s="1124"/>
      <c r="D750" s="1538" t="str">
        <f>IF('Non TB - Note 12 to 24'!F99=1,'Non TB - Note 12 to 24'!E99,"")</f>
        <v>Valuation assumptions</v>
      </c>
      <c r="E750" s="1538"/>
      <c r="F750" s="1538"/>
      <c r="G750" s="1538"/>
      <c r="H750" s="1538"/>
      <c r="I750" s="1538"/>
      <c r="J750" s="1538"/>
      <c r="K750" s="1538"/>
    </row>
    <row r="751" spans="1:11" s="3" customFormat="1" x14ac:dyDescent="0.3">
      <c r="A751" s="3" t="str">
        <f>IF(A750="Print","Print","Do Not Print")</f>
        <v>Print</v>
      </c>
      <c r="B751" s="1124"/>
      <c r="C751" s="1124"/>
      <c r="D751" s="1500"/>
      <c r="E751" s="1500"/>
      <c r="F751" s="1500"/>
      <c r="G751" s="1500"/>
      <c r="H751" s="1500"/>
      <c r="I751" s="1500"/>
      <c r="J751" s="1500"/>
      <c r="K751" s="1500"/>
    </row>
    <row r="752" spans="1:11" s="3" customFormat="1" ht="40.049999999999997" customHeight="1" x14ac:dyDescent="0.3">
      <c r="A752" s="3" t="str">
        <f>IF('Non TB - Note 12 to 24'!F99=1,"Print","Do Not Print")</f>
        <v>Print</v>
      </c>
      <c r="B752" s="1124"/>
      <c r="C752" s="1124"/>
      <c r="D752" s="1504" t="str">
        <f>IF('Non TB - Note 12 to 24'!F99=1,'Non TB - Note 12 to 24'!H99,"")</f>
        <v>The interest rate at which the fair value of these soft loans have been recognised is arrived at by taking the Council's prevailing cost of borrowing for a comparable loan at the date of the advance and adding an allowance for the risk that the loan might not be repaid by the employees.</v>
      </c>
      <c r="E752" s="1504"/>
      <c r="F752" s="1504"/>
      <c r="G752" s="1504"/>
      <c r="H752" s="1504"/>
      <c r="I752" s="1504"/>
      <c r="J752" s="1504"/>
      <c r="K752" s="1504"/>
    </row>
    <row r="753" spans="1:11" s="3" customFormat="1" x14ac:dyDescent="0.3">
      <c r="A753" s="3" t="str">
        <f>IF(A752="Print","Print","Do Not Print")</f>
        <v>Print</v>
      </c>
      <c r="B753" s="1124"/>
      <c r="C753" s="1124"/>
      <c r="D753" s="1500"/>
      <c r="E753" s="1500"/>
      <c r="F753" s="1500"/>
      <c r="G753" s="1500"/>
      <c r="H753" s="1500"/>
      <c r="I753" s="1500"/>
      <c r="J753" s="1500"/>
      <c r="K753" s="1500"/>
    </row>
    <row r="754" spans="1:11" s="3" customFormat="1" x14ac:dyDescent="0.3">
      <c r="A754" s="3" t="str">
        <f>IF('Non TB - Note 12 to 24'!F100=1,"Print","Do Not Print")</f>
        <v>Print</v>
      </c>
      <c r="B754" s="1124"/>
      <c r="C754" s="1124"/>
      <c r="D754" s="1538" t="str">
        <f>IF('Non TB - Note 12 to 24'!F100=1,'Non TB - Note 12 to 24'!D100,"")</f>
        <v>Financial Instruments designated at Fair Value through profit or loss</v>
      </c>
      <c r="E754" s="1538"/>
      <c r="F754" s="1538"/>
      <c r="G754" s="1538"/>
      <c r="H754" s="1538"/>
      <c r="I754" s="1538"/>
      <c r="J754" s="1538"/>
      <c r="K754" s="1538"/>
    </row>
    <row r="755" spans="1:11" s="3" customFormat="1" x14ac:dyDescent="0.3">
      <c r="A755" s="3" t="str">
        <f>IF(A754="Print","Print","Do Not Print")</f>
        <v>Print</v>
      </c>
      <c r="B755" s="1124"/>
      <c r="C755" s="1124"/>
      <c r="D755" s="1500"/>
      <c r="E755" s="1500"/>
      <c r="F755" s="1500"/>
      <c r="G755" s="1500"/>
      <c r="H755" s="1500"/>
      <c r="I755" s="1500"/>
      <c r="J755" s="1500"/>
      <c r="K755" s="1500"/>
    </row>
    <row r="756" spans="1:11" s="3" customFormat="1" ht="27" customHeight="1" x14ac:dyDescent="0.3">
      <c r="A756" s="3" t="str">
        <f>IF('Non TB - Note 12 to 24'!F100=1,"Print","Do Not Print")</f>
        <v>Print</v>
      </c>
      <c r="B756" s="1124"/>
      <c r="C756" s="1124"/>
      <c r="D756" s="1504" t="str">
        <f>IF('Non TB - Note 12 to 24'!F100=1,'Non TB - Note 12 to 24'!H100,"")</f>
        <v>If instruments have been designated at fair value through profit or loss, the Code requires disclosures to be made in accordance with paragraphs 9 to 11 of IFRS 7, covering:</v>
      </c>
      <c r="E756" s="1504"/>
      <c r="F756" s="1504"/>
      <c r="G756" s="1504"/>
      <c r="H756" s="1504"/>
      <c r="I756" s="1504"/>
      <c r="J756" s="1504"/>
      <c r="K756" s="1504"/>
    </row>
    <row r="757" spans="1:11" s="3" customFormat="1" x14ac:dyDescent="0.3">
      <c r="A757" s="3" t="str">
        <f>IF(A756="Print","Print","Do Not Print")</f>
        <v>Print</v>
      </c>
      <c r="B757" s="1124"/>
      <c r="C757" s="1124"/>
      <c r="D757" s="1500"/>
      <c r="E757" s="1500"/>
      <c r="F757" s="1500"/>
      <c r="G757" s="1500"/>
      <c r="H757" s="1500"/>
      <c r="I757" s="1500"/>
      <c r="J757" s="1500"/>
      <c r="K757" s="1500"/>
    </row>
    <row r="758" spans="1:11" s="3" customFormat="1" ht="96" customHeight="1" x14ac:dyDescent="0.3">
      <c r="A758" s="3" t="str">
        <f>IF('Non TB - Note 12 to 24'!F101=1,"Print","Do Not Print")</f>
        <v>Print</v>
      </c>
      <c r="B758" s="1124"/>
      <c r="C758" s="1124"/>
      <c r="D758" s="1504" t="str">
        <f>IF('Non TB - Note 12 to 24'!F101=1,'Non TB - Note 12 to 24'!H101,"")</f>
        <v>- (for assets) credit risk - maximum exposure (and extent of mitigation by related derivatives) and analysis of changes in fair value attributable to changes in credit risk
- (for liabilities) - changes in fair value attributable to changes in credit risk and differences between carrying amount and amount contractually payable on maturity
- detailed description of methods used to prepare disclosed amounts
Where councils have transactions relating to these disclosures direct reference should also be made to IFRS 7.</v>
      </c>
      <c r="E758" s="1504"/>
      <c r="F758" s="1504"/>
      <c r="G758" s="1504"/>
      <c r="H758" s="1504"/>
      <c r="I758" s="1504"/>
      <c r="J758" s="1504"/>
      <c r="K758" s="1504"/>
    </row>
    <row r="759" spans="1:11" s="3" customFormat="1" x14ac:dyDescent="0.3">
      <c r="A759" s="3" t="str">
        <f>IF(A758="Print","Print","Do Not Print")</f>
        <v>Print</v>
      </c>
      <c r="B759" s="1124"/>
      <c r="C759" s="1124"/>
      <c r="D759" s="1500"/>
      <c r="E759" s="1500"/>
      <c r="F759" s="1500"/>
      <c r="G759" s="1500"/>
      <c r="H759" s="1500"/>
      <c r="I759" s="1500"/>
      <c r="J759" s="1500"/>
      <c r="K759" s="1500"/>
    </row>
    <row r="760" spans="1:11" s="3" customFormat="1" x14ac:dyDescent="0.3">
      <c r="A760" s="3" t="str">
        <f>IF('Non TB - Note 12 to 24'!F102=1,"Print","Do Not Print")</f>
        <v>Print</v>
      </c>
      <c r="B760" s="1124"/>
      <c r="C760" s="1124"/>
      <c r="D760" s="1538" t="str">
        <f>IF('Non TB - Note 12 to 24'!F102=1,'Non TB - Note 12 to 24'!D102,"")</f>
        <v>Investments in Equity Instruments designated at Fair Value through Other Comprehensive Income</v>
      </c>
      <c r="E760" s="1538"/>
      <c r="F760" s="1538"/>
      <c r="G760" s="1538"/>
      <c r="H760" s="1538"/>
      <c r="I760" s="1538"/>
      <c r="J760" s="1538"/>
      <c r="K760" s="1538"/>
    </row>
    <row r="761" spans="1:11" s="3" customFormat="1" x14ac:dyDescent="0.3">
      <c r="A761" s="3" t="str">
        <f>IF(A760="Print","Print","Do Not Print")</f>
        <v>Print</v>
      </c>
      <c r="B761" s="1124"/>
      <c r="C761" s="1124"/>
      <c r="D761" s="1500"/>
      <c r="E761" s="1500"/>
      <c r="F761" s="1500"/>
      <c r="G761" s="1500"/>
      <c r="H761" s="1500"/>
      <c r="I761" s="1500"/>
      <c r="J761" s="1500"/>
      <c r="K761" s="1500"/>
    </row>
    <row r="762" spans="1:11" s="3" customFormat="1" ht="126.75" customHeight="1" x14ac:dyDescent="0.3">
      <c r="A762" s="3" t="str">
        <f>IF('Non TB - Note 12 to 24'!F102=1,"Print","Do Not Print")</f>
        <v>Print</v>
      </c>
      <c r="B762" s="1124"/>
      <c r="C762" s="1124"/>
      <c r="D762" s="1504" t="str">
        <f>IF('Non TB - Note 12 to 24'!F102=1,'Non TB - Note 12 to 24'!H102,"")</f>
        <v>If equity instruments have been designated at fair value through other comprehensive income, the Code requires disclosures of information relating to:
- identification of the particular investments
- the reasons for taking up the option
- the fair value of each such investment at the end of the reporting period (this is illustrated below)
- dividends recognised during the period, showing separately those derecognised during the period
- details of transfers of the cumulative gain or loss within equity during the period
- treatment of derecognised investments including reasons for derecognition (illustrated below).]</v>
      </c>
      <c r="E762" s="1504"/>
      <c r="F762" s="1504"/>
      <c r="G762" s="1504"/>
      <c r="H762" s="1504"/>
      <c r="I762" s="1504"/>
      <c r="J762" s="1504"/>
      <c r="K762" s="1504"/>
    </row>
    <row r="763" spans="1:11" s="3" customFormat="1" ht="13.5" customHeight="1" x14ac:dyDescent="0.3">
      <c r="A763" s="3" t="str">
        <f>IF(A762="Print","Print","Do Not Print")</f>
        <v>Print</v>
      </c>
      <c r="B763" s="1124"/>
      <c r="C763" s="1124"/>
      <c r="D763" s="1500"/>
      <c r="E763" s="1500"/>
      <c r="F763" s="1500"/>
      <c r="G763" s="1500"/>
      <c r="H763" s="1500"/>
      <c r="I763" s="1500"/>
      <c r="J763" s="1500"/>
      <c r="K763" s="1500"/>
    </row>
    <row r="764" spans="1:11" s="3" customFormat="1" ht="13.5" customHeight="1" x14ac:dyDescent="0.3">
      <c r="A764" s="3" t="str">
        <f>IF('Non TB - Note 12 to 24'!F103=1,"Print","Do Not Print")</f>
        <v>Print</v>
      </c>
      <c r="B764" s="1124"/>
      <c r="C764" s="1124"/>
      <c r="D764" s="1538" t="str">
        <f>IF('Non TB - Note 12 to 24'!F103=1,'Non TB - Note 12 to 24'!D103,"")</f>
        <v>Fair value of Equity instruments designated at fair value through other comprehensive income include the following:</v>
      </c>
      <c r="E764" s="1538"/>
      <c r="F764" s="1538"/>
      <c r="G764" s="1538"/>
      <c r="H764" s="1538"/>
      <c r="I764" s="1538"/>
      <c r="J764" s="1538"/>
      <c r="K764" s="1538"/>
    </row>
    <row r="765" spans="1:11" s="3" customFormat="1" ht="13.5" customHeight="1" x14ac:dyDescent="0.3">
      <c r="A765" s="3" t="str">
        <f>IF(A764="Print","Print","Do Not Print")</f>
        <v>Print</v>
      </c>
      <c r="B765" s="1124"/>
      <c r="C765" s="1124"/>
      <c r="D765" s="405"/>
      <c r="E765" s="401"/>
      <c r="F765" s="401"/>
      <c r="G765" s="401"/>
      <c r="H765" s="401"/>
      <c r="I765" s="401"/>
      <c r="J765" s="401"/>
      <c r="K765" s="401"/>
    </row>
    <row r="766" spans="1:11" s="3" customFormat="1" ht="13.5" customHeight="1" x14ac:dyDescent="0.3">
      <c r="A766" s="3" t="str">
        <f>IF(OR(A777="Print",A773="Print"),"Print","Do Not Print")</f>
        <v>Do Not Print</v>
      </c>
      <c r="B766" s="1124"/>
      <c r="C766" s="1124"/>
      <c r="D766" s="1108"/>
      <c r="E766" s="1108"/>
      <c r="F766" s="1922" t="str">
        <f>I551</f>
        <v>2025/26</v>
      </c>
      <c r="G766" s="1865"/>
      <c r="H766" s="1922" t="str">
        <f>J551</f>
        <v>2024/25</v>
      </c>
      <c r="I766" s="1865"/>
      <c r="J766" s="401"/>
      <c r="K766" s="401"/>
    </row>
    <row r="767" spans="1:11" s="3" customFormat="1" ht="13.5" customHeight="1" x14ac:dyDescent="0.3">
      <c r="A767" s="3" t="str">
        <f>IF(A766="Print","Print","Do Not Print")</f>
        <v>Do Not Print</v>
      </c>
      <c r="B767" s="1124"/>
      <c r="C767" s="1124"/>
      <c r="D767" s="1864"/>
      <c r="E767" s="1864"/>
      <c r="F767" s="1126"/>
      <c r="G767" s="1128" t="s">
        <v>450</v>
      </c>
      <c r="H767" s="1126"/>
      <c r="I767" s="1128" t="s">
        <v>450</v>
      </c>
      <c r="J767" s="401"/>
      <c r="K767" s="401"/>
    </row>
    <row r="768" spans="1:11" s="3" customFormat="1" ht="15.6" customHeight="1" x14ac:dyDescent="0.3">
      <c r="A768" s="3" t="str">
        <f>IF(A773="Print","Print","Do Not Print")</f>
        <v>Do Not Print</v>
      </c>
      <c r="B768" s="1124"/>
      <c r="C768" s="1124"/>
      <c r="D768" s="1504" t="s">
        <v>2520</v>
      </c>
      <c r="E768" s="1504"/>
      <c r="F768" s="1934"/>
      <c r="G768" s="1935"/>
      <c r="H768" s="1934"/>
      <c r="I768" s="1935"/>
      <c r="J768" s="401"/>
      <c r="K768" s="401"/>
    </row>
    <row r="769" spans="1:11" s="3" customFormat="1" ht="13.5" customHeight="1" x14ac:dyDescent="0.3">
      <c r="A769" s="3" t="str">
        <f>IF(A773="Print","Print","Do Not Print")</f>
        <v>Do Not Print</v>
      </c>
      <c r="B769" s="1124"/>
      <c r="C769" s="1124"/>
      <c r="D769" s="1501" t="s">
        <v>2521</v>
      </c>
      <c r="E769" s="1501"/>
      <c r="F769" s="1930"/>
      <c r="G769" s="1931"/>
      <c r="H769" s="1930"/>
      <c r="I769" s="1931"/>
      <c r="J769" s="401"/>
      <c r="K769" s="401"/>
    </row>
    <row r="770" spans="1:11" s="3" customFormat="1" ht="13.5" customHeight="1" x14ac:dyDescent="0.3">
      <c r="A770" s="3" t="str">
        <f>IF(OR(F770&gt;0,H770&gt;0),"Print","Do Not Print")</f>
        <v>Do Not Print</v>
      </c>
      <c r="B770" s="1124"/>
      <c r="C770" s="1124"/>
      <c r="D770" s="1504" t="s">
        <v>2522</v>
      </c>
      <c r="E770" s="1504"/>
      <c r="F770" s="1930">
        <f>'Non TB - Note 12 to 24'!H103</f>
        <v>0</v>
      </c>
      <c r="G770" s="1931"/>
      <c r="H770" s="1930">
        <f>'Non TB - Note 12 to 24'!I103</f>
        <v>0</v>
      </c>
      <c r="I770" s="1931"/>
      <c r="J770" s="401"/>
      <c r="K770" s="401"/>
    </row>
    <row r="771" spans="1:11" s="3" customFormat="1" ht="13.5" customHeight="1" x14ac:dyDescent="0.3">
      <c r="A771" s="3" t="str">
        <f t="shared" ref="A771:A773" si="31">IF(OR(F771&gt;0,H771&gt;0),"Print","Do Not Print")</f>
        <v>Do Not Print</v>
      </c>
      <c r="B771" s="1124"/>
      <c r="C771" s="1124"/>
      <c r="D771" s="1504" t="s">
        <v>2523</v>
      </c>
      <c r="E771" s="1504"/>
      <c r="F771" s="1930">
        <f>'Non TB - Note 12 to 24'!H104</f>
        <v>0</v>
      </c>
      <c r="G771" s="1931"/>
      <c r="H771" s="1930">
        <f>'Non TB - Note 12 to 24'!I104</f>
        <v>0</v>
      </c>
      <c r="I771" s="1931"/>
      <c r="J771" s="401"/>
      <c r="K771" s="401"/>
    </row>
    <row r="772" spans="1:11" s="3" customFormat="1" ht="13.5" customHeight="1" x14ac:dyDescent="0.3">
      <c r="A772" s="3" t="str">
        <f t="shared" si="31"/>
        <v>Do Not Print</v>
      </c>
      <c r="B772" s="1124"/>
      <c r="C772" s="1124"/>
      <c r="D772" s="1940" t="s">
        <v>2524</v>
      </c>
      <c r="E772" s="1940"/>
      <c r="F772" s="1932">
        <f>'Non TB - Note 12 to 24'!H105</f>
        <v>0</v>
      </c>
      <c r="G772" s="1933"/>
      <c r="H772" s="1932">
        <f>'Non TB - Note 12 to 24'!I105</f>
        <v>0</v>
      </c>
      <c r="I772" s="1933"/>
      <c r="J772" s="401"/>
      <c r="K772" s="401"/>
    </row>
    <row r="773" spans="1:11" s="3" customFormat="1" ht="13.5" customHeight="1" x14ac:dyDescent="0.3">
      <c r="A773" s="3" t="str">
        <f t="shared" si="31"/>
        <v>Do Not Print</v>
      </c>
      <c r="B773" s="1124"/>
      <c r="C773" s="1124"/>
      <c r="D773" s="1535" t="s">
        <v>74</v>
      </c>
      <c r="E773" s="1535"/>
      <c r="F773" s="1936">
        <f>SUM(F770:G772)</f>
        <v>0</v>
      </c>
      <c r="G773" s="1937"/>
      <c r="H773" s="1936">
        <f>SUM(H770:I772)</f>
        <v>0</v>
      </c>
      <c r="I773" s="1937"/>
      <c r="J773" s="401"/>
      <c r="K773" s="401"/>
    </row>
    <row r="774" spans="1:11" s="3" customFormat="1" ht="13.5" customHeight="1" x14ac:dyDescent="0.3">
      <c r="A774" s="3" t="str">
        <f>IF(A777="Print","Print","Do Not Print")</f>
        <v>Do Not Print</v>
      </c>
      <c r="B774" s="1124"/>
      <c r="C774" s="1124"/>
      <c r="D774" s="1501" t="s">
        <v>2525</v>
      </c>
      <c r="E774" s="1501"/>
      <c r="F774" s="1930"/>
      <c r="G774" s="1931"/>
      <c r="H774" s="1930"/>
      <c r="I774" s="1931"/>
      <c r="J774" s="401"/>
      <c r="K774" s="401"/>
    </row>
    <row r="775" spans="1:11" s="3" customFormat="1" ht="14.25" customHeight="1" x14ac:dyDescent="0.3">
      <c r="A775" s="3" t="str">
        <f>IF(OR(F775&gt;0,H775&gt;0),"Print","Do Not Print")</f>
        <v>Do Not Print</v>
      </c>
      <c r="B775" s="1124"/>
      <c r="C775" s="1124"/>
      <c r="D775" s="1501" t="s">
        <v>2526</v>
      </c>
      <c r="E775" s="1501"/>
      <c r="F775" s="1930">
        <f>'Non TB - Note 12 to 24'!H106</f>
        <v>0</v>
      </c>
      <c r="G775" s="1931"/>
      <c r="H775" s="1930">
        <f>'Non TB - Note 12 to 24'!I106</f>
        <v>0</v>
      </c>
      <c r="I775" s="1931"/>
      <c r="J775" s="401"/>
      <c r="K775" s="401"/>
    </row>
    <row r="776" spans="1:11" s="3" customFormat="1" ht="17.25" customHeight="1" x14ac:dyDescent="0.3">
      <c r="A776" s="3" t="str">
        <f t="shared" ref="A776:A777" si="32">IF(OR(F776&gt;0,H776&gt;0),"Print","Do Not Print")</f>
        <v>Do Not Print</v>
      </c>
      <c r="B776" s="1124"/>
      <c r="C776" s="1124"/>
      <c r="D776" s="1857" t="s">
        <v>2527</v>
      </c>
      <c r="E776" s="1857"/>
      <c r="F776" s="1930">
        <f>'Non TB - Note 12 to 24'!H107</f>
        <v>0</v>
      </c>
      <c r="G776" s="1931"/>
      <c r="H776" s="1932">
        <f>'Non TB - Note 12 to 24'!I107</f>
        <v>0</v>
      </c>
      <c r="I776" s="1933"/>
      <c r="J776" s="401"/>
      <c r="K776" s="401"/>
    </row>
    <row r="777" spans="1:11" s="3" customFormat="1" ht="13.5" customHeight="1" x14ac:dyDescent="0.3">
      <c r="A777" s="3" t="str">
        <f t="shared" si="32"/>
        <v>Do Not Print</v>
      </c>
      <c r="B777" s="1124"/>
      <c r="C777" s="1124"/>
      <c r="D777" s="405" t="s">
        <v>74</v>
      </c>
      <c r="E777" s="405"/>
      <c r="F777" s="1928">
        <f>SUM(F775:G776)</f>
        <v>0</v>
      </c>
      <c r="G777" s="1929"/>
      <c r="H777" s="1928">
        <f>SUM(H775:I776)</f>
        <v>0</v>
      </c>
      <c r="I777" s="1929"/>
      <c r="J777" s="401"/>
      <c r="K777" s="401"/>
    </row>
    <row r="778" spans="1:11" s="3" customFormat="1" ht="13.5" customHeight="1" x14ac:dyDescent="0.3">
      <c r="A778" s="3" t="str">
        <f>IF(A777="Print","Print","Do Not Print")</f>
        <v>Do Not Print</v>
      </c>
      <c r="B778" s="1124"/>
      <c r="C778" s="1124"/>
      <c r="D778" s="401"/>
      <c r="E778" s="401"/>
      <c r="F778" s="401"/>
      <c r="G778" s="401"/>
      <c r="H778" s="401"/>
      <c r="I778" s="401"/>
      <c r="J778" s="401"/>
      <c r="K778" s="401"/>
    </row>
    <row r="779" spans="1:11" s="3" customFormat="1" ht="13.5" customHeight="1" x14ac:dyDescent="0.3">
      <c r="A779" s="3" t="str">
        <f>IF('Non TB - Note 12 to 24'!F108=1,"Print","Do Not Print")</f>
        <v>Print</v>
      </c>
      <c r="B779" s="1124"/>
      <c r="C779" s="1124"/>
      <c r="D779" s="1538" t="str">
        <f>IF('Non TB - Note 12 to 24'!F108=1,'Non TB - Note 12 to 24'!D108,"")</f>
        <v>Fair Value of Equity instruments designated at fair value through other comprehensive income disclosures on derecognition</v>
      </c>
      <c r="E779" s="1538"/>
      <c r="F779" s="1538"/>
      <c r="G779" s="1538"/>
      <c r="H779" s="1538"/>
      <c r="I779" s="1538"/>
      <c r="J779" s="1538"/>
      <c r="K779" s="1538"/>
    </row>
    <row r="780" spans="1:11" s="3" customFormat="1" ht="13.5" customHeight="1" x14ac:dyDescent="0.3">
      <c r="A780" s="3" t="str">
        <f>IF(A779="Print","Print","Do Not Print")</f>
        <v>Print</v>
      </c>
      <c r="B780" s="1124"/>
      <c r="C780" s="1124"/>
      <c r="D780" s="1500"/>
      <c r="E780" s="1500"/>
      <c r="F780" s="1500"/>
      <c r="G780" s="1500"/>
      <c r="H780" s="1500"/>
      <c r="I780" s="1500"/>
      <c r="J780" s="1500"/>
      <c r="K780" s="1500"/>
    </row>
    <row r="781" spans="1:11" s="3" customFormat="1" ht="52.5" customHeight="1" x14ac:dyDescent="0.3">
      <c r="A781" s="3" t="str">
        <f>IF('Non TB - Note 12 to 24'!F108=1,"Print","Do Not Print")</f>
        <v>Print</v>
      </c>
      <c r="B781" s="1124"/>
      <c r="C781" s="1124"/>
      <c r="D781" s="1504" t="str">
        <f>IF('Non TB - Note 12 to 24'!F108=1,'Non TB - Note 12 to 24'!H108,"")</f>
        <v>The Council has decided to pass on its interests in its two garden centre companies, Petunia Garden Centre Ltd in 20X2 and Daisee Garden Centre Ltd in 20X1, to the community gardening group Green Locality for a nominal fee.  This is in order to support the Council's environmental initiatives as these groups are better able to deliver the benefits and improved outcomes of such initiatives to the community.</v>
      </c>
      <c r="E781" s="1504"/>
      <c r="F781" s="1504"/>
      <c r="G781" s="1504"/>
      <c r="H781" s="1504"/>
      <c r="I781" s="1504"/>
      <c r="J781" s="1504"/>
      <c r="K781" s="1504"/>
    </row>
    <row r="782" spans="1:11" s="3" customFormat="1" ht="13.5" customHeight="1" x14ac:dyDescent="0.3">
      <c r="A782" s="3" t="str">
        <f>IF(A781="Print","Print","Do Not Print")</f>
        <v>Print</v>
      </c>
      <c r="B782" s="1124"/>
      <c r="C782" s="1124"/>
      <c r="D782" s="1500"/>
      <c r="E782" s="1500"/>
      <c r="F782" s="1500"/>
      <c r="G782" s="1500"/>
      <c r="H782" s="1500"/>
      <c r="I782" s="1500"/>
      <c r="J782" s="1500"/>
      <c r="K782" s="1500"/>
    </row>
    <row r="783" spans="1:11" s="3" customFormat="1" ht="13.5" customHeight="1" x14ac:dyDescent="0.3">
      <c r="A783" s="3" t="str">
        <f>IF(OR(A789="Print",A793="Print"),"Print","Do Not Print")</f>
        <v>Do Not Print</v>
      </c>
      <c r="B783" s="1124"/>
      <c r="C783" s="1124"/>
      <c r="D783" s="1108"/>
      <c r="E783" s="1108"/>
      <c r="F783" s="1922" t="str">
        <f>I551</f>
        <v>2025/26</v>
      </c>
      <c r="G783" s="1865"/>
      <c r="H783" s="1922" t="str">
        <f>J551</f>
        <v>2024/25</v>
      </c>
      <c r="I783" s="1865"/>
      <c r="J783" s="401"/>
      <c r="K783" s="401"/>
    </row>
    <row r="784" spans="1:11" s="3" customFormat="1" ht="13.5" customHeight="1" x14ac:dyDescent="0.3">
      <c r="A784" s="3" t="str">
        <f>IF(A783="Print","Print","Do Not Print")</f>
        <v>Do Not Print</v>
      </c>
      <c r="B784" s="1124"/>
      <c r="C784" s="1124"/>
      <c r="D784" s="1864"/>
      <c r="E784" s="1864"/>
      <c r="F784" s="1126"/>
      <c r="G784" s="1128" t="s">
        <v>450</v>
      </c>
      <c r="H784" s="1126"/>
      <c r="I784" s="1128" t="s">
        <v>450</v>
      </c>
      <c r="J784" s="401"/>
      <c r="K784" s="401"/>
    </row>
    <row r="785" spans="1:11" s="3" customFormat="1" ht="17.100000000000001" customHeight="1" x14ac:dyDescent="0.3">
      <c r="A785" s="3" t="str">
        <f>IF(A789="Print","Print","Do Not Print")</f>
        <v>Do Not Print</v>
      </c>
      <c r="B785" s="1124"/>
      <c r="C785" s="1124"/>
      <c r="D785" s="1504" t="s">
        <v>2520</v>
      </c>
      <c r="E785" s="1504"/>
      <c r="F785" s="1934"/>
      <c r="G785" s="1935"/>
      <c r="H785" s="1934"/>
      <c r="I785" s="1935"/>
      <c r="J785" s="401"/>
      <c r="K785" s="401"/>
    </row>
    <row r="786" spans="1:11" s="3" customFormat="1" ht="17.100000000000001" customHeight="1" x14ac:dyDescent="0.3">
      <c r="A786" s="3" t="str">
        <f>IF(A789="Print","Print","Do Not Print")</f>
        <v>Do Not Print</v>
      </c>
      <c r="B786" s="1124"/>
      <c r="C786" s="1124"/>
      <c r="D786" s="1501" t="s">
        <v>2528</v>
      </c>
      <c r="E786" s="1501"/>
      <c r="F786" s="1930"/>
      <c r="G786" s="1931"/>
      <c r="H786" s="1930"/>
      <c r="I786" s="1931"/>
      <c r="J786" s="401"/>
      <c r="K786" s="401"/>
    </row>
    <row r="787" spans="1:11" s="3" customFormat="1" ht="17.100000000000001" customHeight="1" x14ac:dyDescent="0.3">
      <c r="A787" s="3" t="str">
        <f>IF(OR(F787&gt;0,H787&gt;0),"Print","Do Not Print")</f>
        <v>Do Not Print</v>
      </c>
      <c r="B787" s="1124"/>
      <c r="C787" s="1124"/>
      <c r="D787" s="1504" t="s">
        <v>2529</v>
      </c>
      <c r="E787" s="1504"/>
      <c r="F787" s="1930">
        <f>'Non TB - Note 12 to 24'!H109</f>
        <v>0</v>
      </c>
      <c r="G787" s="1931"/>
      <c r="H787" s="1930">
        <f>'Non TB - Note 12 to 24'!J109</f>
        <v>0</v>
      </c>
      <c r="I787" s="1931"/>
      <c r="J787" s="401"/>
      <c r="K787" s="401"/>
    </row>
    <row r="788" spans="1:11" s="3" customFormat="1" ht="17.100000000000001" customHeight="1" x14ac:dyDescent="0.3">
      <c r="A788" s="3" t="str">
        <f t="shared" ref="A788:A789" si="33">IF(OR(F788&gt;0,H788&gt;0),"Print","Do Not Print")</f>
        <v>Do Not Print</v>
      </c>
      <c r="B788" s="1124"/>
      <c r="C788" s="1124"/>
      <c r="D788" s="1504" t="s">
        <v>2530</v>
      </c>
      <c r="E788" s="1504"/>
      <c r="F788" s="1930">
        <f>'Non TB - Note 12 to 24'!H110</f>
        <v>0</v>
      </c>
      <c r="G788" s="1931"/>
      <c r="H788" s="1930">
        <f>'Non TB - Note 12 to 24'!J110</f>
        <v>0</v>
      </c>
      <c r="I788" s="1931"/>
      <c r="J788" s="401"/>
      <c r="K788" s="401"/>
    </row>
    <row r="789" spans="1:11" s="3" customFormat="1" ht="17.100000000000001" customHeight="1" x14ac:dyDescent="0.3">
      <c r="A789" s="3" t="str">
        <f t="shared" si="33"/>
        <v>Do Not Print</v>
      </c>
      <c r="B789" s="1124"/>
      <c r="C789" s="1124"/>
      <c r="D789" s="1939" t="s">
        <v>74</v>
      </c>
      <c r="E789" s="1939"/>
      <c r="F789" s="1928">
        <f>SUM(F787:G788)</f>
        <v>0</v>
      </c>
      <c r="G789" s="1938"/>
      <c r="H789" s="1928">
        <f>SUM(H787:I788)</f>
        <v>0</v>
      </c>
      <c r="I789" s="1938"/>
      <c r="J789" s="401"/>
      <c r="K789" s="401"/>
    </row>
    <row r="790" spans="1:11" s="3" customFormat="1" ht="17.100000000000001" customHeight="1" x14ac:dyDescent="0.3">
      <c r="A790" s="3" t="str">
        <f>IF(A793="Print","Print","Do Not Print")</f>
        <v>Do Not Print</v>
      </c>
      <c r="B790" s="1124"/>
      <c r="C790" s="1124"/>
      <c r="D790" s="1501" t="s">
        <v>2531</v>
      </c>
      <c r="E790" s="1501"/>
      <c r="F790" s="1930"/>
      <c r="G790" s="1931"/>
      <c r="H790" s="1930"/>
      <c r="I790" s="1931"/>
      <c r="J790" s="401"/>
      <c r="K790" s="401"/>
    </row>
    <row r="791" spans="1:11" s="3" customFormat="1" ht="17.100000000000001" customHeight="1" x14ac:dyDescent="0.3">
      <c r="A791" s="3" t="str">
        <f>IF(OR(F791&gt;0,H791&gt;0),"Print","Do Not Print")</f>
        <v>Do Not Print</v>
      </c>
      <c r="B791" s="1124"/>
      <c r="C791" s="1124"/>
      <c r="D791" s="1501" t="s">
        <v>2529</v>
      </c>
      <c r="E791" s="1501"/>
      <c r="F791" s="1930">
        <f>'Non TB - Note 12 to 24'!H111</f>
        <v>0</v>
      </c>
      <c r="G791" s="1931"/>
      <c r="H791" s="1930">
        <f>'Non TB - Note 12 to 24'!J111</f>
        <v>0</v>
      </c>
      <c r="I791" s="1931"/>
      <c r="J791" s="401"/>
      <c r="K791" s="401"/>
    </row>
    <row r="792" spans="1:11" s="3" customFormat="1" ht="17.100000000000001" customHeight="1" x14ac:dyDescent="0.3">
      <c r="A792" s="3" t="str">
        <f t="shared" ref="A792:A793" si="34">IF(OR(F792&gt;0,H792&gt;0),"Print","Do Not Print")</f>
        <v>Do Not Print</v>
      </c>
      <c r="B792" s="1124"/>
      <c r="C792" s="1124"/>
      <c r="D792" s="1857" t="s">
        <v>2530</v>
      </c>
      <c r="E792" s="1857"/>
      <c r="F792" s="1930">
        <f>'Non TB - Note 12 to 24'!H112</f>
        <v>0</v>
      </c>
      <c r="G792" s="1931"/>
      <c r="H792" s="1930">
        <f>'Non TB - Note 12 to 24'!J112</f>
        <v>0</v>
      </c>
      <c r="I792" s="1931"/>
      <c r="J792" s="401"/>
      <c r="K792" s="401"/>
    </row>
    <row r="793" spans="1:11" s="3" customFormat="1" ht="13.5" customHeight="1" x14ac:dyDescent="0.3">
      <c r="A793" s="3" t="str">
        <f t="shared" si="34"/>
        <v>Do Not Print</v>
      </c>
      <c r="B793" s="1124"/>
      <c r="C793" s="1124"/>
      <c r="D793" s="1919" t="s">
        <v>74</v>
      </c>
      <c r="E793" s="1929"/>
      <c r="F793" s="1928">
        <f>SUM(F791:G792)</f>
        <v>0</v>
      </c>
      <c r="G793" s="1929"/>
      <c r="H793" s="1928">
        <f>SUM(H791:I792)</f>
        <v>0</v>
      </c>
      <c r="I793" s="1929"/>
      <c r="J793" s="401"/>
      <c r="K793" s="401"/>
    </row>
    <row r="794" spans="1:11" s="3" customFormat="1" ht="13.5" customHeight="1" x14ac:dyDescent="0.3">
      <c r="A794" s="3" t="str">
        <f>IF(A793="Print","Print","Do Not Print")</f>
        <v>Do Not Print</v>
      </c>
      <c r="B794" s="1124"/>
      <c r="C794" s="1124"/>
      <c r="D794" s="1500"/>
      <c r="E794" s="1500"/>
      <c r="F794" s="1500"/>
      <c r="G794" s="1500"/>
      <c r="H794" s="1500"/>
      <c r="I794" s="1500"/>
      <c r="J794" s="1500"/>
      <c r="K794" s="1500"/>
    </row>
    <row r="795" spans="1:11" s="3" customFormat="1" ht="13.5" customHeight="1" x14ac:dyDescent="0.3">
      <c r="A795" s="3" t="str">
        <f>IF('Non TB - Note 12 to 24'!F113=1,"Print","Do Not Print")</f>
        <v>Print</v>
      </c>
      <c r="B795" s="1124"/>
      <c r="C795" s="1124"/>
      <c r="D795" s="1538" t="str">
        <f>IF('Non TB - Note 12 to 24'!F113=1,'Non TB - Note 12 to 24'!E113,"")</f>
        <v>Reclassifications</v>
      </c>
      <c r="E795" s="1538"/>
      <c r="F795" s="1538"/>
      <c r="G795" s="1538"/>
      <c r="H795" s="1538"/>
      <c r="I795" s="1538"/>
      <c r="J795" s="1538"/>
      <c r="K795" s="1538"/>
    </row>
    <row r="796" spans="1:11" s="3" customFormat="1" ht="13.5" customHeight="1" x14ac:dyDescent="0.3">
      <c r="A796" s="3" t="str">
        <f>IF(A795="Print","Print","Do Not Print")</f>
        <v>Print</v>
      </c>
      <c r="B796" s="1124"/>
      <c r="C796" s="1124"/>
      <c r="D796" s="1500"/>
      <c r="E796" s="1500"/>
      <c r="F796" s="1500"/>
      <c r="G796" s="1500"/>
      <c r="H796" s="1500"/>
      <c r="I796" s="1500"/>
      <c r="J796" s="1500"/>
      <c r="K796" s="1500"/>
    </row>
    <row r="797" spans="1:11" s="3" customFormat="1" ht="80.55" customHeight="1" x14ac:dyDescent="0.3">
      <c r="A797" s="3" t="str">
        <f>IF('Non TB - Note 12 to 24'!F113=1,"Print","Do Not Print")</f>
        <v>Print</v>
      </c>
      <c r="B797" s="1124"/>
      <c r="C797" s="1124"/>
      <c r="D797" s="1504" t="str">
        <f>IF('Non TB - Note 12 to 24'!F113=1,'Non TB - Note 12 to 24'!H113,"")</f>
        <v>If the Council has reclassified a financial asset following a change of business model, the Code requires disclosures to be made in accordance with paragraphs 12B to 12D of IFRS 7 of information relating to:
- the date of reclassification
- explanation of the change in business model and a qualitative description of its effect on the financial statements
- the amounts reclassified across each category</v>
      </c>
      <c r="E797" s="1504"/>
      <c r="F797" s="1504"/>
      <c r="G797" s="1504"/>
      <c r="H797" s="1504"/>
      <c r="I797" s="1504"/>
      <c r="J797" s="1504"/>
      <c r="K797" s="1504"/>
    </row>
    <row r="798" spans="1:11" s="3" customFormat="1" ht="13.5" customHeight="1" x14ac:dyDescent="0.3">
      <c r="A798" s="3" t="str">
        <f>IF(A797="Print","Print","Do Not Print")</f>
        <v>Print</v>
      </c>
      <c r="B798" s="1124"/>
      <c r="C798" s="1124"/>
      <c r="D798" s="1500"/>
      <c r="E798" s="1500"/>
      <c r="F798" s="1500"/>
      <c r="G798" s="1500"/>
      <c r="H798" s="1500"/>
      <c r="I798" s="1500"/>
      <c r="J798" s="1500"/>
      <c r="K798" s="1500"/>
    </row>
    <row r="799" spans="1:11" s="3" customFormat="1" ht="28.05" customHeight="1" x14ac:dyDescent="0.3">
      <c r="A799" s="3" t="str">
        <f>IF('Non TB - Note 12 to 24'!F114=1,"Print","Do Not Print")</f>
        <v>Print</v>
      </c>
      <c r="B799" s="1124"/>
      <c r="C799" s="1124"/>
      <c r="D799" s="1504" t="str">
        <f>IF('Non TB - Note 12 to 24'!F114=1,'Non TB - Note 12 to 24'!H114,"")</f>
        <v>Paragraphs 12C and 12D require disclosures to be made in all future financial years after reclassification until derecognition (as appropriate) about the effective interest rate or fair value.</v>
      </c>
      <c r="E799" s="1504"/>
      <c r="F799" s="1504"/>
      <c r="G799" s="1504"/>
      <c r="H799" s="1504"/>
      <c r="I799" s="1504"/>
      <c r="J799" s="1504"/>
      <c r="K799" s="1504"/>
    </row>
    <row r="800" spans="1:11" s="3" customFormat="1" ht="13.5" customHeight="1" x14ac:dyDescent="0.3">
      <c r="A800" s="3" t="str">
        <f>IF(A799="Print","Print","Do Not Print")</f>
        <v>Print</v>
      </c>
      <c r="B800" s="1124"/>
      <c r="C800" s="1124"/>
      <c r="D800" s="1500"/>
      <c r="E800" s="1500"/>
      <c r="F800" s="1500"/>
      <c r="G800" s="1500"/>
      <c r="H800" s="1500"/>
      <c r="I800" s="1500"/>
      <c r="J800" s="1500"/>
      <c r="K800" s="1500"/>
    </row>
    <row r="801" spans="1:11" s="3" customFormat="1" ht="13.5" customHeight="1" x14ac:dyDescent="0.3">
      <c r="A801" s="3" t="str">
        <f>IF('Non TB - Note 12 to 24'!F115=1,"Print","Do Not Print")</f>
        <v>Print</v>
      </c>
      <c r="B801" s="1124"/>
      <c r="C801" s="1124"/>
      <c r="D801" s="1538" t="str">
        <f>IF('Non TB - Note 12 to 24'!F115=1,'Non TB - Note 12 to 24'!E115,"")</f>
        <v>Other Balance Sheet Disclosures</v>
      </c>
      <c r="E801" s="1538"/>
      <c r="F801" s="1538"/>
      <c r="G801" s="1538"/>
      <c r="H801" s="1538"/>
      <c r="I801" s="1538"/>
      <c r="J801" s="1538"/>
      <c r="K801" s="1538"/>
    </row>
    <row r="802" spans="1:11" s="3" customFormat="1" ht="13.5" customHeight="1" x14ac:dyDescent="0.3">
      <c r="A802" s="3" t="str">
        <f>IF(A801="Print","Print","Do Not Print")</f>
        <v>Print</v>
      </c>
      <c r="B802" s="1124"/>
      <c r="C802" s="1124"/>
      <c r="D802" s="1500"/>
      <c r="E802" s="1500"/>
      <c r="F802" s="1500"/>
      <c r="G802" s="1500"/>
      <c r="H802" s="1500"/>
      <c r="I802" s="1500"/>
      <c r="J802" s="1500"/>
      <c r="K802" s="1500"/>
    </row>
    <row r="803" spans="1:11" s="3" customFormat="1" ht="29.55" customHeight="1" x14ac:dyDescent="0.3">
      <c r="A803" s="3" t="str">
        <f>IF('Non TB - Note 12 to 24'!F115=1,"Print","Do Not Print")</f>
        <v>Print</v>
      </c>
      <c r="B803" s="1124"/>
      <c r="C803" s="1124"/>
      <c r="D803" s="1504" t="str">
        <f>IF('Non TB - Note 12 to 24'!F115=1,'Non TB - Note 12 to 24'!H115,"")</f>
        <v>Paragraphs 7.3.2.8 to 7.3.2.12 of the Code contain a number of disclosure requirements that will rarely be applicable to Councils.  Additional notes will be required where a Council has a material involvement in any of the following:</v>
      </c>
      <c r="E803" s="1504"/>
      <c r="F803" s="1504"/>
      <c r="G803" s="1504"/>
      <c r="H803" s="1504"/>
      <c r="I803" s="1504"/>
      <c r="J803" s="1504"/>
      <c r="K803" s="1504"/>
    </row>
    <row r="804" spans="1:11" s="3" customFormat="1" ht="13.5" customHeight="1" x14ac:dyDescent="0.3">
      <c r="A804" s="3" t="str">
        <f>IF(A803="Print","Print","Do Not Print")</f>
        <v>Print</v>
      </c>
      <c r="B804" s="1124"/>
      <c r="C804" s="1124"/>
      <c r="D804" s="1500"/>
      <c r="E804" s="1500"/>
      <c r="F804" s="1500"/>
      <c r="G804" s="1500"/>
      <c r="H804" s="1500"/>
      <c r="I804" s="1500"/>
      <c r="J804" s="1500"/>
      <c r="K804" s="1500"/>
    </row>
    <row r="805" spans="1:11" s="3" customFormat="1" ht="81" customHeight="1" x14ac:dyDescent="0.3">
      <c r="A805" s="3" t="str">
        <f>IF('Non TB - Note 12 to 24'!F116=1,"Print","Do Not Print")</f>
        <v>Print</v>
      </c>
      <c r="B805" s="1124"/>
      <c r="C805" s="1124"/>
      <c r="D805" s="1504" t="str">
        <f>IF('Non TB - Note 12 to 24'!F116=1,'Non TB - Note 12 to 24'!H116,"")</f>
        <v>- the Council has offset financial assets and financial liabilities in accordance with the criteria set out in paragraph 7.3.5.1 - as stated in paragraph 7.3.2.8 of the Code
- the Council holds collateral that it is permtted to sell or re-pledge - paragraph 7.3.2.9 of the Code
- where financial assets measured at fair value through other comprehensive income are held, the allowance account for credit loss maintained separately from the relevant assets needs to be disclosed - paragraph 7.3.2.10 of the Code
- the Council has defaulted on a loan agreement or otherwise breached it - paragraphs 7.3.2.11 and 7.3.2.12 of the Code.</v>
      </c>
      <c r="E805" s="1504"/>
      <c r="F805" s="1504"/>
      <c r="G805" s="1504"/>
      <c r="H805" s="1504"/>
      <c r="I805" s="1504"/>
      <c r="J805" s="1504"/>
      <c r="K805" s="1504"/>
    </row>
    <row r="806" spans="1:11" s="3" customFormat="1" ht="13.5" customHeight="1" x14ac:dyDescent="0.3">
      <c r="A806" s="3" t="str">
        <f>IF(A805="Print","Print","Do Not Print")</f>
        <v>Print</v>
      </c>
      <c r="B806" s="1124"/>
      <c r="C806" s="1124"/>
      <c r="D806" s="1500"/>
      <c r="E806" s="1500"/>
      <c r="F806" s="1500"/>
      <c r="G806" s="1500"/>
      <c r="H806" s="1500"/>
      <c r="I806" s="1500"/>
      <c r="J806" s="1500"/>
      <c r="K806" s="1500"/>
    </row>
    <row r="807" spans="1:11" s="3" customFormat="1" ht="13.5" customHeight="1" x14ac:dyDescent="0.3">
      <c r="A807" s="3" t="str">
        <f>IF('Non TB - Note 12 to 24'!F117=1,"Print","Do Not Print")</f>
        <v>Print</v>
      </c>
      <c r="B807" s="1124"/>
      <c r="C807" s="1124"/>
      <c r="D807" s="1538" t="str">
        <f>IF('Non TB - Note 12 to 24'!F117=1,'Non TB - Note 12 to 24'!D117,"")</f>
        <v>Income, Expense, Gains and Losses</v>
      </c>
      <c r="E807" s="1538"/>
      <c r="F807" s="1538"/>
      <c r="G807" s="1538"/>
      <c r="H807" s="1538"/>
      <c r="I807" s="1538"/>
      <c r="J807" s="1538"/>
      <c r="K807" s="1538"/>
    </row>
    <row r="808" spans="1:11" s="3" customFormat="1" ht="13.5" customHeight="1" x14ac:dyDescent="0.3">
      <c r="A808" s="3" t="str">
        <f>IF(A807="Print","Print","Do Not Print")</f>
        <v>Print</v>
      </c>
      <c r="B808" s="1124"/>
      <c r="C808" s="1124"/>
      <c r="D808" s="1500"/>
      <c r="E808" s="1500"/>
      <c r="F808" s="1500"/>
      <c r="G808" s="1500"/>
      <c r="H808" s="1500"/>
      <c r="I808" s="1500"/>
      <c r="J808" s="1500"/>
      <c r="K808" s="1500"/>
    </row>
    <row r="809" spans="1:11" s="3" customFormat="1" ht="13.5" customHeight="1" x14ac:dyDescent="0.3">
      <c r="A809" s="3" t="str">
        <f>IF(OR(A819="Print",A824="Print",A826="Print",A831="Print",A836="Print"),"Print","Do Not Print")</f>
        <v>Do Not Print</v>
      </c>
      <c r="B809" s="1124"/>
      <c r="C809" s="1124"/>
      <c r="D809" s="1108"/>
      <c r="E809" s="1108"/>
      <c r="F809" s="1922" t="str">
        <f>I551</f>
        <v>2025/26</v>
      </c>
      <c r="G809" s="1923"/>
      <c r="H809" s="1923"/>
      <c r="I809" s="1924"/>
      <c r="J809" s="401"/>
      <c r="K809" s="401"/>
    </row>
    <row r="810" spans="1:11" s="3" customFormat="1" ht="50.25" customHeight="1" x14ac:dyDescent="0.3">
      <c r="A810" s="3" t="str">
        <f>IF(A809="Print","Print","Do Not Print")</f>
        <v>Do Not Print</v>
      </c>
      <c r="B810" s="1124"/>
      <c r="C810" s="1124"/>
      <c r="D810" s="1108"/>
      <c r="E810" s="1108"/>
      <c r="F810" s="1925" t="s">
        <v>2539</v>
      </c>
      <c r="G810" s="1926"/>
      <c r="H810" s="1925" t="s">
        <v>559</v>
      </c>
      <c r="I810" s="1926"/>
      <c r="J810" s="401"/>
      <c r="K810" s="401"/>
    </row>
    <row r="811" spans="1:11" s="3" customFormat="1" ht="13.5" customHeight="1" x14ac:dyDescent="0.3">
      <c r="A811" s="3" t="str">
        <f>IF(A810="Print","Print","Do Not Print")</f>
        <v>Do Not Print</v>
      </c>
      <c r="B811" s="1124"/>
      <c r="C811" s="1124"/>
      <c r="D811" s="1864"/>
      <c r="E811" s="1864"/>
      <c r="F811" s="1126"/>
      <c r="G811" s="1128" t="s">
        <v>450</v>
      </c>
      <c r="H811" s="1126"/>
      <c r="I811" s="1128" t="s">
        <v>450</v>
      </c>
      <c r="J811" s="401"/>
      <c r="K811" s="401"/>
    </row>
    <row r="812" spans="1:11" s="3" customFormat="1" ht="13.5" customHeight="1" x14ac:dyDescent="0.3">
      <c r="A812" s="3" t="str">
        <f>IF(A819="Print","Print","Do Not Print")</f>
        <v>Do Not Print</v>
      </c>
      <c r="B812" s="1124"/>
      <c r="C812" s="1124"/>
      <c r="D812" s="1504" t="s">
        <v>2532</v>
      </c>
      <c r="E812" s="1504"/>
      <c r="F812" s="1920"/>
      <c r="G812" s="1920"/>
      <c r="H812" s="1920"/>
      <c r="I812" s="1920"/>
      <c r="J812" s="401"/>
      <c r="K812" s="401"/>
    </row>
    <row r="813" spans="1:11" s="3" customFormat="1" ht="29.55" customHeight="1" x14ac:dyDescent="0.3">
      <c r="A813" s="3" t="str">
        <f>IF(OR(F813&gt;0,H813&gt;0),"Print","Do Not Print")</f>
        <v>Do Not Print</v>
      </c>
      <c r="B813" s="1124"/>
      <c r="C813" s="1124"/>
      <c r="D813" s="1504" t="s">
        <v>2548</v>
      </c>
      <c r="E813" s="1504"/>
      <c r="F813" s="1871">
        <f>'Non TB - Note 12 to 24'!H117</f>
        <v>0</v>
      </c>
      <c r="G813" s="1871"/>
      <c r="H813" s="1871">
        <f>'Non TB - Note 12 to 24'!H123</f>
        <v>0</v>
      </c>
      <c r="I813" s="1871"/>
      <c r="J813" s="401"/>
      <c r="K813" s="401"/>
    </row>
    <row r="814" spans="1:11" s="3" customFormat="1" ht="29.55" customHeight="1" x14ac:dyDescent="0.3">
      <c r="A814" s="3" t="str">
        <f t="shared" ref="A814:A819" si="35">IF(OR(F814&gt;0,H814&gt;0),"Print","Do Not Print")</f>
        <v>Do Not Print</v>
      </c>
      <c r="B814" s="1124"/>
      <c r="C814" s="1124"/>
      <c r="D814" s="1504" t="s">
        <v>2533</v>
      </c>
      <c r="E814" s="1504"/>
      <c r="F814" s="1871">
        <f>'Non TB - Note 12 to 24'!H118</f>
        <v>0</v>
      </c>
      <c r="G814" s="1871"/>
      <c r="H814" s="1871">
        <f>'Non TB - Note 12 to 24'!H124</f>
        <v>0</v>
      </c>
      <c r="I814" s="1871"/>
      <c r="J814" s="401"/>
      <c r="K814" s="401"/>
    </row>
    <row r="815" spans="1:11" s="3" customFormat="1" ht="40.5" customHeight="1" x14ac:dyDescent="0.3">
      <c r="A815" s="3" t="str">
        <f t="shared" si="35"/>
        <v>Do Not Print</v>
      </c>
      <c r="B815" s="1124"/>
      <c r="C815" s="1124"/>
      <c r="D815" s="1504" t="s">
        <v>2534</v>
      </c>
      <c r="E815" s="1504"/>
      <c r="F815" s="1871">
        <f>'Non TB - Note 12 to 24'!H119</f>
        <v>0</v>
      </c>
      <c r="G815" s="1871"/>
      <c r="H815" s="1871">
        <f>'Non TB - Note 12 to 24'!H125</f>
        <v>0</v>
      </c>
      <c r="I815" s="1871"/>
      <c r="J815" s="401"/>
      <c r="K815" s="401"/>
    </row>
    <row r="816" spans="1:11" s="3" customFormat="1" ht="40.5" customHeight="1" x14ac:dyDescent="0.3">
      <c r="A816" s="3" t="str">
        <f t="shared" si="35"/>
        <v>Do Not Print</v>
      </c>
      <c r="B816" s="1124"/>
      <c r="C816" s="1124"/>
      <c r="D816" s="1504" t="s">
        <v>2535</v>
      </c>
      <c r="E816" s="1504"/>
      <c r="F816" s="1871">
        <f>'Non TB - Note 12 to 24'!H120</f>
        <v>0</v>
      </c>
      <c r="G816" s="1871"/>
      <c r="H816" s="1871">
        <f>'Non TB - Note 12 to 24'!H126</f>
        <v>0</v>
      </c>
      <c r="I816" s="1871"/>
      <c r="J816" s="401"/>
      <c r="K816" s="401"/>
    </row>
    <row r="817" spans="1:11" s="3" customFormat="1" ht="27" customHeight="1" x14ac:dyDescent="0.3">
      <c r="A817" s="3" t="str">
        <f t="shared" si="35"/>
        <v>Do Not Print</v>
      </c>
      <c r="B817" s="1124"/>
      <c r="C817" s="1124"/>
      <c r="D817" s="1504" t="s">
        <v>2536</v>
      </c>
      <c r="E817" s="1504"/>
      <c r="F817" s="1871">
        <f>'Non TB - Note 12 to 24'!H121</f>
        <v>0</v>
      </c>
      <c r="G817" s="1871"/>
      <c r="H817" s="1871">
        <f>'Non TB - Note 12 to 24'!H127</f>
        <v>0</v>
      </c>
      <c r="I817" s="1871"/>
      <c r="J817" s="401"/>
      <c r="K817" s="401"/>
    </row>
    <row r="818" spans="1:11" s="3" customFormat="1" ht="28.5" customHeight="1" x14ac:dyDescent="0.3">
      <c r="A818" s="3" t="str">
        <f t="shared" si="35"/>
        <v>Do Not Print</v>
      </c>
      <c r="B818" s="1124"/>
      <c r="C818" s="1124"/>
      <c r="D818" s="1504" t="s">
        <v>2537</v>
      </c>
      <c r="E818" s="1504"/>
      <c r="F818" s="1871">
        <f>'Non TB - Note 12 to 24'!H122</f>
        <v>0</v>
      </c>
      <c r="G818" s="1871"/>
      <c r="H818" s="1871">
        <f>'Non TB - Note 12 to 24'!H128</f>
        <v>0</v>
      </c>
      <c r="I818" s="1871"/>
      <c r="J818" s="401"/>
      <c r="K818" s="401"/>
    </row>
    <row r="819" spans="1:11" s="3" customFormat="1" ht="13.5" customHeight="1" x14ac:dyDescent="0.3">
      <c r="A819" s="3" t="str">
        <f t="shared" si="35"/>
        <v>Do Not Print</v>
      </c>
      <c r="B819" s="1124"/>
      <c r="C819" s="1124"/>
      <c r="D819" s="1919" t="s">
        <v>2538</v>
      </c>
      <c r="E819" s="1919"/>
      <c r="F819" s="1921">
        <f>SUM(F813:G818)</f>
        <v>0</v>
      </c>
      <c r="G819" s="1927"/>
      <c r="H819" s="1921">
        <f>SUM(H813:I818)</f>
        <v>0</v>
      </c>
      <c r="I819" s="1927"/>
      <c r="J819" s="401"/>
      <c r="K819" s="401"/>
    </row>
    <row r="820" spans="1:11" s="3" customFormat="1" ht="13.5" customHeight="1" x14ac:dyDescent="0.3">
      <c r="A820" s="3" t="str">
        <f>IF(A819="Print","Print","Do Not Print")</f>
        <v>Do Not Print</v>
      </c>
      <c r="B820" s="1124"/>
      <c r="C820" s="1124"/>
      <c r="D820" s="1500"/>
      <c r="E820" s="1500"/>
      <c r="F820" s="1500"/>
      <c r="G820" s="1500"/>
      <c r="H820" s="1500"/>
      <c r="I820" s="1500"/>
      <c r="J820" s="401"/>
      <c r="K820" s="401"/>
    </row>
    <row r="821" spans="1:11" s="3" customFormat="1" ht="13.5" customHeight="1" x14ac:dyDescent="0.3">
      <c r="A821" s="3" t="str">
        <f>IF(A824="Print","Print","Do Not Print")</f>
        <v>Do Not Print</v>
      </c>
      <c r="B821" s="1124"/>
      <c r="C821" s="1124"/>
      <c r="D821" s="1538" t="s">
        <v>2469</v>
      </c>
      <c r="E821" s="1538"/>
      <c r="F821" s="1500"/>
      <c r="G821" s="1500"/>
      <c r="H821" s="1500"/>
      <c r="I821" s="1500"/>
      <c r="J821" s="401"/>
      <c r="K821" s="401"/>
    </row>
    <row r="822" spans="1:11" s="3" customFormat="1" ht="26.1" customHeight="1" x14ac:dyDescent="0.3">
      <c r="A822" s="3" t="str">
        <f>IF(OR(F822&gt;0,H822&gt;0),"Print","Do Not Print")</f>
        <v>Do Not Print</v>
      </c>
      <c r="B822" s="1124"/>
      <c r="C822" s="1124"/>
      <c r="D822" s="1504" t="s">
        <v>2533</v>
      </c>
      <c r="E822" s="1504"/>
      <c r="F822" s="1871">
        <f>'Non TB - Note 12 to 24'!H129</f>
        <v>0</v>
      </c>
      <c r="G822" s="1871"/>
      <c r="H822" s="1871">
        <f>'Non TB - Note 12 to 24'!H131</f>
        <v>0</v>
      </c>
      <c r="I822" s="1871"/>
      <c r="J822" s="401"/>
      <c r="K822" s="401"/>
    </row>
    <row r="823" spans="1:11" s="3" customFormat="1" ht="42" customHeight="1" x14ac:dyDescent="0.3">
      <c r="A823" s="3" t="str">
        <f t="shared" ref="A823:A824" si="36">IF(OR(F823&gt;0,H823&gt;0),"Print","Do Not Print")</f>
        <v>Do Not Print</v>
      </c>
      <c r="B823" s="1124"/>
      <c r="C823" s="1124"/>
      <c r="D823" s="1504" t="s">
        <v>2540</v>
      </c>
      <c r="E823" s="1504"/>
      <c r="F823" s="1871">
        <f>'Non TB - Note 12 to 24'!H130</f>
        <v>0</v>
      </c>
      <c r="G823" s="1871"/>
      <c r="H823" s="1871">
        <f>'Non TB - Note 12 to 24'!H132</f>
        <v>0</v>
      </c>
      <c r="I823" s="1871"/>
      <c r="J823" s="401"/>
      <c r="K823" s="401"/>
    </row>
    <row r="824" spans="1:11" s="3" customFormat="1" ht="13.5" customHeight="1" x14ac:dyDescent="0.3">
      <c r="A824" s="3" t="str">
        <f t="shared" si="36"/>
        <v>Do Not Print</v>
      </c>
      <c r="B824" s="1124"/>
      <c r="C824" s="1124"/>
      <c r="D824" s="1919" t="s">
        <v>2541</v>
      </c>
      <c r="E824" s="1919"/>
      <c r="F824" s="1920">
        <f>SUM(F822:G823)</f>
        <v>0</v>
      </c>
      <c r="G824" s="1920"/>
      <c r="H824" s="1920">
        <f>SUM(H822:I823)</f>
        <v>0</v>
      </c>
      <c r="I824" s="1920"/>
      <c r="J824" s="401"/>
      <c r="K824" s="401"/>
    </row>
    <row r="825" spans="1:11" s="3" customFormat="1" ht="13.5" customHeight="1" x14ac:dyDescent="0.3">
      <c r="A825" s="3" t="str">
        <f>IF(A824="Print","Print","Do Not Print")</f>
        <v>Do Not Print</v>
      </c>
      <c r="B825" s="1124"/>
      <c r="C825" s="1124"/>
      <c r="D825" s="1500"/>
      <c r="E825" s="1500"/>
      <c r="F825" s="1791"/>
      <c r="G825" s="1791"/>
      <c r="H825" s="1791"/>
      <c r="I825" s="1791"/>
      <c r="J825" s="401"/>
      <c r="K825" s="401"/>
    </row>
    <row r="826" spans="1:11" s="3" customFormat="1" ht="13.5" customHeight="1" x14ac:dyDescent="0.3">
      <c r="A826" s="3" t="str">
        <f>IF(OR(F826&gt;0,H826&gt;0),"Print","Do Not Print")</f>
        <v>Do Not Print</v>
      </c>
      <c r="B826" s="1124"/>
      <c r="C826" s="1124"/>
      <c r="D826" s="1538" t="s">
        <v>2474</v>
      </c>
      <c r="E826" s="1538"/>
      <c r="F826" s="1871">
        <f>'Non TB - Note 12 to 24'!H133</f>
        <v>0</v>
      </c>
      <c r="G826" s="1871"/>
      <c r="H826" s="1871">
        <f>'Non TB - Note 12 to 24'!H134</f>
        <v>0</v>
      </c>
      <c r="I826" s="1871"/>
      <c r="J826" s="401"/>
      <c r="K826" s="401"/>
    </row>
    <row r="827" spans="1:11" s="3" customFormat="1" ht="13.5" customHeight="1" x14ac:dyDescent="0.3">
      <c r="A827" s="3" t="str">
        <f>IF(A826="Print","Print","Do Not Print")</f>
        <v>Do Not Print</v>
      </c>
      <c r="B827" s="1124"/>
      <c r="C827" s="1124"/>
      <c r="D827" s="1500"/>
      <c r="E827" s="1500"/>
      <c r="F827" s="1500"/>
      <c r="G827" s="1500"/>
      <c r="H827" s="1500"/>
      <c r="I827" s="1500"/>
      <c r="J827" s="401"/>
      <c r="K827" s="401"/>
    </row>
    <row r="828" spans="1:11" s="3" customFormat="1" ht="13.5" customHeight="1" x14ac:dyDescent="0.3">
      <c r="A828" s="3" t="str">
        <f>IF(A831="Print","Print","Do Not Print")</f>
        <v>Do Not Print</v>
      </c>
      <c r="B828" s="1124"/>
      <c r="C828" s="1124"/>
      <c r="D828" s="1538" t="s">
        <v>2542</v>
      </c>
      <c r="E828" s="1538"/>
      <c r="F828" s="1500"/>
      <c r="G828" s="1500"/>
      <c r="H828" s="1500"/>
      <c r="I828" s="1500"/>
      <c r="J828" s="401"/>
      <c r="K828" s="401"/>
    </row>
    <row r="829" spans="1:11" s="3" customFormat="1" ht="39.6" customHeight="1" x14ac:dyDescent="0.3">
      <c r="A829" s="3" t="str">
        <f>IF(OR(F829&gt;0,H829&gt;0),"Print","Do Not Print")</f>
        <v>Do Not Print</v>
      </c>
      <c r="B829" s="1124"/>
      <c r="C829" s="1124"/>
      <c r="D829" s="1504" t="s">
        <v>2543</v>
      </c>
      <c r="E829" s="1504"/>
      <c r="F829" s="1871">
        <f>'Non TB - Note 12 to 24'!H135</f>
        <v>0</v>
      </c>
      <c r="G829" s="1871"/>
      <c r="H829" s="1871">
        <f>'Non TB - Note 12 to 24'!H137</f>
        <v>0</v>
      </c>
      <c r="I829" s="1871"/>
      <c r="J829" s="401"/>
      <c r="K829" s="401"/>
    </row>
    <row r="830" spans="1:11" s="3" customFormat="1" ht="19.05" customHeight="1" x14ac:dyDescent="0.3">
      <c r="A830" s="3" t="str">
        <f t="shared" ref="A830:A831" si="37">IF(OR(F830&gt;0,H830&gt;0),"Print","Do Not Print")</f>
        <v>Do Not Print</v>
      </c>
      <c r="B830" s="1124"/>
      <c r="C830" s="1124"/>
      <c r="D830" s="1504" t="s">
        <v>2544</v>
      </c>
      <c r="E830" s="1504"/>
      <c r="F830" s="1871">
        <f>'Non TB - Note 12 to 24'!H136</f>
        <v>0</v>
      </c>
      <c r="G830" s="1871"/>
      <c r="H830" s="1871">
        <f>'Non TB - Note 12 to 24'!H138</f>
        <v>0</v>
      </c>
      <c r="I830" s="1871"/>
      <c r="J830" s="401"/>
      <c r="K830" s="401"/>
    </row>
    <row r="831" spans="1:11" s="3" customFormat="1" ht="13.5" customHeight="1" x14ac:dyDescent="0.3">
      <c r="A831" s="3" t="str">
        <f t="shared" si="37"/>
        <v>Do Not Print</v>
      </c>
      <c r="B831" s="1124"/>
      <c r="C831" s="1124"/>
      <c r="D831" s="1919" t="s">
        <v>2545</v>
      </c>
      <c r="E831" s="1919"/>
      <c r="F831" s="1920">
        <f>SUM(F829:G830)</f>
        <v>0</v>
      </c>
      <c r="G831" s="1920"/>
      <c r="H831" s="1920">
        <f>SUM(H829:I830)</f>
        <v>0</v>
      </c>
      <c r="I831" s="1920"/>
      <c r="J831" s="401"/>
      <c r="K831" s="401"/>
    </row>
    <row r="832" spans="1:11" s="3" customFormat="1" ht="13.5" customHeight="1" x14ac:dyDescent="0.3">
      <c r="A832" s="3" t="str">
        <f>IF(A831="Print","Print","Do Not Print")</f>
        <v>Do Not Print</v>
      </c>
      <c r="B832" s="1124"/>
      <c r="C832" s="1124"/>
      <c r="D832" s="1500"/>
      <c r="E832" s="1500"/>
      <c r="F832" s="1871"/>
      <c r="G832" s="1871"/>
      <c r="H832" s="1871"/>
      <c r="I832" s="1871"/>
      <c r="J832" s="401"/>
      <c r="K832" s="401"/>
    </row>
    <row r="833" spans="1:11" s="3" customFormat="1" ht="13.5" customHeight="1" x14ac:dyDescent="0.3">
      <c r="A833" s="3" t="str">
        <f>IF(A836="Print","Print","Do Not Print")</f>
        <v>Do Not Print</v>
      </c>
      <c r="B833" s="1124"/>
      <c r="C833" s="1124"/>
      <c r="D833" s="1538" t="s">
        <v>2546</v>
      </c>
      <c r="E833" s="1538"/>
      <c r="F833" s="1871"/>
      <c r="G833" s="1871"/>
      <c r="H833" s="1871"/>
      <c r="I833" s="1871"/>
      <c r="J833" s="401"/>
      <c r="K833" s="401"/>
    </row>
    <row r="834" spans="1:11" s="3" customFormat="1" ht="41.1" customHeight="1" x14ac:dyDescent="0.3">
      <c r="A834" s="3" t="str">
        <f>IF(OR(F834&gt;0,H834&gt;0),"Print","Do Not Print")</f>
        <v>Do Not Print</v>
      </c>
      <c r="B834" s="1124"/>
      <c r="C834" s="1124"/>
      <c r="D834" s="1504" t="s">
        <v>2543</v>
      </c>
      <c r="E834" s="1504"/>
      <c r="F834" s="1871">
        <f>'Non TB - Note 12 to 24'!H139</f>
        <v>0</v>
      </c>
      <c r="G834" s="1871"/>
      <c r="H834" s="1871">
        <f>'Non TB - Note 12 to 24'!H141</f>
        <v>0</v>
      </c>
      <c r="I834" s="1871"/>
      <c r="J834" s="401"/>
      <c r="K834" s="401"/>
    </row>
    <row r="835" spans="1:11" s="3" customFormat="1" ht="18" customHeight="1" x14ac:dyDescent="0.3">
      <c r="A835" s="3" t="str">
        <f t="shared" ref="A835:A836" si="38">IF(OR(F835&gt;0,H835&gt;0),"Print","Do Not Print")</f>
        <v>Do Not Print</v>
      </c>
      <c r="B835" s="1124"/>
      <c r="C835" s="1124"/>
      <c r="D835" s="1504" t="s">
        <v>2544</v>
      </c>
      <c r="E835" s="1504"/>
      <c r="F835" s="1871">
        <f>'Non TB - Note 12 to 24'!H140</f>
        <v>0</v>
      </c>
      <c r="G835" s="1871"/>
      <c r="H835" s="1871">
        <f>'Non TB - Note 12 to 24'!H142</f>
        <v>0</v>
      </c>
      <c r="I835" s="1871"/>
      <c r="J835" s="401"/>
      <c r="K835" s="401"/>
    </row>
    <row r="836" spans="1:11" s="3" customFormat="1" ht="13.5" customHeight="1" x14ac:dyDescent="0.3">
      <c r="A836" s="3" t="str">
        <f t="shared" si="38"/>
        <v>Do Not Print</v>
      </c>
      <c r="B836" s="1124"/>
      <c r="C836" s="1124"/>
      <c r="D836" s="1879" t="s">
        <v>2547</v>
      </c>
      <c r="E836" s="1879"/>
      <c r="F836" s="1912">
        <f>SUM(F834:G835)</f>
        <v>0</v>
      </c>
      <c r="G836" s="1912"/>
      <c r="H836" s="1912">
        <f>SUM(H834:I835)</f>
        <v>0</v>
      </c>
      <c r="I836" s="1912"/>
      <c r="J836" s="401"/>
      <c r="K836" s="401"/>
    </row>
    <row r="837" spans="1:11" s="3" customFormat="1" ht="13.5" customHeight="1" x14ac:dyDescent="0.3">
      <c r="A837" s="3" t="str">
        <f>IF(A809="Print","Print","Do Not Print")</f>
        <v>Do Not Print</v>
      </c>
      <c r="B837" s="1124"/>
      <c r="C837" s="1124"/>
      <c r="D837" s="1500"/>
      <c r="E837" s="1500"/>
      <c r="F837" s="1500"/>
      <c r="G837" s="1500"/>
      <c r="H837" s="1500"/>
      <c r="I837" s="1500"/>
      <c r="J837" s="401"/>
      <c r="K837" s="401"/>
    </row>
    <row r="838" spans="1:11" s="3" customFormat="1" ht="13.5" customHeight="1" x14ac:dyDescent="0.3">
      <c r="A838" s="3" t="str">
        <f>IF(A809="Print","Print","Do Not Print")</f>
        <v>Do Not Print</v>
      </c>
      <c r="B838" s="1124"/>
      <c r="C838" s="1124"/>
      <c r="D838" s="1500"/>
      <c r="E838" s="1500"/>
      <c r="F838" s="1500"/>
      <c r="G838" s="1500"/>
      <c r="H838" s="1500"/>
      <c r="I838" s="1500"/>
      <c r="J838" s="401"/>
      <c r="K838" s="401"/>
    </row>
    <row r="839" spans="1:11" s="3" customFormat="1" ht="13.5" customHeight="1" x14ac:dyDescent="0.3">
      <c r="A839" s="3" t="str">
        <f>IF(A809="Print","Print","Do Not Print")</f>
        <v>Do Not Print</v>
      </c>
      <c r="B839" s="1124"/>
      <c r="C839" s="1124"/>
      <c r="D839" s="1108"/>
      <c r="E839" s="1108"/>
      <c r="F839" s="1922" t="str">
        <f>H783</f>
        <v>2024/25</v>
      </c>
      <c r="G839" s="1923"/>
      <c r="H839" s="1923"/>
      <c r="I839" s="1924"/>
      <c r="J839" s="401"/>
      <c r="K839" s="401"/>
    </row>
    <row r="840" spans="1:11" s="3" customFormat="1" ht="30.6" customHeight="1" x14ac:dyDescent="0.3">
      <c r="A840" s="3" t="str">
        <f>IF(A809="Print","Print","Do Not Print")</f>
        <v>Do Not Print</v>
      </c>
      <c r="B840" s="1124"/>
      <c r="C840" s="1124"/>
      <c r="D840" s="1108"/>
      <c r="E840" s="1108"/>
      <c r="F840" s="1925" t="s">
        <v>2539</v>
      </c>
      <c r="G840" s="1926"/>
      <c r="H840" s="1925" t="s">
        <v>559</v>
      </c>
      <c r="I840" s="1926"/>
      <c r="J840" s="401"/>
      <c r="K840" s="401"/>
    </row>
    <row r="841" spans="1:11" s="3" customFormat="1" ht="13.5" customHeight="1" x14ac:dyDescent="0.3">
      <c r="A841" s="3" t="str">
        <f>IF(A809="Print","Print","Do Not Print")</f>
        <v>Do Not Print</v>
      </c>
      <c r="B841" s="1124"/>
      <c r="C841" s="1124"/>
      <c r="D841" s="1864"/>
      <c r="E841" s="1864"/>
      <c r="F841" s="1126"/>
      <c r="G841" s="1128" t="s">
        <v>450</v>
      </c>
      <c r="H841" s="1126"/>
      <c r="I841" s="1128" t="s">
        <v>450</v>
      </c>
      <c r="J841" s="401"/>
      <c r="K841" s="401"/>
    </row>
    <row r="842" spans="1:11" s="3" customFormat="1" ht="13.5" customHeight="1" x14ac:dyDescent="0.3">
      <c r="A842" s="3" t="str">
        <f>IF(A809="Print","Print","Do Not Print")</f>
        <v>Do Not Print</v>
      </c>
      <c r="B842" s="1124"/>
      <c r="C842" s="1124"/>
      <c r="D842" s="1504" t="s">
        <v>2532</v>
      </c>
      <c r="E842" s="1504"/>
      <c r="F842" s="1920"/>
      <c r="G842" s="1920"/>
      <c r="H842" s="1920"/>
      <c r="I842" s="1920"/>
      <c r="J842" s="401"/>
      <c r="K842" s="401"/>
    </row>
    <row r="843" spans="1:11" s="3" customFormat="1" ht="25.05" customHeight="1" x14ac:dyDescent="0.3">
      <c r="A843" s="3" t="str">
        <f>IF(A809="Print","Print","Do Not Print")</f>
        <v>Do Not Print</v>
      </c>
      <c r="B843" s="1124"/>
      <c r="C843" s="1124"/>
      <c r="D843" s="1504" t="s">
        <v>2548</v>
      </c>
      <c r="E843" s="1504"/>
      <c r="F843" s="1871">
        <f>'Non TB - Note 12 to 24'!I117</f>
        <v>0</v>
      </c>
      <c r="G843" s="1871"/>
      <c r="H843" s="1871">
        <f>'Non TB - Note 12 to 24'!I123</f>
        <v>0</v>
      </c>
      <c r="I843" s="1871"/>
      <c r="J843" s="401"/>
      <c r="K843" s="401"/>
    </row>
    <row r="844" spans="1:11" s="3" customFormat="1" ht="27" customHeight="1" x14ac:dyDescent="0.3">
      <c r="A844" s="3" t="str">
        <f>IF(A809="Print","Print","Do Not Print")</f>
        <v>Do Not Print</v>
      </c>
      <c r="B844" s="1124"/>
      <c r="C844" s="1124"/>
      <c r="D844" s="1504" t="s">
        <v>2533</v>
      </c>
      <c r="E844" s="1504"/>
      <c r="F844" s="1871">
        <f>'Non TB - Note 12 to 24'!I118</f>
        <v>0</v>
      </c>
      <c r="G844" s="1871"/>
      <c r="H844" s="1871">
        <f>'Non TB - Note 12 to 24'!I124</f>
        <v>0</v>
      </c>
      <c r="I844" s="1871"/>
      <c r="J844" s="401"/>
      <c r="K844" s="401"/>
    </row>
    <row r="845" spans="1:11" s="3" customFormat="1" ht="38.549999999999997" customHeight="1" x14ac:dyDescent="0.3">
      <c r="A845" s="3" t="str">
        <f>IF(A809="Print","Print","Do Not Print")</f>
        <v>Do Not Print</v>
      </c>
      <c r="B845" s="1124"/>
      <c r="C845" s="1124"/>
      <c r="D845" s="1504" t="s">
        <v>2534</v>
      </c>
      <c r="E845" s="1504"/>
      <c r="F845" s="1871">
        <f>'Non TB - Note 12 to 24'!I119</f>
        <v>0</v>
      </c>
      <c r="G845" s="1871"/>
      <c r="H845" s="1871">
        <f>'Non TB - Note 12 to 24'!I125</f>
        <v>0</v>
      </c>
      <c r="I845" s="1871"/>
      <c r="J845" s="401"/>
      <c r="K845" s="401"/>
    </row>
    <row r="846" spans="1:11" s="3" customFormat="1" ht="39" customHeight="1" x14ac:dyDescent="0.3">
      <c r="A846" s="3" t="str">
        <f>IF(A809="Print","Print","Do Not Print")</f>
        <v>Do Not Print</v>
      </c>
      <c r="B846" s="1124"/>
      <c r="C846" s="1124"/>
      <c r="D846" s="1504" t="s">
        <v>2535</v>
      </c>
      <c r="E846" s="1504"/>
      <c r="F846" s="1871">
        <f>'Non TB - Note 12 to 24'!I120</f>
        <v>0</v>
      </c>
      <c r="G846" s="1871"/>
      <c r="H846" s="1871">
        <f>'Non TB - Note 12 to 24'!I126</f>
        <v>0</v>
      </c>
      <c r="I846" s="1871"/>
      <c r="J846" s="401"/>
      <c r="K846" s="401"/>
    </row>
    <row r="847" spans="1:11" s="3" customFormat="1" ht="27" customHeight="1" x14ac:dyDescent="0.3">
      <c r="A847" s="3" t="str">
        <f>IF(A809="Print","Print","Do Not Print")</f>
        <v>Do Not Print</v>
      </c>
      <c r="B847" s="1124"/>
      <c r="C847" s="1124"/>
      <c r="D847" s="1504" t="s">
        <v>2536</v>
      </c>
      <c r="E847" s="1504"/>
      <c r="F847" s="1921">
        <f>'Non TB - Note 12 to 24'!I121</f>
        <v>0</v>
      </c>
      <c r="G847" s="1921"/>
      <c r="H847" s="1871">
        <f>'Non TB - Note 12 to 24'!I127</f>
        <v>0</v>
      </c>
      <c r="I847" s="1871"/>
      <c r="J847" s="401"/>
      <c r="K847" s="401"/>
    </row>
    <row r="848" spans="1:11" s="3" customFormat="1" ht="27" customHeight="1" x14ac:dyDescent="0.3">
      <c r="A848" s="3" t="str">
        <f>IF(A809="Print","Print","Do Not Print")</f>
        <v>Do Not Print</v>
      </c>
      <c r="B848" s="1124"/>
      <c r="C848" s="1124"/>
      <c r="D848" s="1504" t="s">
        <v>2537</v>
      </c>
      <c r="E848" s="1504"/>
      <c r="F848" s="1871">
        <f>'Non TB - Note 12 to 24'!I122</f>
        <v>0</v>
      </c>
      <c r="G848" s="1871"/>
      <c r="H848" s="1871">
        <f>'Non TB - Note 12 to 24'!I128</f>
        <v>0</v>
      </c>
      <c r="I848" s="1871"/>
      <c r="J848" s="401"/>
      <c r="K848" s="401"/>
    </row>
    <row r="849" spans="1:11" s="3" customFormat="1" ht="13.5" customHeight="1" x14ac:dyDescent="0.3">
      <c r="A849" s="3" t="str">
        <f>IF(A809="Print","Print","Do Not Print")</f>
        <v>Do Not Print</v>
      </c>
      <c r="B849" s="1124"/>
      <c r="C849" s="1124"/>
      <c r="D849" s="1919" t="s">
        <v>2538</v>
      </c>
      <c r="E849" s="1919"/>
      <c r="F849" s="1921">
        <f>SUM(F843:G848)</f>
        <v>0</v>
      </c>
      <c r="G849" s="1921"/>
      <c r="H849" s="1921">
        <f>SUM(H843:I848)</f>
        <v>0</v>
      </c>
      <c r="I849" s="1921"/>
      <c r="J849" s="401"/>
      <c r="K849" s="401"/>
    </row>
    <row r="850" spans="1:11" s="3" customFormat="1" ht="13.5" customHeight="1" x14ac:dyDescent="0.3">
      <c r="A850" s="3" t="str">
        <f>IF(A809="Print","Print","Do Not Print")</f>
        <v>Do Not Print</v>
      </c>
      <c r="B850" s="1124"/>
      <c r="C850" s="1124"/>
      <c r="D850" s="1500"/>
      <c r="E850" s="1500"/>
      <c r="F850" s="1500"/>
      <c r="G850" s="1500"/>
      <c r="H850" s="1500"/>
      <c r="I850" s="1500"/>
      <c r="J850" s="401"/>
      <c r="K850" s="401"/>
    </row>
    <row r="851" spans="1:11" s="3" customFormat="1" ht="13.5" customHeight="1" x14ac:dyDescent="0.3">
      <c r="A851" s="3" t="str">
        <f>IF(A809="Print","Print","Do Not Print")</f>
        <v>Do Not Print</v>
      </c>
      <c r="B851" s="1124"/>
      <c r="C851" s="1124"/>
      <c r="D851" s="1538" t="s">
        <v>2469</v>
      </c>
      <c r="E851" s="1538"/>
      <c r="F851" s="1500"/>
      <c r="G851" s="1500"/>
      <c r="H851" s="1500"/>
      <c r="I851" s="1500"/>
      <c r="J851" s="401"/>
      <c r="K851" s="401"/>
    </row>
    <row r="852" spans="1:11" s="3" customFormat="1" ht="27" customHeight="1" x14ac:dyDescent="0.3">
      <c r="A852" s="3" t="str">
        <f>IF(A809="Print","Print","Do Not Print")</f>
        <v>Do Not Print</v>
      </c>
      <c r="B852" s="1124"/>
      <c r="C852" s="1124"/>
      <c r="D852" s="1504" t="s">
        <v>2533</v>
      </c>
      <c r="E852" s="1504"/>
      <c r="F852" s="1871">
        <f>'Non TB - Note 12 to 24'!I129</f>
        <v>0</v>
      </c>
      <c r="G852" s="1871"/>
      <c r="H852" s="1871">
        <f>'Non TB - Note 12 to 24'!I131</f>
        <v>0</v>
      </c>
      <c r="I852" s="1871"/>
      <c r="J852" s="401"/>
      <c r="K852" s="401"/>
    </row>
    <row r="853" spans="1:11" s="3" customFormat="1" ht="40.049999999999997" customHeight="1" x14ac:dyDescent="0.3">
      <c r="A853" s="3" t="str">
        <f>IF(A809="Print","Print","Do Not Print")</f>
        <v>Do Not Print</v>
      </c>
      <c r="B853" s="1124"/>
      <c r="C853" s="1124"/>
      <c r="D853" s="1504" t="s">
        <v>2540</v>
      </c>
      <c r="E853" s="1504"/>
      <c r="F853" s="1871">
        <f>'Non TB - Note 12 to 24'!I130</f>
        <v>0</v>
      </c>
      <c r="G853" s="1871"/>
      <c r="H853" s="1871">
        <f>'Non TB - Note 12 to 24'!I132</f>
        <v>0</v>
      </c>
      <c r="I853" s="1871"/>
      <c r="J853" s="401"/>
      <c r="K853" s="401"/>
    </row>
    <row r="854" spans="1:11" s="3" customFormat="1" ht="13.5" customHeight="1" x14ac:dyDescent="0.3">
      <c r="A854" s="3" t="str">
        <f>IF(A809="Print","Print","Do Not Print")</f>
        <v>Do Not Print</v>
      </c>
      <c r="B854" s="1124"/>
      <c r="C854" s="1124"/>
      <c r="D854" s="1919" t="s">
        <v>2541</v>
      </c>
      <c r="E854" s="1919"/>
      <c r="F854" s="1920">
        <f>SUM(F852:G853)</f>
        <v>0</v>
      </c>
      <c r="G854" s="1920"/>
      <c r="H854" s="1920">
        <f>SUM(H852:I853)</f>
        <v>0</v>
      </c>
      <c r="I854" s="1920"/>
      <c r="J854" s="401"/>
      <c r="K854" s="401"/>
    </row>
    <row r="855" spans="1:11" s="3" customFormat="1" ht="13.5" customHeight="1" x14ac:dyDescent="0.3">
      <c r="A855" s="3" t="str">
        <f>IF(A809="Print","Print","Do Not Print")</f>
        <v>Do Not Print</v>
      </c>
      <c r="B855" s="1124"/>
      <c r="C855" s="1124"/>
      <c r="D855" s="1500"/>
      <c r="E855" s="1500"/>
      <c r="F855" s="1500"/>
      <c r="G855" s="1500"/>
      <c r="H855" s="1500"/>
      <c r="I855" s="1500"/>
      <c r="J855" s="401"/>
      <c r="K855" s="401"/>
    </row>
    <row r="856" spans="1:11" s="3" customFormat="1" ht="13.5" customHeight="1" x14ac:dyDescent="0.3">
      <c r="A856" s="3" t="str">
        <f>IF(A809="Print","Print","Do Not Print")</f>
        <v>Do Not Print</v>
      </c>
      <c r="B856" s="1124"/>
      <c r="C856" s="1124"/>
      <c r="D856" s="1538" t="s">
        <v>2474</v>
      </c>
      <c r="E856" s="1538"/>
      <c r="F856" s="1871">
        <f>'Non TB - Note 12 to 24'!I133</f>
        <v>0</v>
      </c>
      <c r="G856" s="1871"/>
      <c r="H856" s="1871">
        <f>'Non TB - Note 12 to 24'!I134</f>
        <v>0</v>
      </c>
      <c r="I856" s="1871"/>
      <c r="J856" s="401"/>
      <c r="K856" s="401"/>
    </row>
    <row r="857" spans="1:11" s="3" customFormat="1" ht="13.5" customHeight="1" x14ac:dyDescent="0.3">
      <c r="A857" s="3" t="str">
        <f>IF(A809="Print","Print","Do Not Print")</f>
        <v>Do Not Print</v>
      </c>
      <c r="B857" s="1124"/>
      <c r="C857" s="1124"/>
      <c r="D857" s="1500"/>
      <c r="E857" s="1500"/>
      <c r="F857" s="1500"/>
      <c r="G857" s="1500"/>
      <c r="H857" s="1500"/>
      <c r="I857" s="1500"/>
      <c r="J857" s="401"/>
      <c r="K857" s="401"/>
    </row>
    <row r="858" spans="1:11" s="3" customFormat="1" ht="13.5" customHeight="1" x14ac:dyDescent="0.3">
      <c r="A858" s="3" t="str">
        <f>IF(A809="Print","Print","Do Not Print")</f>
        <v>Do Not Print</v>
      </c>
      <c r="B858" s="1124"/>
      <c r="C858" s="1124"/>
      <c r="D858" s="1538" t="s">
        <v>2542</v>
      </c>
      <c r="E858" s="1538"/>
      <c r="F858" s="1500"/>
      <c r="G858" s="1500"/>
      <c r="H858" s="1500"/>
      <c r="I858" s="1500"/>
      <c r="J858" s="401"/>
      <c r="K858" s="401"/>
    </row>
    <row r="859" spans="1:11" s="3" customFormat="1" ht="39.6" customHeight="1" x14ac:dyDescent="0.3">
      <c r="A859" s="3" t="str">
        <f>IF(A809="Print","Print","Do Not Print")</f>
        <v>Do Not Print</v>
      </c>
      <c r="B859" s="1124"/>
      <c r="C859" s="1124"/>
      <c r="D859" s="1504" t="s">
        <v>2543</v>
      </c>
      <c r="E859" s="1504"/>
      <c r="F859" s="1871">
        <f>'Non TB - Note 12 to 24'!I135</f>
        <v>0</v>
      </c>
      <c r="G859" s="1871"/>
      <c r="H859" s="1871">
        <f>'Non TB - Note 12 to 24'!I137</f>
        <v>0</v>
      </c>
      <c r="I859" s="1871"/>
      <c r="J859" s="401"/>
      <c r="K859" s="401"/>
    </row>
    <row r="860" spans="1:11" s="3" customFormat="1" ht="19.5" customHeight="1" x14ac:dyDescent="0.3">
      <c r="A860" s="3" t="str">
        <f>IF(A809="Print","Print","Do Not Print")</f>
        <v>Do Not Print</v>
      </c>
      <c r="B860" s="1124"/>
      <c r="C860" s="1124"/>
      <c r="D860" s="1504" t="s">
        <v>2544</v>
      </c>
      <c r="E860" s="1504"/>
      <c r="F860" s="1871">
        <f>'Non TB - Note 12 to 24'!I136</f>
        <v>0</v>
      </c>
      <c r="G860" s="1871"/>
      <c r="H860" s="1871">
        <f>'Non TB - Note 12 to 24'!I138</f>
        <v>0</v>
      </c>
      <c r="I860" s="1871"/>
      <c r="J860" s="401"/>
      <c r="K860" s="401"/>
    </row>
    <row r="861" spans="1:11" s="3" customFormat="1" ht="13.5" customHeight="1" x14ac:dyDescent="0.3">
      <c r="A861" s="3" t="str">
        <f>IF(A809="Print","Print","Do Not Print")</f>
        <v>Do Not Print</v>
      </c>
      <c r="B861" s="1124"/>
      <c r="C861" s="1124"/>
      <c r="D861" s="1919" t="s">
        <v>2545</v>
      </c>
      <c r="E861" s="1919"/>
      <c r="F861" s="1920">
        <f>SUM(F859:G860)</f>
        <v>0</v>
      </c>
      <c r="G861" s="1920"/>
      <c r="H861" s="1920">
        <f>SUM(H859:I860)</f>
        <v>0</v>
      </c>
      <c r="I861" s="1920"/>
      <c r="J861" s="401"/>
      <c r="K861" s="401"/>
    </row>
    <row r="862" spans="1:11" s="3" customFormat="1" ht="13.5" customHeight="1" x14ac:dyDescent="0.3">
      <c r="A862" s="3" t="str">
        <f>IF(A809="Print","Print","Do Not Print")</f>
        <v>Do Not Print</v>
      </c>
      <c r="B862" s="1124"/>
      <c r="C862" s="1124"/>
      <c r="D862" s="1500"/>
      <c r="E862" s="1500"/>
      <c r="F862" s="1500"/>
      <c r="G862" s="1500"/>
      <c r="H862" s="1500"/>
      <c r="I862" s="1500"/>
      <c r="J862" s="401"/>
      <c r="K862" s="401"/>
    </row>
    <row r="863" spans="1:11" s="3" customFormat="1" ht="13.5" customHeight="1" x14ac:dyDescent="0.3">
      <c r="A863" s="3" t="str">
        <f>IF(A809="Print","Print","Do Not Print")</f>
        <v>Do Not Print</v>
      </c>
      <c r="B863" s="1124"/>
      <c r="C863" s="1124"/>
      <c r="D863" s="1538" t="s">
        <v>2546</v>
      </c>
      <c r="E863" s="1538"/>
      <c r="F863" s="1500"/>
      <c r="G863" s="1500"/>
      <c r="H863" s="1500"/>
      <c r="I863" s="1500"/>
      <c r="J863" s="401"/>
      <c r="K863" s="401"/>
    </row>
    <row r="864" spans="1:11" s="3" customFormat="1" ht="40.5" customHeight="1" x14ac:dyDescent="0.3">
      <c r="A864" s="3" t="str">
        <f>IF(A809="Print","Print","Do Not Print")</f>
        <v>Do Not Print</v>
      </c>
      <c r="B864" s="1124"/>
      <c r="C864" s="1124"/>
      <c r="D864" s="1504" t="s">
        <v>2543</v>
      </c>
      <c r="E864" s="1504"/>
      <c r="F864" s="1871">
        <f>'Non TB - Note 12 to 24'!I139</f>
        <v>0</v>
      </c>
      <c r="G864" s="1871"/>
      <c r="H864" s="1871">
        <f>'Non TB - Note 12 to 24'!I141</f>
        <v>0</v>
      </c>
      <c r="I864" s="1871"/>
      <c r="J864" s="401"/>
      <c r="K864" s="401"/>
    </row>
    <row r="865" spans="1:11" s="3" customFormat="1" ht="16.05" customHeight="1" x14ac:dyDescent="0.3">
      <c r="A865" s="3" t="str">
        <f>IF(A809="Print","Print","Do Not Print")</f>
        <v>Do Not Print</v>
      </c>
      <c r="B865" s="1124"/>
      <c r="C865" s="1124"/>
      <c r="D865" s="1504" t="s">
        <v>2544</v>
      </c>
      <c r="E865" s="1504"/>
      <c r="F865" s="1871">
        <f>'Non TB - Note 12 to 24'!I140</f>
        <v>0</v>
      </c>
      <c r="G865" s="1871"/>
      <c r="H865" s="1871">
        <f>'Non TB - Note 12 to 24'!I142</f>
        <v>0</v>
      </c>
      <c r="I865" s="1871"/>
      <c r="J865" s="401"/>
      <c r="K865" s="401"/>
    </row>
    <row r="866" spans="1:11" s="3" customFormat="1" ht="13.5" customHeight="1" x14ac:dyDescent="0.3">
      <c r="A866" s="3" t="str">
        <f>IF(A809="Print","Print","Do Not Print")</f>
        <v>Do Not Print</v>
      </c>
      <c r="B866" s="1124"/>
      <c r="C866" s="1124"/>
      <c r="D866" s="1879" t="s">
        <v>2547</v>
      </c>
      <c r="E866" s="1879"/>
      <c r="F866" s="1912">
        <f>SUM(F864:G865)</f>
        <v>0</v>
      </c>
      <c r="G866" s="1912"/>
      <c r="H866" s="1912">
        <f>SUM(H864:I865)</f>
        <v>0</v>
      </c>
      <c r="I866" s="1912"/>
      <c r="J866" s="401"/>
      <c r="K866" s="401"/>
    </row>
    <row r="867" spans="1:11" s="3" customFormat="1" ht="13.5" customHeight="1" x14ac:dyDescent="0.3">
      <c r="A867" s="3" t="str">
        <f>IF(A866="Print","Print","Do Not Print")</f>
        <v>Do Not Print</v>
      </c>
      <c r="B867" s="1124"/>
      <c r="C867" s="1124"/>
      <c r="D867" s="1500"/>
      <c r="E867" s="1500"/>
      <c r="F867" s="1500"/>
      <c r="G867" s="1500"/>
      <c r="H867" s="1500"/>
      <c r="I867" s="1500"/>
      <c r="J867" s="1500"/>
      <c r="K867" s="1500"/>
    </row>
    <row r="868" spans="1:11" s="3" customFormat="1" ht="30.6" customHeight="1" x14ac:dyDescent="0.3">
      <c r="A868" s="3" t="str">
        <f>IF('Non TB - Note 12 to 24'!F143=1,"Print","Do Not Print")</f>
        <v>Print</v>
      </c>
      <c r="B868" s="1124"/>
      <c r="C868" s="1124"/>
      <c r="D868" s="1504" t="str">
        <f>IF('Non TB - Note 12 to 24'!F143=1,'Non TB - Note 12 to 24'!H143,"")</f>
        <v>If relevant: this table will need to be supplemented with details of gains and losses related to assets and liabilities designated at fair value through profit or loss and for hedge accounting if they are relevant.</v>
      </c>
      <c r="E868" s="1504"/>
      <c r="F868" s="1504"/>
      <c r="G868" s="1504"/>
      <c r="H868" s="1504"/>
      <c r="I868" s="1504"/>
      <c r="J868" s="1504"/>
      <c r="K868" s="1504"/>
    </row>
    <row r="869" spans="1:11" s="3" customFormat="1" ht="13.5" customHeight="1" x14ac:dyDescent="0.3">
      <c r="A869" s="3" t="str">
        <f>IF(A868="Print", "Print","Do Not Print")</f>
        <v>Print</v>
      </c>
      <c r="B869" s="1124"/>
      <c r="C869" s="1124"/>
      <c r="D869" s="1500"/>
      <c r="E869" s="1500"/>
      <c r="F869" s="1500"/>
      <c r="G869" s="1500"/>
      <c r="H869" s="1500"/>
      <c r="I869" s="1500"/>
      <c r="J869" s="1500"/>
      <c r="K869" s="1500"/>
    </row>
    <row r="870" spans="1:11" s="3" customFormat="1" ht="53.55" customHeight="1" x14ac:dyDescent="0.3">
      <c r="A870" s="3" t="str">
        <f>IF('Non TB - Note 12 to 24'!F144=1,"Print","Do Not Print")</f>
        <v>Print</v>
      </c>
      <c r="B870" s="1124"/>
      <c r="C870" s="1124"/>
      <c r="D870" s="1504" t="str">
        <f>IF('Non TB - Note 12 to 24'!F144=1,'Non TB - Note 12 to 24'!H144,"")</f>
        <v>Where financial assets are measured at fair value through other comprehensive income in accordance with paragraph 7.1.5.3 of the code, paragraph 7.3.2.13 requires that gains and losses recognised in Other Comprehensive Income and Expenditure should be shown separately from the amount reclassified on derecognition from accumulated Other Comprehensive Income and Expenditure to the Surplus or Deficit on the Provision of Services.</v>
      </c>
      <c r="E870" s="1504"/>
      <c r="F870" s="1504"/>
      <c r="G870" s="1504"/>
      <c r="H870" s="1504"/>
      <c r="I870" s="1504"/>
      <c r="J870" s="1504"/>
      <c r="K870" s="1504"/>
    </row>
    <row r="871" spans="1:11" s="3" customFormat="1" ht="13.5" customHeight="1" x14ac:dyDescent="0.3">
      <c r="A871" s="3" t="str">
        <f>IF(A870="Print","Print", "Do Not Print")</f>
        <v>Print</v>
      </c>
      <c r="B871" s="1124"/>
      <c r="C871" s="1124"/>
      <c r="D871" s="1500"/>
      <c r="E871" s="1500"/>
      <c r="F871" s="1500"/>
      <c r="G871" s="1500"/>
      <c r="H871" s="1500"/>
      <c r="I871" s="1500"/>
      <c r="J871" s="1500"/>
      <c r="K871" s="1500"/>
    </row>
    <row r="872" spans="1:11" s="3" customFormat="1" ht="41.55" customHeight="1" x14ac:dyDescent="0.3">
      <c r="A872" s="3" t="str">
        <f>IF('Non TB - Note 12 to 24'!F145=1,"Print","Do Not Print")</f>
        <v>Print</v>
      </c>
      <c r="B872" s="1124"/>
      <c r="C872" s="1124"/>
      <c r="D872" s="1504" t="str">
        <f>IF('Non TB - Note 12 to 24'!F145=1,'Non TB - Note 12 to 24'!H145,"")</f>
        <v>Where the net gain/loss recognised in the Comprehensive Income and Expenditure Statement for financial assets measured at amortised cost included gains/losses arising on derecognition, paragraph 7.3.2.14 of the Code requires an analysis of the net amount, separating out the derecognition gains and losses.</v>
      </c>
      <c r="E872" s="1504"/>
      <c r="F872" s="1504"/>
      <c r="G872" s="1504"/>
      <c r="H872" s="1504"/>
      <c r="I872" s="1504"/>
      <c r="J872" s="1504"/>
      <c r="K872" s="1504"/>
    </row>
    <row r="873" spans="1:11" s="3" customFormat="1" ht="13.5" customHeight="1" x14ac:dyDescent="0.3">
      <c r="A873" s="3" t="str">
        <f>IF(A872="Print","Print", "Do Not Print")</f>
        <v>Print</v>
      </c>
      <c r="B873" s="1124"/>
      <c r="C873" s="1124"/>
      <c r="D873" s="1500"/>
      <c r="E873" s="1500"/>
      <c r="F873" s="1500"/>
      <c r="G873" s="1500"/>
      <c r="H873" s="1500"/>
      <c r="I873" s="1500"/>
      <c r="J873" s="1500"/>
      <c r="K873" s="1500"/>
    </row>
    <row r="874" spans="1:11" s="3" customFormat="1" ht="13.5" customHeight="1" x14ac:dyDescent="0.3">
      <c r="A874" s="3" t="str">
        <f>IF('Non TB - Note 12 to 24'!F146=1,"Print","Do Not Print")</f>
        <v>Print</v>
      </c>
      <c r="B874" s="1124"/>
      <c r="C874" s="1124"/>
      <c r="D874" s="1538" t="str">
        <f>IF('Non TB - Note 12 to 24'!F146=1,'Non TB - Note 12 to 24'!D146,"")</f>
        <v xml:space="preserve">Fair Values of Financial Assets and Financial Liabilities  </v>
      </c>
      <c r="E874" s="1538"/>
      <c r="F874" s="1538"/>
      <c r="G874" s="1538"/>
      <c r="H874" s="1538"/>
      <c r="I874" s="1538"/>
      <c r="J874" s="1538"/>
      <c r="K874" s="1538"/>
    </row>
    <row r="875" spans="1:11" s="3" customFormat="1" ht="13.5" customHeight="1" x14ac:dyDescent="0.3">
      <c r="A875" s="3" t="str">
        <f>IF(A874="Print","Print", "Do Not Print")</f>
        <v>Print</v>
      </c>
      <c r="B875" s="1124"/>
      <c r="C875" s="1124"/>
      <c r="D875" s="1500"/>
      <c r="E875" s="1500"/>
      <c r="F875" s="1500"/>
      <c r="G875" s="1500"/>
      <c r="H875" s="1500"/>
      <c r="I875" s="1500"/>
      <c r="J875" s="1500"/>
      <c r="K875" s="1500"/>
    </row>
    <row r="876" spans="1:11" s="3" customFormat="1" ht="13.5" customHeight="1" x14ac:dyDescent="0.3">
      <c r="A876" s="3" t="str">
        <f>IF('Non TB - Note 12 to 24'!F146=1,"Print","Do Not Print")</f>
        <v>Print</v>
      </c>
      <c r="B876" s="1124"/>
      <c r="C876" s="1124"/>
      <c r="D876" s="1538" t="str">
        <f>IF('Non TB - Note 12 to 24'!F146=1,'Non TB - Note 12 to 24'!E146)</f>
        <v xml:space="preserve">Fair Values of Financial Assets  </v>
      </c>
      <c r="E876" s="1538"/>
      <c r="F876" s="1538"/>
      <c r="G876" s="1538"/>
      <c r="H876" s="1538"/>
      <c r="I876" s="1538"/>
      <c r="J876" s="1538"/>
      <c r="K876" s="1538"/>
    </row>
    <row r="877" spans="1:11" s="3" customFormat="1" ht="13.5" customHeight="1" x14ac:dyDescent="0.3">
      <c r="A877" s="3" t="str">
        <f>IF(A876="Print","Print", "Do Not Print")</f>
        <v>Print</v>
      </c>
      <c r="B877" s="1124"/>
      <c r="C877" s="1124"/>
      <c r="D877" s="1500"/>
      <c r="E877" s="1500"/>
      <c r="F877" s="1500"/>
      <c r="G877" s="1500"/>
      <c r="H877" s="1500"/>
      <c r="I877" s="1500"/>
      <c r="J877" s="1500"/>
      <c r="K877" s="1500"/>
    </row>
    <row r="878" spans="1:11" s="3" customFormat="1" ht="29.55" customHeight="1" x14ac:dyDescent="0.3">
      <c r="A878" s="3" t="str">
        <f>IF('Non TB - Note 12 to 24'!F146=1,"Print","Do Not Print")</f>
        <v>Print</v>
      </c>
      <c r="B878" s="1124"/>
      <c r="C878" s="1124"/>
      <c r="D878" s="1504" t="str">
        <f>IF('Non TB - Note 12 to 24'!F146=1,'Non TB - Note 12 to 24'!H146,"")</f>
        <v>Some of the Council's financial assets are measured at fair value on a recurring basis and are described in the following table, including the valuation techniques used to measure them.</v>
      </c>
      <c r="E878" s="1504"/>
      <c r="F878" s="1504"/>
      <c r="G878" s="1504"/>
      <c r="H878" s="1504"/>
      <c r="I878" s="1504"/>
      <c r="J878" s="1504"/>
      <c r="K878" s="1504"/>
    </row>
    <row r="879" spans="1:11" s="3" customFormat="1" ht="13.5" customHeight="1" x14ac:dyDescent="0.3">
      <c r="A879" s="3" t="str">
        <f>IF(A878="Print","Print", "Do Not Print")</f>
        <v>Print</v>
      </c>
      <c r="B879" s="1124"/>
      <c r="C879" s="1124"/>
      <c r="D879" s="1500"/>
      <c r="E879" s="1500"/>
      <c r="F879" s="1500"/>
      <c r="G879" s="1500"/>
      <c r="H879" s="1500"/>
      <c r="I879" s="1500"/>
      <c r="J879" s="1500"/>
      <c r="K879" s="1500"/>
    </row>
    <row r="880" spans="1:11" s="3" customFormat="1" ht="13.5" customHeight="1" x14ac:dyDescent="0.3">
      <c r="A880" s="3" t="str">
        <f>IF(A887="Print","Print","Do Not Print")</f>
        <v>Do Not Print</v>
      </c>
      <c r="B880" s="1124"/>
      <c r="C880" s="1124"/>
      <c r="D880" s="1918" t="s">
        <v>2554</v>
      </c>
      <c r="E880" s="1918"/>
      <c r="F880" s="1918"/>
      <c r="G880" s="1918"/>
      <c r="H880" s="1918"/>
      <c r="I880" s="1918"/>
      <c r="J880" s="1918"/>
      <c r="K880" s="1918"/>
    </row>
    <row r="881" spans="1:11" s="3" customFormat="1" ht="13.5" customHeight="1" x14ac:dyDescent="0.3">
      <c r="A881" s="3" t="str">
        <f>IF(A880="Print","Print","Do Not Print")</f>
        <v>Do Not Print</v>
      </c>
      <c r="B881" s="1124"/>
      <c r="C881" s="1124"/>
      <c r="D881" s="1899" t="s">
        <v>1424</v>
      </c>
      <c r="E881" s="1900"/>
      <c r="F881" s="1903" t="s">
        <v>1397</v>
      </c>
      <c r="G881" s="1904"/>
      <c r="H881" s="1907" t="s">
        <v>1370</v>
      </c>
      <c r="I881" s="1900"/>
      <c r="J881" s="1909" t="s">
        <v>3189</v>
      </c>
      <c r="K881" s="1909" t="s">
        <v>3040</v>
      </c>
    </row>
    <row r="882" spans="1:11" s="3" customFormat="1" ht="13.5" customHeight="1" x14ac:dyDescent="0.3">
      <c r="A882" s="3" t="str">
        <f>IF(A880="Print","Print","Do Not Print")</f>
        <v>Do Not Print</v>
      </c>
      <c r="B882" s="1124"/>
      <c r="C882" s="1124"/>
      <c r="D882" s="1901"/>
      <c r="E882" s="1902"/>
      <c r="F882" s="1905"/>
      <c r="G882" s="1906"/>
      <c r="H882" s="1908"/>
      <c r="I882" s="1902"/>
      <c r="J882" s="1910"/>
      <c r="K882" s="1910"/>
    </row>
    <row r="883" spans="1:11" s="3" customFormat="1" ht="15" customHeight="1" x14ac:dyDescent="0.3">
      <c r="A883" s="3" t="str">
        <f>IF(A887="Print","Print","Do Not Print")</f>
        <v>Do Not Print</v>
      </c>
      <c r="B883" s="1124"/>
      <c r="C883" s="1124"/>
      <c r="D883" s="1914" t="s">
        <v>2555</v>
      </c>
      <c r="E883" s="1915"/>
      <c r="F883" s="1915"/>
      <c r="G883" s="1915"/>
      <c r="H883" s="1915"/>
      <c r="I883" s="1915"/>
      <c r="J883" s="1915"/>
      <c r="K883" s="1916"/>
    </row>
    <row r="884" spans="1:11" s="3" customFormat="1" ht="27.75" customHeight="1" x14ac:dyDescent="0.3">
      <c r="A884" s="3" t="str">
        <f>IF(OR(J884&gt;0,K884&gt;0),"Print","Do Not Print")</f>
        <v>Do Not Print</v>
      </c>
      <c r="B884" s="1124"/>
      <c r="C884" s="1124"/>
      <c r="D884" s="1917" t="str">
        <f>IF('Non TB - Note 12 to 24'!F147=1,'Non TB - Note 12 to 24'!D147,"")</f>
        <v>Equity shareholdings in quoted UK Company</v>
      </c>
      <c r="E884" s="1917"/>
      <c r="F884" s="1911">
        <f>IF('Non TB - Note 12 to 24'!F147=1,'Non TB - Note 12 to 24'!H147,"")</f>
        <v>0</v>
      </c>
      <c r="G884" s="1911"/>
      <c r="H884" s="1911">
        <f>IF('Non TB - Note 12 to 24'!F148=1,'Non TB - Note 12 to 24'!H148,"")</f>
        <v>0</v>
      </c>
      <c r="I884" s="1911"/>
      <c r="J884" s="1130">
        <f>IF('Non TB - Note 12 to 24'!F149=1,'Non TB - Note 12 to 24'!H149,"")</f>
        <v>0</v>
      </c>
      <c r="K884" s="1130">
        <f>IF('Non TB - Note 12 to 24'!F154=1,'Non TB - Note 12 to 24'!H154,"")</f>
        <v>0</v>
      </c>
    </row>
    <row r="885" spans="1:11" s="3" customFormat="1" ht="27" customHeight="1" x14ac:dyDescent="0.3">
      <c r="A885" s="3" t="str">
        <f t="shared" ref="A885:A887" si="39">IF(OR(J885&gt;0,K885&gt;0),"Print","Do Not Print")</f>
        <v>Do Not Print</v>
      </c>
      <c r="B885" s="1124"/>
      <c r="C885" s="1124"/>
      <c r="D885" s="1898" t="str">
        <f>IF('Non TB - Note 12 to 24'!F151=1,'Non TB - Note 12 to 24'!D151,"")</f>
        <v>Equity shareholdings in Best of Both Worlds Ltd</v>
      </c>
      <c r="E885" s="1898"/>
      <c r="F885" s="1912">
        <f>IF('Non TB - Note 12 to 24'!F151=1,'Non TB - Note 12 to 24'!H151,"")</f>
        <v>0</v>
      </c>
      <c r="G885" s="1912"/>
      <c r="H885" s="1885">
        <f>IF('Non TB - Note 12 to 24'!F152=1,'Non TB - Note 12 to 24'!H152,"")</f>
        <v>0</v>
      </c>
      <c r="I885" s="1885"/>
      <c r="J885" s="1134">
        <f>IF('Non TB - Note 12 to 24'!F153=1,'Non TB - Note 12 to 24'!H153,"")</f>
        <v>0</v>
      </c>
      <c r="K885" s="1089">
        <f>IF('Non TB - Note 12 to 24'!F154=1,'Non TB - Note 12 to 24'!H154,"")</f>
        <v>0</v>
      </c>
    </row>
    <row r="886" spans="1:11" s="3" customFormat="1" ht="27.75" customHeight="1" x14ac:dyDescent="0.3">
      <c r="A886" s="3" t="str">
        <f t="shared" si="39"/>
        <v>Do Not Print</v>
      </c>
      <c r="B886" s="1124"/>
      <c r="C886" s="1124"/>
      <c r="D886" s="1898" t="str">
        <f>IF('Non TB - Note 12 to 24'!F155=1,'Non TB - Note 12 to 24'!D155,"")</f>
        <v>Other financial instruments classified as fair value through profit or loss</v>
      </c>
      <c r="E886" s="1898"/>
      <c r="F886" s="1912">
        <f>IF('Non TB - Note 12 to 24'!F155=1,'Non TB - Note 12 to 24'!H155,"")</f>
        <v>0</v>
      </c>
      <c r="G886" s="1912"/>
      <c r="H886" s="1912">
        <f>IF('Non TB - Note 12 to 24'!F156=1,'Non TB - Note 12 to 24'!H156,"")</f>
        <v>0</v>
      </c>
      <c r="I886" s="1912"/>
      <c r="J886" s="1089">
        <f>IF('Non TB - Note 12 to 24'!F157=1,'Non TB - Note 12 to 24'!H157,"")</f>
        <v>0</v>
      </c>
      <c r="K886" s="1089">
        <f>IF('Non TB - Note 12 to 24'!F158=1,'Non TB - Note 12 to 24'!H158,"")</f>
        <v>0</v>
      </c>
    </row>
    <row r="887" spans="1:11" s="3" customFormat="1" ht="13.5" customHeight="1" x14ac:dyDescent="0.3">
      <c r="A887" s="3" t="str">
        <f t="shared" si="39"/>
        <v>Do Not Print</v>
      </c>
      <c r="B887" s="1124"/>
      <c r="C887" s="1124"/>
      <c r="D887" s="1913" t="s">
        <v>74</v>
      </c>
      <c r="E887" s="1913"/>
      <c r="F887" s="1913"/>
      <c r="G887" s="1913"/>
      <c r="H887" s="1913"/>
      <c r="I887" s="1913"/>
      <c r="J887" s="1089">
        <f>SUM(F887:I887)</f>
        <v>0</v>
      </c>
      <c r="K887" s="1089">
        <f>SUM(G887:J887)</f>
        <v>0</v>
      </c>
    </row>
    <row r="888" spans="1:11" s="3" customFormat="1" ht="13.5" customHeight="1" x14ac:dyDescent="0.3">
      <c r="A888" s="3" t="str">
        <f>IF(A887="Print","Print", "Do Not Print")</f>
        <v>Do Not Print</v>
      </c>
      <c r="B888" s="1124"/>
      <c r="C888" s="1124"/>
      <c r="D888" s="1882"/>
      <c r="E888" s="1882"/>
      <c r="F888" s="1882"/>
      <c r="G888" s="1882"/>
      <c r="H888" s="1882"/>
      <c r="I888" s="1882"/>
      <c r="J888" s="1882"/>
      <c r="K888" s="1882"/>
    </row>
    <row r="889" spans="1:11" s="3" customFormat="1" ht="13.5" customHeight="1" x14ac:dyDescent="0.3">
      <c r="A889" s="3" t="str">
        <f>IF('Non TB - Note 12 to 24'!F159=1,"Print","Do Not Print")</f>
        <v>Print</v>
      </c>
      <c r="B889" s="1124"/>
      <c r="C889" s="1124"/>
      <c r="D889" s="1538" t="str">
        <f>IF('Non TB - Note 12 to 24'!F159=1,'Non TB - Note 12 to 24'!E159,"")</f>
        <v>Equity shareholding in Best of Both Worlds Ltd</v>
      </c>
      <c r="E889" s="1538"/>
      <c r="F889" s="1538"/>
      <c r="G889" s="1538"/>
      <c r="H889" s="1538"/>
      <c r="I889" s="1538"/>
      <c r="J889" s="1538"/>
      <c r="K889" s="1538"/>
    </row>
    <row r="890" spans="1:11" s="3" customFormat="1" ht="13.5" customHeight="1" x14ac:dyDescent="0.3">
      <c r="A890" s="3" t="str">
        <f>IF(A889="Print","Print", "Do Not Print")</f>
        <v>Print</v>
      </c>
      <c r="B890" s="1124"/>
      <c r="C890" s="1124"/>
      <c r="D890" s="1500"/>
      <c r="E890" s="1500"/>
      <c r="F890" s="1500"/>
      <c r="G890" s="1500"/>
      <c r="H890" s="1500"/>
      <c r="I890" s="1500"/>
      <c r="J890" s="1500"/>
      <c r="K890" s="1500"/>
    </row>
    <row r="891" spans="1:11" s="3" customFormat="1" ht="66" customHeight="1" x14ac:dyDescent="0.3">
      <c r="A891" s="3" t="str">
        <f>IF('Non TB - Note 12 to 24'!F159=1,"Print","Do Not Print")</f>
        <v>Print</v>
      </c>
      <c r="B891" s="1124"/>
      <c r="C891" s="1124"/>
      <c r="D891" s="1504" t="str">
        <f>IF('Non TB - Note 12 to 24'!F159=1,'Non TB - Note 12 to 24'!H159,"")</f>
        <v>The Council's shareholding in Best of Both Worlds Ltd - the shares in this company are not traded in an active market and fair value of £x has been based on valuation techniques that are not based on observable current market transactions or available market data.  The valuation has been made based on an analysis of the assets and liabilities in the Company's latest audited accounts and an assessment of future trading prospects of a 5% return on net assets per annum.  If future returns are greater or lesser by 1% than the 5% assessment, the fair value will be £x higher or lower respectively.</v>
      </c>
      <c r="E891" s="1504"/>
      <c r="F891" s="1504"/>
      <c r="G891" s="1504"/>
      <c r="H891" s="1504"/>
      <c r="I891" s="1504"/>
      <c r="J891" s="1504"/>
      <c r="K891" s="1504"/>
    </row>
    <row r="892" spans="1:11" s="3" customFormat="1" ht="13.5" customHeight="1" x14ac:dyDescent="0.3">
      <c r="A892" s="3" t="str">
        <f>IF(A891="Print","Print", "Do Not Print")</f>
        <v>Print</v>
      </c>
      <c r="B892" s="1124"/>
      <c r="C892" s="1124"/>
      <c r="D892" s="1500"/>
      <c r="E892" s="1500"/>
      <c r="F892" s="1500"/>
      <c r="G892" s="1500"/>
      <c r="H892" s="1500"/>
      <c r="I892" s="1500"/>
      <c r="J892" s="1500"/>
      <c r="K892" s="1500"/>
    </row>
    <row r="893" spans="1:11" s="3" customFormat="1" ht="13.5" customHeight="1" x14ac:dyDescent="0.3">
      <c r="A893" s="3" t="str">
        <f>IF('Non TB - Note 12 to 24'!F160=1,"Print","Do Not Print")</f>
        <v>Print</v>
      </c>
      <c r="B893" s="1124"/>
      <c r="C893" s="1124"/>
      <c r="D893" s="1538" t="str">
        <f>IF('Non TB - Note 12 to 24'!F160=1,'Non TB - Note 12 to 24'!E160,"")</f>
        <v>Other Financial Instruments Classified as Fair Value through Profit or Loss</v>
      </c>
      <c r="E893" s="1538"/>
      <c r="F893" s="1538"/>
      <c r="G893" s="1538"/>
      <c r="H893" s="1538"/>
      <c r="I893" s="1538"/>
      <c r="J893" s="1538"/>
      <c r="K893" s="1538"/>
    </row>
    <row r="894" spans="1:11" s="3" customFormat="1" ht="13.5" customHeight="1" x14ac:dyDescent="0.3">
      <c r="A894" s="3" t="str">
        <f>IF(A893="Print","Print", "Do Not Print")</f>
        <v>Print</v>
      </c>
      <c r="B894" s="1124"/>
      <c r="C894" s="1124"/>
      <c r="D894" s="1500"/>
      <c r="E894" s="1500"/>
      <c r="F894" s="1500"/>
      <c r="G894" s="1500"/>
      <c r="H894" s="1500"/>
      <c r="I894" s="1500"/>
      <c r="J894" s="1500"/>
      <c r="K894" s="1500"/>
    </row>
    <row r="895" spans="1:11" s="3" customFormat="1" ht="13.5" customHeight="1" x14ac:dyDescent="0.3">
      <c r="A895" s="3" t="str">
        <f>IF('Non TB - Note 12 to 24'!F160=1,"Print","Do Not Print")</f>
        <v>Print</v>
      </c>
      <c r="B895" s="1124"/>
      <c r="C895" s="1124"/>
      <c r="D895" s="1500" t="str">
        <f>IF('Non TB - Note 12 to 24'!F160=1,'Non TB - Note 12 to 24'!H160,"")</f>
        <v>Councils will need to include references to the relevant quoted markets.</v>
      </c>
      <c r="E895" s="1500"/>
      <c r="F895" s="1500"/>
      <c r="G895" s="1500"/>
      <c r="H895" s="1500"/>
      <c r="I895" s="1500"/>
      <c r="J895" s="1500"/>
      <c r="K895" s="1500"/>
    </row>
    <row r="896" spans="1:11" s="3" customFormat="1" ht="13.5" customHeight="1" x14ac:dyDescent="0.3">
      <c r="A896" s="3" t="str">
        <f>IF(A895="Print","Print", "Do Not Print")</f>
        <v>Print</v>
      </c>
      <c r="B896" s="1124"/>
      <c r="C896" s="1124"/>
      <c r="D896" s="1500"/>
      <c r="E896" s="1500"/>
      <c r="F896" s="1500"/>
      <c r="G896" s="1500"/>
      <c r="H896" s="1500"/>
      <c r="I896" s="1500"/>
      <c r="J896" s="1500"/>
      <c r="K896" s="1500"/>
    </row>
    <row r="897" spans="1:11" s="3" customFormat="1" ht="13.5" customHeight="1" x14ac:dyDescent="0.3">
      <c r="A897" s="3" t="str">
        <f>IF('Non TB - Note 12 to 24'!F161=1,"Print","Do Not Print")</f>
        <v>Print</v>
      </c>
      <c r="B897" s="1124"/>
      <c r="C897" s="1124"/>
      <c r="D897" s="1538" t="str">
        <f>IF('Non TB - Note 12 to 24'!F161=1,'Non TB - Note 12 to 24'!E161,"")</f>
        <v>Transfers between Levels of the Fair Value Hierarchy</v>
      </c>
      <c r="E897" s="1538"/>
      <c r="F897" s="1538"/>
      <c r="G897" s="1538"/>
      <c r="H897" s="1538"/>
      <c r="I897" s="1538"/>
      <c r="J897" s="1538"/>
      <c r="K897" s="1538"/>
    </row>
    <row r="898" spans="1:11" s="3" customFormat="1" ht="13.5" customHeight="1" x14ac:dyDescent="0.3">
      <c r="A898" s="3" t="str">
        <f>IF(A897="Print","Print", "Do Not Print")</f>
        <v>Print</v>
      </c>
      <c r="B898" s="1124"/>
      <c r="C898" s="1124"/>
      <c r="D898" s="1500"/>
      <c r="E898" s="1500"/>
      <c r="F898" s="1500"/>
      <c r="G898" s="1500"/>
      <c r="H898" s="1500"/>
      <c r="I898" s="1500"/>
      <c r="J898" s="1500"/>
      <c r="K898" s="1500"/>
    </row>
    <row r="899" spans="1:11" s="3" customFormat="1" ht="13.5" customHeight="1" x14ac:dyDescent="0.3">
      <c r="A899" s="3" t="str">
        <f>IF('Non TB - Note 12 to 24'!F161=1,"Print","Do Not Print")</f>
        <v>Print</v>
      </c>
      <c r="B899" s="1124"/>
      <c r="C899" s="1124"/>
      <c r="D899" s="1500" t="str">
        <f>IF('Non TB - Note 12 to 24'!F161=1,'Non TB - Note 12 to 24'!H161,"")</f>
        <v>There were no transfers between input levels 1 and 2 during the year.</v>
      </c>
      <c r="E899" s="1500"/>
      <c r="F899" s="1500"/>
      <c r="G899" s="1500"/>
      <c r="H899" s="1500"/>
      <c r="I899" s="1500"/>
      <c r="J899" s="1500"/>
      <c r="K899" s="1500"/>
    </row>
    <row r="900" spans="1:11" s="3" customFormat="1" ht="13.5" customHeight="1" x14ac:dyDescent="0.3">
      <c r="A900" s="3" t="str">
        <f>IF(A899="Print","Print", "Do Not Print")</f>
        <v>Print</v>
      </c>
      <c r="B900" s="1124"/>
      <c r="C900" s="1124"/>
      <c r="D900" s="1500"/>
      <c r="E900" s="1500"/>
      <c r="F900" s="1500"/>
      <c r="G900" s="1500"/>
      <c r="H900" s="1500"/>
      <c r="I900" s="1500"/>
      <c r="J900" s="1500"/>
      <c r="K900" s="1500"/>
    </row>
    <row r="901" spans="1:11" s="3" customFormat="1" ht="13.5" customHeight="1" x14ac:dyDescent="0.3">
      <c r="A901" s="3" t="str">
        <f>IF('Non TB - Note 12 to 24'!F162=1,"Print","Do Not Print")</f>
        <v>Print</v>
      </c>
      <c r="B901" s="1124"/>
      <c r="C901" s="1124"/>
      <c r="D901" s="1538" t="str">
        <f>IF('Non TB - Note 12 to 24'!F162=1,'Non TB - Note 12 to 24'!E162,"")</f>
        <v>Changes in the Valuation Technique</v>
      </c>
      <c r="E901" s="1538"/>
      <c r="F901" s="1538"/>
      <c r="G901" s="1538"/>
      <c r="H901" s="1538"/>
      <c r="I901" s="1538"/>
      <c r="J901" s="1538"/>
      <c r="K901" s="1538"/>
    </row>
    <row r="902" spans="1:11" s="3" customFormat="1" ht="13.5" customHeight="1" x14ac:dyDescent="0.3">
      <c r="A902" s="3" t="str">
        <f>IF(A901="Print","Print", "Do Not Print")</f>
        <v>Print</v>
      </c>
      <c r="B902" s="1124"/>
      <c r="C902" s="1124"/>
      <c r="D902" s="1500"/>
      <c r="E902" s="1500"/>
      <c r="F902" s="1500"/>
      <c r="G902" s="1500"/>
      <c r="H902" s="1500"/>
      <c r="I902" s="1500"/>
      <c r="J902" s="1500"/>
      <c r="K902" s="1500"/>
    </row>
    <row r="903" spans="1:11" s="3" customFormat="1" ht="45" customHeight="1" x14ac:dyDescent="0.3">
      <c r="A903" s="3" t="str">
        <f>IF('Non TB - Note 12 to 24'!F162=1,"Print","Do Not Print")</f>
        <v>Print</v>
      </c>
      <c r="B903" s="1124"/>
      <c r="C903" s="1124"/>
      <c r="D903" s="1504" t="str">
        <f>IF('Non TB - Note 12 to 24'!F162=1,'Non TB - Note 12 to 24'!H162,"")</f>
        <v>There has been no change in the valuation technique used during the year for the financial instruments.
[If there has been a change in valuation technique (e.g. changing from a market approach to an income approach or the use of an additional valuation technique), the Council shall disclose that change and the reason(s) for making it.</v>
      </c>
      <c r="E903" s="1504"/>
      <c r="F903" s="1504"/>
      <c r="G903" s="1504"/>
      <c r="H903" s="1504"/>
      <c r="I903" s="1504"/>
      <c r="J903" s="1504"/>
      <c r="K903" s="1504"/>
    </row>
    <row r="904" spans="1:11" s="3" customFormat="1" ht="13.5" customHeight="1" x14ac:dyDescent="0.3">
      <c r="A904" s="3" t="str">
        <f>IF(A903="Print","Print", "Do Not Print")</f>
        <v>Print</v>
      </c>
      <c r="B904" s="1124"/>
      <c r="C904" s="1124"/>
      <c r="D904" s="1500"/>
      <c r="E904" s="1500"/>
      <c r="F904" s="1500"/>
      <c r="G904" s="1500"/>
      <c r="H904" s="1500"/>
      <c r="I904" s="1500"/>
      <c r="J904" s="1500"/>
      <c r="K904" s="1500"/>
    </row>
    <row r="905" spans="1:11" s="3" customFormat="1" ht="28.5" customHeight="1" x14ac:dyDescent="0.3">
      <c r="A905" s="3" t="str">
        <f>IF('Non TB - Note 12 to 24'!F163=1,"Print","Do Not Print")</f>
        <v>Print</v>
      </c>
      <c r="B905" s="1124"/>
      <c r="C905" s="1124"/>
      <c r="D905" s="1543" t="str">
        <f>IF('Non TB - Note 12 to 24'!F163=1,'Non TB - Note 12 to 24'!D163,"")</f>
        <v>Reconciliation of Fair Value Measurements for Financial Assets carried at Fair Value categorised within Level 3 of the Fair Value Hierarchy for Financial Assets</v>
      </c>
      <c r="E905" s="1543"/>
      <c r="F905" s="1543"/>
      <c r="G905" s="1543"/>
      <c r="H905" s="1543"/>
      <c r="I905" s="1543"/>
      <c r="J905" s="1543"/>
      <c r="K905" s="1543"/>
    </row>
    <row r="906" spans="1:11" s="3" customFormat="1" ht="13.5" customHeight="1" x14ac:dyDescent="0.3">
      <c r="A906" s="3" t="str">
        <f>IF(A905="Print","Print", "Do Not Print")</f>
        <v>Print</v>
      </c>
      <c r="B906" s="1124"/>
      <c r="C906" s="1124"/>
      <c r="D906" s="1500"/>
      <c r="E906" s="1500"/>
      <c r="F906" s="1500"/>
      <c r="G906" s="1500"/>
      <c r="H906" s="1500"/>
      <c r="I906" s="1500"/>
      <c r="J906" s="1500"/>
      <c r="K906" s="1500"/>
    </row>
    <row r="907" spans="1:11" s="3" customFormat="1" ht="13.5" customHeight="1" x14ac:dyDescent="0.3">
      <c r="A907" s="3" t="str">
        <f>IF(A906="Print","Print", "Do Not Print")</f>
        <v>Print</v>
      </c>
      <c r="B907" s="1124"/>
      <c r="C907" s="1124"/>
      <c r="D907" s="1500"/>
      <c r="E907" s="1500"/>
      <c r="F907" s="1500"/>
      <c r="G907" s="1500"/>
      <c r="H907" s="1500"/>
      <c r="I907" s="1500"/>
      <c r="J907" s="1500"/>
      <c r="K907" s="1500"/>
    </row>
    <row r="908" spans="1:11" s="3" customFormat="1" ht="13.5" customHeight="1" x14ac:dyDescent="0.3">
      <c r="A908" s="3" t="str">
        <f>IF(A920="Print","Print","Do Not Print")</f>
        <v>Do Not Print</v>
      </c>
      <c r="B908" s="1124"/>
      <c r="C908" s="1124"/>
      <c r="D908" s="1888" t="str">
        <f>'Standing Data'!D40</f>
        <v>31st March 2026</v>
      </c>
      <c r="E908" s="1889"/>
      <c r="F908" s="1889"/>
      <c r="G908" s="1889"/>
      <c r="H908" s="1889"/>
      <c r="I908" s="1889"/>
      <c r="J908" s="1889"/>
      <c r="K908" s="1889"/>
    </row>
    <row r="909" spans="1:11" s="3" customFormat="1" ht="13.5" customHeight="1" x14ac:dyDescent="0.3">
      <c r="A909" s="3" t="str">
        <f>IF(A908="Print","Print","Do Not Print")</f>
        <v>Do Not Print</v>
      </c>
      <c r="B909" s="1124"/>
      <c r="C909" s="1124"/>
      <c r="D909" s="1890"/>
      <c r="E909" s="1890"/>
      <c r="F909" s="1892" t="s">
        <v>2559</v>
      </c>
      <c r="G909" s="1892"/>
      <c r="H909" s="1892" t="s">
        <v>2560</v>
      </c>
      <c r="I909" s="1892"/>
      <c r="J909" s="1894" t="s">
        <v>2561</v>
      </c>
      <c r="K909" s="1894"/>
    </row>
    <row r="910" spans="1:11" s="3" customFormat="1" ht="13.5" customHeight="1" x14ac:dyDescent="0.3">
      <c r="A910" s="3" t="str">
        <f>IF(A909="Print","Print","Do Not Print")</f>
        <v>Do Not Print</v>
      </c>
      <c r="B910" s="1124"/>
      <c r="C910" s="1124"/>
      <c r="D910" s="1891"/>
      <c r="E910" s="1891"/>
      <c r="F910" s="1893"/>
      <c r="G910" s="1893"/>
      <c r="H910" s="1893"/>
      <c r="I910" s="1893"/>
      <c r="J910" s="1895"/>
      <c r="K910" s="1895"/>
    </row>
    <row r="911" spans="1:11" s="3" customFormat="1" ht="13.5" customHeight="1" x14ac:dyDescent="0.3">
      <c r="A911" s="3" t="str">
        <f>IF(OR(F911&gt;0,H911&gt;0,J911&gt;0),"Print","Do Not Print")</f>
        <v>Do Not Print</v>
      </c>
      <c r="B911" s="1124"/>
      <c r="C911" s="1124"/>
      <c r="D911" s="1896" t="s">
        <v>402</v>
      </c>
      <c r="E911" s="1896"/>
      <c r="F911" s="1897">
        <f>'Non TB - Note 12 to 24'!H163</f>
        <v>0</v>
      </c>
      <c r="G911" s="1897"/>
      <c r="H911" s="1897">
        <f>'Non TB - Note 12 to 24'!H170</f>
        <v>0</v>
      </c>
      <c r="I911" s="1897"/>
      <c r="J911" s="1897">
        <f>F911+H911</f>
        <v>0</v>
      </c>
      <c r="K911" s="1897"/>
    </row>
    <row r="912" spans="1:11" s="3" customFormat="1" ht="13.5" customHeight="1" x14ac:dyDescent="0.3">
      <c r="A912" s="3" t="str">
        <f t="shared" ref="A912:A920" si="40">IF(OR(F912&gt;0,H912&gt;0,J912&gt;0),"Print","Do Not Print")</f>
        <v>Do Not Print</v>
      </c>
      <c r="B912" s="1124"/>
      <c r="C912" s="1124"/>
      <c r="D912" s="1869" t="s">
        <v>1365</v>
      </c>
      <c r="E912" s="1869"/>
      <c r="F912" s="1872">
        <f>'Non TB - Note 12 to 24'!H164</f>
        <v>0</v>
      </c>
      <c r="G912" s="1872"/>
      <c r="H912" s="1871">
        <f>'Non TB - Note 12 to 24'!H171</f>
        <v>0</v>
      </c>
      <c r="I912" s="1871"/>
      <c r="J912" s="1871">
        <f>F912+H912</f>
        <v>0</v>
      </c>
      <c r="K912" s="1871"/>
    </row>
    <row r="913" spans="1:11" s="3" customFormat="1" ht="13.5" customHeight="1" x14ac:dyDescent="0.3">
      <c r="A913" s="3" t="str">
        <f t="shared" si="40"/>
        <v>Do Not Print</v>
      </c>
      <c r="B913" s="1124"/>
      <c r="C913" s="1124"/>
      <c r="D913" s="1869" t="s">
        <v>1381</v>
      </c>
      <c r="E913" s="1869"/>
      <c r="F913" s="1872">
        <f>'Non TB - Note 12 to 24'!H165</f>
        <v>0</v>
      </c>
      <c r="G913" s="1872"/>
      <c r="H913" s="1871">
        <f>'Non TB - Note 12 to 24'!H172</f>
        <v>0</v>
      </c>
      <c r="I913" s="1871"/>
      <c r="J913" s="1871">
        <f t="shared" ref="J913:J916" si="41">F913+H913</f>
        <v>0</v>
      </c>
      <c r="K913" s="1871"/>
    </row>
    <row r="914" spans="1:11" s="3" customFormat="1" ht="14.55" customHeight="1" x14ac:dyDescent="0.3">
      <c r="A914" s="3" t="str">
        <f>IF(OR(A915="Print",A916="Print"),"Print","Do Not Print")</f>
        <v>Do Not Print</v>
      </c>
      <c r="B914" s="1124"/>
      <c r="C914" s="1124"/>
      <c r="D914" s="1869" t="s">
        <v>2562</v>
      </c>
      <c r="E914" s="1869"/>
      <c r="F914" s="1872"/>
      <c r="G914" s="1872"/>
      <c r="H914" s="1871"/>
      <c r="I914" s="1871"/>
      <c r="J914" s="1871"/>
      <c r="K914" s="1871"/>
    </row>
    <row r="915" spans="1:11" s="3" customFormat="1" ht="26.1" customHeight="1" x14ac:dyDescent="0.3">
      <c r="A915" s="3" t="str">
        <f t="shared" si="40"/>
        <v>Do Not Print</v>
      </c>
      <c r="B915" s="1124"/>
      <c r="C915" s="1124"/>
      <c r="D915" s="1883" t="s">
        <v>2563</v>
      </c>
      <c r="E915" s="1883"/>
      <c r="F915" s="1872">
        <f>'Non TB - Note 12 to 24'!H166</f>
        <v>0</v>
      </c>
      <c r="G915" s="1872"/>
      <c r="H915" s="1871">
        <f>'Non TB - Note 12 to 24'!H173</f>
        <v>0</v>
      </c>
      <c r="I915" s="1871"/>
      <c r="J915" s="1871">
        <f t="shared" si="41"/>
        <v>0</v>
      </c>
      <c r="K915" s="1871"/>
    </row>
    <row r="916" spans="1:11" s="3" customFormat="1" ht="26.55" customHeight="1" x14ac:dyDescent="0.3">
      <c r="A916" s="3" t="str">
        <f t="shared" si="40"/>
        <v>Do Not Print</v>
      </c>
      <c r="B916" s="1124"/>
      <c r="C916" s="1124"/>
      <c r="D916" s="1883" t="s">
        <v>2564</v>
      </c>
      <c r="E916" s="1883"/>
      <c r="F916" s="1872">
        <f>'Non TB - Note 12 to 24'!H167</f>
        <v>0</v>
      </c>
      <c r="G916" s="1872"/>
      <c r="H916" s="1871">
        <f>'Non TB - Note 12 to 24'!H174</f>
        <v>0</v>
      </c>
      <c r="I916" s="1871"/>
      <c r="J916" s="1871">
        <f t="shared" si="41"/>
        <v>0</v>
      </c>
      <c r="K916" s="1871"/>
    </row>
    <row r="917" spans="1:11" s="3" customFormat="1" ht="13.5" customHeight="1" x14ac:dyDescent="0.3">
      <c r="A917" s="3" t="str">
        <f>IF(A920="Print","Print","Do Not Print")</f>
        <v>Do Not Print</v>
      </c>
      <c r="B917" s="1124"/>
      <c r="C917" s="1124"/>
      <c r="D917" s="1886"/>
      <c r="E917" s="1501"/>
      <c r="F917" s="1501"/>
      <c r="G917" s="1501"/>
      <c r="H917" s="1501"/>
      <c r="I917" s="1501"/>
      <c r="J917" s="1501"/>
      <c r="K917" s="1887"/>
    </row>
    <row r="918" spans="1:11" s="3" customFormat="1" ht="13.5" customHeight="1" x14ac:dyDescent="0.3">
      <c r="A918" s="3" t="str">
        <f t="shared" si="40"/>
        <v>Do Not Print</v>
      </c>
      <c r="B918" s="1124"/>
      <c r="C918" s="1124"/>
      <c r="D918" s="1883" t="s">
        <v>973</v>
      </c>
      <c r="E918" s="1883"/>
      <c r="F918" s="1871">
        <f>'Non TB - Note 12 to 24'!H168</f>
        <v>0</v>
      </c>
      <c r="G918" s="1871"/>
      <c r="H918" s="1871">
        <f>'Non TB - Note 12 to 24'!H175</f>
        <v>0</v>
      </c>
      <c r="I918" s="1871"/>
      <c r="J918" s="1871">
        <f>F918+H918</f>
        <v>0</v>
      </c>
      <c r="K918" s="1871"/>
    </row>
    <row r="919" spans="1:11" s="3" customFormat="1" ht="13.5" customHeight="1" x14ac:dyDescent="0.3">
      <c r="A919" s="3" t="str">
        <f t="shared" si="40"/>
        <v>Do Not Print</v>
      </c>
      <c r="B919" s="1124"/>
      <c r="C919" s="1124"/>
      <c r="D919" s="1883" t="s">
        <v>977</v>
      </c>
      <c r="E919" s="1883"/>
      <c r="F919" s="1871">
        <f>'Non TB - Note 12 to 24'!H169</f>
        <v>0</v>
      </c>
      <c r="G919" s="1871"/>
      <c r="H919" s="1871">
        <f>'Non TB - Note 12 to 24'!H176</f>
        <v>0</v>
      </c>
      <c r="I919" s="1871"/>
      <c r="J919" s="1871">
        <f>F919+H919</f>
        <v>0</v>
      </c>
      <c r="K919" s="1871"/>
    </row>
    <row r="920" spans="1:11" s="3" customFormat="1" ht="13.5" customHeight="1" x14ac:dyDescent="0.3">
      <c r="A920" s="3" t="str">
        <f t="shared" si="40"/>
        <v>Do Not Print</v>
      </c>
      <c r="B920" s="1124"/>
      <c r="C920" s="1124"/>
      <c r="D920" s="1884" t="s">
        <v>206</v>
      </c>
      <c r="E920" s="1884"/>
      <c r="F920" s="1885">
        <f>F911+F912+F913+F914+F915+F916+F918+F919</f>
        <v>0</v>
      </c>
      <c r="G920" s="1885"/>
      <c r="H920" s="1885">
        <f t="shared" ref="H920" si="42">H911+H912+H913+H914+H915+H916+H918+H919</f>
        <v>0</v>
      </c>
      <c r="I920" s="1885"/>
      <c r="J920" s="1885">
        <f t="shared" ref="J920" si="43">J911+J912+J913+J914+J915+J916+J918+J919</f>
        <v>0</v>
      </c>
      <c r="K920" s="1885"/>
    </row>
    <row r="921" spans="1:11" s="3" customFormat="1" ht="13.5" customHeight="1" x14ac:dyDescent="0.3">
      <c r="A921" s="3" t="str">
        <f>IF(A920="Print","Print", "Do Not Print")</f>
        <v>Do Not Print</v>
      </c>
      <c r="B921" s="1124"/>
      <c r="C921" s="1124"/>
      <c r="D921" s="401"/>
      <c r="E921" s="401"/>
      <c r="F921" s="401"/>
      <c r="G921" s="401"/>
      <c r="H921" s="401"/>
      <c r="I921" s="401"/>
      <c r="J921" s="401"/>
      <c r="K921" s="401"/>
    </row>
    <row r="922" spans="1:11" s="3" customFormat="1" ht="13.5" customHeight="1" x14ac:dyDescent="0.3">
      <c r="A922" s="3" t="str">
        <f>IF(A921="Print","Print", "Do Not Print")</f>
        <v>Do Not Print</v>
      </c>
      <c r="B922" s="1124"/>
      <c r="C922" s="1124"/>
      <c r="D922" s="401"/>
      <c r="E922" s="401"/>
      <c r="F922" s="401"/>
      <c r="G922" s="401"/>
      <c r="H922" s="401"/>
      <c r="I922" s="401"/>
      <c r="J922" s="401"/>
      <c r="K922" s="401"/>
    </row>
    <row r="923" spans="1:11" s="3" customFormat="1" ht="13.5" customHeight="1" x14ac:dyDescent="0.3">
      <c r="A923" s="3" t="str">
        <f>IF(A908="Print","Print","Do Not Print")</f>
        <v>Do Not Print</v>
      </c>
      <c r="B923" s="1124"/>
      <c r="C923" s="1124"/>
      <c r="D923" s="1888" t="str">
        <f>'Standing Data'!D66</f>
        <v>31st March 2025</v>
      </c>
      <c r="E923" s="1889"/>
      <c r="F923" s="1889"/>
      <c r="G923" s="1889"/>
      <c r="H923" s="1889"/>
      <c r="I923" s="1889"/>
      <c r="J923" s="1889"/>
      <c r="K923" s="1889"/>
    </row>
    <row r="924" spans="1:11" s="3" customFormat="1" ht="13.5" customHeight="1" x14ac:dyDescent="0.3">
      <c r="A924" s="3" t="str">
        <f>IF(A908="Print","Print","Do Not Print")</f>
        <v>Do Not Print</v>
      </c>
      <c r="B924" s="1124"/>
      <c r="C924" s="1124"/>
      <c r="D924" s="1890"/>
      <c r="E924" s="1890"/>
      <c r="F924" s="1892" t="s">
        <v>2559</v>
      </c>
      <c r="G924" s="1892"/>
      <c r="H924" s="1892" t="s">
        <v>2560</v>
      </c>
      <c r="I924" s="1892"/>
      <c r="J924" s="1894" t="s">
        <v>2561</v>
      </c>
      <c r="K924" s="1894"/>
    </row>
    <row r="925" spans="1:11" s="3" customFormat="1" ht="13.5" customHeight="1" x14ac:dyDescent="0.3">
      <c r="A925" s="3" t="str">
        <f>IF(A908="Print","Print","Do Not Print")</f>
        <v>Do Not Print</v>
      </c>
      <c r="B925" s="1124"/>
      <c r="C925" s="1124"/>
      <c r="D925" s="1891"/>
      <c r="E925" s="1891"/>
      <c r="F925" s="1893"/>
      <c r="G925" s="1893"/>
      <c r="H925" s="1893"/>
      <c r="I925" s="1893"/>
      <c r="J925" s="1895"/>
      <c r="K925" s="1895"/>
    </row>
    <row r="926" spans="1:11" s="3" customFormat="1" ht="13.5" customHeight="1" x14ac:dyDescent="0.3">
      <c r="A926" s="3" t="str">
        <f>IF(A908="Print","Print","Do Not Print")</f>
        <v>Do Not Print</v>
      </c>
      <c r="B926" s="1124"/>
      <c r="C926" s="1124"/>
      <c r="D926" s="1896" t="s">
        <v>402</v>
      </c>
      <c r="E926" s="1896"/>
      <c r="F926" s="1897">
        <f>'Non TB - Note 12 to 24'!I163</f>
        <v>0</v>
      </c>
      <c r="G926" s="1897"/>
      <c r="H926" s="1897">
        <f>'Non TB - Note 12 to 24'!I170</f>
        <v>0</v>
      </c>
      <c r="I926" s="1897"/>
      <c r="J926" s="1897">
        <f>F926+H926</f>
        <v>0</v>
      </c>
      <c r="K926" s="1897"/>
    </row>
    <row r="927" spans="1:11" s="3" customFormat="1" ht="13.5" customHeight="1" x14ac:dyDescent="0.3">
      <c r="A927" s="3" t="str">
        <f>IF(A908="Print","Print","Do Not Print")</f>
        <v>Do Not Print</v>
      </c>
      <c r="B927" s="1124"/>
      <c r="C927" s="1124"/>
      <c r="D927" s="1869" t="s">
        <v>1365</v>
      </c>
      <c r="E927" s="1869"/>
      <c r="F927" s="1872">
        <f>'Non TB - Note 12 to 24'!I164</f>
        <v>0</v>
      </c>
      <c r="G927" s="1872"/>
      <c r="H927" s="1871">
        <f>'Non TB - Note 12 to 24'!I171</f>
        <v>0</v>
      </c>
      <c r="I927" s="1871"/>
      <c r="J927" s="1871">
        <f>F927+H927</f>
        <v>0</v>
      </c>
      <c r="K927" s="1871"/>
    </row>
    <row r="928" spans="1:11" s="3" customFormat="1" ht="13.5" customHeight="1" x14ac:dyDescent="0.3">
      <c r="A928" s="3" t="str">
        <f>IF(A908="Print","Print","Do Not Print")</f>
        <v>Do Not Print</v>
      </c>
      <c r="B928" s="1124"/>
      <c r="C928" s="1124"/>
      <c r="D928" s="1869" t="s">
        <v>1381</v>
      </c>
      <c r="E928" s="1869"/>
      <c r="F928" s="1872">
        <f>'Non TB - Note 12 to 24'!I165</f>
        <v>0</v>
      </c>
      <c r="G928" s="1872"/>
      <c r="H928" s="1871">
        <f>'Non TB - Note 12 to 24'!I172</f>
        <v>0</v>
      </c>
      <c r="I928" s="1871"/>
      <c r="J928" s="1871">
        <f t="shared" ref="J928:J931" si="44">F928+H928</f>
        <v>0</v>
      </c>
      <c r="K928" s="1871"/>
    </row>
    <row r="929" spans="1:11" s="3" customFormat="1" ht="17.100000000000001" customHeight="1" x14ac:dyDescent="0.3">
      <c r="A929" s="3" t="str">
        <f>IF(A908="Print","Print","Do Not Print")</f>
        <v>Do Not Print</v>
      </c>
      <c r="B929" s="1124"/>
      <c r="C929" s="1124"/>
      <c r="D929" s="1869" t="s">
        <v>2562</v>
      </c>
      <c r="E929" s="1869"/>
      <c r="F929" s="1872"/>
      <c r="G929" s="1872"/>
      <c r="H929" s="1871"/>
      <c r="I929" s="1871"/>
      <c r="J929" s="1871">
        <f t="shared" si="44"/>
        <v>0</v>
      </c>
      <c r="K929" s="1871"/>
    </row>
    <row r="930" spans="1:11" s="3" customFormat="1" ht="29.1" customHeight="1" x14ac:dyDescent="0.3">
      <c r="A930" s="3" t="str">
        <f>IF(A908="Print","Print","Do Not Print")</f>
        <v>Do Not Print</v>
      </c>
      <c r="B930" s="1124"/>
      <c r="C930" s="1124"/>
      <c r="D930" s="1869" t="s">
        <v>2563</v>
      </c>
      <c r="E930" s="1869"/>
      <c r="F930" s="1872">
        <f>'Non TB - Note 12 to 24'!I166</f>
        <v>0</v>
      </c>
      <c r="G930" s="1872"/>
      <c r="H930" s="1871">
        <f>'Non TB - Note 12 to 24'!I173</f>
        <v>0</v>
      </c>
      <c r="I930" s="1871"/>
      <c r="J930" s="1871">
        <f t="shared" si="44"/>
        <v>0</v>
      </c>
      <c r="K930" s="1871"/>
    </row>
    <row r="931" spans="1:11" s="3" customFormat="1" ht="28.05" customHeight="1" x14ac:dyDescent="0.3">
      <c r="A931" s="3" t="str">
        <f>IF(A908="Print","Print","Do Not Print")</f>
        <v>Do Not Print</v>
      </c>
      <c r="B931" s="1124"/>
      <c r="C931" s="1124"/>
      <c r="D931" s="1869" t="s">
        <v>2564</v>
      </c>
      <c r="E931" s="1869"/>
      <c r="F931" s="1872">
        <f>'Non TB - Note 12 to 24'!I167</f>
        <v>0</v>
      </c>
      <c r="G931" s="1872"/>
      <c r="H931" s="1871">
        <f>'Non TB - Note 12 to 24'!I174</f>
        <v>0</v>
      </c>
      <c r="I931" s="1871"/>
      <c r="J931" s="1871">
        <f t="shared" si="44"/>
        <v>0</v>
      </c>
      <c r="K931" s="1871"/>
    </row>
    <row r="932" spans="1:11" s="3" customFormat="1" ht="13.5" customHeight="1" x14ac:dyDescent="0.3">
      <c r="A932" s="3" t="str">
        <f>IF(A908="Print","Print","Do Not Print")</f>
        <v>Do Not Print</v>
      </c>
      <c r="B932" s="1124"/>
      <c r="C932" s="1124"/>
      <c r="D932" s="1886"/>
      <c r="E932" s="1501"/>
      <c r="F932" s="1501"/>
      <c r="G932" s="1501"/>
      <c r="H932" s="1501"/>
      <c r="I932" s="1501"/>
      <c r="J932" s="1501"/>
      <c r="K932" s="1887"/>
    </row>
    <row r="933" spans="1:11" s="3" customFormat="1" ht="13.5" customHeight="1" x14ac:dyDescent="0.3">
      <c r="A933" s="3" t="str">
        <f>IF(A908="Print","Print","Do Not Print")</f>
        <v>Do Not Print</v>
      </c>
      <c r="B933" s="1124"/>
      <c r="C933" s="1124"/>
      <c r="D933" s="1883" t="s">
        <v>973</v>
      </c>
      <c r="E933" s="1883"/>
      <c r="F933" s="1871">
        <f>'Non TB - Note 12 to 24'!I168</f>
        <v>0</v>
      </c>
      <c r="G933" s="1871"/>
      <c r="H933" s="1871">
        <f>'Non TB - Note 12 to 24'!I175</f>
        <v>0</v>
      </c>
      <c r="I933" s="1871"/>
      <c r="J933" s="1871">
        <f>F933+H933</f>
        <v>0</v>
      </c>
      <c r="K933" s="1871"/>
    </row>
    <row r="934" spans="1:11" s="3" customFormat="1" ht="13.5" customHeight="1" x14ac:dyDescent="0.3">
      <c r="A934" s="3" t="str">
        <f>IF(A908="Print","Print","Do Not Print")</f>
        <v>Do Not Print</v>
      </c>
      <c r="B934" s="1124"/>
      <c r="C934" s="1124"/>
      <c r="D934" s="1883" t="s">
        <v>977</v>
      </c>
      <c r="E934" s="1883"/>
      <c r="F934" s="1871">
        <f>'Non TB - Note 12 to 24'!I169</f>
        <v>0</v>
      </c>
      <c r="G934" s="1871"/>
      <c r="H934" s="1871">
        <f>'Non TB - Note 12 to 24'!I176</f>
        <v>0</v>
      </c>
      <c r="I934" s="1871"/>
      <c r="J934" s="1871">
        <f>F934+H934</f>
        <v>0</v>
      </c>
      <c r="K934" s="1871"/>
    </row>
    <row r="935" spans="1:11" s="3" customFormat="1" ht="13.5" customHeight="1" x14ac:dyDescent="0.3">
      <c r="A935" s="3" t="str">
        <f>IF(A908="Print","Print","Do Not Print")</f>
        <v>Do Not Print</v>
      </c>
      <c r="B935" s="1124"/>
      <c r="C935" s="1124"/>
      <c r="D935" s="1884" t="s">
        <v>206</v>
      </c>
      <c r="E935" s="1884"/>
      <c r="F935" s="1885">
        <f>F926+F927+F928+F929+F930+F931+F933+F934</f>
        <v>0</v>
      </c>
      <c r="G935" s="1885"/>
      <c r="H935" s="1885">
        <f t="shared" ref="H935" si="45">H926+H927+H928+H929+H930+H931+H933+H934</f>
        <v>0</v>
      </c>
      <c r="I935" s="1885"/>
      <c r="J935" s="1885">
        <f t="shared" ref="J935" si="46">J926+J927+J928+J929+J930+J931+J933+J934</f>
        <v>0</v>
      </c>
      <c r="K935" s="1885"/>
    </row>
    <row r="936" spans="1:11" s="3" customFormat="1" ht="13.5" customHeight="1" x14ac:dyDescent="0.3">
      <c r="A936" s="3" t="str">
        <f>IF(A935="Print","Print", "Do Not Print")</f>
        <v>Do Not Print</v>
      </c>
      <c r="B936" s="1124"/>
      <c r="C936" s="1124"/>
      <c r="D936" s="1882"/>
      <c r="E936" s="1882"/>
      <c r="F936" s="1882"/>
      <c r="G936" s="1882"/>
      <c r="H936" s="1882"/>
      <c r="I936" s="1882"/>
      <c r="J936" s="1882"/>
      <c r="K936" s="1882"/>
    </row>
    <row r="937" spans="1:11" s="3" customFormat="1" ht="29.1" customHeight="1" x14ac:dyDescent="0.3">
      <c r="A937" s="3" t="str">
        <f>IF('Non TB - Note 12 to 24'!F177=1,"Print","Do Not Print")</f>
        <v>Print</v>
      </c>
      <c r="B937" s="1124"/>
      <c r="C937" s="1124"/>
      <c r="D937" s="1504" t="str">
        <f>IF('Non TB - Note 12 to 24'!F177=1,'Non TB - Note 12 to 24'!H177,"")</f>
        <v>Gain and losses included in the Surplus or Deficit on the Provision of Services for the current and the previous year relate to the unquoted shares in Best of Both Worlds Ltd.</v>
      </c>
      <c r="E937" s="1504"/>
      <c r="F937" s="1504"/>
      <c r="G937" s="1504"/>
      <c r="H937" s="1504"/>
      <c r="I937" s="1504"/>
      <c r="J937" s="1504"/>
      <c r="K937" s="1504"/>
    </row>
    <row r="938" spans="1:11" s="3" customFormat="1" ht="13.5" customHeight="1" x14ac:dyDescent="0.3">
      <c r="A938" s="3" t="str">
        <f>IF(A937="Print","Print", "Do Not Print")</f>
        <v>Print</v>
      </c>
      <c r="B938" s="1124"/>
      <c r="C938" s="1124"/>
      <c r="D938" s="1500"/>
      <c r="E938" s="1500"/>
      <c r="F938" s="1500"/>
      <c r="G938" s="1500"/>
      <c r="H938" s="1500"/>
      <c r="I938" s="1500"/>
      <c r="J938" s="1500"/>
      <c r="K938" s="1500"/>
    </row>
    <row r="939" spans="1:11" s="3" customFormat="1" ht="53.55" customHeight="1" x14ac:dyDescent="0.3">
      <c r="A939" s="3" t="str">
        <f>IF('Non TB - Note 12 to 24'!F178=1,"Print","Do Not Print")</f>
        <v>Print</v>
      </c>
      <c r="B939" s="1124"/>
      <c r="C939" s="1124"/>
      <c r="D939" s="1504" t="str">
        <f>IF('Non TB - Note 12 to 24'!F178=1,'Non TB - Note 12 to 24'!H178,"")</f>
        <v>[Where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v>
      </c>
      <c r="E939" s="1504"/>
      <c r="F939" s="1504"/>
      <c r="G939" s="1504"/>
      <c r="H939" s="1504"/>
      <c r="I939" s="1504"/>
      <c r="J939" s="1504"/>
      <c r="K939" s="1504"/>
    </row>
    <row r="940" spans="1:11" s="3" customFormat="1" ht="13.5" customHeight="1" x14ac:dyDescent="0.3">
      <c r="A940" s="3" t="str">
        <f>IF('Non TB - Note 12 to 24'!F179=1,"Print","Do Not Print")</f>
        <v>Print</v>
      </c>
      <c r="B940" s="1124"/>
      <c r="C940" s="1124"/>
      <c r="D940" s="1500"/>
      <c r="E940" s="1500"/>
      <c r="F940" s="1500"/>
      <c r="G940" s="1500"/>
      <c r="H940" s="1500"/>
      <c r="I940" s="1500"/>
      <c r="J940" s="1500"/>
      <c r="K940" s="1500"/>
    </row>
    <row r="941" spans="1:11" s="3" customFormat="1" ht="26.25" customHeight="1" x14ac:dyDescent="0.3">
      <c r="A941" s="3" t="str">
        <f>IF('Non TB - Note 12 to 24'!F179=1,"Print","Do Not Print")</f>
        <v>Print</v>
      </c>
      <c r="B941" s="1124"/>
      <c r="C941" s="1124"/>
      <c r="D941" s="1543" t="str">
        <f>IF('Non TB - Note 12 to 24'!F163=1,'Non TB - Note 12 to 24'!D179,"")</f>
        <v>Fair Values of Financial Assets and Financial Liabilities that are not Measured at Fair Value (but for which Fair Value Disclosures are Required).</v>
      </c>
      <c r="E941" s="1543"/>
      <c r="F941" s="1543"/>
      <c r="G941" s="1543"/>
      <c r="H941" s="1543"/>
      <c r="I941" s="1543"/>
      <c r="J941" s="1543"/>
      <c r="K941" s="1543"/>
    </row>
    <row r="942" spans="1:11" s="3" customFormat="1" ht="13.5" customHeight="1" x14ac:dyDescent="0.3">
      <c r="A942" s="3" t="str">
        <f>IF(A941="Print","Print", "Do Not Print")</f>
        <v>Print</v>
      </c>
      <c r="B942" s="1124"/>
      <c r="C942" s="1124"/>
      <c r="D942" s="1500"/>
      <c r="E942" s="1500"/>
      <c r="F942" s="1500"/>
      <c r="G942" s="1500"/>
      <c r="H942" s="1500"/>
      <c r="I942" s="1500"/>
      <c r="J942" s="1500"/>
      <c r="K942" s="1500"/>
    </row>
    <row r="943" spans="1:11" s="3" customFormat="1" ht="40.049999999999997" customHeight="1" x14ac:dyDescent="0.3">
      <c r="A943" s="3" t="str">
        <f>IF('Non TB - Note 12 to 24'!F179=1,"Print","Do Not Print")</f>
        <v>Print</v>
      </c>
      <c r="B943" s="1124"/>
      <c r="C943" s="1124"/>
      <c r="D943" s="1504" t="str">
        <f>IF('Non TB - Note 12 to 24'!F179=1,'Non TB - Note 12 to 24'!H179,"")</f>
        <v>Except for the financial assets carried at fair value (described in the table above) all other financial liabilities and financial assets held by the authority are classified as loans and receivables and long-term debtors and creditors and are carried in the Balance Sheet at amortised cost.  The fair values calculated are as follows.</v>
      </c>
      <c r="E943" s="1504"/>
      <c r="F943" s="1504"/>
      <c r="G943" s="1504"/>
      <c r="H943" s="1504"/>
      <c r="I943" s="1504"/>
      <c r="J943" s="1504"/>
      <c r="K943" s="1504"/>
    </row>
    <row r="944" spans="1:11" s="3" customFormat="1" ht="13.5" customHeight="1" x14ac:dyDescent="0.3">
      <c r="A944" s="3" t="str">
        <f>IF(A943="Print","Print", "Do Not Print")</f>
        <v>Print</v>
      </c>
      <c r="B944" s="1124"/>
      <c r="C944" s="1124"/>
      <c r="D944" s="1500"/>
      <c r="E944" s="1500"/>
      <c r="F944" s="1500"/>
      <c r="G944" s="1500"/>
      <c r="H944" s="1500"/>
      <c r="I944" s="1500"/>
      <c r="J944" s="1500"/>
      <c r="K944" s="1500"/>
    </row>
    <row r="945" spans="1:11" s="3" customFormat="1" ht="13.5" customHeight="1" x14ac:dyDescent="0.3">
      <c r="A945" s="3" t="str">
        <f>IF(OR(F951&gt;0,G951&gt;0,H951&gt;0,I951&gt;0),"Print","Do Not Print")</f>
        <v>Do Not Print</v>
      </c>
      <c r="B945" s="1124"/>
      <c r="C945" s="1124"/>
      <c r="D945" s="1880" t="s">
        <v>829</v>
      </c>
      <c r="E945" s="1881"/>
      <c r="F945" s="1863" t="str">
        <f>'Standing Data'!D40</f>
        <v>31st March 2026</v>
      </c>
      <c r="G945" s="1865"/>
      <c r="H945" s="1863" t="str">
        <f>'Standing Data'!D66</f>
        <v>31st March 2025</v>
      </c>
      <c r="I945" s="1865"/>
      <c r="J945" s="401"/>
      <c r="K945" s="401"/>
    </row>
    <row r="946" spans="1:11" s="75" customFormat="1" ht="34.5" customHeight="1" x14ac:dyDescent="0.3">
      <c r="A946" s="75" t="str">
        <f>IF(A945="Print","Print","Do Not Print")</f>
        <v>Do Not Print</v>
      </c>
      <c r="B946" s="1124"/>
      <c r="C946" s="1124"/>
      <c r="D946" s="1880"/>
      <c r="E946" s="1881"/>
      <c r="F946" s="1135" t="s">
        <v>1415</v>
      </c>
      <c r="G946" s="1132" t="s">
        <v>2565</v>
      </c>
      <c r="H946" s="1135" t="s">
        <v>1415</v>
      </c>
      <c r="I946" s="1132" t="s">
        <v>2565</v>
      </c>
      <c r="J946" s="402"/>
      <c r="K946" s="402"/>
    </row>
    <row r="947" spans="1:11" s="3" customFormat="1" ht="13.5" customHeight="1" x14ac:dyDescent="0.3">
      <c r="A947" s="3" t="str">
        <f>IF(A945="Print","Print","Do Not Print")</f>
        <v>Do Not Print</v>
      </c>
      <c r="B947" s="1124"/>
      <c r="C947" s="1124"/>
      <c r="D947" s="1880"/>
      <c r="E947" s="1881"/>
      <c r="F947" s="1109" t="s">
        <v>450</v>
      </c>
      <c r="G947" s="1110" t="s">
        <v>450</v>
      </c>
      <c r="H947" s="1109" t="s">
        <v>450</v>
      </c>
      <c r="I947" s="1110" t="s">
        <v>450</v>
      </c>
      <c r="J947" s="401"/>
      <c r="K947" s="401"/>
    </row>
    <row r="948" spans="1:11" s="3" customFormat="1" ht="29.55" customHeight="1" x14ac:dyDescent="0.3">
      <c r="A948" s="3" t="str">
        <f>IF(OR(F948&gt;0,G948&gt;0,H948&gt;0,I948&gt;0),"Print","Do Not Print")</f>
        <v>Do Not Print</v>
      </c>
      <c r="B948" s="1124"/>
      <c r="C948" s="1124"/>
      <c r="D948" s="1504" t="s">
        <v>2566</v>
      </c>
      <c r="E948" s="1504"/>
      <c r="F948" s="895">
        <f>'Non TB - Note 12 to 24'!H180</f>
        <v>0</v>
      </c>
      <c r="G948" s="1111">
        <f>'Non TB - Note 12 to 24'!H183</f>
        <v>0</v>
      </c>
      <c r="H948" s="895">
        <f>'Non TB - Note 12 to 24'!I180</f>
        <v>0</v>
      </c>
      <c r="I948" s="1111">
        <f>'Non TB - Note 12 to 24'!I183</f>
        <v>0</v>
      </c>
      <c r="J948" s="401"/>
      <c r="K948" s="401"/>
    </row>
    <row r="949" spans="1:11" s="3" customFormat="1" ht="13.5" customHeight="1" x14ac:dyDescent="0.3">
      <c r="A949" s="3" t="str">
        <f t="shared" ref="A949:A951" si="47">IF(OR(F949&gt;0,G949&gt;0,H949&gt;0,I949&gt;0),"Print","Do Not Print")</f>
        <v>Do Not Print</v>
      </c>
      <c r="B949" s="1124"/>
      <c r="C949" s="1124"/>
      <c r="D949" s="1500" t="s">
        <v>2567</v>
      </c>
      <c r="E949" s="1500"/>
      <c r="F949" s="895">
        <f>'Non TB - Note 12 to 24'!H181</f>
        <v>0</v>
      </c>
      <c r="G949" s="1111">
        <f>'Non TB - Note 12 to 24'!H184</f>
        <v>0</v>
      </c>
      <c r="H949" s="895">
        <f>'Non TB - Note 12 to 24'!I181</f>
        <v>0</v>
      </c>
      <c r="I949" s="1111">
        <f>'Non TB - Note 12 to 24'!I184</f>
        <v>0</v>
      </c>
      <c r="J949" s="401"/>
      <c r="K949" s="401"/>
    </row>
    <row r="950" spans="1:11" s="3" customFormat="1" ht="13.5" customHeight="1" x14ac:dyDescent="0.3">
      <c r="A950" s="3" t="str">
        <f t="shared" si="47"/>
        <v>Do Not Print</v>
      </c>
      <c r="B950" s="1124"/>
      <c r="C950" s="1124"/>
      <c r="D950" s="1857" t="s">
        <v>2835</v>
      </c>
      <c r="E950" s="1857"/>
      <c r="F950" s="1115">
        <f>'Non TB - Note 12 to 24'!H182</f>
        <v>0</v>
      </c>
      <c r="G950" s="1116">
        <f>'Non TB - Note 12 to 24'!H185</f>
        <v>0</v>
      </c>
      <c r="H950" s="1115">
        <f>'Non TB - Note 12 to 24'!I182</f>
        <v>0</v>
      </c>
      <c r="I950" s="1116">
        <f>'Non TB - Note 12 to 24'!I185</f>
        <v>0</v>
      </c>
      <c r="J950" s="401"/>
      <c r="K950" s="401"/>
    </row>
    <row r="951" spans="1:11" s="3" customFormat="1" ht="13.5" customHeight="1" x14ac:dyDescent="0.3">
      <c r="A951" s="3" t="str">
        <f t="shared" si="47"/>
        <v>Do Not Print</v>
      </c>
      <c r="B951" s="1124"/>
      <c r="C951" s="1124"/>
      <c r="D951" s="1879" t="s">
        <v>2513</v>
      </c>
      <c r="E951" s="1879"/>
      <c r="F951" s="1118">
        <f>SUM(F948:F950)</f>
        <v>0</v>
      </c>
      <c r="G951" s="1119">
        <f>SUM(G948:G950)</f>
        <v>0</v>
      </c>
      <c r="H951" s="1118">
        <f>SUM(H948:H950)</f>
        <v>0</v>
      </c>
      <c r="I951" s="1119">
        <f>SUM(I948:I950)</f>
        <v>0</v>
      </c>
      <c r="J951" s="401"/>
      <c r="K951" s="401"/>
    </row>
    <row r="952" spans="1:11" s="3" customFormat="1" ht="13.5" customHeight="1" x14ac:dyDescent="0.3">
      <c r="A952" s="3" t="str">
        <f>IF(A951="Print","Print", "Do Not Print")</f>
        <v>Do Not Print</v>
      </c>
      <c r="B952" s="1124"/>
      <c r="C952" s="1124"/>
      <c r="D952" s="1500"/>
      <c r="E952" s="1500"/>
      <c r="F952" s="1500"/>
      <c r="G952" s="1500"/>
      <c r="H952" s="1500"/>
      <c r="I952" s="1500"/>
      <c r="J952" s="1500"/>
      <c r="K952" s="1500"/>
    </row>
    <row r="953" spans="1:11" s="3" customFormat="1" ht="42" customHeight="1" x14ac:dyDescent="0.3">
      <c r="A953" s="3" t="str">
        <f>IF('Non TB - Note 12 to 24'!F186=1,"Print","Do Not Print")</f>
        <v>Print</v>
      </c>
      <c r="B953" s="1124"/>
      <c r="C953" s="1124"/>
      <c r="D953" s="1504" t="str">
        <f>IF('Non TB - Note 12 to 24'!F186=1,'Non TB - Note 12 to 24'!H186,"")</f>
        <v>The fair value of borrowings is lower than the carrying amount because the Council’s portfolio of loans includes a number of fixed rate loans where the interest rate payable is lower than the prevailing rates at the Balance Sheet date. This shows a notional future gain (based on economic conditions at 31 March 2025) arising from a commitment to pay interest to lenders below current market rates.</v>
      </c>
      <c r="E953" s="1504"/>
      <c r="F953" s="1504"/>
      <c r="G953" s="1504"/>
      <c r="H953" s="1504"/>
      <c r="I953" s="1504"/>
      <c r="J953" s="1504"/>
      <c r="K953" s="1504"/>
    </row>
    <row r="954" spans="1:11" s="3" customFormat="1" ht="13.5" customHeight="1" x14ac:dyDescent="0.3">
      <c r="A954" s="3" t="str">
        <f>IF(A953="Print","Print", "Do Not Print")</f>
        <v>Print</v>
      </c>
      <c r="B954" s="1124"/>
      <c r="C954" s="1124"/>
      <c r="D954" s="1500"/>
      <c r="E954" s="1500"/>
      <c r="F954" s="1500"/>
      <c r="G954" s="1500"/>
      <c r="H954" s="1500"/>
      <c r="I954" s="1500"/>
      <c r="J954" s="1500"/>
      <c r="K954" s="1500"/>
    </row>
    <row r="955" spans="1:11" s="3" customFormat="1" ht="13.5" customHeight="1" x14ac:dyDescent="0.3">
      <c r="A955" s="3" t="str">
        <f>IF(A960="Print","Print","Do Not Print")</f>
        <v>Do Not Print</v>
      </c>
      <c r="B955" s="1124"/>
      <c r="C955" s="1124"/>
      <c r="D955" s="1880" t="s">
        <v>830</v>
      </c>
      <c r="E955" s="1881"/>
      <c r="F955" s="1863" t="str">
        <f>'Standing Data'!D40</f>
        <v>31st March 2026</v>
      </c>
      <c r="G955" s="1865"/>
      <c r="H955" s="1863" t="str">
        <f>'Standing Data'!D66</f>
        <v>31st March 2025</v>
      </c>
      <c r="I955" s="1865"/>
      <c r="J955" s="401"/>
      <c r="K955" s="401"/>
    </row>
    <row r="956" spans="1:11" s="3" customFormat="1" ht="35.25" customHeight="1" x14ac:dyDescent="0.3">
      <c r="A956" s="3" t="str">
        <f>IF(A955="Print","Print","Do Not Print")</f>
        <v>Do Not Print</v>
      </c>
      <c r="B956" s="1124"/>
      <c r="C956" s="1124"/>
      <c r="D956" s="1880"/>
      <c r="E956" s="1881"/>
      <c r="F956" s="1135" t="s">
        <v>1415</v>
      </c>
      <c r="G956" s="1132" t="s">
        <v>2565</v>
      </c>
      <c r="H956" s="1135" t="s">
        <v>1415</v>
      </c>
      <c r="I956" s="1132" t="s">
        <v>2565</v>
      </c>
      <c r="J956" s="401"/>
      <c r="K956" s="401"/>
    </row>
    <row r="957" spans="1:11" s="3" customFormat="1" ht="13.5" customHeight="1" x14ac:dyDescent="0.3">
      <c r="A957" s="3" t="str">
        <f>IF(A955="Print","Print","Do Not Print")</f>
        <v>Do Not Print</v>
      </c>
      <c r="B957" s="1124"/>
      <c r="C957" s="1124"/>
      <c r="D957" s="1880"/>
      <c r="E957" s="1881"/>
      <c r="F957" s="1109" t="s">
        <v>450</v>
      </c>
      <c r="G957" s="1110" t="s">
        <v>450</v>
      </c>
      <c r="H957" s="1109" t="s">
        <v>450</v>
      </c>
      <c r="I957" s="1110" t="s">
        <v>450</v>
      </c>
      <c r="J957" s="401"/>
      <c r="K957" s="401"/>
    </row>
    <row r="958" spans="1:11" s="3" customFormat="1" ht="27" customHeight="1" x14ac:dyDescent="0.3">
      <c r="A958" s="3" t="str">
        <f>IF(OR(F958&gt;0,G958&gt;0,H958&gt;0,I958&gt;0),"Print","Do Not Print")</f>
        <v>Do Not Print</v>
      </c>
      <c r="B958" s="1124"/>
      <c r="C958" s="1124"/>
      <c r="D958" s="1504" t="s">
        <v>2568</v>
      </c>
      <c r="E958" s="1504"/>
      <c r="F958" s="895">
        <f>'Non TB - Note 12 to 24'!H187</f>
        <v>0</v>
      </c>
      <c r="G958" s="1111">
        <f>'Non TB - Note 12 to 24'!H189</f>
        <v>0</v>
      </c>
      <c r="H958" s="895">
        <f>'Non TB - Note 12 to 24'!I187</f>
        <v>0</v>
      </c>
      <c r="I958" s="1111">
        <f>'Non TB - Note 12 to 24'!I189</f>
        <v>0</v>
      </c>
      <c r="J958" s="401"/>
      <c r="K958" s="401"/>
    </row>
    <row r="959" spans="1:11" s="3" customFormat="1" ht="13.5" customHeight="1" x14ac:dyDescent="0.3">
      <c r="A959" s="3" t="str">
        <f t="shared" ref="A959:A960" si="48">IF(OR(F959&gt;0,G959&gt;0,H959&gt;0,I959&gt;0),"Print","Do Not Print")</f>
        <v>Do Not Print</v>
      </c>
      <c r="B959" s="1124"/>
      <c r="C959" s="1124"/>
      <c r="D959" s="1500" t="s">
        <v>2569</v>
      </c>
      <c r="E959" s="1500"/>
      <c r="F959" s="895">
        <f>'Non TB - Note 12 to 24'!H188</f>
        <v>0</v>
      </c>
      <c r="G959" s="1111">
        <f>'Non TB - Note 12 to 24'!H190</f>
        <v>0</v>
      </c>
      <c r="H959" s="895">
        <f>'Non TB - Note 12 to 24'!I188</f>
        <v>0</v>
      </c>
      <c r="I959" s="1111">
        <f>'Non TB - Note 12 to 24'!I190</f>
        <v>0</v>
      </c>
      <c r="J959" s="401"/>
      <c r="K959" s="401"/>
    </row>
    <row r="960" spans="1:11" s="3" customFormat="1" ht="13.5" customHeight="1" x14ac:dyDescent="0.3">
      <c r="A960" s="3" t="str">
        <f t="shared" si="48"/>
        <v>Do Not Print</v>
      </c>
      <c r="B960" s="1124"/>
      <c r="C960" s="1124"/>
      <c r="D960" s="1879" t="s">
        <v>2513</v>
      </c>
      <c r="E960" s="1879"/>
      <c r="F960" s="1118">
        <f>SUM(F958:F959)</f>
        <v>0</v>
      </c>
      <c r="G960" s="1119">
        <f>SUM(G958:G959)</f>
        <v>0</v>
      </c>
      <c r="H960" s="1118">
        <f>SUM(H958:H959)</f>
        <v>0</v>
      </c>
      <c r="I960" s="1119">
        <f>SUM(I958:I959)</f>
        <v>0</v>
      </c>
      <c r="J960" s="401"/>
      <c r="K960" s="401"/>
    </row>
    <row r="961" spans="1:11" s="3" customFormat="1" ht="13.5" customHeight="1" x14ac:dyDescent="0.3">
      <c r="A961" s="3" t="str">
        <f>IF(A960="Print","Print", "Do Not Print")</f>
        <v>Do Not Print</v>
      </c>
      <c r="B961" s="1124"/>
      <c r="C961" s="1124"/>
      <c r="D961" s="1500"/>
      <c r="E961" s="1500"/>
      <c r="F961" s="1500"/>
      <c r="G961" s="1500"/>
      <c r="H961" s="1500"/>
      <c r="I961" s="1500"/>
      <c r="J961" s="1500"/>
      <c r="K961" s="1500"/>
    </row>
    <row r="962" spans="1:11" s="3" customFormat="1" ht="81" customHeight="1" x14ac:dyDescent="0.3">
      <c r="A962" s="3" t="str">
        <f>IF('Non TB - Note 12 to 24'!F191=1,"Print","Do Not Print")</f>
        <v>Print</v>
      </c>
      <c r="B962" s="1124"/>
      <c r="C962" s="1124"/>
      <c r="D962" s="1504" t="str">
        <f>IF('Non TB - Note 12 to 24'!F191=1,'Non TB - Note 12 to 24'!H191,"")</f>
        <v>The fair value of the financial assets is lower than the carrying amount because the Council’s portfolio of investments includes a number of fixed rate loans where the interest rate receivable is lower than the rates available for similar loans at the Balance Sheet date. This shows a notional future loss (based on economic conditions at 31 March 2026) attributable to the commitment to receive interest below current market rates. 
Short-term debtors and creditors are carried at cost as this is a fair approximation of their value.</v>
      </c>
      <c r="E962" s="1504"/>
      <c r="F962" s="1504"/>
      <c r="G962" s="1504"/>
      <c r="H962" s="1504"/>
      <c r="I962" s="1504"/>
      <c r="J962" s="1504"/>
      <c r="K962" s="1504"/>
    </row>
    <row r="963" spans="1:11" s="3" customFormat="1" ht="13.5" customHeight="1" x14ac:dyDescent="0.3">
      <c r="A963" s="3" t="str">
        <f>IF(A962="Print","Print", "Do Not Print")</f>
        <v>Print</v>
      </c>
      <c r="B963" s="1124"/>
      <c r="C963" s="1124"/>
      <c r="D963" s="1500"/>
      <c r="E963" s="1500"/>
      <c r="F963" s="1500"/>
      <c r="G963" s="1500"/>
      <c r="H963" s="1500"/>
      <c r="I963" s="1500"/>
      <c r="J963" s="1500"/>
      <c r="K963" s="1500"/>
    </row>
    <row r="964" spans="1:11" s="3" customFormat="1" ht="13.5" customHeight="1" x14ac:dyDescent="0.3">
      <c r="A964" s="3" t="str">
        <f>IF('Non TB - Note 12 to 24'!F193=1,"Print","Do Not Print")</f>
        <v>Print</v>
      </c>
      <c r="B964" s="1124"/>
      <c r="C964" s="1124"/>
      <c r="D964" s="1538" t="str">
        <f>IF('Non TB - Note 12 to 24'!F193=1,'Non TB - Note 12 to 24'!C193,"")</f>
        <v xml:space="preserve">Fair Values of Financial Assets and Financial Liabilities that are not Measured at Fair Value </v>
      </c>
      <c r="E964" s="1538"/>
      <c r="F964" s="1538"/>
      <c r="G964" s="1538"/>
      <c r="H964" s="1538"/>
      <c r="I964" s="1538"/>
      <c r="J964" s="1538"/>
      <c r="K964" s="1538"/>
    </row>
    <row r="965" spans="1:11" s="3" customFormat="1" ht="13.5" customHeight="1" x14ac:dyDescent="0.3">
      <c r="A965" s="3" t="str">
        <f>IF(A964="Print","Print", "Do Not Print")</f>
        <v>Print</v>
      </c>
      <c r="B965" s="1124"/>
      <c r="C965" s="1124"/>
      <c r="D965" s="1500"/>
      <c r="E965" s="1500"/>
      <c r="F965" s="1500"/>
      <c r="G965" s="1500"/>
      <c r="H965" s="1500"/>
      <c r="I965" s="1500"/>
      <c r="J965" s="1500"/>
      <c r="K965" s="1500"/>
    </row>
    <row r="966" spans="1:11" s="3" customFormat="1" ht="13.5" customHeight="1" x14ac:dyDescent="0.3">
      <c r="A966" s="3" t="str">
        <f>IF(OR(A974="Print",A980="Print"),"Print","Do Not Print")</f>
        <v>Do Not Print</v>
      </c>
      <c r="B966" s="1124"/>
      <c r="C966" s="1124"/>
      <c r="D966" s="1861" t="s">
        <v>2572</v>
      </c>
      <c r="E966" s="1862"/>
      <c r="F966" s="1863" t="str">
        <f>'Standing Data'!D40</f>
        <v>31st March 2026</v>
      </c>
      <c r="G966" s="1864"/>
      <c r="H966" s="1864"/>
      <c r="I966" s="1865"/>
      <c r="J966" s="401"/>
      <c r="K966" s="401"/>
    </row>
    <row r="967" spans="1:11" s="3" customFormat="1" ht="92.25" customHeight="1" x14ac:dyDescent="0.3">
      <c r="A967" s="3" t="str">
        <f>IF(A966="Print","Print","Do Not Print")</f>
        <v>Do Not Print</v>
      </c>
      <c r="B967" s="1124"/>
      <c r="C967" s="1124"/>
      <c r="D967" s="1861"/>
      <c r="E967" s="1862"/>
      <c r="F967" s="1136" t="s">
        <v>2570</v>
      </c>
      <c r="G967" s="1136" t="s">
        <v>1355</v>
      </c>
      <c r="H967" s="1136" t="s">
        <v>2571</v>
      </c>
      <c r="I967" s="1136" t="s">
        <v>74</v>
      </c>
      <c r="J967" s="401"/>
      <c r="K967" s="401"/>
    </row>
    <row r="968" spans="1:11" s="3" customFormat="1" ht="13.5" customHeight="1" x14ac:dyDescent="0.3">
      <c r="A968" s="3" t="str">
        <f>IF(A966="Print","Print","Do Not Print")</f>
        <v>Do Not Print</v>
      </c>
      <c r="B968" s="1124"/>
      <c r="C968" s="1124"/>
      <c r="D968" s="1861"/>
      <c r="E968" s="1862"/>
      <c r="F968" s="1125" t="s">
        <v>450</v>
      </c>
      <c r="G968" s="1125" t="s">
        <v>450</v>
      </c>
      <c r="H968" s="1125" t="s">
        <v>450</v>
      </c>
      <c r="I968" s="1125" t="s">
        <v>450</v>
      </c>
      <c r="J968" s="401"/>
      <c r="K968" s="401"/>
    </row>
    <row r="969" spans="1:11" s="3" customFormat="1" ht="13.5" customHeight="1" x14ac:dyDescent="0.3">
      <c r="A969" s="3" t="str">
        <f>IF(A974="Print","Print","Do Not Print")</f>
        <v>Do Not Print</v>
      </c>
      <c r="B969" s="1124"/>
      <c r="C969" s="1124"/>
      <c r="D969" s="1543" t="s">
        <v>2573</v>
      </c>
      <c r="E969" s="1855"/>
      <c r="F969" s="1129"/>
      <c r="G969" s="1129"/>
      <c r="H969" s="1129"/>
      <c r="I969" s="1129"/>
      <c r="J969" s="401"/>
      <c r="K969" s="401"/>
    </row>
    <row r="970" spans="1:11" s="3" customFormat="1" ht="28.5" customHeight="1" x14ac:dyDescent="0.3">
      <c r="A970" s="3" t="str">
        <f>IF(A974="Print","Print","Do Not Print")</f>
        <v>Do Not Print</v>
      </c>
      <c r="B970" s="1124"/>
      <c r="C970" s="1124"/>
      <c r="D970" s="1504" t="s">
        <v>2574</v>
      </c>
      <c r="E970" s="1856"/>
      <c r="F970" s="1129"/>
      <c r="G970" s="1129"/>
      <c r="H970" s="1129"/>
      <c r="I970" s="1129"/>
      <c r="J970" s="401"/>
      <c r="K970" s="401"/>
    </row>
    <row r="971" spans="1:11" s="3" customFormat="1" ht="17.55" customHeight="1" x14ac:dyDescent="0.3">
      <c r="A971" s="3" t="str">
        <f>IF(OR(F971&gt;0,G971&gt;0,H971&gt;0,I971&gt;0),"Print","Do Not Print")</f>
        <v>Do Not Print</v>
      </c>
      <c r="B971" s="1124"/>
      <c r="C971" s="1124"/>
      <c r="D971" s="1504" t="s">
        <v>2575</v>
      </c>
      <c r="E971" s="1856"/>
      <c r="F971" s="1129">
        <f>'Non TB - Note 12 to 24'!H193</f>
        <v>0</v>
      </c>
      <c r="G971" s="1129">
        <f>'Non TB - Note 12 to 24'!H196</f>
        <v>0</v>
      </c>
      <c r="H971" s="1129">
        <f>'Non TB - Note 12 to 24'!H199</f>
        <v>0</v>
      </c>
      <c r="I971" s="1129">
        <f>SUM(F971:H971)</f>
        <v>0</v>
      </c>
      <c r="J971" s="401"/>
      <c r="K971" s="401"/>
    </row>
    <row r="972" spans="1:11" s="3" customFormat="1" ht="18.600000000000001" customHeight="1" x14ac:dyDescent="0.3">
      <c r="A972" s="3" t="str">
        <f t="shared" ref="A972:A974" si="49">IF(OR(F972&gt;0,G972&gt;0,H972&gt;0,I972&gt;0),"Print","Do Not Print")</f>
        <v>Do Not Print</v>
      </c>
      <c r="B972" s="1124"/>
      <c r="C972" s="1124"/>
      <c r="D972" s="1542" t="s">
        <v>2567</v>
      </c>
      <c r="E972" s="1866"/>
      <c r="F972" s="1129">
        <f>'Non TB - Note 12 to 24'!H194</f>
        <v>0</v>
      </c>
      <c r="G972" s="1129">
        <f>'Non TB - Note 12 to 24'!H197</f>
        <v>0</v>
      </c>
      <c r="H972" s="1129">
        <f>'Non TB - Note 12 to 24'!H200</f>
        <v>0</v>
      </c>
      <c r="I972" s="1129">
        <f>SUM(F972:H972)</f>
        <v>0</v>
      </c>
      <c r="J972" s="401"/>
      <c r="K972" s="401"/>
    </row>
    <row r="973" spans="1:11" s="3" customFormat="1" ht="17.55" customHeight="1" x14ac:dyDescent="0.3">
      <c r="A973" s="3" t="str">
        <f t="shared" si="49"/>
        <v>Do Not Print</v>
      </c>
      <c r="B973" s="1124"/>
      <c r="C973" s="1124"/>
      <c r="D973" s="1857" t="s">
        <v>2835</v>
      </c>
      <c r="E973" s="1858"/>
      <c r="F973" s="1129">
        <f>'Non TB - Note 12 to 24'!H195</f>
        <v>0</v>
      </c>
      <c r="G973" s="1129">
        <f>'Non TB - Note 12 to 24'!H198</f>
        <v>0</v>
      </c>
      <c r="H973" s="1129">
        <f>'Non TB - Note 12 to 24'!H201</f>
        <v>0</v>
      </c>
      <c r="I973" s="1129">
        <f>SUM(F973:H973)</f>
        <v>0</v>
      </c>
      <c r="J973" s="401"/>
      <c r="K973" s="401"/>
    </row>
    <row r="974" spans="1:11" s="6" customFormat="1" ht="13.5" customHeight="1" x14ac:dyDescent="0.3">
      <c r="A974" s="3" t="str">
        <f t="shared" si="49"/>
        <v>Do Not Print</v>
      </c>
      <c r="B974" s="585"/>
      <c r="C974" s="585"/>
      <c r="D974" s="1133" t="s">
        <v>74</v>
      </c>
      <c r="E974" s="1137"/>
      <c r="F974" s="1134">
        <f>SUM(F971:F973)</f>
        <v>0</v>
      </c>
      <c r="G974" s="1134">
        <f>SUM(G971:G973)</f>
        <v>0</v>
      </c>
      <c r="H974" s="1134">
        <f>SUM(H971:H973)</f>
        <v>0</v>
      </c>
      <c r="I974" s="1134">
        <f>SUM(I971:I973)</f>
        <v>0</v>
      </c>
      <c r="J974" s="405"/>
      <c r="K974" s="405"/>
    </row>
    <row r="975" spans="1:11" s="3" customFormat="1" ht="13.5" customHeight="1" x14ac:dyDescent="0.3">
      <c r="A975" s="3" t="str">
        <f>IF(A974="Print","Print","Do Not Print")</f>
        <v>Do Not Print</v>
      </c>
      <c r="B975" s="1124"/>
      <c r="C975" s="1124"/>
      <c r="D975" s="1823"/>
      <c r="E975" s="1854"/>
      <c r="F975" s="528"/>
      <c r="G975" s="528"/>
      <c r="H975" s="528"/>
      <c r="I975" s="528"/>
      <c r="J975" s="401"/>
      <c r="K975" s="401"/>
    </row>
    <row r="976" spans="1:11" s="3" customFormat="1" ht="13.5" customHeight="1" x14ac:dyDescent="0.3">
      <c r="A976" s="3" t="str">
        <f>IF(A980="Print","Print","Do Not Print")</f>
        <v>Do Not Print</v>
      </c>
      <c r="B976" s="1124"/>
      <c r="C976" s="1124"/>
      <c r="D976" s="1543" t="s">
        <v>2553</v>
      </c>
      <c r="E976" s="1855"/>
      <c r="F976" s="528"/>
      <c r="G976" s="528"/>
      <c r="H976" s="528"/>
      <c r="I976" s="528"/>
      <c r="J976" s="401"/>
      <c r="K976" s="401"/>
    </row>
    <row r="977" spans="1:11" s="3" customFormat="1" ht="28.05" customHeight="1" x14ac:dyDescent="0.3">
      <c r="A977" s="3" t="str">
        <f>IF(A980="Print","Print","Do Not Print")</f>
        <v>Do Not Print</v>
      </c>
      <c r="B977" s="1124"/>
      <c r="C977" s="1124"/>
      <c r="D977" s="1504" t="s">
        <v>2497</v>
      </c>
      <c r="E977" s="1856"/>
      <c r="F977" s="528"/>
      <c r="G977" s="528"/>
      <c r="H977" s="528"/>
      <c r="I977" s="528"/>
      <c r="J977" s="401"/>
      <c r="K977" s="401"/>
    </row>
    <row r="978" spans="1:11" s="3" customFormat="1" ht="15.6" customHeight="1" x14ac:dyDescent="0.3">
      <c r="A978" s="3" t="str">
        <f>IF(OR(F978&gt;0,G978&gt;0,H978&gt;0,I978&gt;0),"Print","Do Not Print")</f>
        <v>Do Not Print</v>
      </c>
      <c r="B978" s="1124"/>
      <c r="C978" s="1124"/>
      <c r="D978" s="1504" t="s">
        <v>1420</v>
      </c>
      <c r="E978" s="1856"/>
      <c r="F978" s="1129">
        <f>'Non TB - Note 12 to 24'!H202</f>
        <v>0</v>
      </c>
      <c r="G978" s="1129">
        <f>'Non TB - Note 12 to 24'!H204</f>
        <v>0</v>
      </c>
      <c r="H978" s="1129">
        <f>'Non TB - Note 12 to 24'!H206</f>
        <v>0</v>
      </c>
      <c r="I978" s="1129">
        <f>SUM(F978:H978)</f>
        <v>0</v>
      </c>
      <c r="J978" s="401"/>
      <c r="K978" s="401"/>
    </row>
    <row r="979" spans="1:11" s="3" customFormat="1" ht="14.55" customHeight="1" x14ac:dyDescent="0.3">
      <c r="A979" s="3" t="str">
        <f t="shared" ref="A979:A980" si="50">IF(OR(F979&gt;0,G979&gt;0,H979&gt;0,I979&gt;0),"Print","Do Not Print")</f>
        <v>Do Not Print</v>
      </c>
      <c r="B979" s="1124"/>
      <c r="C979" s="1124"/>
      <c r="D979" s="1857" t="s">
        <v>2500</v>
      </c>
      <c r="E979" s="1858"/>
      <c r="F979" s="1129">
        <f>'Non TB - Note 12 to 24'!H203</f>
        <v>0</v>
      </c>
      <c r="G979" s="1129">
        <f>'Non TB - Note 12 to 24'!H205</f>
        <v>0</v>
      </c>
      <c r="H979" s="1129">
        <f>'Non TB - Note 12 to 24'!H207</f>
        <v>0</v>
      </c>
      <c r="I979" s="1129">
        <f>SUM(F979:H979)</f>
        <v>0</v>
      </c>
      <c r="J979" s="401"/>
      <c r="K979" s="401"/>
    </row>
    <row r="980" spans="1:11" s="6" customFormat="1" ht="13.5" customHeight="1" x14ac:dyDescent="0.3">
      <c r="A980" s="3" t="str">
        <f t="shared" si="50"/>
        <v>Do Not Print</v>
      </c>
      <c r="B980" s="585"/>
      <c r="C980" s="585"/>
      <c r="D980" s="1859" t="s">
        <v>74</v>
      </c>
      <c r="E980" s="1860"/>
      <c r="F980" s="1134">
        <f>SUM(F978:F979)</f>
        <v>0</v>
      </c>
      <c r="G980" s="1134">
        <f t="shared" ref="G980:H980" si="51">SUM(G978:G979)</f>
        <v>0</v>
      </c>
      <c r="H980" s="1134">
        <f t="shared" si="51"/>
        <v>0</v>
      </c>
      <c r="I980" s="1134">
        <f>SUM(I978:I979)</f>
        <v>0</v>
      </c>
      <c r="J980" s="405"/>
      <c r="K980" s="405"/>
    </row>
    <row r="981" spans="1:11" s="3" customFormat="1" ht="13.5" customHeight="1" x14ac:dyDescent="0.3">
      <c r="A981" s="3" t="str">
        <f>IF(A980="Print","Print", "Do Not Print")</f>
        <v>Do Not Print</v>
      </c>
      <c r="B981" s="1124"/>
      <c r="C981" s="1124"/>
      <c r="D981" s="401"/>
      <c r="E981" s="401"/>
      <c r="F981" s="401"/>
      <c r="G981" s="401"/>
      <c r="H981" s="401"/>
      <c r="I981" s="401"/>
      <c r="J981" s="401"/>
      <c r="K981" s="401"/>
    </row>
    <row r="982" spans="1:11" s="3" customFormat="1" ht="13.5" customHeight="1" x14ac:dyDescent="0.3">
      <c r="A982" s="3" t="str">
        <f>IF(A980="Print","Print", "Do Not Print")</f>
        <v>Do Not Print</v>
      </c>
      <c r="B982" s="1124"/>
      <c r="C982" s="1124"/>
      <c r="D982" s="401"/>
      <c r="E982" s="401"/>
      <c r="F982" s="401"/>
      <c r="G982" s="401"/>
      <c r="H982" s="401"/>
      <c r="I982" s="401"/>
      <c r="J982" s="401"/>
      <c r="K982" s="401"/>
    </row>
    <row r="983" spans="1:11" s="3" customFormat="1" ht="13.5" customHeight="1" x14ac:dyDescent="0.3">
      <c r="A983" s="3" t="str">
        <f>IF(A966="Print","Print","Do Not Print")</f>
        <v>Do Not Print</v>
      </c>
      <c r="B983" s="1124"/>
      <c r="C983" s="1124"/>
      <c r="D983" s="1861" t="s">
        <v>2572</v>
      </c>
      <c r="E983" s="1862"/>
      <c r="F983" s="1863" t="str">
        <f>'Standing Data'!D66</f>
        <v>31st March 2025</v>
      </c>
      <c r="G983" s="1864"/>
      <c r="H983" s="1864"/>
      <c r="I983" s="1865"/>
      <c r="J983" s="401"/>
      <c r="K983" s="401"/>
    </row>
    <row r="984" spans="1:11" s="3" customFormat="1" ht="88.5" customHeight="1" x14ac:dyDescent="0.3">
      <c r="A984" s="3" t="str">
        <f>IF(A966="Print","Print","Do Not Print")</f>
        <v>Do Not Print</v>
      </c>
      <c r="B984" s="1124"/>
      <c r="C984" s="1124"/>
      <c r="D984" s="1861"/>
      <c r="E984" s="1862"/>
      <c r="F984" s="1136" t="s">
        <v>2570</v>
      </c>
      <c r="G984" s="1136" t="s">
        <v>1355</v>
      </c>
      <c r="H984" s="1136" t="s">
        <v>2571</v>
      </c>
      <c r="I984" s="1136" t="s">
        <v>74</v>
      </c>
      <c r="J984" s="401"/>
      <c r="K984" s="401"/>
    </row>
    <row r="985" spans="1:11" s="3" customFormat="1" ht="13.5" customHeight="1" x14ac:dyDescent="0.3">
      <c r="A985" s="3" t="str">
        <f>IF(A966="Print","Print","Do Not Print")</f>
        <v>Do Not Print</v>
      </c>
      <c r="B985" s="1124"/>
      <c r="C985" s="1124"/>
      <c r="D985" s="1861"/>
      <c r="E985" s="1862"/>
      <c r="F985" s="1125" t="s">
        <v>450</v>
      </c>
      <c r="G985" s="1125" t="s">
        <v>450</v>
      </c>
      <c r="H985" s="1125" t="s">
        <v>450</v>
      </c>
      <c r="I985" s="1125" t="s">
        <v>450</v>
      </c>
      <c r="J985" s="401"/>
      <c r="K985" s="401"/>
    </row>
    <row r="986" spans="1:11" s="3" customFormat="1" ht="13.5" customHeight="1" x14ac:dyDescent="0.3">
      <c r="A986" s="3" t="str">
        <f>IF(A966="Print","Print","Do Not Print")</f>
        <v>Do Not Print</v>
      </c>
      <c r="B986" s="1124"/>
      <c r="C986" s="1124"/>
      <c r="D986" s="1543" t="s">
        <v>2573</v>
      </c>
      <c r="E986" s="1855"/>
      <c r="F986" s="1129"/>
      <c r="G986" s="1129"/>
      <c r="H986" s="1129"/>
      <c r="I986" s="1129"/>
      <c r="J986" s="401"/>
      <c r="K986" s="401"/>
    </row>
    <row r="987" spans="1:11" s="3" customFormat="1" ht="28.5" customHeight="1" x14ac:dyDescent="0.3">
      <c r="A987" s="3" t="str">
        <f>IF(A966="Print","Print","Do Not Print")</f>
        <v>Do Not Print</v>
      </c>
      <c r="B987" s="1124"/>
      <c r="C987" s="1124"/>
      <c r="D987" s="1504" t="s">
        <v>2574</v>
      </c>
      <c r="E987" s="1856"/>
      <c r="F987" s="1129"/>
      <c r="G987" s="1129"/>
      <c r="H987" s="1129"/>
      <c r="I987" s="1129"/>
      <c r="J987" s="401"/>
      <c r="K987" s="401"/>
    </row>
    <row r="988" spans="1:11" s="3" customFormat="1" ht="16.05" customHeight="1" x14ac:dyDescent="0.3">
      <c r="A988" s="3" t="str">
        <f>IF(A966="Print","Print","Do Not Print")</f>
        <v>Do Not Print</v>
      </c>
      <c r="B988" s="1124"/>
      <c r="C988" s="1124"/>
      <c r="D988" s="1504" t="s">
        <v>2575</v>
      </c>
      <c r="E988" s="1856"/>
      <c r="F988" s="1129">
        <f>'Non TB - Note 12 to 24'!I193</f>
        <v>0</v>
      </c>
      <c r="G988" s="1129">
        <f>'Non TB - Note 12 to 24'!I196</f>
        <v>0</v>
      </c>
      <c r="H988" s="1129">
        <f>'Non TB - Note 12 to 24'!I199</f>
        <v>0</v>
      </c>
      <c r="I988" s="1129">
        <f>SUM(F988:H988)</f>
        <v>0</v>
      </c>
      <c r="J988" s="401"/>
      <c r="K988" s="401"/>
    </row>
    <row r="989" spans="1:11" s="3" customFormat="1" ht="13.5" customHeight="1" x14ac:dyDescent="0.3">
      <c r="A989" s="3" t="str">
        <f>IF(A966="Print","Print","Do Not Print")</f>
        <v>Do Not Print</v>
      </c>
      <c r="B989" s="1124"/>
      <c r="C989" s="1124"/>
      <c r="D989" s="1542" t="s">
        <v>2567</v>
      </c>
      <c r="E989" s="1866"/>
      <c r="F989" s="1129">
        <f>'Non TB - Note 12 to 24'!I194</f>
        <v>0</v>
      </c>
      <c r="G989" s="1129">
        <f>'Non TB - Note 12 to 24'!I197</f>
        <v>0</v>
      </c>
      <c r="H989" s="1129">
        <f>'Non TB - Note 12 to 24'!I200</f>
        <v>0</v>
      </c>
      <c r="I989" s="1129">
        <f>SUM(F989:H989)</f>
        <v>0</v>
      </c>
      <c r="J989" s="401"/>
      <c r="K989" s="401"/>
    </row>
    <row r="990" spans="1:11" s="3" customFormat="1" ht="16.5" customHeight="1" x14ac:dyDescent="0.3">
      <c r="A990" s="3" t="str">
        <f>IF(A966="Print","Print","Do Not Print")</f>
        <v>Do Not Print</v>
      </c>
      <c r="B990" s="1124"/>
      <c r="C990" s="1124"/>
      <c r="D990" s="1857" t="s">
        <v>2835</v>
      </c>
      <c r="E990" s="1858"/>
      <c r="F990" s="1129">
        <f>'Non TB - Note 12 to 24'!I195</f>
        <v>0</v>
      </c>
      <c r="G990" s="1129">
        <f>'Non TB - Note 12 to 24'!I198</f>
        <v>0</v>
      </c>
      <c r="H990" s="1129">
        <f>'Non TB - Note 12 to 24'!I201</f>
        <v>0</v>
      </c>
      <c r="I990" s="1129">
        <f>SUM(F990:H990)</f>
        <v>0</v>
      </c>
      <c r="J990" s="401"/>
      <c r="K990" s="401"/>
    </row>
    <row r="991" spans="1:11" s="3" customFormat="1" ht="13.5" customHeight="1" x14ac:dyDescent="0.3">
      <c r="A991" s="3" t="str">
        <f>IF(A966="Print","Print","Do Not Print")</f>
        <v>Do Not Print</v>
      </c>
      <c r="B991" s="1124"/>
      <c r="C991" s="1124"/>
      <c r="D991" s="1133" t="s">
        <v>74</v>
      </c>
      <c r="E991" s="1137"/>
      <c r="F991" s="1134">
        <f>SUM(F988:F990)</f>
        <v>0</v>
      </c>
      <c r="G991" s="1134">
        <f>SUM(G988:G990)</f>
        <v>0</v>
      </c>
      <c r="H991" s="1134">
        <f>SUM(H988:H990)</f>
        <v>0</v>
      </c>
      <c r="I991" s="1134">
        <f>SUM(I988:I990)</f>
        <v>0</v>
      </c>
      <c r="J991" s="401"/>
      <c r="K991" s="401"/>
    </row>
    <row r="992" spans="1:11" s="3" customFormat="1" ht="13.5" customHeight="1" x14ac:dyDescent="0.3">
      <c r="A992" s="3" t="str">
        <f>IF(A966="Print","Print","Do Not Print")</f>
        <v>Do Not Print</v>
      </c>
      <c r="B992" s="1124"/>
      <c r="C992" s="1124"/>
      <c r="D992" s="1823"/>
      <c r="E992" s="1854"/>
      <c r="F992" s="528"/>
      <c r="G992" s="528"/>
      <c r="H992" s="528"/>
      <c r="I992" s="528"/>
      <c r="J992" s="401"/>
      <c r="K992" s="401"/>
    </row>
    <row r="993" spans="1:11" s="3" customFormat="1" ht="13.5" customHeight="1" x14ac:dyDescent="0.3">
      <c r="A993" s="3" t="str">
        <f>IF(A966="Print","Print","Do Not Print")</f>
        <v>Do Not Print</v>
      </c>
      <c r="B993" s="1124"/>
      <c r="C993" s="1124"/>
      <c r="D993" s="1543" t="s">
        <v>2553</v>
      </c>
      <c r="E993" s="1855"/>
      <c r="F993" s="528"/>
      <c r="G993" s="528"/>
      <c r="H993" s="528"/>
      <c r="I993" s="528"/>
      <c r="J993" s="401"/>
      <c r="K993" s="401"/>
    </row>
    <row r="994" spans="1:11" s="3" customFormat="1" ht="30.75" customHeight="1" x14ac:dyDescent="0.3">
      <c r="A994" s="3" t="str">
        <f>IF(A966="Print","Print","Do Not Print")</f>
        <v>Do Not Print</v>
      </c>
      <c r="B994" s="1124"/>
      <c r="C994" s="1124"/>
      <c r="D994" s="1504" t="s">
        <v>2497</v>
      </c>
      <c r="E994" s="1856"/>
      <c r="F994" s="528"/>
      <c r="G994" s="528"/>
      <c r="H994" s="528"/>
      <c r="I994" s="528"/>
      <c r="J994" s="401"/>
      <c r="K994" s="401"/>
    </row>
    <row r="995" spans="1:11" s="3" customFormat="1" ht="14.1" customHeight="1" x14ac:dyDescent="0.3">
      <c r="A995" s="3" t="str">
        <f>IF(A966="Print","Print","Do Not Print")</f>
        <v>Do Not Print</v>
      </c>
      <c r="B995" s="1124"/>
      <c r="C995" s="1124"/>
      <c r="D995" s="1504" t="s">
        <v>1420</v>
      </c>
      <c r="E995" s="1856"/>
      <c r="F995" s="1129">
        <f>'Non TB - Note 12 to 24'!I202</f>
        <v>0</v>
      </c>
      <c r="G995" s="1129">
        <f>'Non TB - Note 12 to 24'!I204</f>
        <v>0</v>
      </c>
      <c r="H995" s="1129">
        <f>'Non TB - Note 12 to 24'!I206</f>
        <v>0</v>
      </c>
      <c r="I995" s="1129">
        <f>SUM(F995:H995)</f>
        <v>0</v>
      </c>
      <c r="J995" s="401"/>
      <c r="K995" s="401"/>
    </row>
    <row r="996" spans="1:11" s="3" customFormat="1" ht="15.6" customHeight="1" x14ac:dyDescent="0.3">
      <c r="A996" s="3" t="str">
        <f>IF(A966="Print","Print","Do Not Print")</f>
        <v>Do Not Print</v>
      </c>
      <c r="B996" s="1124"/>
      <c r="C996" s="1124"/>
      <c r="D996" s="1857" t="s">
        <v>2500</v>
      </c>
      <c r="E996" s="1858"/>
      <c r="F996" s="1129">
        <f>'Non TB - Note 12 to 24'!I203</f>
        <v>0</v>
      </c>
      <c r="G996" s="1129">
        <f>'Non TB - Note 12 to 24'!I205</f>
        <v>0</v>
      </c>
      <c r="H996" s="1129">
        <f>'Non TB - Note 12 to 24'!I207</f>
        <v>0</v>
      </c>
      <c r="I996" s="1129">
        <f>SUM(F996:H996)</f>
        <v>0</v>
      </c>
      <c r="J996" s="401"/>
      <c r="K996" s="401"/>
    </row>
    <row r="997" spans="1:11" s="3" customFormat="1" ht="13.5" customHeight="1" x14ac:dyDescent="0.3">
      <c r="A997" s="3" t="str">
        <f>IF(A966="Print","Print","Do Not Print")</f>
        <v>Do Not Print</v>
      </c>
      <c r="B997" s="1124"/>
      <c r="C997" s="1124"/>
      <c r="D997" s="1859" t="s">
        <v>74</v>
      </c>
      <c r="E997" s="1860"/>
      <c r="F997" s="1134">
        <f>SUM(F995:F996)</f>
        <v>0</v>
      </c>
      <c r="G997" s="1134">
        <f t="shared" ref="G997" si="52">SUM(G995:G996)</f>
        <v>0</v>
      </c>
      <c r="H997" s="1134">
        <f t="shared" ref="H997" si="53">SUM(H995:H996)</f>
        <v>0</v>
      </c>
      <c r="I997" s="1134">
        <f>SUM(I995:I996)</f>
        <v>0</v>
      </c>
      <c r="J997" s="401"/>
      <c r="K997" s="401"/>
    </row>
    <row r="998" spans="1:11" s="3" customFormat="1" ht="13.5" customHeight="1" x14ac:dyDescent="0.3">
      <c r="A998" s="3" t="str">
        <f>IF(A997="Print","Print", "Do Not Print")</f>
        <v>Do Not Print</v>
      </c>
      <c r="B998" s="1124"/>
      <c r="C998" s="1124"/>
      <c r="D998" s="1500"/>
      <c r="E998" s="1500"/>
      <c r="F998" s="1500"/>
      <c r="G998" s="1500"/>
      <c r="H998" s="1500"/>
      <c r="I998" s="1500"/>
      <c r="J998" s="1500"/>
      <c r="K998" s="1500"/>
    </row>
    <row r="999" spans="1:11" s="3" customFormat="1" ht="82.05" customHeight="1" x14ac:dyDescent="0.3">
      <c r="A999" s="3" t="str">
        <f>IF('Non TB - Note 12 to 24'!F208=1,"Print","Do Not Print")</f>
        <v>Print</v>
      </c>
      <c r="B999" s="1124"/>
      <c r="C999" s="1124"/>
      <c r="D999" s="1504" t="str">
        <f>IF('Non TB - Note 12 to 24'!F208=1,'Non TB - Note 12 to 24'!H208,"")</f>
        <v xml:space="preserve">The fair value for financial liabilities and financial assets that are not measured at fair value included in Levels 2 and 3 in the table above have been arrived at using a discounted cash flow analysis with the most significant inputs being the discount rate [describe other techniques used].
The fair value for financial liabilities and financial assets that are not measured at fair value can be assessed by calculating the present value of the cash flows that will take place over the remaining term of the instruments, using the following assumptions. </v>
      </c>
      <c r="E999" s="1504"/>
      <c r="F999" s="1504"/>
      <c r="G999" s="1504"/>
      <c r="H999" s="1504"/>
      <c r="I999" s="1504"/>
      <c r="J999" s="1504"/>
      <c r="K999" s="1504"/>
    </row>
    <row r="1000" spans="1:11" s="3" customFormat="1" ht="13.5" customHeight="1" x14ac:dyDescent="0.3">
      <c r="A1000" s="3" t="str">
        <f>IF(A999="Print","Print", "Do Not Print")</f>
        <v>Print</v>
      </c>
      <c r="B1000" s="1124"/>
      <c r="C1000" s="1124"/>
      <c r="D1000" s="1500"/>
      <c r="E1000" s="1500"/>
      <c r="F1000" s="1500"/>
      <c r="G1000" s="1500"/>
      <c r="H1000" s="1500"/>
      <c r="I1000" s="1500"/>
      <c r="J1000" s="1500"/>
      <c r="K1000" s="1500"/>
    </row>
    <row r="1001" spans="1:11" s="3" customFormat="1" ht="13.5" customHeight="1" x14ac:dyDescent="0.3">
      <c r="A1001" s="3" t="str">
        <f>IF(A1000="Print","Print", "Do Not Print")</f>
        <v>Print</v>
      </c>
      <c r="B1001" s="1124"/>
      <c r="C1001" s="1124"/>
      <c r="D1001" s="1500"/>
      <c r="E1001" s="1500"/>
      <c r="F1001" s="1500"/>
      <c r="G1001" s="1500"/>
      <c r="H1001" s="1500"/>
      <c r="I1001" s="1500"/>
      <c r="J1001" s="401"/>
      <c r="K1001" s="401"/>
    </row>
    <row r="1002" spans="1:11" s="3" customFormat="1" ht="13.5" customHeight="1" x14ac:dyDescent="0.3">
      <c r="A1002" s="3" t="str">
        <f>IF(OR(A1004="Print",A1005="Print",A1006="Print"),"Print","Do Not Print")</f>
        <v>Print</v>
      </c>
      <c r="B1002" s="1124"/>
      <c r="C1002" s="1124"/>
      <c r="D1002" s="1873" t="s">
        <v>2553</v>
      </c>
      <c r="E1002" s="1874"/>
      <c r="F1002" s="1875"/>
      <c r="G1002" s="1873" t="s">
        <v>2573</v>
      </c>
      <c r="H1002" s="1874"/>
      <c r="I1002" s="1875"/>
      <c r="J1002" s="401"/>
      <c r="K1002" s="401"/>
    </row>
    <row r="1003" spans="1:11" s="3" customFormat="1" ht="13.5" customHeight="1" x14ac:dyDescent="0.3">
      <c r="B1003" s="1124"/>
      <c r="C1003" s="1124"/>
      <c r="D1003" s="1876"/>
      <c r="E1003" s="1877"/>
      <c r="F1003" s="1878"/>
      <c r="G1003" s="1876"/>
      <c r="H1003" s="1877"/>
      <c r="I1003" s="1878"/>
      <c r="J1003" s="401"/>
      <c r="K1003" s="401"/>
    </row>
    <row r="1004" spans="1:11" s="3" customFormat="1" ht="13.5" customHeight="1" x14ac:dyDescent="0.3">
      <c r="A1004" s="3" t="str">
        <f>IF(OR('Non TB - Note 12 to 24'!F209=1,'Non TB - Note 12 to 24'!F212=1),"Print","Do Not Print")</f>
        <v>Print</v>
      </c>
      <c r="B1004" s="1124"/>
      <c r="C1004" s="1124"/>
      <c r="D1004" s="1869" t="str">
        <f>IF('Non TB - Note 12 to 24'!F209=1,'Non TB - Note 12 to 24'!H209,"")</f>
        <v>- No early repayment or impairment is recognised</v>
      </c>
      <c r="E1004" s="1869"/>
      <c r="F1004" s="1869"/>
      <c r="G1004" s="1871" t="str">
        <f>IF('Non TB - Note 12 to 24'!F212=1,'Non TB - Note 12 to 24'!H212,"")</f>
        <v>- No early repayment is recognised</v>
      </c>
      <c r="H1004" s="1871"/>
      <c r="I1004" s="1871"/>
      <c r="J1004" s="401"/>
      <c r="K1004" s="401"/>
    </row>
    <row r="1005" spans="1:11" s="3" customFormat="1" ht="48" customHeight="1" x14ac:dyDescent="0.3">
      <c r="A1005" s="3" t="str">
        <f>IF(OR('Non TB - Note 12 to 24'!F210=1,'Non TB - Note 12 to 24'!F213=1),"Print","Do Not Print")</f>
        <v>Print</v>
      </c>
      <c r="B1005" s="1124"/>
      <c r="C1005" s="1124"/>
      <c r="D1005" s="1869" t="str">
        <f>IF('Non TB - Note 12 to 24'!F210=1,'Non TB - Note 12 to 24'!H210,"")</f>
        <v>- Estimated ranges of interest rates at 31 March 2026 of x% to x% for loans receivable, based on new lending rates for equivalent loans at that date.</v>
      </c>
      <c r="E1005" s="1869"/>
      <c r="F1005" s="1869"/>
      <c r="G1005" s="1872" t="str">
        <f>IF('Non TB - Note 12 to 24'!F213=1,'Non TB - Note 12 to 24'!H213,"")</f>
        <v>- Estimated ranges of interest rates at 31 March 2026 of x% to x% for loans payable based on new lending rates for equivalent loans at that date.</v>
      </c>
      <c r="H1005" s="1872"/>
      <c r="I1005" s="1872"/>
      <c r="J1005" s="401"/>
      <c r="K1005" s="401"/>
    </row>
    <row r="1006" spans="1:11" s="3" customFormat="1" ht="26.55" customHeight="1" x14ac:dyDescent="0.3">
      <c r="A1006" s="3" t="str">
        <f>IF('Non TB - Note 12 to 24'!F211=1,"Print","Do Not Print")</f>
        <v>Print</v>
      </c>
      <c r="B1006" s="1124"/>
      <c r="C1006" s="1124"/>
      <c r="D1006" s="1869" t="str">
        <f>IF('Non TB - Note 12 to 24'!F211=1,'Non TB - Note 12 to 24'!H211,"")</f>
        <v>- The fair value of trade and other receivables is taken to be the invoiced or billed amount.</v>
      </c>
      <c r="E1006" s="1869"/>
      <c r="F1006" s="1869"/>
      <c r="G1006" s="1871"/>
      <c r="H1006" s="1871"/>
      <c r="I1006" s="1871"/>
      <c r="J1006" s="401"/>
      <c r="K1006" s="401"/>
    </row>
    <row r="1007" spans="1:11" s="3" customFormat="1" ht="13.5" customHeight="1" x14ac:dyDescent="0.3">
      <c r="A1007" s="3" t="str">
        <f>IF(A1006="Print","Print", "Do Not Print")</f>
        <v>Print</v>
      </c>
      <c r="B1007" s="1124"/>
      <c r="C1007" s="1124"/>
      <c r="D1007" s="1870"/>
      <c r="E1007" s="1870"/>
      <c r="F1007" s="1870"/>
      <c r="G1007" s="1871"/>
      <c r="H1007" s="1871"/>
      <c r="I1007" s="1871"/>
      <c r="J1007" s="401"/>
      <c r="K1007" s="401"/>
    </row>
    <row r="1008" spans="1:11" x14ac:dyDescent="0.3">
      <c r="A1008" s="3" t="str">
        <f>IF(A1007="Print","Print", "Do Not Print")</f>
        <v>Print</v>
      </c>
      <c r="D1008" s="1500"/>
      <c r="E1008" s="1500"/>
      <c r="F1008" s="1500"/>
      <c r="G1008" s="1500"/>
      <c r="H1008" s="1500"/>
      <c r="I1008" s="1500"/>
      <c r="J1008" s="1500"/>
      <c r="K1008" s="1500"/>
    </row>
    <row r="1009" spans="1:13" ht="12.75" customHeight="1" x14ac:dyDescent="0.3">
      <c r="A1009" s="3" t="str">
        <f>IF(OR(A1011="Print",A1017="Print",A1055="Print",A1125="Print",A1172="Print",A1210="Print",A1246="Print",A1260="Print"),"Print","Do Not Print")</f>
        <v>Print</v>
      </c>
      <c r="B1009" s="585">
        <f>Checklist!E117</f>
        <v>21</v>
      </c>
      <c r="D1009" s="1764" t="s">
        <v>468</v>
      </c>
      <c r="E1009" s="1764"/>
      <c r="F1009" s="1764"/>
      <c r="G1009" s="1764"/>
      <c r="H1009" s="1764"/>
      <c r="I1009" s="1764"/>
      <c r="J1009" s="1764"/>
      <c r="K1009" s="1764"/>
      <c r="M1009" s="3"/>
    </row>
    <row r="1010" spans="1:13" ht="13.5" customHeight="1" x14ac:dyDescent="0.3">
      <c r="A1010" s="3" t="str">
        <f>IF(A1009="Print","Print","Do Not Print")</f>
        <v>Print</v>
      </c>
      <c r="D1010" s="1960"/>
      <c r="E1010" s="1960"/>
      <c r="F1010" s="1960"/>
      <c r="G1010" s="1960"/>
      <c r="H1010" s="1960"/>
      <c r="I1010" s="1960"/>
      <c r="J1010" s="1960"/>
      <c r="K1010" s="1960"/>
    </row>
    <row r="1011" spans="1:13" ht="12.75" customHeight="1" x14ac:dyDescent="0.3">
      <c r="A1011" s="3" t="str">
        <f>IF(OR(A1013="Print",A1015="Print"),"Print","Do Not Print")</f>
        <v>Print</v>
      </c>
      <c r="C1011" s="585" t="str">
        <f>Checklist!E118</f>
        <v>a</v>
      </c>
      <c r="D1011" s="1764" t="s">
        <v>469</v>
      </c>
      <c r="E1011" s="1764"/>
      <c r="F1011" s="1764"/>
      <c r="G1011" s="1764"/>
      <c r="H1011" s="1764"/>
      <c r="I1011" s="1764"/>
      <c r="J1011" s="1764"/>
      <c r="K1011" s="1764"/>
    </row>
    <row r="1012" spans="1:13" ht="12.75" customHeight="1" x14ac:dyDescent="0.3">
      <c r="A1012" s="3" t="str">
        <f>IF(A1011="Print","Print","Do Not Print")</f>
        <v>Print</v>
      </c>
      <c r="D1012" s="1726"/>
      <c r="E1012" s="1726"/>
      <c r="F1012" s="1726"/>
      <c r="G1012" s="1726"/>
      <c r="H1012" s="1726"/>
      <c r="I1012" s="1726"/>
      <c r="J1012" s="1726"/>
      <c r="K1012" s="1726"/>
    </row>
    <row r="1013" spans="1:13" ht="40.049999999999997" customHeight="1" x14ac:dyDescent="0.3">
      <c r="A1013" s="3" t="str">
        <f>IF('Non TB - Note 12 to 24'!F214=1,"Print","Do Not Print")</f>
        <v>Print</v>
      </c>
      <c r="D1013" s="1512" t="str">
        <f>IF('Non TB - Note 12 to 24'!F214=1,'Non TB - Note 12 to 24'!H214,"")</f>
        <v xml:space="preserve">As part of the terms and conditions of employment of its officers and other employees, the Council offers retirement benefits. Although these benefits will not actually be payable until employees retire, the Council has a commitment to make the payments that need to be disclosed at the time that employees earn their future entitlement. </v>
      </c>
      <c r="E1013" s="1512"/>
      <c r="F1013" s="1512"/>
      <c r="G1013" s="1512"/>
      <c r="H1013" s="1512"/>
      <c r="I1013" s="1512"/>
      <c r="J1013" s="1512"/>
      <c r="K1013" s="1512"/>
    </row>
    <row r="1014" spans="1:13" ht="13.5" customHeight="1" x14ac:dyDescent="0.3">
      <c r="A1014" s="3" t="str">
        <f>IF(A1013="Print","Print","Do Not Print")</f>
        <v>Print</v>
      </c>
      <c r="D1014" s="1500"/>
      <c r="E1014" s="1500"/>
      <c r="F1014" s="1500"/>
      <c r="G1014" s="1500"/>
      <c r="H1014" s="1500"/>
      <c r="I1014" s="1500"/>
      <c r="J1014" s="1500"/>
      <c r="K1014" s="1500"/>
    </row>
    <row r="1015" spans="1:13" ht="42.6" customHeight="1" x14ac:dyDescent="0.3">
      <c r="A1015" s="3" t="str">
        <f>IF('Non TB - Note 12 to 24'!F215=1,"Print","Do Not Print")</f>
        <v>Print</v>
      </c>
      <c r="D1015" s="1512" t="str">
        <f>IF('Non TB - Note 12 to 24'!F215=1,'Non TB - Note 12 to 24'!H215,"")</f>
        <v>The Council participates in the Northern Ireland Local Government Officers' Pension Fund administered by the Northern Ireland Local Government Officers' Superannuation Committee. This is a funded scheme, meaning that the Council and employees pay contributions into a fund, calculated at a level intended to balance the pension’s liabilities with investment assets.</v>
      </c>
      <c r="E1015" s="1512"/>
      <c r="F1015" s="1512"/>
      <c r="G1015" s="1512"/>
      <c r="H1015" s="1512"/>
      <c r="I1015" s="1512"/>
      <c r="J1015" s="1512"/>
      <c r="K1015" s="1512"/>
    </row>
    <row r="1016" spans="1:13" ht="13.5" customHeight="1" x14ac:dyDescent="0.3">
      <c r="A1016" s="3" t="str">
        <f>IF(A1015="Print","Print","Do Not Print")</f>
        <v>Print</v>
      </c>
      <c r="D1016" s="1500"/>
      <c r="E1016" s="1500"/>
      <c r="F1016" s="1500"/>
      <c r="G1016" s="1500"/>
      <c r="H1016" s="1500"/>
      <c r="I1016" s="1500"/>
      <c r="J1016" s="1500"/>
      <c r="K1016" s="1500"/>
    </row>
    <row r="1017" spans="1:13" s="74" customFormat="1" ht="14.25" customHeight="1" x14ac:dyDescent="0.3">
      <c r="A1017" s="75" t="s">
        <v>448</v>
      </c>
      <c r="B1017" s="585"/>
      <c r="C1017" s="585" t="str">
        <f>Checklist!E119</f>
        <v>b</v>
      </c>
      <c r="D1017" s="1824" t="s">
        <v>472</v>
      </c>
      <c r="E1017" s="1824"/>
      <c r="F1017" s="1824"/>
      <c r="G1017" s="1824"/>
      <c r="H1017" s="1824"/>
      <c r="I1017" s="1824"/>
      <c r="J1017" s="1824"/>
      <c r="K1017" s="402"/>
    </row>
    <row r="1018" spans="1:13" ht="12.75" customHeight="1" x14ac:dyDescent="0.3">
      <c r="A1018" s="3" t="s">
        <v>448</v>
      </c>
      <c r="D1018" s="646"/>
      <c r="E1018" s="646"/>
      <c r="F1018" s="646"/>
      <c r="G1018" s="646"/>
      <c r="H1018" s="646"/>
      <c r="I1018" s="646"/>
      <c r="J1018" s="646"/>
      <c r="K1018" s="646"/>
    </row>
    <row r="1019" spans="1:13" ht="31.5" customHeight="1" x14ac:dyDescent="0.3">
      <c r="A1019" s="3" t="str">
        <f>IF('Non TB - Note 12 to 24'!F216=1,"Print","Do Not Print")</f>
        <v>Print</v>
      </c>
      <c r="D1019" s="1512" t="str">
        <f>IF('Non TB - Note 12 to 24'!F216=1,'Non TB - Note 12 to 24'!H216,"")</f>
        <v>The Council recognises the cost of retirement benefits in the Cost of Services on Continuing Operations when they are earned by employees, rather than when the benefits are eventually paid as pensions.</v>
      </c>
      <c r="E1019" s="1512"/>
      <c r="F1019" s="1512"/>
      <c r="G1019" s="1512"/>
      <c r="H1019" s="1512"/>
      <c r="I1019" s="1512"/>
      <c r="J1019" s="1512"/>
      <c r="K1019" s="1512"/>
    </row>
    <row r="1020" spans="1:13" ht="13.5" customHeight="1" x14ac:dyDescent="0.3">
      <c r="A1020" s="3" t="str">
        <f>IF(A1019="Print","Print","Do Not Print")</f>
        <v>Print</v>
      </c>
      <c r="D1020" s="1500"/>
      <c r="E1020" s="1500"/>
      <c r="F1020" s="1500"/>
      <c r="G1020" s="1500"/>
      <c r="H1020" s="1500"/>
      <c r="I1020" s="1500"/>
      <c r="J1020" s="1500"/>
      <c r="K1020" s="1500"/>
    </row>
    <row r="1021" spans="1:13" ht="40.5" customHeight="1" x14ac:dyDescent="0.3">
      <c r="A1021" s="3" t="str">
        <f>IF('Non TB - Note 12 to 24'!F217=1,"Print","Do Not Print")</f>
        <v>Print</v>
      </c>
      <c r="D1021" s="1512" t="str">
        <f>IF('Non TB - Note 12 to 24'!F217=1,'Non TB - Note 12 to 24'!H217,"")</f>
        <v xml:space="preserve">However, the charge the Council is required to make against district rates is based on the cash payable in the year, and the real cost of retirement benefits is reversed out in the adjustments between accounting basis &amp; funding basis under regulations line, in the Movement on Reserves Statement. </v>
      </c>
      <c r="E1021" s="1512"/>
      <c r="F1021" s="1512"/>
      <c r="G1021" s="1512"/>
      <c r="H1021" s="1512"/>
      <c r="I1021" s="1512"/>
      <c r="J1021" s="1512"/>
      <c r="K1021" s="1512"/>
    </row>
    <row r="1022" spans="1:13" ht="12.75" customHeight="1" x14ac:dyDescent="0.3">
      <c r="A1022" s="3" t="str">
        <f>IF(A1021="Print","Print","Do Not Print")</f>
        <v>Print</v>
      </c>
      <c r="D1022" s="1513"/>
      <c r="E1022" s="1513"/>
      <c r="F1022" s="1513"/>
      <c r="G1022" s="1513"/>
      <c r="H1022" s="1513"/>
      <c r="I1022" s="1513"/>
      <c r="J1022" s="1513"/>
      <c r="K1022" s="1513"/>
    </row>
    <row r="1023" spans="1:13" ht="28.05" customHeight="1" x14ac:dyDescent="0.3">
      <c r="A1023" s="3" t="str">
        <f>IF('Non TB - Note 12 to 24'!F218=1,"Print","Do Not Print")</f>
        <v>Print</v>
      </c>
      <c r="D1023" s="1512" t="str">
        <f>IF('Non TB - Note 12 to 24'!F218=1,'Non TB - Note 12 to 24'!H218,"")</f>
        <v>The following transactions have been made in the Comprehensive Income and Expenditure Statement and the adjustments between accounting basis &amp; funding basis under regulations line, in the Movement on Reserves Statement during the year:</v>
      </c>
      <c r="E1023" s="1512"/>
      <c r="F1023" s="1512"/>
      <c r="G1023" s="1512"/>
      <c r="H1023" s="1512"/>
      <c r="I1023" s="1512"/>
      <c r="J1023" s="1512"/>
      <c r="K1023" s="1512"/>
    </row>
    <row r="1024" spans="1:13" ht="13.5" customHeight="1" x14ac:dyDescent="0.3">
      <c r="A1024" s="3" t="str">
        <f>IF(A1023="Print","Print","Do Not Print")</f>
        <v>Print</v>
      </c>
      <c r="D1024" s="1500"/>
      <c r="E1024" s="1500"/>
      <c r="F1024" s="1500"/>
      <c r="G1024" s="1500"/>
      <c r="H1024" s="1500"/>
      <c r="I1024" s="1500"/>
      <c r="J1024" s="1500"/>
      <c r="K1024" s="1500"/>
    </row>
    <row r="1025" spans="1:13" ht="12.75" customHeight="1" x14ac:dyDescent="0.3">
      <c r="A1025" s="3" t="str">
        <f>IF(AND(E1025=0,F1025=0,G1025=0,H1025=0,J1025=0),"Do Not Print","Print")</f>
        <v>Print</v>
      </c>
      <c r="D1025" s="474"/>
      <c r="E1025" s="474"/>
      <c r="F1025" s="474"/>
      <c r="G1025" s="474"/>
      <c r="H1025" s="486"/>
      <c r="I1025" s="486" t="s">
        <v>474</v>
      </c>
      <c r="J1025" s="717" t="str">
        <f>'Standing Data'!D34</f>
        <v>2025/26</v>
      </c>
      <c r="K1025" s="717" t="str">
        <f>'Standing Data'!D52</f>
        <v>2024/25</v>
      </c>
      <c r="L1025" s="27"/>
    </row>
    <row r="1026" spans="1:13" ht="12.75" customHeight="1" x14ac:dyDescent="0.3">
      <c r="A1026" s="3" t="str">
        <f>IF(A1025="Print","Print","Do Not Print")</f>
        <v>Print</v>
      </c>
      <c r="D1026" s="474"/>
      <c r="E1026" s="474"/>
      <c r="F1026" s="474"/>
      <c r="G1026" s="474"/>
      <c r="H1026" s="486"/>
      <c r="I1026" s="486"/>
      <c r="J1026" s="714" t="s">
        <v>450</v>
      </c>
      <c r="K1026" s="714" t="s">
        <v>450</v>
      </c>
    </row>
    <row r="1027" spans="1:13" ht="20.25" customHeight="1" x14ac:dyDescent="0.3">
      <c r="A1027" s="3" t="str">
        <f>IF(AND(J1034=0,K1034=0),"Do Not Print","Print")</f>
        <v>Do Not Print</v>
      </c>
      <c r="D1027" s="1738" t="s">
        <v>475</v>
      </c>
      <c r="E1027" s="1803"/>
      <c r="F1027" s="1803"/>
      <c r="G1027" s="1803"/>
      <c r="H1027" s="1739"/>
      <c r="I1027" s="610"/>
      <c r="J1027" s="610"/>
      <c r="K1027" s="610"/>
    </row>
    <row r="1028" spans="1:13" ht="17.25" customHeight="1" x14ac:dyDescent="0.3">
      <c r="A1028" s="3" t="str">
        <f>IF(AND(J1028=0,K1028=0),"Do Not Print","Print")</f>
        <v>Do Not Print</v>
      </c>
      <c r="D1028" s="1738" t="s">
        <v>407</v>
      </c>
      <c r="E1028" s="1803"/>
      <c r="F1028" s="1803"/>
      <c r="G1028" s="1803"/>
      <c r="H1028" s="1739"/>
      <c r="I1028" s="610"/>
      <c r="J1028" s="600">
        <f>'Det BS '!J486</f>
        <v>0</v>
      </c>
      <c r="K1028" s="600">
        <f>'Det BS '!K486</f>
        <v>0</v>
      </c>
    </row>
    <row r="1029" spans="1:13" ht="15.75" customHeight="1" x14ac:dyDescent="0.3">
      <c r="A1029" s="3" t="str">
        <f>IF(AND(J1029=0,K1029=0),"Do Not Print","Print")</f>
        <v>Do Not Print</v>
      </c>
      <c r="D1029" s="1738" t="s">
        <v>476</v>
      </c>
      <c r="E1029" s="1803"/>
      <c r="F1029" s="1803"/>
      <c r="G1029" s="1803"/>
      <c r="H1029" s="1739"/>
      <c r="I1029" s="610"/>
      <c r="J1029" s="601">
        <f>'Det BS '!J493</f>
        <v>0</v>
      </c>
      <c r="K1029" s="600">
        <f>'Det BS '!K493</f>
        <v>0</v>
      </c>
      <c r="L1029" s="3"/>
    </row>
    <row r="1030" spans="1:13" ht="15.75" customHeight="1" x14ac:dyDescent="0.3">
      <c r="A1030" s="3" t="str">
        <f>IF(AND(J1030=0,K1030=0),"Do Not Print","Print")</f>
        <v>Do Not Print</v>
      </c>
      <c r="D1030" s="1738" t="s">
        <v>477</v>
      </c>
      <c r="E1030" s="1803"/>
      <c r="F1030" s="1803"/>
      <c r="G1030" s="1803"/>
      <c r="H1030" s="1739"/>
      <c r="I1030" s="610"/>
      <c r="J1030" s="598">
        <f>'Non TB - Note 12 to 24'!H219</f>
        <v>0</v>
      </c>
      <c r="K1030" s="598">
        <f>'Non TB - Note 12 to 24'!I219</f>
        <v>0</v>
      </c>
      <c r="L1030" s="3"/>
      <c r="M1030" s="711"/>
    </row>
    <row r="1031" spans="1:13" ht="18" customHeight="1" x14ac:dyDescent="0.3">
      <c r="A1031" s="3" t="str">
        <f>IF(AND(J1031=0,K1031=0),"Do Not Print","Print")</f>
        <v>Do Not Print</v>
      </c>
      <c r="D1031" s="1738" t="s">
        <v>478</v>
      </c>
      <c r="E1031" s="1803"/>
      <c r="F1031" s="1803"/>
      <c r="G1031" s="1803"/>
      <c r="H1031" s="1739"/>
      <c r="I1031" s="610"/>
      <c r="J1031" s="600"/>
      <c r="K1031" s="600"/>
    </row>
    <row r="1032" spans="1:13" ht="17.25" customHeight="1" x14ac:dyDescent="0.3">
      <c r="A1032" s="3" t="str">
        <f>IF(AND(J1032=0,K1032=0),"Do Not Print","Print")</f>
        <v>Do Not Print</v>
      </c>
      <c r="D1032" s="1738" t="s">
        <v>479</v>
      </c>
      <c r="E1032" s="1803"/>
      <c r="F1032" s="1803"/>
      <c r="G1032" s="1803"/>
      <c r="H1032" s="1739"/>
      <c r="I1032" s="610"/>
      <c r="J1032" s="600">
        <f>'Input - BS'!O404</f>
        <v>0</v>
      </c>
      <c r="K1032" s="600">
        <f>'Input - BS'!U404</f>
        <v>0</v>
      </c>
      <c r="L1032" s="3"/>
    </row>
    <row r="1033" spans="1:13" ht="13.5" customHeight="1" x14ac:dyDescent="0.3">
      <c r="A1033" s="3" t="str">
        <f>IF(A1032="Print","Print","Do Not Print")</f>
        <v>Do Not Print</v>
      </c>
      <c r="D1033" s="1738"/>
      <c r="E1033" s="1803"/>
      <c r="F1033" s="1803"/>
      <c r="G1033" s="1803"/>
      <c r="H1033" s="1739"/>
      <c r="I1033" s="610"/>
      <c r="J1033" s="600"/>
      <c r="K1033" s="600"/>
    </row>
    <row r="1034" spans="1:13" ht="28.5" customHeight="1" x14ac:dyDescent="0.3">
      <c r="A1034" s="3" t="str">
        <f>IF(AND(J1034=0,K1034=0),"Do Not Print","Print")</f>
        <v>Do Not Print</v>
      </c>
      <c r="D1034" s="1961" t="s">
        <v>480</v>
      </c>
      <c r="E1034" s="1962"/>
      <c r="F1034" s="1962"/>
      <c r="G1034" s="1962"/>
      <c r="H1034" s="1963"/>
      <c r="I1034" s="610"/>
      <c r="J1034" s="600">
        <f>SUM(J1028:J1033)</f>
        <v>0</v>
      </c>
      <c r="K1034" s="600">
        <f>SUM(K1028:K1033)</f>
        <v>0</v>
      </c>
      <c r="L1034" s="3"/>
    </row>
    <row r="1035" spans="1:13" ht="13.5" customHeight="1" x14ac:dyDescent="0.3">
      <c r="A1035" s="3" t="str">
        <f>IF(A1034="Print","Print","Do Not Print")</f>
        <v>Do Not Print</v>
      </c>
      <c r="D1035" s="1738"/>
      <c r="E1035" s="1803"/>
      <c r="F1035" s="1803"/>
      <c r="G1035" s="1803"/>
      <c r="H1035" s="1739"/>
      <c r="I1035" s="610"/>
      <c r="J1035" s="600"/>
      <c r="K1035" s="600"/>
    </row>
    <row r="1036" spans="1:13" ht="13.5" customHeight="1" x14ac:dyDescent="0.3">
      <c r="A1036" s="3" t="str">
        <f>IF(AND(J1034=0,K1034=0),"Do Not Print","Print")</f>
        <v>Do Not Print</v>
      </c>
      <c r="D1036" s="1738" t="s">
        <v>481</v>
      </c>
      <c r="E1036" s="1803"/>
      <c r="F1036" s="1803"/>
      <c r="G1036" s="1803"/>
      <c r="H1036" s="1739"/>
      <c r="I1036" s="610"/>
      <c r="J1036" s="600"/>
      <c r="K1036" s="600"/>
    </row>
    <row r="1037" spans="1:13" ht="29.25" customHeight="1" x14ac:dyDescent="0.3">
      <c r="A1037" s="3" t="str">
        <f>IF(AND(J1037=0,K1037=0),"Do Not Print","Print")</f>
        <v>Do Not Print</v>
      </c>
      <c r="D1037" s="1957" t="s">
        <v>482</v>
      </c>
      <c r="E1037" s="1958"/>
      <c r="F1037" s="1958"/>
      <c r="G1037" s="1958"/>
      <c r="H1037" s="1959"/>
      <c r="I1037" s="610"/>
      <c r="J1037" s="601">
        <f>-J1034</f>
        <v>0</v>
      </c>
      <c r="K1037" s="600">
        <f>-K1034</f>
        <v>0</v>
      </c>
    </row>
    <row r="1038" spans="1:13" ht="25.95" customHeight="1" x14ac:dyDescent="0.3">
      <c r="A1038" s="3" t="str">
        <f>IF(AND(J1038=0,K1038=0),"Do Not Print","Print")</f>
        <v>Do Not Print</v>
      </c>
      <c r="D1038" s="1957" t="s">
        <v>483</v>
      </c>
      <c r="E1038" s="1958"/>
      <c r="F1038" s="1958"/>
      <c r="G1038" s="1958"/>
      <c r="H1038" s="1959"/>
      <c r="I1038" s="610"/>
      <c r="J1038" s="600"/>
      <c r="K1038" s="600"/>
    </row>
    <row r="1039" spans="1:13" ht="16.5" customHeight="1" x14ac:dyDescent="0.3">
      <c r="A1039" s="3" t="str">
        <f>IF(AND(J1039=0,K1039=0),"Do Not Print","Print")</f>
        <v>Do Not Print</v>
      </c>
      <c r="D1039" s="1738" t="s">
        <v>484</v>
      </c>
      <c r="E1039" s="1803"/>
      <c r="F1039" s="1803"/>
      <c r="G1039" s="1803"/>
      <c r="H1039" s="1739"/>
      <c r="I1039" s="610"/>
      <c r="J1039" s="600">
        <f>'Det BS '!J503+'Det BS '!J504</f>
        <v>0</v>
      </c>
      <c r="K1039" s="600">
        <f>'Det BS '!K503+'Det BS '!K504</f>
        <v>0</v>
      </c>
      <c r="L1039" s="3"/>
    </row>
    <row r="1040" spans="1:13" ht="13.5" customHeight="1" x14ac:dyDescent="0.3">
      <c r="A1040" s="3" t="str">
        <f>IF(A1039="Print","Print","Do Not Print")</f>
        <v>Do Not Print</v>
      </c>
      <c r="D1040" s="1738"/>
      <c r="E1040" s="1803"/>
      <c r="F1040" s="1803"/>
      <c r="G1040" s="1803"/>
      <c r="H1040" s="1803"/>
      <c r="I1040" s="1803"/>
      <c r="J1040" s="1803"/>
      <c r="K1040" s="1739"/>
    </row>
    <row r="1041" spans="1:12" ht="13.5" customHeight="1" x14ac:dyDescent="0.3">
      <c r="A1041" s="3" t="str">
        <f>IF(AND(J1041=0,K1041=0),"Do Not Print","Print")</f>
        <v>Do Not Print</v>
      </c>
      <c r="D1041" s="474" t="s">
        <v>1947</v>
      </c>
      <c r="E1041" s="474"/>
      <c r="F1041" s="474"/>
      <c r="G1041" s="474"/>
      <c r="H1041" s="486"/>
      <c r="I1041" s="604"/>
      <c r="J1041" s="606">
        <f>SUM(J1037:J1040)</f>
        <v>0</v>
      </c>
      <c r="K1041" s="606">
        <f>SUM(K1037:K1040)</f>
        <v>0</v>
      </c>
    </row>
    <row r="1042" spans="1:12" ht="13.5" customHeight="1" x14ac:dyDescent="0.3">
      <c r="A1042" s="3" t="str">
        <f>IF(A1041="Print","Print","Do Not Print")</f>
        <v>Do Not Print</v>
      </c>
      <c r="D1042" s="1500"/>
      <c r="E1042" s="1500"/>
      <c r="F1042" s="1500"/>
      <c r="G1042" s="1500"/>
      <c r="H1042" s="1500"/>
      <c r="I1042" s="1500"/>
      <c r="J1042" s="1500"/>
      <c r="K1042" s="1500"/>
    </row>
    <row r="1043" spans="1:12" ht="18" customHeight="1" x14ac:dyDescent="0.3">
      <c r="A1043" s="3" t="str">
        <f>IF('Non TB - Note 12 to 24'!F220=1,"Print","Do Not Print")</f>
        <v>Print</v>
      </c>
      <c r="D1043" s="401" t="str">
        <f>IF('Non TB - Note 12 to 24'!F220=1,'Non TB - Note 12 to 24'!H220,"")</f>
        <v>The service cost figures include an allowance for administration expenses of £xx.</v>
      </c>
    </row>
    <row r="1044" spans="1:12" ht="13.5" customHeight="1" x14ac:dyDescent="0.3">
      <c r="A1044" s="3" t="str">
        <f>IF(A1043="Print","Print","Do Not Print")</f>
        <v>Print</v>
      </c>
      <c r="D1044" s="1500"/>
      <c r="E1044" s="1500"/>
      <c r="F1044" s="1500"/>
      <c r="G1044" s="1500"/>
      <c r="H1044" s="1500"/>
      <c r="I1044" s="1500"/>
      <c r="J1044" s="1500"/>
      <c r="K1044" s="1500"/>
    </row>
    <row r="1045" spans="1:12" ht="28.5" customHeight="1" x14ac:dyDescent="0.3">
      <c r="A1045" s="3" t="str">
        <f>IF(AND(J1053=0,K1053=0),"Do Not Print","Print")</f>
        <v>Do Not Print</v>
      </c>
      <c r="D1045" s="1764" t="s">
        <v>487</v>
      </c>
      <c r="E1045" s="1764"/>
      <c r="F1045" s="1764"/>
      <c r="G1045" s="1764"/>
      <c r="H1045" s="486"/>
      <c r="I1045" s="486" t="s">
        <v>474</v>
      </c>
      <c r="J1045" s="717" t="str">
        <f>J1025</f>
        <v>2025/26</v>
      </c>
      <c r="K1045" s="717" t="str">
        <f>K1025</f>
        <v>2024/25</v>
      </c>
    </row>
    <row r="1046" spans="1:12" ht="13.5" customHeight="1" x14ac:dyDescent="0.3">
      <c r="A1046" s="3" t="str">
        <f>IF(A1045="Print","Print","Do Not Print")</f>
        <v>Do Not Print</v>
      </c>
      <c r="D1046" s="474"/>
      <c r="E1046" s="474"/>
      <c r="F1046" s="474"/>
      <c r="G1046" s="474"/>
      <c r="H1046" s="486"/>
      <c r="I1046" s="604"/>
      <c r="J1046" s="717" t="str">
        <f>J1026</f>
        <v>£</v>
      </c>
      <c r="K1046" s="717" t="str">
        <f>K1026</f>
        <v>£</v>
      </c>
    </row>
    <row r="1047" spans="1:12" ht="18" customHeight="1" x14ac:dyDescent="0.3">
      <c r="A1047" s="3" t="str">
        <f>IF(AND(K1047=0,J1047=0),"Do Not Print","Print")</f>
        <v>Do Not Print</v>
      </c>
      <c r="D1047" s="1738" t="s">
        <v>488</v>
      </c>
      <c r="E1047" s="1803"/>
      <c r="F1047" s="1803"/>
      <c r="G1047" s="1803"/>
      <c r="H1047" s="1739"/>
      <c r="I1047" s="718"/>
      <c r="J1047" s="601">
        <f>-'Det BS '!J489</f>
        <v>0</v>
      </c>
      <c r="K1047" s="600">
        <f>-'Det BS '!K489</f>
        <v>0</v>
      </c>
      <c r="L1047" s="3"/>
    </row>
    <row r="1048" spans="1:12" ht="18.75" customHeight="1" x14ac:dyDescent="0.3">
      <c r="A1048" s="3" t="str">
        <f>IF(AND(K1048=0,J1048=0),"Do Not Print","Print")</f>
        <v>Do Not Print</v>
      </c>
      <c r="D1048" s="1964" t="s">
        <v>1928</v>
      </c>
      <c r="E1048" s="1965"/>
      <c r="F1048" s="1965"/>
      <c r="G1048" s="1965"/>
      <c r="H1048" s="1966"/>
      <c r="I1048" s="863"/>
      <c r="J1048" s="601">
        <f>-'Det BS '!J490</f>
        <v>0</v>
      </c>
      <c r="K1048" s="600">
        <f>-'Det BS '!K490</f>
        <v>0</v>
      </c>
      <c r="L1048" s="3"/>
    </row>
    <row r="1049" spans="1:12" ht="15.75" customHeight="1" x14ac:dyDescent="0.3">
      <c r="A1049" s="3" t="str">
        <f>IF(AND(K1049=0,J1049=0),"Do Not Print","Print")</f>
        <v>Do Not Print</v>
      </c>
      <c r="D1049" s="1738" t="s">
        <v>489</v>
      </c>
      <c r="E1049" s="1803"/>
      <c r="F1049" s="1803"/>
      <c r="G1049" s="1803"/>
      <c r="H1049" s="1739"/>
      <c r="I1049" s="718"/>
      <c r="J1049" s="601">
        <f>-'Det BS '!J491</f>
        <v>0</v>
      </c>
      <c r="K1049" s="600">
        <f>-'Det BS '!K491</f>
        <v>0</v>
      </c>
      <c r="L1049" s="3"/>
    </row>
    <row r="1050" spans="1:12" ht="16.5" customHeight="1" x14ac:dyDescent="0.3">
      <c r="A1050" s="3" t="str">
        <f>IF(AND(K1050=0,J1050=0),"Do Not Print","Print")</f>
        <v>Do Not Print</v>
      </c>
      <c r="D1050" s="1738" t="s">
        <v>490</v>
      </c>
      <c r="E1050" s="1803"/>
      <c r="F1050" s="1803"/>
      <c r="G1050" s="1803"/>
      <c r="H1050" s="1739"/>
      <c r="I1050" s="610"/>
      <c r="J1050" s="601">
        <f>-'Det BS '!J505</f>
        <v>0</v>
      </c>
      <c r="K1050" s="600">
        <f>-'Det BS '!K505</f>
        <v>0</v>
      </c>
    </row>
    <row r="1051" spans="1:12" ht="16.5" customHeight="1" x14ac:dyDescent="0.3">
      <c r="A1051" s="3" t="str">
        <f>IF(AND(K1051=0,J1051=0),"Do Not Print","Print")</f>
        <v>Do Not Print</v>
      </c>
      <c r="D1051" s="1738" t="s">
        <v>373</v>
      </c>
      <c r="E1051" s="1803"/>
      <c r="F1051" s="1803"/>
      <c r="G1051" s="1803"/>
      <c r="H1051" s="1739"/>
      <c r="I1051" s="610"/>
      <c r="J1051" s="601">
        <f>'Non TB - Note 12 to 24'!H221</f>
        <v>0</v>
      </c>
      <c r="K1051" s="601">
        <f>'Non TB - Note 12 to 24'!I221</f>
        <v>0</v>
      </c>
      <c r="L1051" s="3"/>
    </row>
    <row r="1052" spans="1:12" ht="13.5" customHeight="1" x14ac:dyDescent="0.3">
      <c r="A1052" s="3" t="str">
        <f>IF(A1051="Print","Print","Do Not Print")</f>
        <v>Do Not Print</v>
      </c>
      <c r="D1052" s="1738"/>
      <c r="E1052" s="1803"/>
      <c r="F1052" s="1803"/>
      <c r="G1052" s="1803"/>
      <c r="H1052" s="1803"/>
      <c r="I1052" s="1803"/>
      <c r="J1052" s="1803"/>
      <c r="K1052" s="1739"/>
    </row>
    <row r="1053" spans="1:12" ht="27" customHeight="1" x14ac:dyDescent="0.3">
      <c r="A1053" s="3" t="str">
        <f>IF(AND(K1053=0,J1053=0),"Do Not Print","Print")</f>
        <v>Do Not Print</v>
      </c>
      <c r="D1053" s="2007" t="s">
        <v>492</v>
      </c>
      <c r="E1053" s="2007"/>
      <c r="F1053" s="2007"/>
      <c r="G1053" s="2007"/>
      <c r="H1053" s="2007"/>
      <c r="I1053" s="2007"/>
      <c r="J1053" s="606">
        <f>SUM(J1047:J1052)</f>
        <v>0</v>
      </c>
      <c r="K1053" s="606">
        <f>SUM(K1047:K1052)</f>
        <v>0</v>
      </c>
    </row>
    <row r="1054" spans="1:12" ht="13.5" customHeight="1" x14ac:dyDescent="0.3">
      <c r="A1054" s="3" t="str">
        <f>IF(A1053="Print","Print","Do Not Print")</f>
        <v>Do Not Print</v>
      </c>
      <c r="D1054" s="401"/>
    </row>
    <row r="1055" spans="1:12" ht="15.75" customHeight="1" x14ac:dyDescent="0.3">
      <c r="A1055" s="3" t="str">
        <f>IF(AND(J1073=0,K1073=0),"Do Not Print","Print")</f>
        <v>Do Not Print</v>
      </c>
      <c r="C1055" s="585" t="str">
        <f>Checklist!E120</f>
        <v>c</v>
      </c>
      <c r="D1055" s="1793" t="s">
        <v>312</v>
      </c>
      <c r="E1055" s="1793"/>
      <c r="F1055" s="1793"/>
      <c r="G1055" s="1793"/>
      <c r="H1055" s="1793"/>
      <c r="I1055" s="1793"/>
      <c r="J1055" s="1793"/>
      <c r="K1055" s="1793"/>
    </row>
    <row r="1056" spans="1:12" ht="12.75" customHeight="1" x14ac:dyDescent="0.3">
      <c r="A1056" s="3" t="str">
        <f>IF(AND(E1056=0,F1056=0,G1056=0,H1056=0,J1056=0),"Do Not Print","Print")</f>
        <v>Print</v>
      </c>
      <c r="D1056" s="474" t="s">
        <v>493</v>
      </c>
      <c r="E1056" s="474"/>
      <c r="F1056" s="474"/>
      <c r="G1056" s="474"/>
      <c r="H1056" s="486"/>
      <c r="I1056" s="486" t="s">
        <v>474</v>
      </c>
      <c r="J1056" s="717" t="str">
        <f>J1025</f>
        <v>2025/26</v>
      </c>
      <c r="K1056" s="717" t="str">
        <f>K1025</f>
        <v>2024/25</v>
      </c>
    </row>
    <row r="1057" spans="1:12" ht="12.75" customHeight="1" x14ac:dyDescent="0.3">
      <c r="A1057" s="3" t="str">
        <f>IF(A1056="Print","Print","Do Not Print")</f>
        <v>Print</v>
      </c>
      <c r="D1057" s="474"/>
      <c r="E1057" s="474"/>
      <c r="F1057" s="474"/>
      <c r="G1057" s="474"/>
      <c r="H1057" s="486"/>
      <c r="I1057" s="486"/>
      <c r="J1057" s="717" t="s">
        <v>450</v>
      </c>
      <c r="K1057" s="717" t="s">
        <v>450</v>
      </c>
    </row>
    <row r="1058" spans="1:12" ht="13.5" customHeight="1" x14ac:dyDescent="0.3">
      <c r="A1058" s="3" t="str">
        <f>IF(AND(J1058=0,K1058=0),"Do Not Print","Print")</f>
        <v>Do Not Print</v>
      </c>
      <c r="D1058" s="1738" t="s">
        <v>406</v>
      </c>
      <c r="E1058" s="1803"/>
      <c r="F1058" s="1803"/>
      <c r="G1058" s="1803"/>
      <c r="H1058" s="1739"/>
      <c r="I1058" s="506"/>
      <c r="J1058" s="540">
        <f>'Det BS '!J485</f>
        <v>0</v>
      </c>
      <c r="K1058" s="540">
        <f>'Det BS '!K485</f>
        <v>0</v>
      </c>
    </row>
    <row r="1059" spans="1:12" ht="13.5" customHeight="1" x14ac:dyDescent="0.3">
      <c r="A1059" s="3" t="str">
        <f>IF(AND(J1059=0,K1059=0),"Do Not Print","Print")</f>
        <v>Do Not Print</v>
      </c>
      <c r="D1059" s="1738" t="s">
        <v>407</v>
      </c>
      <c r="E1059" s="1803"/>
      <c r="F1059" s="1803"/>
      <c r="G1059" s="1803"/>
      <c r="H1059" s="1739"/>
      <c r="I1059" s="506"/>
      <c r="J1059" s="540">
        <f>'Det BS '!J486</f>
        <v>0</v>
      </c>
      <c r="K1059" s="540">
        <f>'Det BS '!K486</f>
        <v>0</v>
      </c>
    </row>
    <row r="1060" spans="1:12" ht="13.5" customHeight="1" x14ac:dyDescent="0.3">
      <c r="A1060" s="3" t="str">
        <f>IF(AND(J1060=0,K1060=0),"Do Not Print","Print")</f>
        <v>Do Not Print</v>
      </c>
      <c r="D1060" s="1738" t="s">
        <v>408</v>
      </c>
      <c r="E1060" s="1803"/>
      <c r="F1060" s="1803"/>
      <c r="G1060" s="1803"/>
      <c r="H1060" s="1739"/>
      <c r="I1060" s="506"/>
      <c r="J1060" s="540">
        <f>'Det BS '!J487</f>
        <v>0</v>
      </c>
      <c r="K1060" s="540">
        <f>'Det BS '!K487</f>
        <v>0</v>
      </c>
    </row>
    <row r="1061" spans="1:12" ht="13.5" customHeight="1" x14ac:dyDescent="0.3">
      <c r="A1061" s="3" t="str">
        <f>IF(AND(J1061=0,K1061=0),"Do Not Print","Print")</f>
        <v>Do Not Print</v>
      </c>
      <c r="D1061" s="1738" t="s">
        <v>494</v>
      </c>
      <c r="E1061" s="1803"/>
      <c r="F1061" s="1803"/>
      <c r="G1061" s="1803"/>
      <c r="H1061" s="1739"/>
      <c r="I1061" s="506"/>
      <c r="J1061" s="540">
        <f>'Det BS '!J488</f>
        <v>0</v>
      </c>
      <c r="K1061" s="540">
        <f>'Det BS '!K488</f>
        <v>0</v>
      </c>
    </row>
    <row r="1062" spans="1:12" ht="13.5" customHeight="1" x14ac:dyDescent="0.3">
      <c r="A1062" s="3" t="str">
        <f>IF(OR(A1063="Print",A1064="Print",A1065="Print",A1066="Print",A1067="Print",A1068="Print",A1069="Print",A1070="Print",A1071="Print"),"Print","Do Not Print")</f>
        <v>Do Not Print</v>
      </c>
      <c r="D1062" s="1738" t="s">
        <v>495</v>
      </c>
      <c r="E1062" s="1803"/>
      <c r="F1062" s="1803"/>
      <c r="G1062" s="1803"/>
      <c r="H1062" s="1739"/>
      <c r="I1062" s="506"/>
      <c r="J1062" s="540"/>
      <c r="K1062" s="540"/>
    </row>
    <row r="1063" spans="1:12" ht="13.5" customHeight="1" x14ac:dyDescent="0.3">
      <c r="A1063" s="3" t="str">
        <f>IF(AND(J1063=0,K1063=0),"Do Not Print","Print")</f>
        <v>Do Not Print</v>
      </c>
      <c r="D1063" s="2009"/>
      <c r="E1063" s="1738" t="s">
        <v>858</v>
      </c>
      <c r="F1063" s="1803"/>
      <c r="G1063" s="1803"/>
      <c r="H1063" s="1739"/>
      <c r="I1063" s="506"/>
      <c r="J1063" s="540">
        <f>'Det BS '!J489</f>
        <v>0</v>
      </c>
      <c r="K1063" s="540">
        <f>'Det BS '!K489</f>
        <v>0</v>
      </c>
    </row>
    <row r="1064" spans="1:12" ht="13.5" customHeight="1" x14ac:dyDescent="0.3">
      <c r="A1064" s="3" t="str">
        <f t="shared" ref="A1064:A1070" si="54">IF(AND(J1064=0,K1064=0),"Do Not Print","Print")</f>
        <v>Do Not Print</v>
      </c>
      <c r="D1064" s="2010"/>
      <c r="E1064" s="1738" t="s">
        <v>859</v>
      </c>
      <c r="F1064" s="1803"/>
      <c r="G1064" s="1803"/>
      <c r="H1064" s="1739"/>
      <c r="I1064" s="506"/>
      <c r="J1064" s="540">
        <f>'Det BS '!J490</f>
        <v>0</v>
      </c>
      <c r="K1064" s="540">
        <f>'Det BS '!K490</f>
        <v>0</v>
      </c>
    </row>
    <row r="1065" spans="1:12" ht="13.5" customHeight="1" x14ac:dyDescent="0.3">
      <c r="A1065" s="3" t="str">
        <f t="shared" si="54"/>
        <v>Do Not Print</v>
      </c>
      <c r="D1065" s="2010"/>
      <c r="E1065" s="1738" t="s">
        <v>860</v>
      </c>
      <c r="F1065" s="1803"/>
      <c r="G1065" s="1803"/>
      <c r="H1065" s="1739"/>
      <c r="I1065" s="506"/>
      <c r="J1065" s="540">
        <f>'Det BS '!J491</f>
        <v>0</v>
      </c>
      <c r="K1065" s="540">
        <f>'Det BS '!K491</f>
        <v>0</v>
      </c>
      <c r="L1065" s="3"/>
    </row>
    <row r="1066" spans="1:12" ht="13.5" customHeight="1" x14ac:dyDescent="0.3">
      <c r="A1066" s="3" t="str">
        <f t="shared" si="54"/>
        <v>Do Not Print</v>
      </c>
      <c r="D1066" s="2011"/>
      <c r="E1066" s="1738" t="s">
        <v>861</v>
      </c>
      <c r="F1066" s="1803"/>
      <c r="G1066" s="1803"/>
      <c r="H1066" s="1739"/>
      <c r="I1066" s="506"/>
      <c r="J1066" s="524">
        <f>'Det BS '!J492</f>
        <v>0</v>
      </c>
      <c r="K1066" s="524">
        <f>'Det BS '!K492</f>
        <v>0</v>
      </c>
    </row>
    <row r="1067" spans="1:12" ht="13.5" customHeight="1" x14ac:dyDescent="0.3">
      <c r="A1067" s="3" t="str">
        <f t="shared" si="54"/>
        <v>Do Not Print</v>
      </c>
      <c r="D1067" s="1738" t="s">
        <v>497</v>
      </c>
      <c r="E1067" s="1803"/>
      <c r="F1067" s="1803"/>
      <c r="G1067" s="1803"/>
      <c r="H1067" s="1739"/>
      <c r="I1067" s="506"/>
      <c r="J1067" s="540">
        <f>'Det BS '!J493</f>
        <v>0</v>
      </c>
      <c r="K1067" s="540">
        <f>'Det BS '!K493</f>
        <v>0</v>
      </c>
      <c r="L1067" s="3"/>
    </row>
    <row r="1068" spans="1:12" x14ac:dyDescent="0.3">
      <c r="A1068" s="3" t="str">
        <f t="shared" si="54"/>
        <v>Do Not Print</v>
      </c>
      <c r="D1068" s="1738" t="s">
        <v>498</v>
      </c>
      <c r="E1068" s="1803"/>
      <c r="F1068" s="1803"/>
      <c r="G1068" s="1803"/>
      <c r="H1068" s="1739"/>
      <c r="I1068" s="506"/>
      <c r="J1068" s="540">
        <f>'Det BS '!J494</f>
        <v>0</v>
      </c>
      <c r="K1068" s="540">
        <f>'Det BS '!K494</f>
        <v>0</v>
      </c>
    </row>
    <row r="1069" spans="1:12" x14ac:dyDescent="0.3">
      <c r="A1069" s="3" t="str">
        <f t="shared" si="54"/>
        <v>Do Not Print</v>
      </c>
      <c r="D1069" s="1738" t="s">
        <v>499</v>
      </c>
      <c r="E1069" s="1803"/>
      <c r="F1069" s="1803"/>
      <c r="G1069" s="1803"/>
      <c r="H1069" s="1739"/>
      <c r="I1069" s="506"/>
      <c r="J1069" s="540">
        <f>'Det BS '!J495</f>
        <v>0</v>
      </c>
      <c r="K1069" s="540">
        <f>'Det BS '!K495</f>
        <v>0</v>
      </c>
    </row>
    <row r="1070" spans="1:12" ht="13.5" customHeight="1" x14ac:dyDescent="0.3">
      <c r="A1070" s="3" t="str">
        <f t="shared" si="54"/>
        <v>Do Not Print</v>
      </c>
      <c r="D1070" s="1738" t="s">
        <v>411</v>
      </c>
      <c r="E1070" s="1803"/>
      <c r="F1070" s="1803"/>
      <c r="G1070" s="1803"/>
      <c r="H1070" s="1739"/>
      <c r="I1070" s="506"/>
      <c r="J1070" s="540">
        <f>'Det BS '!J496</f>
        <v>0</v>
      </c>
      <c r="K1070" s="540">
        <f>'Det BS '!K496</f>
        <v>0</v>
      </c>
      <c r="L1070" s="3"/>
    </row>
    <row r="1071" spans="1:12" ht="13.5" customHeight="1" x14ac:dyDescent="0.3">
      <c r="A1071" s="3" t="str">
        <f>IF(AND(J1071=0,K1071=0),"Do Not Print","Print")</f>
        <v>Do Not Print</v>
      </c>
      <c r="D1071" s="1738" t="s">
        <v>412</v>
      </c>
      <c r="E1071" s="1803"/>
      <c r="F1071" s="1803"/>
      <c r="G1071" s="1803"/>
      <c r="H1071" s="1739"/>
      <c r="I1071" s="506"/>
      <c r="J1071" s="540">
        <f>'Det BS '!J497</f>
        <v>0</v>
      </c>
      <c r="K1071" s="540">
        <f>'Det BS '!K497</f>
        <v>0</v>
      </c>
      <c r="L1071" s="3"/>
    </row>
    <row r="1072" spans="1:12" ht="13.5" customHeight="1" x14ac:dyDescent="0.3">
      <c r="A1072" s="3" t="str">
        <f>IF(A1071="Print","Print","Do Not Print")</f>
        <v>Do Not Print</v>
      </c>
      <c r="D1072" s="1738"/>
      <c r="E1072" s="1803"/>
      <c r="F1072" s="1803"/>
      <c r="G1072" s="1803"/>
      <c r="H1072" s="1803"/>
      <c r="I1072" s="1739"/>
      <c r="J1072" s="619"/>
      <c r="K1072" s="619"/>
    </row>
    <row r="1073" spans="1:13" ht="13.5" customHeight="1" x14ac:dyDescent="0.3">
      <c r="A1073" s="3" t="str">
        <f>IF(AND(J1073=0,K1073=0),"Do Not Print","Print")</f>
        <v>Do Not Print</v>
      </c>
      <c r="D1073" s="474" t="s">
        <v>500</v>
      </c>
      <c r="E1073" s="474"/>
      <c r="F1073" s="474"/>
      <c r="G1073" s="474"/>
      <c r="H1073" s="486"/>
      <c r="I1073" s="604"/>
      <c r="J1073" s="511">
        <f>SUM(J1058:J1072)</f>
        <v>0</v>
      </c>
      <c r="K1073" s="511">
        <f>SUM(K1058:K1072)</f>
        <v>0</v>
      </c>
    </row>
    <row r="1074" spans="1:13" ht="13.5" customHeight="1" x14ac:dyDescent="0.3">
      <c r="A1074" s="3" t="str">
        <f>IF(A1073="Print","Print","Do Not Print")</f>
        <v>Do Not Print</v>
      </c>
      <c r="D1074" s="1500"/>
      <c r="E1074" s="1500"/>
      <c r="F1074" s="1500"/>
      <c r="G1074" s="1500"/>
      <c r="H1074" s="1500"/>
      <c r="I1074" s="1500"/>
      <c r="J1074" s="1500"/>
      <c r="K1074" s="1500"/>
    </row>
    <row r="1075" spans="1:13" ht="12.75" customHeight="1" x14ac:dyDescent="0.3">
      <c r="A1075" s="3" t="str">
        <f>IF(AND(J1087=0,K1087=0),"Do Not Print","Print")</f>
        <v>Do Not Print</v>
      </c>
      <c r="D1075" s="474" t="s">
        <v>501</v>
      </c>
      <c r="E1075" s="474"/>
      <c r="F1075" s="474"/>
      <c r="G1075" s="474"/>
      <c r="H1075" s="486"/>
      <c r="I1075" s="486" t="s">
        <v>474</v>
      </c>
      <c r="J1075" s="717" t="str">
        <f>J1025</f>
        <v>2025/26</v>
      </c>
      <c r="K1075" s="717" t="str">
        <f>K1025</f>
        <v>2024/25</v>
      </c>
    </row>
    <row r="1076" spans="1:13" ht="12.75" customHeight="1" x14ac:dyDescent="0.3">
      <c r="A1076" s="3" t="str">
        <f>IF(A1075="Print","Print","Do Not Print")</f>
        <v>Do Not Print</v>
      </c>
      <c r="D1076" s="474"/>
      <c r="E1076" s="474"/>
      <c r="F1076" s="474"/>
      <c r="G1076" s="474"/>
      <c r="H1076" s="486"/>
      <c r="I1076" s="486"/>
      <c r="J1076" s="717" t="s">
        <v>450</v>
      </c>
      <c r="K1076" s="717" t="s">
        <v>450</v>
      </c>
    </row>
    <row r="1077" spans="1:13" ht="13.5" customHeight="1" x14ac:dyDescent="0.3">
      <c r="A1077" s="3" t="str">
        <f>IF(AND(J1077=0,K1077=0),"Do Not Print","Print")</f>
        <v>Do Not Print</v>
      </c>
      <c r="D1077" s="1738" t="s">
        <v>406</v>
      </c>
      <c r="E1077" s="1803"/>
      <c r="F1077" s="1803"/>
      <c r="G1077" s="1803"/>
      <c r="H1077" s="1739"/>
      <c r="I1077" s="506"/>
      <c r="J1077" s="540">
        <f>'Det BS '!J500</f>
        <v>0</v>
      </c>
      <c r="K1077" s="540">
        <f>'Det BS '!K500</f>
        <v>0</v>
      </c>
    </row>
    <row r="1078" spans="1:13" ht="13.5" customHeight="1" x14ac:dyDescent="0.3">
      <c r="A1078" s="3" t="str">
        <f t="shared" ref="A1078:A1085" si="55">IF(AND(J1078=0,K1078=0),"Do Not Print","Print")</f>
        <v>Do Not Print</v>
      </c>
      <c r="D1078" s="1738" t="s">
        <v>502</v>
      </c>
      <c r="E1078" s="1803"/>
      <c r="F1078" s="1803"/>
      <c r="G1078" s="1803"/>
      <c r="H1078" s="1739"/>
      <c r="I1078" s="506"/>
      <c r="J1078" s="540">
        <f>'Det BS '!J501</f>
        <v>0</v>
      </c>
      <c r="K1078" s="540">
        <f>'Det BS '!K501</f>
        <v>0</v>
      </c>
    </row>
    <row r="1079" spans="1:13" ht="13.5" customHeight="1" x14ac:dyDescent="0.3">
      <c r="A1079" s="3" t="str">
        <f t="shared" si="55"/>
        <v>Do Not Print</v>
      </c>
      <c r="D1079" s="1738" t="s">
        <v>494</v>
      </c>
      <c r="E1079" s="1803"/>
      <c r="F1079" s="1803"/>
      <c r="G1079" s="1803"/>
      <c r="H1079" s="1739"/>
      <c r="I1079" s="506"/>
      <c r="J1079" s="540">
        <f>'Det BS '!J502</f>
        <v>0</v>
      </c>
      <c r="K1079" s="540">
        <f>'Det BS '!K502</f>
        <v>0</v>
      </c>
    </row>
    <row r="1080" spans="1:13" ht="13.5" customHeight="1" x14ac:dyDescent="0.3">
      <c r="A1080" s="3" t="str">
        <f t="shared" si="55"/>
        <v>Do Not Print</v>
      </c>
      <c r="D1080" s="1738" t="s">
        <v>415</v>
      </c>
      <c r="E1080" s="1803"/>
      <c r="F1080" s="1803"/>
      <c r="G1080" s="1803"/>
      <c r="H1080" s="1739"/>
      <c r="I1080" s="506"/>
      <c r="J1080" s="540">
        <f>'Det BS '!J503</f>
        <v>0</v>
      </c>
      <c r="K1080" s="540">
        <f>'Det BS '!K503</f>
        <v>0</v>
      </c>
    </row>
    <row r="1081" spans="1:13" ht="13.5" customHeight="1" x14ac:dyDescent="0.3">
      <c r="A1081" s="3" t="str">
        <f t="shared" si="55"/>
        <v>Do Not Print</v>
      </c>
      <c r="D1081" s="1738" t="s">
        <v>416</v>
      </c>
      <c r="E1081" s="1803"/>
      <c r="F1081" s="1803"/>
      <c r="G1081" s="1803"/>
      <c r="H1081" s="1739"/>
      <c r="I1081" s="506"/>
      <c r="J1081" s="540">
        <f>'Det BS '!J504</f>
        <v>0</v>
      </c>
      <c r="K1081" s="540">
        <f>'Det BS '!K504</f>
        <v>0</v>
      </c>
    </row>
    <row r="1082" spans="1:13" ht="13.5" customHeight="1" x14ac:dyDescent="0.3">
      <c r="A1082" s="3" t="str">
        <f t="shared" si="55"/>
        <v>Do Not Print</v>
      </c>
      <c r="D1082" s="1738" t="s">
        <v>503</v>
      </c>
      <c r="E1082" s="1803"/>
      <c r="F1082" s="1803"/>
      <c r="G1082" s="1803"/>
      <c r="H1082" s="1739"/>
      <c r="I1082" s="506"/>
      <c r="J1082" s="540">
        <f>-'Det BS '!J505</f>
        <v>0</v>
      </c>
      <c r="K1082" s="540">
        <f>-'Det BS '!K505</f>
        <v>0</v>
      </c>
    </row>
    <row r="1083" spans="1:13" x14ac:dyDescent="0.3">
      <c r="A1083" s="3" t="str">
        <f t="shared" si="55"/>
        <v>Do Not Print</v>
      </c>
      <c r="D1083" s="1738" t="s">
        <v>504</v>
      </c>
      <c r="E1083" s="1803"/>
      <c r="F1083" s="1803"/>
      <c r="G1083" s="1803"/>
      <c r="H1083" s="1739"/>
      <c r="I1083" s="506"/>
      <c r="J1083" s="540">
        <f>'Det BS '!J506</f>
        <v>0</v>
      </c>
      <c r="K1083" s="540">
        <f>'Det BS '!K506</f>
        <v>0</v>
      </c>
    </row>
    <row r="1084" spans="1:13" ht="13.5" customHeight="1" x14ac:dyDescent="0.3">
      <c r="A1084" s="3" t="str">
        <f t="shared" si="55"/>
        <v>Do Not Print</v>
      </c>
      <c r="D1084" s="1738" t="s">
        <v>417</v>
      </c>
      <c r="E1084" s="1803"/>
      <c r="F1084" s="1803"/>
      <c r="G1084" s="1803"/>
      <c r="H1084" s="1739"/>
      <c r="I1084" s="506"/>
      <c r="J1084" s="540">
        <f>'Det BS '!J507</f>
        <v>0</v>
      </c>
      <c r="K1084" s="540">
        <f>'Det BS '!K507</f>
        <v>0</v>
      </c>
      <c r="M1084" s="3"/>
    </row>
    <row r="1085" spans="1:13" ht="13.5" customHeight="1" x14ac:dyDescent="0.3">
      <c r="A1085" s="3" t="str">
        <f t="shared" si="55"/>
        <v>Do Not Print</v>
      </c>
      <c r="D1085" s="1738" t="s">
        <v>418</v>
      </c>
      <c r="E1085" s="1803"/>
      <c r="F1085" s="1803"/>
      <c r="G1085" s="1803"/>
      <c r="H1085" s="1739"/>
      <c r="I1085" s="506"/>
      <c r="J1085" s="540">
        <f>'Det BS '!J508</f>
        <v>0</v>
      </c>
      <c r="K1085" s="540">
        <f>'Det BS '!K508</f>
        <v>0</v>
      </c>
    </row>
    <row r="1086" spans="1:13" ht="13.5" customHeight="1" x14ac:dyDescent="0.3">
      <c r="A1086" s="3" t="str">
        <f>IF(A1085="Print","Print","Do Not Print")</f>
        <v>Do Not Print</v>
      </c>
      <c r="D1086" s="1738"/>
      <c r="E1086" s="1803"/>
      <c r="F1086" s="1803"/>
      <c r="G1086" s="1803"/>
      <c r="H1086" s="1803"/>
      <c r="I1086" s="1803"/>
      <c r="J1086" s="1803"/>
      <c r="K1086" s="1739"/>
    </row>
    <row r="1087" spans="1:13" ht="13.5" customHeight="1" x14ac:dyDescent="0.3">
      <c r="A1087" s="3" t="str">
        <f>IF(AND(J1087=0,K1087=0),"Do Not Print","Print")</f>
        <v>Do Not Print</v>
      </c>
      <c r="D1087" s="474" t="s">
        <v>500</v>
      </c>
      <c r="E1087" s="474"/>
      <c r="F1087" s="474"/>
      <c r="G1087" s="474"/>
      <c r="H1087" s="486"/>
      <c r="I1087" s="604"/>
      <c r="J1087" s="606">
        <f>SUM(J1077:J1086)</f>
        <v>0</v>
      </c>
      <c r="K1087" s="606">
        <f>SUM(K1077:K1086)</f>
        <v>0</v>
      </c>
    </row>
    <row r="1088" spans="1:13" ht="13.5" customHeight="1" x14ac:dyDescent="0.3">
      <c r="A1088" s="3" t="str">
        <f>IF(A1087="Print","Print","Do Not Print")</f>
        <v>Do Not Print</v>
      </c>
      <c r="D1088" s="1500"/>
      <c r="E1088" s="1500"/>
      <c r="F1088" s="1500"/>
      <c r="G1088" s="1500"/>
      <c r="H1088" s="1500"/>
      <c r="I1088" s="1500"/>
      <c r="J1088" s="1500"/>
      <c r="K1088" s="1500"/>
    </row>
    <row r="1089" spans="1:19" ht="41.1" customHeight="1" x14ac:dyDescent="0.3">
      <c r="A1089" s="3" t="str">
        <f>IF('Non TB - Note 12 to 24'!F222=1,"Print","Do Not Print")</f>
        <v>Print</v>
      </c>
      <c r="D1089" s="1504" t="str">
        <f>IF('Non TB - Note 12 to 24'!F222=1,'Non TB - Note 12 to 24'!H222,"")</f>
        <v>The expected return on scheme assets is determined by considering the expected returns available on the assets underlying the current investment policy.  Expected yields on fixed interest investments are based on gross redemption yields as at the Balance Sheet date.  Expected returns on equity investments reflect long-term real rates of return experienced in the respective markets.</v>
      </c>
      <c r="E1089" s="1504"/>
      <c r="F1089" s="1504"/>
      <c r="G1089" s="1504"/>
      <c r="H1089" s="1504"/>
      <c r="I1089" s="1504"/>
      <c r="J1089" s="1504"/>
      <c r="K1089" s="1504"/>
      <c r="M1089" s="79"/>
      <c r="N1089" s="79"/>
      <c r="O1089" s="79"/>
      <c r="P1089" s="79"/>
      <c r="Q1089" s="79"/>
      <c r="R1089" s="79"/>
      <c r="S1089" s="79"/>
    </row>
    <row r="1090" spans="1:19" ht="13.5" customHeight="1" x14ac:dyDescent="0.3">
      <c r="A1090" s="3" t="str">
        <f>IF(A1089="Print","Print","Do Not Print")</f>
        <v>Print</v>
      </c>
      <c r="D1090" s="1500"/>
      <c r="E1090" s="1500"/>
      <c r="F1090" s="1500"/>
      <c r="G1090" s="1500"/>
      <c r="H1090" s="1500"/>
      <c r="I1090" s="1500"/>
      <c r="J1090" s="1500"/>
      <c r="K1090" s="1500"/>
    </row>
    <row r="1091" spans="1:19" ht="13.5" customHeight="1" x14ac:dyDescent="0.3">
      <c r="A1091" s="3" t="str">
        <f>IF('Non TB - Note 12 to 24'!F223=1,"Print","Do Not Print")</f>
        <v>Print</v>
      </c>
      <c r="D1091" s="1542" t="str">
        <f>IF('Non TB - Note 12 to 24'!F223=1,'Non TB - Note 12 to 24'!H223,"")</f>
        <v>The actual return on scheme assets in the year was a gain of £xx (2024/25 gain of £xx).</v>
      </c>
      <c r="E1091" s="1542"/>
      <c r="F1091" s="1542"/>
      <c r="G1091" s="1542"/>
      <c r="H1091" s="1542"/>
      <c r="I1091" s="1542"/>
      <c r="J1091" s="1542"/>
      <c r="K1091" s="1542"/>
    </row>
    <row r="1092" spans="1:19" ht="13.5" customHeight="1" x14ac:dyDescent="0.3">
      <c r="A1092" s="3" t="str">
        <f>IF(A1091="Print","Print","Do Not Print")</f>
        <v>Print</v>
      </c>
      <c r="D1092" s="1500"/>
      <c r="E1092" s="1500"/>
      <c r="F1092" s="1500"/>
      <c r="G1092" s="1500"/>
      <c r="H1092" s="1500"/>
      <c r="I1092" s="1500"/>
      <c r="J1092" s="1500"/>
      <c r="K1092" s="1500"/>
    </row>
    <row r="1093" spans="1:19" ht="13.5" customHeight="1" x14ac:dyDescent="0.3">
      <c r="A1093" s="3" t="str">
        <f>IF(AND(I1101=0,J1101=0,K1101=0),"Do Not Print","Print")</f>
        <v>Do Not Print</v>
      </c>
      <c r="D1093" s="474" t="s">
        <v>505</v>
      </c>
      <c r="E1093" s="474"/>
      <c r="F1093" s="474"/>
      <c r="G1093" s="474"/>
      <c r="H1093" s="604"/>
      <c r="I1093" s="717" t="str">
        <f>J1025</f>
        <v>2025/26</v>
      </c>
      <c r="J1093" s="717" t="str">
        <f>K1025</f>
        <v>2024/25</v>
      </c>
      <c r="K1093" s="894"/>
    </row>
    <row r="1094" spans="1:19" ht="12.75" customHeight="1" x14ac:dyDescent="0.3">
      <c r="A1094" s="3" t="str">
        <f>IF(A1093="Print","Print","Do Not Print")</f>
        <v>Do Not Print</v>
      </c>
      <c r="D1094" s="474"/>
      <c r="E1094" s="474"/>
      <c r="F1094" s="474"/>
      <c r="G1094" s="474"/>
      <c r="H1094" s="486"/>
      <c r="I1094" s="717" t="s">
        <v>450</v>
      </c>
      <c r="J1094" s="717" t="s">
        <v>450</v>
      </c>
      <c r="K1094" s="894"/>
    </row>
    <row r="1095" spans="1:19" ht="13.5" customHeight="1" x14ac:dyDescent="0.3">
      <c r="A1095" s="3" t="str">
        <f>IF(AND(I1095=0,J1095=0,K1095=0),"Do Not Print","Print")</f>
        <v>Do Not Print</v>
      </c>
      <c r="D1095" s="1738" t="s">
        <v>506</v>
      </c>
      <c r="E1095" s="1803"/>
      <c r="F1095" s="1803"/>
      <c r="G1095" s="1803"/>
      <c r="H1095" s="1739"/>
      <c r="I1095" s="519">
        <f>'Non TB - Note 12 to 24'!H224</f>
        <v>0</v>
      </c>
      <c r="J1095" s="519">
        <f>'Non TB - Note 12 to 24'!I224</f>
        <v>0</v>
      </c>
      <c r="K1095" s="897"/>
    </row>
    <row r="1096" spans="1:19" ht="13.5" customHeight="1" x14ac:dyDescent="0.3">
      <c r="A1096" s="3" t="str">
        <f>IF(AND(I1096=0,J1096=0,K1096=0),"Do Not Print","Print")</f>
        <v>Do Not Print</v>
      </c>
      <c r="D1096" s="1738" t="s">
        <v>507</v>
      </c>
      <c r="E1096" s="1803"/>
      <c r="F1096" s="1803"/>
      <c r="G1096" s="1803"/>
      <c r="H1096" s="1739"/>
      <c r="I1096" s="519">
        <f>'Non TB - Note 12 to 24'!H225</f>
        <v>0</v>
      </c>
      <c r="J1096" s="519">
        <f>'Non TB - Note 12 to 24'!I225</f>
        <v>0</v>
      </c>
      <c r="K1096" s="897"/>
    </row>
    <row r="1097" spans="1:19" ht="13.5" customHeight="1" x14ac:dyDescent="0.3">
      <c r="A1097" s="3" t="str">
        <f>IF(AND(I1097=0,J1097=0,K1097=0),"Do Not Print","Print")</f>
        <v>Do Not Print</v>
      </c>
      <c r="D1097" s="1738" t="s">
        <v>508</v>
      </c>
      <c r="E1097" s="1803"/>
      <c r="F1097" s="1803"/>
      <c r="G1097" s="1803"/>
      <c r="H1097" s="1739"/>
      <c r="I1097" s="519">
        <f>'Non TB - Note 12 to 24'!H226</f>
        <v>0</v>
      </c>
      <c r="J1097" s="519">
        <f>'Non TB - Note 12 to 24'!I226</f>
        <v>0</v>
      </c>
      <c r="K1097" s="897"/>
    </row>
    <row r="1098" spans="1:19" ht="13.5" customHeight="1" x14ac:dyDescent="0.3">
      <c r="A1098" s="3" t="str">
        <f>IF(AND(I1098=0,J1098=0,K1098=0),"Do Not Print","Print")</f>
        <v>Do Not Print</v>
      </c>
      <c r="D1098" s="1738" t="s">
        <v>509</v>
      </c>
      <c r="E1098" s="1803"/>
      <c r="F1098" s="1803"/>
      <c r="G1098" s="1803"/>
      <c r="H1098" s="1739"/>
      <c r="I1098" s="519">
        <f>'Non TB - Note 12 to 24'!H227</f>
        <v>0</v>
      </c>
      <c r="J1098" s="519">
        <f>'Non TB - Note 12 to 24'!I227</f>
        <v>0</v>
      </c>
      <c r="K1098" s="897"/>
    </row>
    <row r="1099" spans="1:19" ht="13.5" customHeight="1" x14ac:dyDescent="0.3">
      <c r="A1099" s="3" t="str">
        <f>IF(AND(I1099=0,J1099=0,K1099=0),"Do Not Print","Print")</f>
        <v>Do Not Print</v>
      </c>
      <c r="D1099" s="1785" t="s">
        <v>373</v>
      </c>
      <c r="E1099" s="1786"/>
      <c r="F1099" s="1786"/>
      <c r="G1099" s="1786"/>
      <c r="H1099" s="1739"/>
      <c r="I1099" s="519">
        <f>'Non TB - Note 12 to 24'!H228</f>
        <v>0</v>
      </c>
      <c r="J1099" s="519">
        <f>'Non TB - Note 12 to 24'!I228</f>
        <v>0</v>
      </c>
      <c r="K1099" s="897"/>
    </row>
    <row r="1100" spans="1:19" ht="13.5" customHeight="1" x14ac:dyDescent="0.3">
      <c r="A1100" s="3" t="str">
        <f>IF(A1098="Print","Print","Do Not Print")</f>
        <v>Do Not Print</v>
      </c>
      <c r="D1100" s="869"/>
      <c r="E1100" s="747"/>
      <c r="F1100" s="747"/>
      <c r="G1100" s="747"/>
      <c r="H1100" s="747"/>
      <c r="I1100" s="747"/>
      <c r="J1100" s="747"/>
    </row>
    <row r="1101" spans="1:19" ht="13.5" customHeight="1" x14ac:dyDescent="0.3">
      <c r="A1101" s="3" t="str">
        <f>IF(AND(I1101=0,J1101=0,K1101=0),"Do Not Print","Print")</f>
        <v>Do Not Print</v>
      </c>
      <c r="D1101" s="479"/>
      <c r="E1101" s="479"/>
      <c r="F1101" s="479"/>
      <c r="G1101" s="479"/>
      <c r="H1101" s="604"/>
      <c r="I1101" s="606">
        <f>SUM(I1095:I1100)</f>
        <v>0</v>
      </c>
      <c r="J1101" s="606">
        <f>SUM(J1095:J1100)</f>
        <v>0</v>
      </c>
      <c r="K1101" s="898"/>
    </row>
    <row r="1102" spans="1:19" ht="13.5" customHeight="1" x14ac:dyDescent="0.3">
      <c r="A1102" s="3" t="str">
        <f>IF(A1101="Print","Print","Do Not Print")</f>
        <v>Do Not Print</v>
      </c>
      <c r="D1102" s="1500"/>
      <c r="E1102" s="1500"/>
      <c r="F1102" s="1500"/>
      <c r="G1102" s="1500"/>
      <c r="H1102" s="1500"/>
      <c r="I1102" s="1500"/>
      <c r="J1102" s="1500"/>
      <c r="K1102" s="1500"/>
    </row>
    <row r="1103" spans="1:19" ht="13.5" customHeight="1" x14ac:dyDescent="0.3">
      <c r="A1103" s="3" t="str">
        <f>IF('Non TB - Note 12 to 24'!F229=1,"Print","Do Not Print")</f>
        <v>Print</v>
      </c>
      <c r="D1103" s="1500" t="str">
        <f>IF('Non TB - Note 12 to 24'!F229,'Non TB - Note 12 to 24'!H229,"")</f>
        <v>The above asset values are at bid value as required by IAS 19.</v>
      </c>
      <c r="E1103" s="1500"/>
      <c r="F1103" s="1500"/>
      <c r="G1103" s="1500"/>
      <c r="H1103" s="1500"/>
      <c r="I1103" s="1500"/>
      <c r="J1103" s="1500"/>
      <c r="K1103" s="1500"/>
    </row>
    <row r="1104" spans="1:19" ht="13.5" customHeight="1" x14ac:dyDescent="0.3">
      <c r="A1104" s="3" t="str">
        <f>IF(A1103="Print","Print","Do Not Print")</f>
        <v>Print</v>
      </c>
      <c r="D1104" s="1500"/>
      <c r="E1104" s="1500"/>
      <c r="F1104" s="1500"/>
      <c r="G1104" s="1500"/>
      <c r="H1104" s="1500"/>
      <c r="I1104" s="1500"/>
      <c r="J1104" s="1500"/>
      <c r="K1104" s="1500"/>
    </row>
    <row r="1105" spans="1:13" ht="17.55" customHeight="1" x14ac:dyDescent="0.3">
      <c r="A1105" s="3" t="str">
        <f>IF('Non TB - Note 12 to 24'!F230=1,"Print","Do Not Print")</f>
        <v>Print</v>
      </c>
      <c r="D1105" s="401" t="str">
        <f>IF('Non TB - Note 12 to 24'!F230,'Non TB - Note 12 to 24'!H230,"")</f>
        <v>Details of estimates made by the Fund Manager when assessing the fair values of plan assets.</v>
      </c>
    </row>
    <row r="1106" spans="1:13" x14ac:dyDescent="0.3">
      <c r="A1106" s="3" t="str">
        <f>IF(A1105="Print","Print","Do Not Print")</f>
        <v>Print</v>
      </c>
      <c r="D1106" s="401"/>
    </row>
    <row r="1107" spans="1:13" ht="16.5" customHeight="1" x14ac:dyDescent="0.3">
      <c r="A1107" s="3" t="str">
        <f>IF('Non TB - Note 12 to 24'!F231=1,"Print","Do Not Print")</f>
        <v>Print</v>
      </c>
      <c r="D1107" s="401" t="str">
        <f>IF('Non TB - Note 12 to 24'!F231,'Non TB - Note 12 to 24'!H231,"")</f>
        <v>The amounts included in the fair value of plan assets for property occupied by the Council was £x.</v>
      </c>
    </row>
    <row r="1108" spans="1:13" x14ac:dyDescent="0.3">
      <c r="A1108" s="3" t="str">
        <f>IF(A1107="Print","Print","Do Not Print")</f>
        <v>Print</v>
      </c>
      <c r="D1108" s="401"/>
    </row>
    <row r="1109" spans="1:13" ht="12.75" customHeight="1" x14ac:dyDescent="0.3">
      <c r="A1109" s="3" t="str">
        <f>IF('Non TB - Note 12 to 24'!F233=1,"Print","Do Not Print")</f>
        <v>Print</v>
      </c>
      <c r="D1109" s="1511" t="str">
        <f>IF('Non TB - Note 12 to 24'!F233=1,'Non TB - Note 12 to 24'!D232,"")</f>
        <v>The Council's share of the Net Pension Liability (included in the Balance Sheet):</v>
      </c>
      <c r="E1109" s="1511"/>
      <c r="F1109" s="1511"/>
      <c r="G1109" s="1511"/>
      <c r="H1109" s="1511"/>
      <c r="I1109" s="1511"/>
      <c r="J1109" s="1511"/>
      <c r="K1109" s="1511"/>
    </row>
    <row r="1110" spans="1:13" ht="13.5" customHeight="1" x14ac:dyDescent="0.3">
      <c r="A1110" s="3" t="str">
        <f>IF(A1109="Print","Print","Do Not Print")</f>
        <v>Print</v>
      </c>
      <c r="D1110" s="1500"/>
      <c r="E1110" s="1500"/>
      <c r="F1110" s="1500"/>
      <c r="G1110" s="1500"/>
      <c r="H1110" s="1500"/>
      <c r="I1110" s="1500"/>
      <c r="J1110" s="1500"/>
      <c r="K1110" s="1500"/>
    </row>
    <row r="1111" spans="1:13" ht="13.5" customHeight="1" x14ac:dyDescent="0.3">
      <c r="A1111" s="3" t="str">
        <f>IF(AND(I1123=0,J1123=0,K1123=0),"Do Not Print","Print")</f>
        <v>Do Not Print</v>
      </c>
      <c r="D1111" s="474"/>
      <c r="E1111" s="474"/>
      <c r="F1111" s="474"/>
      <c r="G1111" s="474"/>
      <c r="H1111" s="604"/>
      <c r="I1111" s="717" t="str">
        <f>I1093</f>
        <v>2025/26</v>
      </c>
      <c r="J1111" s="717" t="str">
        <f>J1093</f>
        <v>2024/25</v>
      </c>
      <c r="K1111" s="894"/>
    </row>
    <row r="1112" spans="1:13" ht="12.75" customHeight="1" x14ac:dyDescent="0.3">
      <c r="A1112" s="3" t="str">
        <f>IF(A1111="Print","Print","Do Not Print")</f>
        <v>Do Not Print</v>
      </c>
      <c r="D1112" s="474"/>
      <c r="E1112" s="474"/>
      <c r="F1112" s="474"/>
      <c r="G1112" s="474"/>
      <c r="H1112" s="486"/>
      <c r="I1112" s="717" t="s">
        <v>450</v>
      </c>
      <c r="J1112" s="717" t="s">
        <v>450</v>
      </c>
      <c r="K1112" s="894"/>
    </row>
    <row r="1113" spans="1:13" ht="17.25" customHeight="1" x14ac:dyDescent="0.3">
      <c r="A1113" s="3" t="str">
        <f t="shared" ref="A1113:A1118" si="56">IF(AND(I1113=0,J1113=0,K1113=0),"Do Not Print","Print")</f>
        <v>Do Not Print</v>
      </c>
      <c r="D1113" s="1738" t="s">
        <v>746</v>
      </c>
      <c r="E1113" s="1803"/>
      <c r="F1113" s="1803"/>
      <c r="G1113" s="1803"/>
      <c r="H1113" s="1739"/>
      <c r="I1113" s="524">
        <f>J1087</f>
        <v>0</v>
      </c>
      <c r="J1113" s="524">
        <f>K1087</f>
        <v>0</v>
      </c>
      <c r="K1113" s="895"/>
    </row>
    <row r="1114" spans="1:13" ht="17.25" customHeight="1" x14ac:dyDescent="0.3">
      <c r="A1114" s="3" t="str">
        <f t="shared" si="56"/>
        <v>Do Not Print</v>
      </c>
      <c r="D1114" s="1738" t="s">
        <v>747</v>
      </c>
      <c r="E1114" s="1803"/>
      <c r="F1114" s="1803"/>
      <c r="G1114" s="1803"/>
      <c r="H1114" s="1739"/>
      <c r="I1114" s="524">
        <f>-J1073-I1116</f>
        <v>0</v>
      </c>
      <c r="J1114" s="524">
        <f>-K1073-J1116</f>
        <v>0</v>
      </c>
      <c r="K1114" s="895"/>
      <c r="L1114" s="3"/>
      <c r="M1114" s="3"/>
    </row>
    <row r="1115" spans="1:13" ht="17.25" customHeight="1" x14ac:dyDescent="0.3">
      <c r="A1115" s="3" t="str">
        <f t="shared" si="56"/>
        <v>Do Not Print</v>
      </c>
      <c r="D1115" s="1738" t="s">
        <v>748</v>
      </c>
      <c r="E1115" s="1803"/>
      <c r="F1115" s="1803"/>
      <c r="G1115" s="1803"/>
      <c r="H1115" s="1739"/>
      <c r="I1115" s="524">
        <f>SUM(I1113:I1114)</f>
        <v>0</v>
      </c>
      <c r="J1115" s="524">
        <f>SUM(J1113:J1114)</f>
        <v>0</v>
      </c>
      <c r="K1115" s="895"/>
      <c r="M1115" s="3"/>
    </row>
    <row r="1116" spans="1:13" ht="15.75" customHeight="1" x14ac:dyDescent="0.3">
      <c r="A1116" s="3" t="str">
        <f t="shared" si="56"/>
        <v>Do Not Print</v>
      </c>
      <c r="D1116" s="1738" t="s">
        <v>749</v>
      </c>
      <c r="E1116" s="1803"/>
      <c r="F1116" s="1803"/>
      <c r="G1116" s="1803"/>
      <c r="H1116" s="1739"/>
      <c r="I1116" s="524">
        <f>'Non TB - Note 12 to 24'!H233</f>
        <v>0</v>
      </c>
      <c r="J1116" s="524">
        <f>'Non TB - Note 12 to 24'!I233</f>
        <v>0</v>
      </c>
      <c r="K1116" s="895"/>
    </row>
    <row r="1117" spans="1:13" ht="16.5" customHeight="1" x14ac:dyDescent="0.3">
      <c r="A1117" s="3" t="str">
        <f t="shared" si="56"/>
        <v>Do Not Print</v>
      </c>
      <c r="D1117" s="1738" t="s">
        <v>750</v>
      </c>
      <c r="E1117" s="1803"/>
      <c r="F1117" s="1803"/>
      <c r="G1117" s="1803"/>
      <c r="H1117" s="1739"/>
      <c r="I1117" s="524">
        <f>'Non TB - Note 12 to 24'!H234</f>
        <v>0</v>
      </c>
      <c r="J1117" s="524">
        <f>'Non TB - Note 12 to 24'!I234</f>
        <v>0</v>
      </c>
      <c r="K1117" s="895"/>
    </row>
    <row r="1118" spans="1:13" ht="16.5" customHeight="1" x14ac:dyDescent="0.3">
      <c r="A1118" s="3" t="str">
        <f t="shared" si="56"/>
        <v>Do Not Print</v>
      </c>
      <c r="D1118" s="1805" t="s">
        <v>751</v>
      </c>
      <c r="E1118" s="1806"/>
      <c r="F1118" s="1806"/>
      <c r="G1118" s="1806"/>
      <c r="H1118" s="1807"/>
      <c r="I1118" s="524">
        <f>SUM(I1115:I1117)</f>
        <v>0</v>
      </c>
      <c r="J1118" s="524">
        <f>SUM(J1115:J1117)</f>
        <v>0</v>
      </c>
      <c r="K1118" s="895"/>
      <c r="M1118" s="3"/>
    </row>
    <row r="1119" spans="1:13" ht="13.5" customHeight="1" x14ac:dyDescent="0.3">
      <c r="A1119" s="3" t="str">
        <f>IF(A1118="Print","Print","Do Not Print")</f>
        <v>Do Not Print</v>
      </c>
      <c r="D1119" s="1738"/>
      <c r="E1119" s="1803"/>
      <c r="F1119" s="1803"/>
      <c r="G1119" s="1803"/>
      <c r="H1119" s="1739"/>
      <c r="I1119" s="524"/>
      <c r="J1119" s="524"/>
      <c r="K1119" s="895"/>
    </row>
    <row r="1120" spans="1:13" ht="18" customHeight="1" x14ac:dyDescent="0.3">
      <c r="A1120" s="3" t="str">
        <f>IF(A1119="Print","Print","Do Not Print")</f>
        <v>Do Not Print</v>
      </c>
      <c r="D1120" s="1738" t="s">
        <v>752</v>
      </c>
      <c r="E1120" s="1803"/>
      <c r="F1120" s="1803"/>
      <c r="G1120" s="1803"/>
      <c r="H1120" s="1739"/>
      <c r="I1120" s="524"/>
      <c r="J1120" s="524"/>
      <c r="K1120" s="895"/>
    </row>
    <row r="1121" spans="1:11" ht="15.75" customHeight="1" x14ac:dyDescent="0.3">
      <c r="A1121" s="3" t="str">
        <f>IF(AND(I1121=0,J1121=0,K1121=0),"Do Not Print","Print")</f>
        <v>Do Not Print</v>
      </c>
      <c r="D1121" s="1738" t="s">
        <v>753</v>
      </c>
      <c r="E1121" s="1803"/>
      <c r="F1121" s="1803"/>
      <c r="G1121" s="1803"/>
      <c r="H1121" s="1739"/>
      <c r="I1121" s="524">
        <f>'Non TB - Note 12 to 24'!H235</f>
        <v>0</v>
      </c>
      <c r="J1121" s="524">
        <f>'Non TB - Note 12 to 24'!I235</f>
        <v>0</v>
      </c>
      <c r="K1121" s="895"/>
    </row>
    <row r="1122" spans="1:11" ht="16.5" customHeight="1" x14ac:dyDescent="0.3">
      <c r="A1122" s="3" t="str">
        <f>IF(AND(I1122=0,J1122=0,K1122=0),"Do Not Print","Print")</f>
        <v>Do Not Print</v>
      </c>
      <c r="D1122" s="1738" t="s">
        <v>754</v>
      </c>
      <c r="E1122" s="1803"/>
      <c r="F1122" s="1803"/>
      <c r="G1122" s="1803"/>
      <c r="H1122" s="1739"/>
      <c r="I1122" s="513">
        <f>'Non TB - Note 12 to 24'!H236</f>
        <v>0</v>
      </c>
      <c r="J1122" s="513">
        <f>'Non TB - Note 12 to 24'!I236</f>
        <v>0</v>
      </c>
      <c r="K1122" s="895"/>
    </row>
    <row r="1123" spans="1:11" ht="13.5" customHeight="1" x14ac:dyDescent="0.3">
      <c r="A1123" s="3" t="str">
        <f>IF(AND(I1123=0,J1123=0,K1123=0),"Do Not Print","Print")</f>
        <v>Do Not Print</v>
      </c>
      <c r="D1123" s="474" t="s">
        <v>755</v>
      </c>
      <c r="E1123" s="474"/>
      <c r="F1123" s="474"/>
      <c r="G1123" s="474"/>
      <c r="H1123" s="604"/>
      <c r="I1123" s="511">
        <f>SUM(I1121:I1122)</f>
        <v>0</v>
      </c>
      <c r="J1123" s="511">
        <f>SUM(J1121:J1122)</f>
        <v>0</v>
      </c>
      <c r="K1123" s="890"/>
    </row>
    <row r="1124" spans="1:11" ht="13.5" customHeight="1" x14ac:dyDescent="0.3">
      <c r="A1124" s="3" t="str">
        <f>IF(A1123="Print","Print","Do Not Print")</f>
        <v>Do Not Print</v>
      </c>
      <c r="D1124" s="401"/>
    </row>
    <row r="1125" spans="1:11" ht="13.5" customHeight="1" x14ac:dyDescent="0.3">
      <c r="A1125" s="3" t="str">
        <f>IF(OR(A1126="Print",A1133="Print",A1142="Print",A1147="Print",A1149="Print"),"Print","Do Not Print")</f>
        <v>Print</v>
      </c>
      <c r="C1125" s="585" t="str">
        <f>Checklist!E121</f>
        <v>d</v>
      </c>
      <c r="D1125" s="474" t="s">
        <v>1604</v>
      </c>
      <c r="E1125" s="474"/>
      <c r="F1125" s="474"/>
      <c r="G1125" s="474"/>
      <c r="H1125" s="604"/>
      <c r="I1125" s="604"/>
      <c r="J1125" s="604"/>
    </row>
    <row r="1126" spans="1:11" ht="13.5" customHeight="1" x14ac:dyDescent="0.3">
      <c r="A1126" s="3" t="str">
        <f>IF(AND(I1131=0,J1131=0,K1131=0),"Do Not Print","Print")</f>
        <v>Do Not Print</v>
      </c>
      <c r="D1126" s="474" t="s">
        <v>756</v>
      </c>
      <c r="E1126" s="474"/>
      <c r="F1126" s="474"/>
      <c r="G1126" s="474"/>
      <c r="H1126" s="604"/>
      <c r="I1126" s="717" t="str">
        <f>I1093</f>
        <v>2025/26</v>
      </c>
      <c r="J1126" s="717" t="str">
        <f>J1093</f>
        <v>2024/25</v>
      </c>
      <c r="K1126" s="894"/>
    </row>
    <row r="1127" spans="1:11" ht="12.75" customHeight="1" x14ac:dyDescent="0.3">
      <c r="A1127" s="3" t="str">
        <f>IF(A1126="Print","Print","Do Not Print")</f>
        <v>Do Not Print</v>
      </c>
      <c r="D1127" s="474"/>
      <c r="E1127" s="474"/>
      <c r="F1127" s="474"/>
      <c r="G1127" s="474"/>
      <c r="H1127" s="486"/>
      <c r="I1127" s="717" t="s">
        <v>450</v>
      </c>
      <c r="J1127" s="717" t="s">
        <v>450</v>
      </c>
      <c r="K1127" s="894"/>
    </row>
    <row r="1128" spans="1:11" ht="14.55" customHeight="1" x14ac:dyDescent="0.3">
      <c r="A1128" s="3" t="str">
        <f>IF(AND(I1128=0,J1128=0,K1128=0),"Do Not Print","Print")</f>
        <v>Do Not Print</v>
      </c>
      <c r="D1128" s="1738" t="s">
        <v>757</v>
      </c>
      <c r="E1128" s="1803"/>
      <c r="F1128" s="1803"/>
      <c r="G1128" s="1803"/>
      <c r="H1128" s="1739"/>
      <c r="I1128" s="524">
        <f>J1087</f>
        <v>0</v>
      </c>
      <c r="J1128" s="524">
        <f>K1087</f>
        <v>0</v>
      </c>
      <c r="K1128" s="895"/>
    </row>
    <row r="1129" spans="1:11" ht="16.5" customHeight="1" x14ac:dyDescent="0.3">
      <c r="A1129" s="3" t="str">
        <f>IF(AND(I1129=0,J1129=0,K1129=0),"Do Not Print","Print")</f>
        <v>Do Not Print</v>
      </c>
      <c r="D1129" s="1738" t="s">
        <v>758</v>
      </c>
      <c r="E1129" s="1803"/>
      <c r="F1129" s="1803"/>
      <c r="G1129" s="1803"/>
      <c r="H1129" s="1739"/>
      <c r="I1129" s="524">
        <f>-J1073</f>
        <v>0</v>
      </c>
      <c r="J1129" s="524">
        <f>-K1073</f>
        <v>0</v>
      </c>
      <c r="K1129" s="895"/>
    </row>
    <row r="1130" spans="1:11" ht="13.5" customHeight="1" x14ac:dyDescent="0.3">
      <c r="A1130" s="3" t="str">
        <f>IF(A1129="Print","Print","Do Not Print")</f>
        <v>Do Not Print</v>
      </c>
      <c r="D1130" s="401"/>
    </row>
    <row r="1131" spans="1:11" ht="13.5" customHeight="1" x14ac:dyDescent="0.3">
      <c r="A1131" s="3" t="str">
        <f>IF(AND(I1131=0,J1131=0,K1131=0),"Do Not Print","Print")</f>
        <v>Do Not Print</v>
      </c>
      <c r="D1131" s="474" t="s">
        <v>759</v>
      </c>
      <c r="E1131" s="474"/>
      <c r="F1131" s="474"/>
      <c r="G1131" s="474"/>
      <c r="H1131" s="604"/>
      <c r="I1131" s="511">
        <f>SUM(I1128:I1130)</f>
        <v>0</v>
      </c>
      <c r="J1131" s="511">
        <f>SUM(J1128:J1130)</f>
        <v>0</v>
      </c>
      <c r="K1131" s="890"/>
    </row>
    <row r="1132" spans="1:11" ht="13.5" customHeight="1" x14ac:dyDescent="0.3">
      <c r="A1132" s="3" t="str">
        <f>IF(A1131="Print","Print","Do Not Print")</f>
        <v>Do Not Print</v>
      </c>
      <c r="D1132" s="401"/>
    </row>
    <row r="1133" spans="1:11" ht="25.5" customHeight="1" x14ac:dyDescent="0.3">
      <c r="A1133" s="3" t="str">
        <f>IF(AND(I1140=0,J1140=0,K1140=0),"Do Not Print","Print")</f>
        <v>Do Not Print</v>
      </c>
      <c r="D1133" s="1764" t="s">
        <v>760</v>
      </c>
      <c r="E1133" s="1764"/>
      <c r="F1133" s="1764"/>
      <c r="G1133" s="1764"/>
      <c r="H1133" s="604"/>
      <c r="I1133" s="717" t="str">
        <f>I1093</f>
        <v>2025/26</v>
      </c>
      <c r="J1133" s="717" t="str">
        <f>J1093</f>
        <v>2024/25</v>
      </c>
      <c r="K1133" s="894"/>
    </row>
    <row r="1134" spans="1:11" ht="12.75" customHeight="1" x14ac:dyDescent="0.3">
      <c r="A1134" s="3" t="str">
        <f>IF(A1133="Print","Print","Do Not Print")</f>
        <v>Do Not Print</v>
      </c>
      <c r="D1134" s="474"/>
      <c r="E1134" s="474"/>
      <c r="F1134" s="474"/>
      <c r="G1134" s="474"/>
      <c r="H1134" s="486"/>
      <c r="I1134" s="717" t="s">
        <v>450</v>
      </c>
      <c r="J1134" s="717" t="s">
        <v>450</v>
      </c>
      <c r="K1134" s="894"/>
    </row>
    <row r="1135" spans="1:11" ht="14.25" customHeight="1" x14ac:dyDescent="0.3">
      <c r="A1135" s="3" t="str">
        <f>IF(AND(I1135=0,J1135=0,K1135=0),"Do Not Print","Print")</f>
        <v>Do Not Print</v>
      </c>
      <c r="D1135" s="1738" t="s">
        <v>761</v>
      </c>
      <c r="E1135" s="1803"/>
      <c r="F1135" s="1803"/>
      <c r="G1135" s="1803"/>
      <c r="H1135" s="1739"/>
      <c r="I1135" s="620">
        <f>J1047+J1048+J1049+J1051</f>
        <v>0</v>
      </c>
      <c r="J1135" s="620">
        <f>K1047+K1048+K1049+K1051</f>
        <v>0</v>
      </c>
      <c r="K1135" s="895"/>
    </row>
    <row r="1136" spans="1:11" x14ac:dyDescent="0.3">
      <c r="A1136" s="3" t="str">
        <f>IF(AND(I1136=0,J1136=0,K1136=0),"Do Not Print","Print")</f>
        <v>Do Not Print</v>
      </c>
      <c r="D1136" s="1738" t="s">
        <v>1431</v>
      </c>
      <c r="E1136" s="1803"/>
      <c r="F1136" s="1803"/>
      <c r="G1136" s="1803"/>
      <c r="H1136" s="1739"/>
      <c r="I1136" s="620">
        <f>'Non TB - Note 12 to 24'!H238</f>
        <v>0</v>
      </c>
      <c r="J1136" s="620">
        <f>'Non TB - Note 12 to 24'!I238</f>
        <v>0</v>
      </c>
      <c r="K1136" s="895"/>
    </row>
    <row r="1137" spans="1:11" x14ac:dyDescent="0.3">
      <c r="A1137" s="3" t="str">
        <f>IF(AND(I1137=0,J1137=0,K1137=0),"Do Not Print","Print")</f>
        <v>Do Not Print</v>
      </c>
      <c r="D1137" s="1957" t="s">
        <v>762</v>
      </c>
      <c r="E1137" s="1958"/>
      <c r="F1137" s="1958"/>
      <c r="G1137" s="1958"/>
      <c r="H1137" s="1959"/>
      <c r="I1137" s="621">
        <f>'Non TB - Note 12 to 24'!H240</f>
        <v>0</v>
      </c>
      <c r="J1137" s="621">
        <f>'Non TB - Note 12 to 24'!I240</f>
        <v>0</v>
      </c>
      <c r="K1137" s="895"/>
    </row>
    <row r="1138" spans="1:11" x14ac:dyDescent="0.3">
      <c r="A1138" s="3" t="str">
        <f>IF(AND(I1138=0,J1138=0,K1138=0),"Do Not Print","Print")</f>
        <v>Do Not Print</v>
      </c>
      <c r="D1138" s="1957" t="s">
        <v>487</v>
      </c>
      <c r="E1138" s="1958"/>
      <c r="F1138" s="1958"/>
      <c r="G1138" s="1958"/>
      <c r="H1138" s="1959"/>
      <c r="I1138" s="620">
        <f>SUM(I1135:I1137)</f>
        <v>0</v>
      </c>
      <c r="J1138" s="620">
        <f>SUM(J1135:J1137)</f>
        <v>0</v>
      </c>
      <c r="K1138" s="895"/>
    </row>
    <row r="1139" spans="1:11" ht="13.5" customHeight="1" x14ac:dyDescent="0.3">
      <c r="A1139" s="3" t="str">
        <f>IF(A1138="Print","Print","Do Not Print")</f>
        <v>Do Not Print</v>
      </c>
      <c r="D1139" s="1738"/>
      <c r="E1139" s="1803"/>
      <c r="F1139" s="1803"/>
      <c r="G1139" s="1803"/>
      <c r="H1139" s="1739"/>
      <c r="I1139" s="620"/>
      <c r="J1139" s="620"/>
      <c r="K1139" s="895"/>
    </row>
    <row r="1140" spans="1:11" ht="13.5" customHeight="1" x14ac:dyDescent="0.3">
      <c r="A1140" s="3" t="str">
        <f>IF(AND(I1140=0,J1140=0,K1140=0),"Do Not Print","Print")</f>
        <v>Do Not Print</v>
      </c>
      <c r="D1140" s="1738" t="s">
        <v>763</v>
      </c>
      <c r="E1140" s="1803"/>
      <c r="F1140" s="1803"/>
      <c r="G1140" s="1803"/>
      <c r="H1140" s="1739"/>
      <c r="I1140" s="620">
        <f>I1138+J1140</f>
        <v>0</v>
      </c>
      <c r="J1140" s="620">
        <f>J1138+'Non TB - Note 12 to 24'!J239</f>
        <v>0</v>
      </c>
      <c r="K1140" s="895"/>
    </row>
    <row r="1141" spans="1:11" ht="13.5" customHeight="1" x14ac:dyDescent="0.3">
      <c r="A1141" s="3" t="str">
        <f>IF(A1140="Print","Print","Do Not Print")</f>
        <v>Do Not Print</v>
      </c>
      <c r="D1141" s="1738"/>
      <c r="E1141" s="1803"/>
      <c r="F1141" s="1803"/>
      <c r="G1141" s="1803"/>
      <c r="H1141" s="1739"/>
      <c r="I1141" s="620"/>
      <c r="J1141" s="620"/>
      <c r="K1141" s="895"/>
    </row>
    <row r="1142" spans="1:11" ht="13.5" customHeight="1" x14ac:dyDescent="0.3">
      <c r="A1142" s="3" t="str">
        <f>IF(A1141="Print","Print","Do Not Print")</f>
        <v>Do Not Print</v>
      </c>
      <c r="D1142" s="1805" t="s">
        <v>764</v>
      </c>
      <c r="E1142" s="1806"/>
      <c r="F1142" s="1806"/>
      <c r="G1142" s="1806"/>
      <c r="H1142" s="1807"/>
      <c r="I1142" s="620"/>
      <c r="J1142" s="620"/>
      <c r="K1142" s="895"/>
    </row>
    <row r="1143" spans="1:11" ht="13.5" customHeight="1" x14ac:dyDescent="0.3">
      <c r="A1143" s="3" t="str">
        <f>IF(A1142="Print","Print","Do Not Print")</f>
        <v>Do Not Print</v>
      </c>
      <c r="D1143" s="1738"/>
      <c r="E1143" s="1803"/>
      <c r="F1143" s="1803"/>
      <c r="G1143" s="1803"/>
      <c r="H1143" s="1739"/>
      <c r="I1143" s="620"/>
      <c r="J1143" s="620"/>
      <c r="K1143" s="895"/>
    </row>
    <row r="1144" spans="1:11" ht="13.5" customHeight="1" x14ac:dyDescent="0.3">
      <c r="A1144" s="3" t="str">
        <f>IF(AND(I1144=0,J1144=0,K1144=0),"Do Not Print","Print")</f>
        <v>Do Not Print</v>
      </c>
      <c r="D1144" s="1738" t="s">
        <v>765</v>
      </c>
      <c r="E1144" s="1803"/>
      <c r="F1144" s="1803"/>
      <c r="G1144" s="1803"/>
      <c r="H1144" s="1739"/>
      <c r="I1144" s="620">
        <f>'Non TB - Note 12 to 24'!H241</f>
        <v>0</v>
      </c>
      <c r="J1144" s="620">
        <f>'Non TB - Note 12 to 24'!I241</f>
        <v>0</v>
      </c>
      <c r="K1144" s="895"/>
    </row>
    <row r="1145" spans="1:11" ht="13.5" customHeight="1" x14ac:dyDescent="0.3">
      <c r="A1145" s="3" t="str">
        <f>IF(AND(I1145=0,J1145=0,K1145=0),"Do Not Print","Print")</f>
        <v>Do Not Print</v>
      </c>
      <c r="D1145" s="1738" t="s">
        <v>766</v>
      </c>
      <c r="E1145" s="1803"/>
      <c r="F1145" s="1803"/>
      <c r="G1145" s="1803"/>
      <c r="H1145" s="1739"/>
      <c r="I1145" s="620">
        <f>'Non TB - Note 12 to 24'!H242</f>
        <v>0</v>
      </c>
      <c r="J1145" s="620">
        <f>'Non TB - Note 12 to 24'!I242</f>
        <v>0</v>
      </c>
      <c r="K1145" s="895"/>
    </row>
    <row r="1146" spans="1:11" x14ac:dyDescent="0.3">
      <c r="A1146" s="3" t="str">
        <f>IF(A1145="Print","Print","Do Not Print")</f>
        <v>Do Not Print</v>
      </c>
      <c r="D1146" s="1500"/>
      <c r="E1146" s="1500"/>
      <c r="F1146" s="1500"/>
      <c r="G1146" s="1500"/>
      <c r="H1146" s="1500"/>
      <c r="I1146" s="1500"/>
      <c r="J1146" s="1500"/>
      <c r="K1146" s="1500"/>
    </row>
    <row r="1147" spans="1:11" ht="28.5" customHeight="1" x14ac:dyDescent="0.3">
      <c r="A1147" s="3" t="str">
        <f>IF('Non TB - Note 12 to 24'!F243=1,"Print","Do Not Print")</f>
        <v>Print</v>
      </c>
      <c r="D1147" s="1504" t="str">
        <f>IF('Non TB - Note 12 to 24'!F243=1,'Non TB - Note 12 to 24'!H243,"")</f>
        <v>The liabilities show the underlying commitments that the authority has in the long run to pay retirement benefits. The total liability of £xx has a substantial impact on the net worth of the Council as recorded in the Balance Sheet.</v>
      </c>
      <c r="E1147" s="1504"/>
      <c r="F1147" s="1504"/>
      <c r="G1147" s="1504"/>
      <c r="H1147" s="1504"/>
      <c r="I1147" s="1504"/>
      <c r="J1147" s="1504"/>
      <c r="K1147" s="1504"/>
    </row>
    <row r="1148" spans="1:11" x14ac:dyDescent="0.3">
      <c r="A1148" s="3" t="str">
        <f>IF(A1147="Print","Print","Do Not Print")</f>
        <v>Print</v>
      </c>
      <c r="D1148" s="1500"/>
      <c r="E1148" s="1500"/>
      <c r="F1148" s="1500"/>
      <c r="G1148" s="1500"/>
      <c r="H1148" s="1500"/>
      <c r="I1148" s="1500"/>
      <c r="J1148" s="1500"/>
      <c r="K1148" s="1500"/>
    </row>
    <row r="1149" spans="1:11" ht="43.5" customHeight="1" x14ac:dyDescent="0.3">
      <c r="A1149" s="3" t="str">
        <f>IF('Non TB - Note 12 to 24'!F244=1,"Print","Do Not Print")</f>
        <v>Print</v>
      </c>
      <c r="D1149" s="1504" t="str">
        <f>IF('Non TB - Note 12 to 24'!F244=1,'Non TB - Note 12 to 24'!H244,"")</f>
        <v>However, statutory arrangements for funding the deficit mean that the financial position of the Council remains healthy. The deficit on the Northern Ireland Local Government Officers' Pension Fund will be made good by increased contributions over the remaining working life of employees, assessed by the scheme actuary.</v>
      </c>
      <c r="E1149" s="1504"/>
      <c r="F1149" s="1504"/>
      <c r="G1149" s="1504"/>
      <c r="H1149" s="1504"/>
      <c r="I1149" s="1504"/>
      <c r="J1149" s="1504"/>
      <c r="K1149" s="1504"/>
    </row>
    <row r="1150" spans="1:11" x14ac:dyDescent="0.3">
      <c r="A1150" s="3" t="str">
        <f>IF(A1149="Print","Print","Do Not Print")</f>
        <v>Print</v>
      </c>
      <c r="D1150" s="1500"/>
      <c r="E1150" s="1500"/>
      <c r="F1150" s="1500"/>
      <c r="G1150" s="1500"/>
      <c r="H1150" s="1500"/>
      <c r="I1150" s="1500"/>
      <c r="J1150" s="1500"/>
      <c r="K1150" s="1500"/>
    </row>
    <row r="1151" spans="1:11" x14ac:dyDescent="0.3">
      <c r="A1151" s="3" t="str">
        <f>IF(AND(J1160=0,K1160=0),"Do Not Print","Print")</f>
        <v>Do Not Print</v>
      </c>
      <c r="D1151" s="1764" t="s">
        <v>3179</v>
      </c>
      <c r="E1151" s="1764"/>
      <c r="F1151" s="1764"/>
      <c r="G1151" s="1764"/>
      <c r="H1151" s="1764"/>
      <c r="I1151" s="1764"/>
      <c r="J1151" s="1764"/>
      <c r="K1151" s="1764"/>
    </row>
    <row r="1152" spans="1:11" ht="13.5" customHeight="1" x14ac:dyDescent="0.3">
      <c r="A1152" s="3" t="str">
        <f>IF(A1151="Print","Print","Do Not Print")</f>
        <v>Do Not Print</v>
      </c>
      <c r="D1152" s="1500"/>
      <c r="E1152" s="1500"/>
      <c r="F1152" s="1500"/>
      <c r="G1152" s="1500"/>
      <c r="H1152" s="1500"/>
      <c r="I1152" s="1500"/>
      <c r="J1152" s="1500"/>
      <c r="K1152" s="1500"/>
    </row>
    <row r="1153" spans="1:11" ht="13.5" customHeight="1" x14ac:dyDescent="0.3">
      <c r="A1153" s="3" t="str">
        <f>IF(AND(J1160=0,K1160=0),"Do Not Print","Print")</f>
        <v>Do Not Print</v>
      </c>
      <c r="D1153" s="474"/>
      <c r="E1153" s="474"/>
      <c r="F1153" s="474"/>
      <c r="G1153" s="474"/>
      <c r="H1153" s="604"/>
      <c r="I1153" s="474"/>
      <c r="J1153" s="717">
        <v>46112</v>
      </c>
      <c r="K1153" s="717">
        <v>45747</v>
      </c>
    </row>
    <row r="1154" spans="1:11" ht="12.75" customHeight="1" x14ac:dyDescent="0.3">
      <c r="A1154" s="3" t="str">
        <f>IF(AND(J1160=0,K1160=0),"Do Not Print","Print")</f>
        <v>Do Not Print</v>
      </c>
      <c r="D1154" s="474"/>
      <c r="E1154" s="474"/>
      <c r="F1154" s="474"/>
      <c r="G1154" s="474"/>
      <c r="H1154" s="486"/>
      <c r="I1154" s="717"/>
      <c r="J1154" s="717" t="s">
        <v>450</v>
      </c>
      <c r="K1154" s="717"/>
    </row>
    <row r="1155" spans="1:11" x14ac:dyDescent="0.3">
      <c r="A1155" s="3" t="str">
        <f>IF(AND(J1155=0,K1155=0),"Do Not Print","Print")</f>
        <v>Do Not Print</v>
      </c>
      <c r="D1155" s="1738" t="s">
        <v>769</v>
      </c>
      <c r="E1155" s="1803"/>
      <c r="F1155" s="1803"/>
      <c r="G1155" s="1803"/>
      <c r="H1155" s="1803"/>
      <c r="I1155" s="1739"/>
      <c r="J1155" s="923">
        <f>'Non TB - Note 12 to 24'!H245</f>
        <v>0</v>
      </c>
      <c r="K1155" s="924">
        <f>'Non TB - Note 12 to 24'!H249</f>
        <v>0</v>
      </c>
    </row>
    <row r="1156" spans="1:11" x14ac:dyDescent="0.3">
      <c r="A1156" s="3" t="str">
        <f>IF(AND(J1156=0,K1156=0),"Do Not Print","Print")</f>
        <v>Do Not Print</v>
      </c>
      <c r="D1156" s="1738" t="s">
        <v>770</v>
      </c>
      <c r="E1156" s="1803"/>
      <c r="F1156" s="1803"/>
      <c r="G1156" s="1803"/>
      <c r="H1156" s="1803"/>
      <c r="I1156" s="1739"/>
      <c r="J1156" s="923">
        <f>'Non TB - Note 12 to 24'!H246</f>
        <v>0</v>
      </c>
      <c r="K1156" s="924">
        <f>'Non TB - Note 12 to 24'!H250</f>
        <v>0</v>
      </c>
    </row>
    <row r="1157" spans="1:11" x14ac:dyDescent="0.3">
      <c r="A1157" s="3" t="str">
        <f>IF(AND(J1157=0,K1157=0),"Do Not Print","Print")</f>
        <v>Do Not Print</v>
      </c>
      <c r="D1157" s="1738" t="s">
        <v>410</v>
      </c>
      <c r="E1157" s="1803"/>
      <c r="F1157" s="1803"/>
      <c r="G1157" s="1803"/>
      <c r="H1157" s="1803"/>
      <c r="I1157" s="1739"/>
      <c r="J1157" s="923">
        <f>'Non TB - Note 12 to 24'!H247</f>
        <v>0</v>
      </c>
      <c r="K1157" s="924">
        <f>'Non TB - Note 12 to 24'!H251</f>
        <v>0</v>
      </c>
    </row>
    <row r="1158" spans="1:11" x14ac:dyDescent="0.3">
      <c r="A1158" s="3" t="str">
        <f>IF(AND(J1158=0,K1158=0),"Do Not Print","Print")</f>
        <v>Do Not Print</v>
      </c>
      <c r="D1158" s="1738" t="s">
        <v>477</v>
      </c>
      <c r="E1158" s="1803"/>
      <c r="F1158" s="1803"/>
      <c r="G1158" s="1803"/>
      <c r="H1158" s="1803"/>
      <c r="I1158" s="1739"/>
      <c r="J1158" s="622">
        <f>'Non TB - Note 12 to 24'!H248</f>
        <v>0</v>
      </c>
      <c r="K1158" s="623">
        <f>'Non TB - Note 12 to 24'!H252</f>
        <v>0</v>
      </c>
    </row>
    <row r="1159" spans="1:11" x14ac:dyDescent="0.3">
      <c r="A1159" s="3" t="str">
        <f>IF(A1158="Print","Print","Do Not Print")</f>
        <v>Do Not Print</v>
      </c>
      <c r="D1159" s="944"/>
      <c r="E1159" s="945"/>
      <c r="F1159" s="945"/>
      <c r="G1159" s="945"/>
      <c r="H1159" s="945"/>
      <c r="I1159" s="945"/>
      <c r="J1159" s="945"/>
      <c r="K1159" s="946"/>
    </row>
    <row r="1160" spans="1:11" x14ac:dyDescent="0.3">
      <c r="A1160" s="3" t="str">
        <f>IF(AND(J1160=0,K1160=0),"Do Not Print","Print")</f>
        <v>Do Not Print</v>
      </c>
      <c r="D1160" s="474"/>
      <c r="E1160" s="474"/>
      <c r="F1160" s="474"/>
      <c r="G1160" s="474"/>
      <c r="H1160" s="604"/>
      <c r="I1160" s="474"/>
      <c r="J1160" s="605">
        <f>SUM(J1155:J1158)</f>
        <v>0</v>
      </c>
      <c r="K1160" s="624">
        <f>SUM(K1155:K1158)</f>
        <v>0</v>
      </c>
    </row>
    <row r="1161" spans="1:11" ht="13.5" customHeight="1" x14ac:dyDescent="0.3">
      <c r="A1161" s="3" t="str">
        <f>IF(A1160="Print","Print","Do Not Print")</f>
        <v>Do Not Print</v>
      </c>
      <c r="D1161" s="401"/>
    </row>
    <row r="1162" spans="1:11" ht="25.5" customHeight="1" x14ac:dyDescent="0.3">
      <c r="A1162" s="3" t="str">
        <f>IF('Non TB - Note 12 to 24'!F253=1,"Print","Do Not Print")</f>
        <v>Print</v>
      </c>
      <c r="D1162" s="1501" t="str">
        <f>IF('Non TB - Note 12 to 24'!F253=1,'Non TB - Note 12 to 24'!H253,"")</f>
        <v>The total contributions expected to be made to the Northern Ireland Local Government Officers' Pension Fund by the council in the year to 31 March 2026 is £xx.</v>
      </c>
      <c r="E1162" s="1501"/>
      <c r="F1162" s="1501"/>
      <c r="G1162" s="1501"/>
      <c r="H1162" s="1501"/>
      <c r="I1162" s="1501"/>
      <c r="J1162" s="1501"/>
      <c r="K1162" s="1501"/>
    </row>
    <row r="1163" spans="1:11" ht="13.5" customHeight="1" x14ac:dyDescent="0.3">
      <c r="A1163" s="3" t="str">
        <f>IF(A1162="Print","Print","Do Not Print")</f>
        <v>Print</v>
      </c>
      <c r="D1163" s="401"/>
    </row>
    <row r="1164" spans="1:11" ht="13.5" customHeight="1" x14ac:dyDescent="0.3">
      <c r="A1164" s="3" t="str">
        <f>IF(OR(A1165="Print",A1171="Print"),"Print","Do Not Print")</f>
        <v>Print</v>
      </c>
      <c r="D1164" s="474" t="s">
        <v>771</v>
      </c>
      <c r="E1164" s="474"/>
      <c r="F1164" s="474"/>
      <c r="G1164" s="474"/>
      <c r="H1164" s="604"/>
      <c r="I1164" s="604"/>
      <c r="J1164" s="604"/>
      <c r="K1164" s="604"/>
    </row>
    <row r="1165" spans="1:11" ht="33" customHeight="1" x14ac:dyDescent="0.3">
      <c r="A1165" s="3" t="str">
        <f>IF('Non TB - Note 12 to 24'!F254=1,"Print","Do Not Print")</f>
        <v>Print</v>
      </c>
      <c r="D1165" s="1501" t="str">
        <f>IF('Non TB - Note 12 to 24'!F254=1,'Non TB - Note 12 to 24'!H254,"")</f>
        <v>The actuarial gains/losses identified as movements on the Pensions Reserve 2025/26 can be analysed into the following categories, measured as a percentage of assets or liabilities at 31 March 2026.</v>
      </c>
      <c r="E1165" s="1501"/>
      <c r="F1165" s="1501"/>
      <c r="G1165" s="1501"/>
      <c r="H1165" s="1501"/>
      <c r="I1165" s="1501"/>
      <c r="J1165" s="1501"/>
      <c r="K1165" s="1501"/>
    </row>
    <row r="1166" spans="1:11" ht="13.5" customHeight="1" x14ac:dyDescent="0.3">
      <c r="A1166" s="3" t="s">
        <v>448</v>
      </c>
      <c r="D1166" s="401"/>
    </row>
    <row r="1167" spans="1:11" ht="13.5" customHeight="1" x14ac:dyDescent="0.3">
      <c r="A1167" s="3" t="str">
        <f>IF(AND(I1169=0,J1169=0,K1169=0,I1170=0,J1170=0,K1170=0),"Do Not Print","Print")</f>
        <v>Do Not Print</v>
      </c>
      <c r="D1167" s="474"/>
      <c r="E1167" s="474"/>
      <c r="F1167" s="474"/>
      <c r="G1167" s="474"/>
      <c r="H1167" s="604"/>
      <c r="I1167" s="717" t="str">
        <f>I1111</f>
        <v>2025/26</v>
      </c>
      <c r="J1167" s="717" t="str">
        <f>J1111</f>
        <v>2024/25</v>
      </c>
      <c r="K1167" s="894"/>
    </row>
    <row r="1168" spans="1:11" ht="12.75" customHeight="1" x14ac:dyDescent="0.3">
      <c r="A1168" s="3" t="str">
        <f>IF(A1167="Print","Print","Do Not Print")</f>
        <v>Do Not Print</v>
      </c>
      <c r="D1168" s="474"/>
      <c r="E1168" s="474"/>
      <c r="F1168" s="474"/>
      <c r="G1168" s="474"/>
      <c r="H1168" s="486"/>
      <c r="I1168" s="786" t="s">
        <v>768</v>
      </c>
      <c r="J1168" s="786" t="s">
        <v>768</v>
      </c>
      <c r="K1168" s="476"/>
    </row>
    <row r="1169" spans="1:14" ht="13.5" customHeight="1" x14ac:dyDescent="0.3">
      <c r="A1169" s="3" t="str">
        <f>IF(AND(I1169=0,J1169=0,K1169=0),"Do Not Print","Print")</f>
        <v>Do Not Print</v>
      </c>
      <c r="D1169" s="506" t="s">
        <v>2948</v>
      </c>
      <c r="E1169" s="506"/>
      <c r="F1169" s="506"/>
      <c r="G1169" s="506"/>
      <c r="H1169" s="506"/>
      <c r="I1169" s="934">
        <f t="shared" ref="I1169:J1170" si="57">IF(I1144=0,0,I1144/I1128)</f>
        <v>0</v>
      </c>
      <c r="J1169" s="934">
        <f t="shared" si="57"/>
        <v>0</v>
      </c>
      <c r="K1169" s="899"/>
    </row>
    <row r="1170" spans="1:14" ht="13.5" customHeight="1" x14ac:dyDescent="0.3">
      <c r="A1170" s="3" t="str">
        <f>IF(AND(I1170=0,J1170=0,K1170=0),"Do Not Print","Print")</f>
        <v>Do Not Print</v>
      </c>
      <c r="D1170" s="506" t="s">
        <v>773</v>
      </c>
      <c r="E1170" s="506"/>
      <c r="F1170" s="506"/>
      <c r="G1170" s="506"/>
      <c r="H1170" s="506"/>
      <c r="I1170" s="934">
        <f>IF(I1145=0,0,I1145/I1129)</f>
        <v>0</v>
      </c>
      <c r="J1170" s="934">
        <f t="shared" si="57"/>
        <v>0</v>
      </c>
      <c r="K1170" s="899"/>
    </row>
    <row r="1171" spans="1:14" ht="13.5" customHeight="1" x14ac:dyDescent="0.3">
      <c r="A1171" s="3" t="str">
        <f>IF(A1170="Print","Print","Do Not Print")</f>
        <v>Do Not Print</v>
      </c>
      <c r="D1171" s="401"/>
    </row>
    <row r="1172" spans="1:14" ht="17.25" customHeight="1" x14ac:dyDescent="0.3">
      <c r="A1172" s="3" t="str">
        <f>IF(OR(A1173="Print",A1175="Print",A1202="Print"),"Print","Do Not Print")</f>
        <v>Print</v>
      </c>
      <c r="C1172" s="585" t="str">
        <f>Checklist!E122</f>
        <v>e</v>
      </c>
      <c r="D1172" s="474" t="s">
        <v>314</v>
      </c>
      <c r="E1172" s="474"/>
      <c r="F1172" s="474"/>
      <c r="G1172" s="474"/>
      <c r="H1172" s="604"/>
      <c r="I1172" s="604"/>
      <c r="J1172" s="604"/>
      <c r="K1172" s="604"/>
    </row>
    <row r="1173" spans="1:14" ht="56.1" customHeight="1" x14ac:dyDescent="0.3">
      <c r="A1173" s="3" t="str">
        <f>IF('Non TB - Note 12 to 24'!F255=1,"Print","Do Not Print")</f>
        <v>Print</v>
      </c>
      <c r="D1173" s="1512" t="str">
        <f>IF('Non TB - Note 12 to 24'!F255=1,'Non TB - Note 12 to 24'!H255,"")</f>
        <v>Liabilities have been assessed on an actuarial basis using the projected unit method, an estimate of the pensions that will be payable in the future years dependent on assumptions about mortality rates, salary levels, etc. The Council's Fund liabilities have been assessed by Aon Hewitt Limited, an independent firm of actuaries, estimates for the Council Fund being based on data pertaining to the latest full valuation of the scheme as at 31 March 2026.</v>
      </c>
      <c r="E1173" s="1512"/>
      <c r="F1173" s="1512"/>
      <c r="G1173" s="1512"/>
      <c r="H1173" s="1512"/>
      <c r="I1173" s="1512"/>
      <c r="J1173" s="1512"/>
      <c r="K1173" s="1512"/>
    </row>
    <row r="1174" spans="1:14" ht="13.5" customHeight="1" x14ac:dyDescent="0.3">
      <c r="A1174" s="3" t="str">
        <f>IF(A1173="Print","Print","Do Not Print")</f>
        <v>Print</v>
      </c>
      <c r="D1174" s="401"/>
    </row>
    <row r="1175" spans="1:14" ht="13.5" customHeight="1" x14ac:dyDescent="0.3">
      <c r="A1175" s="3" t="str">
        <f>IF(OR(A1177="Print",A1178="Print",A1179="Print",A1180="Print",A1183="Print",A1188="Print",A1192="Print",A1198="Print"),"Print","Do Not Print")</f>
        <v>Do Not Print</v>
      </c>
      <c r="D1175" s="474" t="s">
        <v>2230</v>
      </c>
      <c r="E1175" s="474"/>
      <c r="F1175" s="474"/>
      <c r="G1175" s="474"/>
      <c r="H1175" s="604"/>
      <c r="I1175" s="474"/>
      <c r="J1175" s="717" t="str">
        <f>J1025</f>
        <v>2025/26</v>
      </c>
      <c r="K1175" s="717" t="str">
        <f>K1025</f>
        <v>2024/25</v>
      </c>
      <c r="L1175" s="27"/>
    </row>
    <row r="1176" spans="1:14" ht="12.75" customHeight="1" x14ac:dyDescent="0.3">
      <c r="A1176" s="3" t="str">
        <f>IF(A1175="Print","Print","Do Not Print")</f>
        <v>Do Not Print</v>
      </c>
      <c r="D1176" s="474"/>
      <c r="E1176" s="474"/>
      <c r="F1176" s="474"/>
      <c r="G1176" s="474"/>
      <c r="H1176" s="486"/>
      <c r="I1176" s="474"/>
      <c r="J1176" s="474" t="s">
        <v>768</v>
      </c>
      <c r="K1176" s="474" t="s">
        <v>768</v>
      </c>
    </row>
    <row r="1177" spans="1:14" x14ac:dyDescent="0.3">
      <c r="A1177" s="3" t="str">
        <f>IF(AND(J1177=0,K1177=0),"Do Not Print","Print")</f>
        <v>Do Not Print</v>
      </c>
      <c r="D1177" s="1738" t="s">
        <v>506</v>
      </c>
      <c r="E1177" s="1803"/>
      <c r="F1177" s="1803"/>
      <c r="G1177" s="1803"/>
      <c r="H1177" s="1803"/>
      <c r="I1177" s="1739"/>
      <c r="J1177" s="1078">
        <f>'Non TB - Note 12 to 24'!H256</f>
        <v>0</v>
      </c>
      <c r="K1177" s="1078">
        <f>'Non TB - Note 12 to 24'!I256</f>
        <v>0</v>
      </c>
      <c r="N1177" s="3"/>
    </row>
    <row r="1178" spans="1:14" x14ac:dyDescent="0.3">
      <c r="A1178" s="3" t="str">
        <f>IF(AND(J1178=0,K1178=0),"Do Not Print","Print")</f>
        <v>Do Not Print</v>
      </c>
      <c r="D1178" s="1738" t="s">
        <v>507</v>
      </c>
      <c r="E1178" s="1803"/>
      <c r="F1178" s="1803"/>
      <c r="G1178" s="1803"/>
      <c r="H1178" s="1803"/>
      <c r="I1178" s="1739"/>
      <c r="J1178" s="1078">
        <f>'Non TB - Note 12 to 24'!H257</f>
        <v>0</v>
      </c>
      <c r="K1178" s="1078">
        <f>'Non TB - Note 12 to 24'!I257</f>
        <v>0</v>
      </c>
    </row>
    <row r="1179" spans="1:14" x14ac:dyDescent="0.3">
      <c r="A1179" s="3" t="str">
        <f>IF(AND(J1179=0,K1179=0),"Do Not Print","Print")</f>
        <v>Do Not Print</v>
      </c>
      <c r="D1179" s="1738" t="s">
        <v>508</v>
      </c>
      <c r="E1179" s="1803"/>
      <c r="F1179" s="1803"/>
      <c r="G1179" s="1803"/>
      <c r="H1179" s="1803"/>
      <c r="I1179" s="1739"/>
      <c r="J1179" s="1078">
        <f>'Non TB - Note 12 to 24'!H258</f>
        <v>0</v>
      </c>
      <c r="K1179" s="1078">
        <f>'Non TB - Note 12 to 24'!I258</f>
        <v>0</v>
      </c>
    </row>
    <row r="1180" spans="1:14" x14ac:dyDescent="0.3">
      <c r="A1180" s="3" t="str">
        <f>IF(AND(J1180=0,K1180=0),"Do Not Print","Print")</f>
        <v>Do Not Print</v>
      </c>
      <c r="D1180" s="1738" t="s">
        <v>509</v>
      </c>
      <c r="E1180" s="1803"/>
      <c r="F1180" s="1803"/>
      <c r="G1180" s="1803"/>
      <c r="H1180" s="1803"/>
      <c r="I1180" s="1739"/>
      <c r="J1180" s="1078">
        <f>'Non TB - Note 12 to 24'!H259</f>
        <v>0</v>
      </c>
      <c r="K1180" s="1078">
        <f>'Non TB - Note 12 to 24'!I259</f>
        <v>0</v>
      </c>
    </row>
    <row r="1181" spans="1:14" x14ac:dyDescent="0.3">
      <c r="A1181" s="3" t="str">
        <f>IF(A1180="Print","Print","Do Not Print")</f>
        <v>Do Not Print</v>
      </c>
      <c r="D1181" s="1738" t="s">
        <v>373</v>
      </c>
      <c r="E1181" s="1803"/>
      <c r="F1181" s="1803"/>
      <c r="G1181" s="1803"/>
      <c r="H1181" s="1803"/>
      <c r="I1181" s="1739"/>
      <c r="J1181" s="1078">
        <f>'Non TB - Note 12 to 24'!H260</f>
        <v>0</v>
      </c>
      <c r="K1181" s="1078">
        <f>'Non TB - Note 12 to 24'!I260</f>
        <v>0</v>
      </c>
    </row>
    <row r="1182" spans="1:14" x14ac:dyDescent="0.3">
      <c r="A1182" s="3" t="str">
        <f>IF(A1181="Print","Print","Do Not Print")</f>
        <v>Do Not Print</v>
      </c>
      <c r="D1182" s="1738"/>
      <c r="E1182" s="1803"/>
      <c r="F1182" s="1803"/>
      <c r="G1182" s="1803"/>
      <c r="H1182" s="1803"/>
      <c r="I1182" s="1739"/>
      <c r="J1182" s="610"/>
      <c r="K1182" s="610"/>
    </row>
    <row r="1183" spans="1:14" ht="13.5" customHeight="1" x14ac:dyDescent="0.3">
      <c r="A1183" s="3" t="str">
        <f>IF(OR(A1185="Print",A1186="Print"),"Print","Do Not Print")</f>
        <v>Do Not Print</v>
      </c>
      <c r="D1183" s="1805" t="s">
        <v>775</v>
      </c>
      <c r="E1183" s="1806"/>
      <c r="F1183" s="1806"/>
      <c r="G1183" s="1806"/>
      <c r="H1183" s="1806"/>
      <c r="I1183" s="1807"/>
      <c r="J1183" s="610"/>
      <c r="K1183" s="610"/>
    </row>
    <row r="1184" spans="1:14" ht="13.5" customHeight="1" x14ac:dyDescent="0.3">
      <c r="A1184" s="3" t="str">
        <f>IF(A1183="Print","Print","Do Not Print")</f>
        <v>Do Not Print</v>
      </c>
      <c r="D1184" s="2003" t="s">
        <v>776</v>
      </c>
      <c r="E1184" s="2004"/>
      <c r="F1184" s="2004"/>
      <c r="G1184" s="2004"/>
      <c r="H1184" s="2004"/>
      <c r="I1184" s="2005"/>
      <c r="J1184" s="610" t="s">
        <v>1460</v>
      </c>
      <c r="K1184" s="610" t="s">
        <v>1460</v>
      </c>
    </row>
    <row r="1185" spans="1:14" ht="13.5" customHeight="1" x14ac:dyDescent="0.3">
      <c r="A1185" s="3" t="str">
        <f>IF(AND(J1185=0,K1185=0),"Do Not Print","Print")</f>
        <v>Do Not Print</v>
      </c>
      <c r="D1185" s="1738" t="s">
        <v>777</v>
      </c>
      <c r="E1185" s="1803"/>
      <c r="F1185" s="1803"/>
      <c r="G1185" s="1803"/>
      <c r="H1185" s="1803"/>
      <c r="I1185" s="1739"/>
      <c r="J1185" s="925">
        <f>'Non TB - Note 12 to 24'!H261</f>
        <v>0</v>
      </c>
      <c r="K1185" s="925">
        <f>'Non TB - Note 12 to 24'!I261</f>
        <v>0</v>
      </c>
    </row>
    <row r="1186" spans="1:14" ht="13.5" customHeight="1" x14ac:dyDescent="0.3">
      <c r="A1186" s="3" t="str">
        <f>IF(AND(J1186=0,K1186=0),"Do Not Print","Print")</f>
        <v>Do Not Print</v>
      </c>
      <c r="D1186" s="1738" t="s">
        <v>778</v>
      </c>
      <c r="E1186" s="1803"/>
      <c r="F1186" s="1803"/>
      <c r="G1186" s="1803"/>
      <c r="H1186" s="1803"/>
      <c r="I1186" s="1739"/>
      <c r="J1186" s="925">
        <f>'Non TB - Note 12 to 24'!H262</f>
        <v>0</v>
      </c>
      <c r="K1186" s="925">
        <f>'Non TB - Note 12 to 24'!I262</f>
        <v>0</v>
      </c>
    </row>
    <row r="1187" spans="1:14" ht="13.5" customHeight="1" x14ac:dyDescent="0.3">
      <c r="A1187" s="3" t="str">
        <f>IF(A1186="Print","Print","Do Not Print")</f>
        <v>Do Not Print</v>
      </c>
      <c r="D1187" s="1738"/>
      <c r="E1187" s="1803"/>
      <c r="F1187" s="1803"/>
      <c r="G1187" s="1803"/>
      <c r="H1187" s="1803"/>
      <c r="I1187" s="1739"/>
      <c r="J1187" s="610"/>
      <c r="K1187" s="610"/>
    </row>
    <row r="1188" spans="1:14" ht="13.5" customHeight="1" x14ac:dyDescent="0.3">
      <c r="A1188" s="3" t="str">
        <f>IF(OR(A1189="Print",A1190="Print"),"Print","Do Not Print")</f>
        <v>Do Not Print</v>
      </c>
      <c r="D1188" s="2003" t="s">
        <v>779</v>
      </c>
      <c r="E1188" s="2004"/>
      <c r="F1188" s="2004"/>
      <c r="G1188" s="2004"/>
      <c r="H1188" s="2004"/>
      <c r="I1188" s="2005"/>
      <c r="J1188" s="610"/>
      <c r="K1188" s="610"/>
    </row>
    <row r="1189" spans="1:14" ht="13.5" customHeight="1" x14ac:dyDescent="0.3">
      <c r="A1189" s="3" t="str">
        <f>IF(AND(J1189=0,K1189=0),"Do Not Print","Print")</f>
        <v>Do Not Print</v>
      </c>
      <c r="D1189" s="1738" t="s">
        <v>777</v>
      </c>
      <c r="E1189" s="1803"/>
      <c r="F1189" s="1803"/>
      <c r="G1189" s="1803"/>
      <c r="H1189" s="1803"/>
      <c r="I1189" s="1739"/>
      <c r="J1189" s="925">
        <f>'Non TB - Note 12 to 24'!H263</f>
        <v>0</v>
      </c>
      <c r="K1189" s="925">
        <f>'Non TB - Note 12 to 24'!I263</f>
        <v>0</v>
      </c>
    </row>
    <row r="1190" spans="1:14" ht="13.5" customHeight="1" x14ac:dyDescent="0.3">
      <c r="A1190" s="3" t="str">
        <f>IF(AND(J1190=0,K1190=0),"Do Not Print","Print")</f>
        <v>Do Not Print</v>
      </c>
      <c r="D1190" s="1738" t="s">
        <v>778</v>
      </c>
      <c r="E1190" s="1803"/>
      <c r="F1190" s="1803"/>
      <c r="G1190" s="1803"/>
      <c r="H1190" s="1803"/>
      <c r="I1190" s="1739"/>
      <c r="J1190" s="925">
        <f>'Non TB - Note 12 to 24'!H264</f>
        <v>0</v>
      </c>
      <c r="K1190" s="925">
        <f>'Non TB - Note 12 to 24'!I264</f>
        <v>0</v>
      </c>
    </row>
    <row r="1191" spans="1:14" ht="13.5" customHeight="1" x14ac:dyDescent="0.3">
      <c r="A1191" s="3" t="str">
        <f>IF(A1190="Print","Print","Do Not Print")</f>
        <v>Do Not Print</v>
      </c>
      <c r="D1191" s="1738"/>
      <c r="E1191" s="1803"/>
      <c r="F1191" s="1803"/>
      <c r="G1191" s="1803"/>
      <c r="H1191" s="1803"/>
      <c r="I1191" s="1739"/>
      <c r="J1191" s="610"/>
      <c r="K1191" s="610"/>
    </row>
    <row r="1192" spans="1:14" ht="13.5" customHeight="1" x14ac:dyDescent="0.3">
      <c r="A1192" s="3" t="str">
        <f>IF(AND(J1192=0,K1192=0),"Do Not Print","Print")</f>
        <v>Do Not Print</v>
      </c>
      <c r="D1192" s="1738" t="s">
        <v>780</v>
      </c>
      <c r="E1192" s="1803"/>
      <c r="F1192" s="1803"/>
      <c r="G1192" s="1803"/>
      <c r="H1192" s="1803"/>
      <c r="I1192" s="1739"/>
      <c r="J1192" s="926">
        <f>'Non TB - Note 12 to 24'!H265</f>
        <v>0</v>
      </c>
      <c r="K1192" s="926">
        <f>'Non TB - Note 12 to 24'!I265</f>
        <v>0</v>
      </c>
    </row>
    <row r="1193" spans="1:14" ht="13.5" customHeight="1" x14ac:dyDescent="0.3">
      <c r="A1193" s="3" t="str">
        <f>IF(AND(J1193=0,K1193=0),"Do Not Print","Print")</f>
        <v>Do Not Print</v>
      </c>
      <c r="D1193" s="1738" t="s">
        <v>781</v>
      </c>
      <c r="E1193" s="1803"/>
      <c r="F1193" s="1803"/>
      <c r="G1193" s="1803"/>
      <c r="H1193" s="1803"/>
      <c r="I1193" s="1739"/>
      <c r="J1193" s="926">
        <f>'Non TB - Note 12 to 24'!H266</f>
        <v>0</v>
      </c>
      <c r="K1193" s="926">
        <f>'Non TB - Note 12 to 24'!I266</f>
        <v>0</v>
      </c>
    </row>
    <row r="1194" spans="1:14" ht="13.5" customHeight="1" x14ac:dyDescent="0.3">
      <c r="A1194" s="3" t="str">
        <f>IF(AND(J1194=0,K1194=0),"Do Not Print","Print")</f>
        <v>Do Not Print</v>
      </c>
      <c r="D1194" s="1738" t="s">
        <v>782</v>
      </c>
      <c r="E1194" s="1803"/>
      <c r="F1194" s="1803"/>
      <c r="G1194" s="1803"/>
      <c r="H1194" s="1803"/>
      <c r="I1194" s="1739"/>
      <c r="J1194" s="926">
        <f>'Non TB - Note 12 to 24'!H267</f>
        <v>0</v>
      </c>
      <c r="K1194" s="926">
        <f>'Non TB - Note 12 to 24'!I267</f>
        <v>0</v>
      </c>
    </row>
    <row r="1195" spans="1:14" ht="13.5" customHeight="1" x14ac:dyDescent="0.3">
      <c r="A1195" s="3" t="str">
        <f>IF(AND(J1195=0,K1195=0),"Do Not Print","Print")</f>
        <v>Do Not Print</v>
      </c>
      <c r="D1195" s="1738" t="s">
        <v>783</v>
      </c>
      <c r="E1195" s="1803"/>
      <c r="F1195" s="1803"/>
      <c r="G1195" s="1803"/>
      <c r="H1195" s="1803"/>
      <c r="I1195" s="1739"/>
      <c r="J1195" s="926">
        <f>'Non TB - Note 12 to 24'!H268</f>
        <v>0</v>
      </c>
      <c r="K1195" s="926">
        <f>'Non TB - Note 12 to 24'!I268</f>
        <v>0</v>
      </c>
      <c r="N1195" s="3"/>
    </row>
    <row r="1196" spans="1:14" ht="13.5" customHeight="1" x14ac:dyDescent="0.3">
      <c r="A1196" s="3" t="str">
        <f>IF(A1195="Print","Print","Do Not Print")</f>
        <v>Do Not Print</v>
      </c>
      <c r="D1196" s="1738" t="s">
        <v>1587</v>
      </c>
      <c r="E1196" s="1803"/>
      <c r="F1196" s="1803"/>
      <c r="G1196" s="1803"/>
      <c r="H1196" s="1803"/>
      <c r="I1196" s="1739"/>
      <c r="J1196" s="926">
        <f>'Non TB - Note 12 to 24'!H269</f>
        <v>0</v>
      </c>
      <c r="K1196" s="926">
        <f>'Non TB - Note 12 to 24'!I269</f>
        <v>0</v>
      </c>
    </row>
    <row r="1197" spans="1:14" ht="13.5" customHeight="1" x14ac:dyDescent="0.3">
      <c r="A1197" s="3" t="str">
        <f>IF(A1196="Print","Print","Do Not Print")</f>
        <v>Do Not Print</v>
      </c>
      <c r="D1197" s="1738"/>
      <c r="E1197" s="1803"/>
      <c r="F1197" s="1803"/>
      <c r="G1197" s="1803"/>
      <c r="H1197" s="1803"/>
      <c r="I1197" s="1739"/>
      <c r="J1197" s="610"/>
      <c r="K1197" s="610"/>
    </row>
    <row r="1198" spans="1:14" x14ac:dyDescent="0.3">
      <c r="A1198" s="3" t="str">
        <f>IF(OR(A1199="Print",A1200="Print"),"Print","Do Not Print")</f>
        <v>Do Not Print</v>
      </c>
      <c r="D1198" s="1805" t="s">
        <v>784</v>
      </c>
      <c r="E1198" s="1806"/>
      <c r="F1198" s="1806"/>
      <c r="G1198" s="1806"/>
      <c r="H1198" s="1806"/>
      <c r="I1198" s="1807"/>
      <c r="J1198" s="610"/>
      <c r="K1198" s="610"/>
    </row>
    <row r="1199" spans="1:14" x14ac:dyDescent="0.3">
      <c r="A1199" s="3" t="str">
        <f>IF(AND(J1199=0,K1199=0),"Do Not Print","Print")</f>
        <v>Do Not Print</v>
      </c>
      <c r="D1199" s="1738" t="s">
        <v>785</v>
      </c>
      <c r="E1199" s="1803"/>
      <c r="F1199" s="1803"/>
      <c r="G1199" s="1803"/>
      <c r="H1199" s="1803"/>
      <c r="I1199" s="1739"/>
      <c r="J1199" s="627">
        <f>'Non TB - Note 12 to 24'!H270</f>
        <v>0</v>
      </c>
      <c r="K1199" s="627">
        <f>'Non TB - Note 12 to 24'!I270</f>
        <v>0</v>
      </c>
    </row>
    <row r="1200" spans="1:14" x14ac:dyDescent="0.3">
      <c r="A1200" s="3" t="str">
        <f>IF(AND(J1200=0,K1200=0),"Do Not Print","Print")</f>
        <v>Do Not Print</v>
      </c>
      <c r="D1200" s="1738" t="s">
        <v>786</v>
      </c>
      <c r="E1200" s="1803"/>
      <c r="F1200" s="1803"/>
      <c r="G1200" s="1803"/>
      <c r="H1200" s="1803"/>
      <c r="I1200" s="1739"/>
      <c r="J1200" s="627">
        <f>'Non TB - Note 12 to 24'!H271</f>
        <v>0</v>
      </c>
      <c r="K1200" s="627">
        <f>'Non TB - Note 12 to 24'!I271</f>
        <v>0</v>
      </c>
    </row>
    <row r="1201" spans="1:11" x14ac:dyDescent="0.3">
      <c r="A1201" s="3" t="str">
        <f>IF(A1200="Print","Print","Do Not Print")</f>
        <v>Do Not Print</v>
      </c>
      <c r="D1201" s="947"/>
      <c r="E1201" s="947"/>
      <c r="F1201" s="947"/>
      <c r="G1201" s="947"/>
      <c r="H1201" s="947"/>
      <c r="I1201" s="947"/>
      <c r="J1201" s="947"/>
      <c r="K1201" s="947"/>
    </row>
    <row r="1202" spans="1:11" ht="12.75" customHeight="1" x14ac:dyDescent="0.3">
      <c r="A1202" s="3" t="str">
        <f>IF(OR(A1204="Print",A1206="Print",A1208="Print"),"Print","Do Not Print")</f>
        <v>Print</v>
      </c>
      <c r="D1202" s="474" t="s">
        <v>1441</v>
      </c>
      <c r="E1202" s="474"/>
      <c r="F1202" s="474"/>
      <c r="G1202" s="474"/>
      <c r="H1202" s="604"/>
      <c r="I1202" s="604"/>
      <c r="J1202" s="604"/>
      <c r="K1202" s="604"/>
    </row>
    <row r="1203" spans="1:11" ht="13.5" customHeight="1" x14ac:dyDescent="0.3">
      <c r="A1203" s="3" t="str">
        <f>IF(A1202="Print","Print","Do Not Print")</f>
        <v>Print</v>
      </c>
      <c r="D1203" s="1500"/>
      <c r="E1203" s="1500"/>
      <c r="F1203" s="1500"/>
      <c r="G1203" s="1500"/>
      <c r="H1203" s="1500"/>
      <c r="I1203" s="1500"/>
      <c r="J1203" s="1500"/>
      <c r="K1203" s="1500"/>
    </row>
    <row r="1204" spans="1:11" ht="13.5" customHeight="1" x14ac:dyDescent="0.3">
      <c r="A1204" s="3" t="str">
        <f>IF('Non TB - Note 12 to 24'!F272=1,"Print","Do Not Print")</f>
        <v>Print</v>
      </c>
      <c r="D1204" s="1500" t="str">
        <f>IF('Non TB - Note 12 to 24'!F272=1,'Non TB - Note 12 to 24'!H272,"")</f>
        <v>The pension figures disclosed in these financial statements are sensitive to the assumptions used.</v>
      </c>
      <c r="E1204" s="1500"/>
      <c r="F1204" s="1500"/>
      <c r="G1204" s="1500"/>
      <c r="H1204" s="1500"/>
      <c r="I1204" s="1500"/>
      <c r="J1204" s="1500"/>
      <c r="K1204" s="1500"/>
    </row>
    <row r="1205" spans="1:11" ht="13.5" customHeight="1" x14ac:dyDescent="0.3">
      <c r="A1205" s="3" t="str">
        <f>IF(A1204="Print","Print","Do Not Print")</f>
        <v>Print</v>
      </c>
      <c r="D1205" s="1500"/>
      <c r="E1205" s="1500"/>
      <c r="F1205" s="1500"/>
      <c r="G1205" s="1500"/>
      <c r="H1205" s="1500"/>
      <c r="I1205" s="1500"/>
      <c r="J1205" s="1500"/>
      <c r="K1205" s="1500"/>
    </row>
    <row r="1206" spans="1:11" ht="29.55" customHeight="1" x14ac:dyDescent="0.3">
      <c r="A1206" s="3" t="str">
        <f>IF('Non TB - Note 12 to 24'!F273=1,"Print","Do Not Print")</f>
        <v>Print</v>
      </c>
      <c r="D1206" s="1506" t="str">
        <f>IF('Non TB - Note 12 to 24'!F273=1,'Non TB - Note 12 to 24'!H273,"")</f>
        <v>The approximate impact of changing key assumptions on the present value of the funded defined benefit obligation as at 31 March 2026 is set out below.</v>
      </c>
      <c r="E1206" s="1506"/>
      <c r="F1206" s="1506"/>
      <c r="G1206" s="1506"/>
      <c r="H1206" s="1506"/>
      <c r="I1206" s="1506"/>
      <c r="J1206" s="1506"/>
      <c r="K1206" s="1506"/>
    </row>
    <row r="1207" spans="1:11" ht="13.5" customHeight="1" x14ac:dyDescent="0.3">
      <c r="A1207" s="3" t="str">
        <f>IF(A1206="Print","Print","Do Not Print")</f>
        <v>Print</v>
      </c>
      <c r="D1207" s="1500"/>
      <c r="E1207" s="1500"/>
      <c r="F1207" s="1500"/>
      <c r="G1207" s="1500"/>
      <c r="H1207" s="1500"/>
      <c r="I1207" s="1500"/>
      <c r="J1207" s="1500"/>
      <c r="K1207" s="1500"/>
    </row>
    <row r="1208" spans="1:11" x14ac:dyDescent="0.3">
      <c r="A1208" s="3" t="str">
        <f>IF('Non TB - Note 12 to 24'!F274=1,"Print","Do Not Print")</f>
        <v>Print</v>
      </c>
      <c r="D1208" s="1506" t="str">
        <f>IF('Non TB - Note 12 to 24'!F274=1,'Non TB - Note 12 to 24'!H274,"")</f>
        <v>In each case, only the assumption noted below is altered; all other assumptions remain the same and are summarised in the disclosure above.</v>
      </c>
      <c r="E1208" s="1506"/>
      <c r="F1208" s="1506"/>
      <c r="G1208" s="1506"/>
      <c r="H1208" s="1506"/>
      <c r="I1208" s="1506"/>
      <c r="J1208" s="1506"/>
      <c r="K1208" s="1506"/>
    </row>
    <row r="1209" spans="1:11" ht="13.5" customHeight="1" x14ac:dyDescent="0.3">
      <c r="A1209" s="3" t="str">
        <f>IF(A1208="Print","Print","Do Not Print")</f>
        <v>Print</v>
      </c>
      <c r="D1209" s="1500"/>
      <c r="E1209" s="1500"/>
      <c r="F1209" s="1500"/>
      <c r="G1209" s="1500"/>
      <c r="H1209" s="1500"/>
      <c r="I1209" s="1500"/>
      <c r="J1209" s="1500"/>
      <c r="K1209" s="1500"/>
    </row>
    <row r="1210" spans="1:11" ht="12.75" customHeight="1" x14ac:dyDescent="0.3">
      <c r="A1210" s="3" t="str">
        <f>IF(OR(A1212="Print",A1220="Print",A1228="Print",A1236="Print"),"Print","Do Not Print")</f>
        <v>Print</v>
      </c>
      <c r="D1210" s="1967" t="s">
        <v>1444</v>
      </c>
      <c r="E1210" s="1967"/>
      <c r="F1210" s="1967"/>
      <c r="G1210" s="1967"/>
      <c r="H1210" s="1967"/>
      <c r="I1210" s="1967"/>
      <c r="J1210" s="1967"/>
      <c r="K1210" s="1967"/>
    </row>
    <row r="1211" spans="1:11" ht="13.5" customHeight="1" x14ac:dyDescent="0.3">
      <c r="A1211" s="3" t="str">
        <f>IF(A1210="Print","Print","Do Not Print")</f>
        <v>Print</v>
      </c>
      <c r="D1211" s="1948"/>
      <c r="E1211" s="1948"/>
      <c r="F1211" s="1948"/>
      <c r="G1211" s="1948"/>
      <c r="H1211" s="1948"/>
      <c r="I1211" s="1948"/>
      <c r="J1211" s="1948"/>
      <c r="K1211" s="1948"/>
    </row>
    <row r="1212" spans="1:11" ht="12.75" customHeight="1" x14ac:dyDescent="0.3">
      <c r="A1212" s="3" t="str">
        <f>IF(OR(A1214="Print",A1215="Print",A1216="Print",A1217="Print",A1218="Print"),"Print","Do Not Print")</f>
        <v>Print</v>
      </c>
      <c r="D1212" s="1805" t="s">
        <v>1461</v>
      </c>
      <c r="E1212" s="1806"/>
      <c r="F1212" s="1806"/>
      <c r="G1212" s="1806"/>
      <c r="H1212" s="1806"/>
      <c r="I1212" s="1806"/>
      <c r="J1212" s="1806"/>
      <c r="K1212" s="1807"/>
    </row>
    <row r="1213" spans="1:11" ht="13.5" customHeight="1" x14ac:dyDescent="0.3">
      <c r="A1213" s="3" t="str">
        <f>IF(A1212="Print","Print","Do Not Print")</f>
        <v>Print</v>
      </c>
      <c r="D1213" s="1738"/>
      <c r="E1213" s="1803"/>
      <c r="F1213" s="1803"/>
      <c r="G1213" s="1803"/>
      <c r="H1213" s="1803"/>
      <c r="I1213" s="1803"/>
      <c r="J1213" s="1803"/>
      <c r="K1213" s="1739"/>
    </row>
    <row r="1214" spans="1:11" ht="13.5" customHeight="1" x14ac:dyDescent="0.3">
      <c r="A1214" s="3" t="str">
        <f>IF(AND(J1214=0,K1214=0),"Do Not Print","Print")</f>
        <v>Print</v>
      </c>
      <c r="D1214" s="1738" t="s">
        <v>1445</v>
      </c>
      <c r="E1214" s="1803"/>
      <c r="F1214" s="1803"/>
      <c r="G1214" s="1803"/>
      <c r="H1214" s="1803"/>
      <c r="I1214" s="1739"/>
      <c r="J1214" s="927" t="str">
        <f>'Non TB - Note 12 to 24'!H275</f>
        <v>+0.1%p.a.</v>
      </c>
      <c r="K1214" s="927" t="str">
        <f>'Non TB - Note 12 to 24'!I275</f>
        <v>-0.1%p.a.</v>
      </c>
    </row>
    <row r="1215" spans="1:11" ht="13.5" customHeight="1" x14ac:dyDescent="0.3">
      <c r="A1215" s="3" t="str">
        <f>IF(AND(J1215=0,K1215=0),"Do Not Print","Print")</f>
        <v>Do Not Print</v>
      </c>
      <c r="D1215" s="1738" t="s">
        <v>1447</v>
      </c>
      <c r="E1215" s="1803"/>
      <c r="F1215" s="1803"/>
      <c r="G1215" s="1803"/>
      <c r="H1215" s="1803"/>
      <c r="I1215" s="1739"/>
      <c r="J1215" s="603">
        <f>'Non TB - Note 12 to 24'!H276</f>
        <v>0</v>
      </c>
      <c r="K1215" s="603">
        <f>'Non TB - Note 12 to 24'!I276</f>
        <v>0</v>
      </c>
    </row>
    <row r="1216" spans="1:11" ht="13.5" customHeight="1" x14ac:dyDescent="0.3">
      <c r="A1216" s="3" t="str">
        <f>IF(AND(J1216=0,K1216=0),"Do Not Print","Print")</f>
        <v>Do Not Print</v>
      </c>
      <c r="D1216" s="1738" t="s">
        <v>1448</v>
      </c>
      <c r="E1216" s="1803"/>
      <c r="F1216" s="1803"/>
      <c r="G1216" s="1803"/>
      <c r="H1216" s="1803"/>
      <c r="I1216" s="1739"/>
      <c r="J1216" s="926">
        <f>'Non TB - Note 12 to 24'!H277</f>
        <v>0</v>
      </c>
      <c r="K1216" s="926">
        <f>'Non TB - Note 12 to 24'!I277</f>
        <v>0</v>
      </c>
    </row>
    <row r="1217" spans="1:11" ht="13.5" customHeight="1" x14ac:dyDescent="0.3">
      <c r="A1217" s="3" t="str">
        <f>IF(AND(J1217=0,K1217=0),"Do Not Print","Print")</f>
        <v>Do Not Print</v>
      </c>
      <c r="D1217" s="1738" t="s">
        <v>1449</v>
      </c>
      <c r="E1217" s="1803"/>
      <c r="F1217" s="1803"/>
      <c r="G1217" s="1803"/>
      <c r="H1217" s="1803"/>
      <c r="I1217" s="1739"/>
      <c r="J1217" s="603">
        <f>'Non TB - Note 12 to 24'!H278</f>
        <v>0</v>
      </c>
      <c r="K1217" s="603">
        <f>'Non TB - Note 12 to 24'!I278</f>
        <v>0</v>
      </c>
    </row>
    <row r="1218" spans="1:11" ht="13.5" customHeight="1" x14ac:dyDescent="0.3">
      <c r="A1218" s="3" t="str">
        <f>IF(AND(J1218=0,K1218=0),"Do Not Print","Print")</f>
        <v>Do Not Print</v>
      </c>
      <c r="D1218" s="1738" t="s">
        <v>1450</v>
      </c>
      <c r="E1218" s="1803"/>
      <c r="F1218" s="1803"/>
      <c r="G1218" s="1803"/>
      <c r="H1218" s="1803"/>
      <c r="I1218" s="1739"/>
      <c r="J1218" s="926">
        <f>'Non TB - Note 12 to 24'!H279</f>
        <v>0</v>
      </c>
      <c r="K1218" s="926">
        <f>'Non TB - Note 12 to 24'!I279</f>
        <v>0</v>
      </c>
    </row>
    <row r="1219" spans="1:11" ht="13.5" customHeight="1" x14ac:dyDescent="0.3">
      <c r="A1219" s="3" t="str">
        <f>IF(A1218="Print","Print","Do Not Print")</f>
        <v>Do Not Print</v>
      </c>
      <c r="D1219" s="1738"/>
      <c r="E1219" s="1803"/>
      <c r="F1219" s="1803"/>
      <c r="G1219" s="1803"/>
      <c r="H1219" s="1803"/>
      <c r="I1219" s="1739"/>
      <c r="J1219" s="610"/>
      <c r="K1219" s="610"/>
    </row>
    <row r="1220" spans="1:11" ht="13.5" customHeight="1" x14ac:dyDescent="0.3">
      <c r="A1220" s="3" t="str">
        <f>IF(OR(A1222="Print",A1223="Print",A1224="Print",A1225="Print",A1226="Print"),"Print","Do Not Print")</f>
        <v>Print</v>
      </c>
      <c r="D1220" s="1805" t="s">
        <v>1462</v>
      </c>
      <c r="E1220" s="1806"/>
      <c r="F1220" s="1806"/>
      <c r="G1220" s="1806"/>
      <c r="H1220" s="1806"/>
      <c r="I1220" s="1807"/>
      <c r="J1220" s="610"/>
      <c r="K1220" s="610"/>
    </row>
    <row r="1221" spans="1:11" ht="13.5" customHeight="1" x14ac:dyDescent="0.3">
      <c r="A1221" s="3" t="str">
        <f>IF(A1220="Print","Print","Do Not Print")</f>
        <v>Print</v>
      </c>
      <c r="D1221" s="1738"/>
      <c r="E1221" s="1803"/>
      <c r="F1221" s="1803"/>
      <c r="G1221" s="1803"/>
      <c r="H1221" s="1803"/>
      <c r="I1221" s="1739"/>
      <c r="J1221" s="610"/>
      <c r="K1221" s="610"/>
    </row>
    <row r="1222" spans="1:11" ht="13.5" customHeight="1" x14ac:dyDescent="0.3">
      <c r="A1222" s="3" t="str">
        <f>IF(AND(J1222=0,K1222=0),"Do Not Print","Print")</f>
        <v>Print</v>
      </c>
      <c r="D1222" s="1738" t="s">
        <v>1452</v>
      </c>
      <c r="E1222" s="1803"/>
      <c r="F1222" s="1803"/>
      <c r="G1222" s="1803"/>
      <c r="H1222" s="1803"/>
      <c r="I1222" s="1739"/>
      <c r="J1222" s="927" t="str">
        <f>'Non TB - Note 12 to 24'!H280</f>
        <v>+0.1%p.a.</v>
      </c>
      <c r="K1222" s="927" t="str">
        <f>'Non TB - Note 12 to 24'!I280</f>
        <v>-0.1%p.a.</v>
      </c>
    </row>
    <row r="1223" spans="1:11" ht="13.5" customHeight="1" x14ac:dyDescent="0.3">
      <c r="A1223" s="3" t="str">
        <f>IF(AND(J1223=0,K1223=0),"Do Not Print","Print")</f>
        <v>Do Not Print</v>
      </c>
      <c r="D1223" s="1738" t="s">
        <v>1447</v>
      </c>
      <c r="E1223" s="1803"/>
      <c r="F1223" s="1803"/>
      <c r="G1223" s="1803"/>
      <c r="H1223" s="1803"/>
      <c r="I1223" s="1739"/>
      <c r="J1223" s="603">
        <f>'Non TB - Note 12 to 24'!H281</f>
        <v>0</v>
      </c>
      <c r="K1223" s="603">
        <f>'Non TB - Note 12 to 24'!I281</f>
        <v>0</v>
      </c>
    </row>
    <row r="1224" spans="1:11" ht="13.5" customHeight="1" x14ac:dyDescent="0.3">
      <c r="A1224" s="3" t="str">
        <f>IF(AND(J1224=0,K1224=0),"Do Not Print","Print")</f>
        <v>Do Not Print</v>
      </c>
      <c r="D1224" s="1738" t="s">
        <v>1448</v>
      </c>
      <c r="E1224" s="1803"/>
      <c r="F1224" s="1803"/>
      <c r="G1224" s="1803"/>
      <c r="H1224" s="1803"/>
      <c r="I1224" s="1739"/>
      <c r="J1224" s="926">
        <f>'Non TB - Note 12 to 24'!H282</f>
        <v>0</v>
      </c>
      <c r="K1224" s="926">
        <f>'Non TB - Note 12 to 24'!I282</f>
        <v>0</v>
      </c>
    </row>
    <row r="1225" spans="1:11" ht="13.5" customHeight="1" x14ac:dyDescent="0.3">
      <c r="A1225" s="3" t="str">
        <f>IF(AND(J1225=0,K1225=0),"Do Not Print","Print")</f>
        <v>Do Not Print</v>
      </c>
      <c r="D1225" s="1738" t="s">
        <v>1449</v>
      </c>
      <c r="E1225" s="1803"/>
      <c r="F1225" s="1803"/>
      <c r="G1225" s="1803"/>
      <c r="H1225" s="1803"/>
      <c r="I1225" s="1739"/>
      <c r="J1225" s="603">
        <f>'Non TB - Note 12 to 24'!H283</f>
        <v>0</v>
      </c>
      <c r="K1225" s="603">
        <f>'Non TB - Note 12 to 24'!I283</f>
        <v>0</v>
      </c>
    </row>
    <row r="1226" spans="1:11" ht="13.5" customHeight="1" x14ac:dyDescent="0.3">
      <c r="A1226" s="3" t="s">
        <v>448</v>
      </c>
      <c r="D1226" s="1738" t="s">
        <v>1450</v>
      </c>
      <c r="E1226" s="1803"/>
      <c r="F1226" s="1803"/>
      <c r="G1226" s="1803"/>
      <c r="H1226" s="1803"/>
      <c r="I1226" s="1739"/>
      <c r="J1226" s="926">
        <f>'Non TB - Note 12 to 24'!H284</f>
        <v>0</v>
      </c>
      <c r="K1226" s="926">
        <f>'Non TB - Note 12 to 24'!I284</f>
        <v>0</v>
      </c>
    </row>
    <row r="1227" spans="1:11" ht="13.5" customHeight="1" x14ac:dyDescent="0.3">
      <c r="A1227" s="3" t="str">
        <f>IF(A1226="Print","Print","Do Not Print")</f>
        <v>Print</v>
      </c>
      <c r="D1227" s="1738"/>
      <c r="E1227" s="1803"/>
      <c r="F1227" s="1803"/>
      <c r="G1227" s="1803"/>
      <c r="H1227" s="1803"/>
      <c r="I1227" s="1739"/>
      <c r="J1227" s="610"/>
      <c r="K1227" s="610"/>
    </row>
    <row r="1228" spans="1:11" ht="13.5" customHeight="1" x14ac:dyDescent="0.3">
      <c r="A1228" s="3" t="str">
        <f>IF(OR(A1230="Print",A1231="Print",A1232="Print",A1233="Print",A1234="Print"),"Print","Do Not Print")</f>
        <v>Print</v>
      </c>
      <c r="D1228" s="1805" t="s">
        <v>1463</v>
      </c>
      <c r="E1228" s="1806"/>
      <c r="F1228" s="1806"/>
      <c r="G1228" s="1806"/>
      <c r="H1228" s="1806"/>
      <c r="I1228" s="1807"/>
      <c r="J1228" s="610"/>
      <c r="K1228" s="610"/>
    </row>
    <row r="1229" spans="1:11" ht="13.5" customHeight="1" x14ac:dyDescent="0.3">
      <c r="A1229" s="3" t="str">
        <f>IF(A1228="Print","Print","Do Not Print")</f>
        <v>Print</v>
      </c>
      <c r="D1229" s="1738"/>
      <c r="E1229" s="1803"/>
      <c r="F1229" s="1803"/>
      <c r="G1229" s="1803"/>
      <c r="H1229" s="1803"/>
      <c r="I1229" s="1739"/>
      <c r="J1229" s="610"/>
      <c r="K1229" s="610"/>
    </row>
    <row r="1230" spans="1:11" ht="13.5" customHeight="1" x14ac:dyDescent="0.3">
      <c r="A1230" s="3" t="str">
        <f>IF(AND(J1230=0,K1230=0),"Do Not Print","Print")</f>
        <v>Print</v>
      </c>
      <c r="D1230" s="1738" t="s">
        <v>1454</v>
      </c>
      <c r="E1230" s="1803"/>
      <c r="F1230" s="1803"/>
      <c r="G1230" s="1803"/>
      <c r="H1230" s="1803"/>
      <c r="I1230" s="1739"/>
      <c r="J1230" s="927" t="str">
        <f>'Non TB - Note 12 to 24'!H285</f>
        <v>+0.1%p.a.</v>
      </c>
      <c r="K1230" s="927" t="str">
        <f>'Non TB - Note 12 to 24'!I285</f>
        <v>-0.1%p.a.</v>
      </c>
    </row>
    <row r="1231" spans="1:11" ht="13.5" customHeight="1" x14ac:dyDescent="0.3">
      <c r="A1231" s="3" t="str">
        <f>IF(AND(J1231=0,K1231=0),"Do Not Print","Print")</f>
        <v>Do Not Print</v>
      </c>
      <c r="D1231" s="1738" t="s">
        <v>1447</v>
      </c>
      <c r="E1231" s="1803"/>
      <c r="F1231" s="1803"/>
      <c r="G1231" s="1803"/>
      <c r="H1231" s="1803"/>
      <c r="I1231" s="1739"/>
      <c r="J1231" s="603">
        <f>'Non TB - Note 12 to 24'!H286</f>
        <v>0</v>
      </c>
      <c r="K1231" s="603">
        <f>'Non TB - Note 12 to 24'!I286</f>
        <v>0</v>
      </c>
    </row>
    <row r="1232" spans="1:11" ht="13.5" customHeight="1" x14ac:dyDescent="0.3">
      <c r="A1232" s="3" t="str">
        <f>IF(AND(J1232=0,K1232=0),"Do Not Print","Print")</f>
        <v>Do Not Print</v>
      </c>
      <c r="D1232" s="1738" t="s">
        <v>1448</v>
      </c>
      <c r="E1232" s="1803"/>
      <c r="F1232" s="1803"/>
      <c r="G1232" s="1803"/>
      <c r="H1232" s="1803"/>
      <c r="I1232" s="1739"/>
      <c r="J1232" s="926">
        <f>'Non TB - Note 12 to 24'!H287</f>
        <v>0</v>
      </c>
      <c r="K1232" s="926">
        <f>'Non TB - Note 12 to 24'!I287</f>
        <v>0</v>
      </c>
    </row>
    <row r="1233" spans="1:11" ht="13.5" customHeight="1" x14ac:dyDescent="0.3">
      <c r="A1233" s="3" t="str">
        <f>IF(AND(J1233=0,K1233=0),"Do Not Print","Print")</f>
        <v>Do Not Print</v>
      </c>
      <c r="D1233" s="1738" t="s">
        <v>1449</v>
      </c>
      <c r="E1233" s="1803"/>
      <c r="F1233" s="1803"/>
      <c r="G1233" s="1803"/>
      <c r="H1233" s="1803"/>
      <c r="I1233" s="1739"/>
      <c r="J1233" s="603">
        <f>'Non TB - Note 12 to 24'!H288</f>
        <v>0</v>
      </c>
      <c r="K1233" s="603">
        <f>'Non TB - Note 12 to 24'!I288</f>
        <v>0</v>
      </c>
    </row>
    <row r="1234" spans="1:11" ht="13.5" customHeight="1" x14ac:dyDescent="0.3">
      <c r="A1234" s="3" t="str">
        <f>IF(AND(J1234=0,K1234=0),"Do Not Print","Print")</f>
        <v>Do Not Print</v>
      </c>
      <c r="D1234" s="1738" t="s">
        <v>1450</v>
      </c>
      <c r="E1234" s="1803"/>
      <c r="F1234" s="1803"/>
      <c r="G1234" s="1803"/>
      <c r="H1234" s="1803"/>
      <c r="I1234" s="1739"/>
      <c r="J1234" s="926">
        <f>'Non TB - Note 12 to 24'!H289</f>
        <v>0</v>
      </c>
      <c r="K1234" s="926">
        <f>'Non TB - Note 12 to 24'!I289</f>
        <v>0</v>
      </c>
    </row>
    <row r="1235" spans="1:11" ht="13.5" customHeight="1" x14ac:dyDescent="0.3">
      <c r="A1235" s="3" t="str">
        <f>IF(A1234="Print","Print","Do Not Print")</f>
        <v>Do Not Print</v>
      </c>
      <c r="D1235" s="1738"/>
      <c r="E1235" s="1803"/>
      <c r="F1235" s="1803"/>
      <c r="G1235" s="1803"/>
      <c r="H1235" s="1803"/>
      <c r="I1235" s="1739"/>
      <c r="J1235" s="610"/>
      <c r="K1235" s="610"/>
    </row>
    <row r="1236" spans="1:11" ht="13.5" customHeight="1" x14ac:dyDescent="0.3">
      <c r="A1236" s="3" t="str">
        <f>IF(OR(A1238="Print",A1239="Print",A1240="Print",A1241="Print",A1242="Print"),"Print","Do Not Print")</f>
        <v>Print</v>
      </c>
      <c r="D1236" s="1805" t="s">
        <v>1464</v>
      </c>
      <c r="E1236" s="1806"/>
      <c r="F1236" s="1806"/>
      <c r="G1236" s="1806"/>
      <c r="H1236" s="1806"/>
      <c r="I1236" s="1807"/>
      <c r="J1236" s="610"/>
      <c r="K1236" s="610"/>
    </row>
    <row r="1237" spans="1:11" ht="13.5" customHeight="1" x14ac:dyDescent="0.3">
      <c r="A1237" s="3" t="str">
        <f>IF(A1236="Print","Print","Do Not Print")</f>
        <v>Print</v>
      </c>
      <c r="D1237" s="1738"/>
      <c r="E1237" s="1803"/>
      <c r="F1237" s="1803"/>
      <c r="G1237" s="1803"/>
      <c r="H1237" s="1803"/>
      <c r="I1237" s="1739"/>
      <c r="J1237" s="610"/>
      <c r="K1237" s="610"/>
    </row>
    <row r="1238" spans="1:11" ht="13.5" customHeight="1" x14ac:dyDescent="0.3">
      <c r="A1238" s="3" t="str">
        <f>IF(AND(J1238=0,K1238=0),"Do Not Print","Print")</f>
        <v>Print</v>
      </c>
      <c r="D1238" s="1738" t="s">
        <v>1465</v>
      </c>
      <c r="E1238" s="1803"/>
      <c r="F1238" s="1803"/>
      <c r="G1238" s="1803"/>
      <c r="H1238" s="1803"/>
      <c r="I1238" s="1739"/>
      <c r="J1238" s="927" t="str">
        <f>'Non TB - Note 12 to 24'!H290</f>
        <v>- 1 Year</v>
      </c>
      <c r="K1238" s="927" t="str">
        <f>'Non TB - Note 12 to 24'!I290</f>
        <v>+1 Year</v>
      </c>
    </row>
    <row r="1239" spans="1:11" ht="13.5" customHeight="1" x14ac:dyDescent="0.3">
      <c r="A1239" s="3" t="str">
        <f>IF(AND(J1239=0,K1239=0),"Do Not Print","Print")</f>
        <v>Do Not Print</v>
      </c>
      <c r="D1239" s="1738" t="s">
        <v>1447</v>
      </c>
      <c r="E1239" s="1803"/>
      <c r="F1239" s="1803"/>
      <c r="G1239" s="1803"/>
      <c r="H1239" s="1803"/>
      <c r="I1239" s="1739"/>
      <c r="J1239" s="603">
        <f>'Non TB - Note 12 to 24'!H291</f>
        <v>0</v>
      </c>
      <c r="K1239" s="603">
        <f>'Non TB - Note 12 to 24'!I291</f>
        <v>0</v>
      </c>
    </row>
    <row r="1240" spans="1:11" ht="13.5" customHeight="1" x14ac:dyDescent="0.3">
      <c r="A1240" s="3" t="str">
        <f>IF(AND(J1240=0,K1240=0),"Do Not Print","Print")</f>
        <v>Do Not Print</v>
      </c>
      <c r="D1240" s="1738" t="s">
        <v>1448</v>
      </c>
      <c r="E1240" s="1803"/>
      <c r="F1240" s="1803"/>
      <c r="G1240" s="1803"/>
      <c r="H1240" s="1803"/>
      <c r="I1240" s="1739"/>
      <c r="J1240" s="926">
        <f>'Non TB - Note 12 to 24'!H292</f>
        <v>0</v>
      </c>
      <c r="K1240" s="926">
        <f>'Non TB - Note 12 to 24'!I292</f>
        <v>0</v>
      </c>
    </row>
    <row r="1241" spans="1:11" ht="13.5" customHeight="1" x14ac:dyDescent="0.3">
      <c r="A1241" s="3" t="str">
        <f>IF(AND(J1241=0,K1241=0),"Do Not Print","Print")</f>
        <v>Do Not Print</v>
      </c>
      <c r="D1241" s="1738" t="s">
        <v>1449</v>
      </c>
      <c r="E1241" s="1803"/>
      <c r="F1241" s="1803"/>
      <c r="G1241" s="1803"/>
      <c r="H1241" s="1803"/>
      <c r="I1241" s="1739"/>
      <c r="J1241" s="603">
        <f>'Non TB - Note 12 to 24'!H293</f>
        <v>0</v>
      </c>
      <c r="K1241" s="603">
        <f>'Non TB - Note 12 to 24'!I293</f>
        <v>0</v>
      </c>
    </row>
    <row r="1242" spans="1:11" ht="13.5" customHeight="1" x14ac:dyDescent="0.3">
      <c r="A1242" s="3" t="str">
        <f>IF(AND(J1242=0,K1242=0),"Do Not Print","Print")</f>
        <v>Do Not Print</v>
      </c>
      <c r="D1242" s="1738" t="s">
        <v>1450</v>
      </c>
      <c r="E1242" s="1803"/>
      <c r="F1242" s="1803"/>
      <c r="G1242" s="1803"/>
      <c r="H1242" s="1803"/>
      <c r="I1242" s="1739"/>
      <c r="J1242" s="926">
        <f>'Non TB - Note 12 to 24'!H294</f>
        <v>0</v>
      </c>
      <c r="K1242" s="926">
        <f>'Non TB - Note 12 to 24'!I294</f>
        <v>0</v>
      </c>
    </row>
    <row r="1243" spans="1:11" ht="13.5" customHeight="1" x14ac:dyDescent="0.3">
      <c r="A1243" s="3" t="str">
        <f>IF(A1242="Print","Print","Do Not Print")</f>
        <v>Do Not Print</v>
      </c>
      <c r="D1243" s="1969"/>
      <c r="E1243" s="1969"/>
      <c r="F1243" s="1969"/>
      <c r="G1243" s="1969"/>
      <c r="H1243" s="1969"/>
      <c r="I1243" s="1969"/>
      <c r="J1243" s="1969"/>
      <c r="K1243" s="1969"/>
    </row>
    <row r="1244" spans="1:11" ht="27.75" customHeight="1" x14ac:dyDescent="0.3">
      <c r="A1244" s="3" t="str">
        <f>IF('Non TB - Note 12 to 24'!F295=1,"Print","Do Not Print")</f>
        <v>Print</v>
      </c>
      <c r="D1244" s="1506" t="str">
        <f>IF('Non TB - Note 12 to 24'!F295=1,'Non TB - Note 12 to 24'!H295,"")</f>
        <v>* A rating of +1 year means that members are assumed to follow the mortality pattern of the base table above for an individual that is 1 year older than that.</v>
      </c>
      <c r="E1244" s="1506"/>
      <c r="F1244" s="1506"/>
      <c r="G1244" s="1506"/>
      <c r="H1244" s="1506"/>
      <c r="I1244" s="1506"/>
      <c r="J1244" s="1506"/>
      <c r="K1244" s="1506"/>
    </row>
    <row r="1245" spans="1:11" ht="13.5" customHeight="1" x14ac:dyDescent="0.3">
      <c r="A1245" s="3" t="str">
        <f>IF(A1244="Print","Print","Do Not Print")</f>
        <v>Print</v>
      </c>
      <c r="D1245" s="401"/>
    </row>
    <row r="1246" spans="1:11" ht="13.5" customHeight="1" x14ac:dyDescent="0.3">
      <c r="A1246" s="3" t="str">
        <f>IF('Non TB - Note 12 to 24'!F296=1,"Print","Do Not Print")</f>
        <v>Print</v>
      </c>
      <c r="C1246" s="585" t="str">
        <f>Checklist!E123</f>
        <v>f</v>
      </c>
      <c r="D1246" s="474" t="str">
        <f>IF('Non TB - Note 12 to 24'!F296=1,'Non TB - Note 12 to 24'!E296,"")</f>
        <v>Major categories of plan assets as percentage of total plan assets</v>
      </c>
      <c r="E1246" s="474"/>
      <c r="F1246" s="474"/>
      <c r="G1246" s="474"/>
      <c r="H1246" s="604"/>
      <c r="I1246" s="604"/>
      <c r="J1246" s="604"/>
      <c r="K1246" s="604"/>
    </row>
    <row r="1247" spans="1:11" ht="13.5" customHeight="1" x14ac:dyDescent="0.3">
      <c r="A1247" s="3" t="str">
        <f>IF(A1245="Print","Print","Do Not Print")</f>
        <v>Print</v>
      </c>
      <c r="D1247" s="401"/>
    </row>
    <row r="1248" spans="1:11" x14ac:dyDescent="0.3">
      <c r="A1248" s="3" t="str">
        <f>IF(A1245="Print","Print","Do Not Print")</f>
        <v>Print</v>
      </c>
      <c r="D1248" s="1506" t="str">
        <f>IF('Non TB - Note 12 to 24'!F296=1,'Non TB - Note 12 to 24'!H296,"")</f>
        <v>The Northern Ireland Local Government Officers' Pension Fund's assets consist of the following categories, by proportion of the total assets held:</v>
      </c>
      <c r="E1248" s="1506"/>
      <c r="F1248" s="1506"/>
      <c r="G1248" s="1506"/>
      <c r="H1248" s="1506"/>
      <c r="I1248" s="1506"/>
      <c r="J1248" s="1506"/>
      <c r="K1248" s="1506"/>
    </row>
    <row r="1249" spans="1:11" ht="13.5" customHeight="1" x14ac:dyDescent="0.3">
      <c r="A1249" s="3" t="str">
        <f>IF(A1246="Print","Print","Do Not Print")</f>
        <v>Print</v>
      </c>
      <c r="D1249" s="401"/>
    </row>
    <row r="1250" spans="1:11" ht="12.75" customHeight="1" x14ac:dyDescent="0.3">
      <c r="A1250" s="3" t="str">
        <f>IF(OR(A1252="Print",A1254="Print",A1255="Print",A1256="Print"),"Print","Do Not Print")</f>
        <v>Do Not Print</v>
      </c>
      <c r="D1250" s="474"/>
      <c r="E1250" s="474"/>
      <c r="F1250" s="474"/>
      <c r="G1250" s="486"/>
      <c r="H1250" s="486"/>
      <c r="I1250" s="586">
        <v>46112</v>
      </c>
      <c r="J1250" s="586">
        <v>45747</v>
      </c>
      <c r="K1250" s="609"/>
    </row>
    <row r="1251" spans="1:11" ht="12.75" customHeight="1" x14ac:dyDescent="0.3">
      <c r="A1251" s="3" t="str">
        <f>IF(A1250="Print","Print","Do Not Print")</f>
        <v>Do Not Print</v>
      </c>
      <c r="D1251" s="474"/>
      <c r="E1251" s="474"/>
      <c r="F1251" s="474"/>
      <c r="G1251" s="486"/>
      <c r="H1251" s="486"/>
      <c r="I1251" s="474" t="s">
        <v>768</v>
      </c>
      <c r="J1251" s="474" t="s">
        <v>768</v>
      </c>
      <c r="K1251" s="476"/>
    </row>
    <row r="1252" spans="1:11" ht="13.5" customHeight="1" x14ac:dyDescent="0.3">
      <c r="A1252" s="3" t="str">
        <f t="shared" ref="A1252:A1258" si="58">IF(AND(I1252=0,J1252=0,K1252=0),"Do Not Print","Print")</f>
        <v>Do Not Print</v>
      </c>
      <c r="D1252" s="1738" t="s">
        <v>506</v>
      </c>
      <c r="E1252" s="1803"/>
      <c r="F1252" s="1803"/>
      <c r="G1252" s="1803"/>
      <c r="H1252" s="1739"/>
      <c r="I1252" s="926">
        <f>'Non TB - Note 12 to 24'!H297</f>
        <v>0</v>
      </c>
      <c r="J1252" s="926">
        <f>'Non TB - Note 12 to 24'!I297</f>
        <v>0</v>
      </c>
      <c r="K1252" s="902"/>
    </row>
    <row r="1253" spans="1:11" ht="13.5" customHeight="1" x14ac:dyDescent="0.3">
      <c r="A1253" s="3" t="str">
        <f t="shared" si="58"/>
        <v>Do Not Print</v>
      </c>
      <c r="D1253" s="1738" t="s">
        <v>1582</v>
      </c>
      <c r="E1253" s="1803"/>
      <c r="F1253" s="1803"/>
      <c r="G1253" s="1803"/>
      <c r="H1253" s="1739"/>
      <c r="I1253" s="926">
        <f>'Non TB - Note 12 to 24'!H298</f>
        <v>0</v>
      </c>
      <c r="J1253" s="926">
        <f>'Non TB - Note 12 to 24'!I298</f>
        <v>0</v>
      </c>
      <c r="K1253" s="902"/>
    </row>
    <row r="1254" spans="1:11" ht="12.75" customHeight="1" x14ac:dyDescent="0.3">
      <c r="A1254" s="3" t="str">
        <f t="shared" si="58"/>
        <v>Do Not Print</v>
      </c>
      <c r="D1254" s="1957" t="s">
        <v>1583</v>
      </c>
      <c r="E1254" s="1958"/>
      <c r="F1254" s="1958"/>
      <c r="G1254" s="1958"/>
      <c r="H1254" s="1959"/>
      <c r="I1254" s="926">
        <f>'Non TB - Note 12 to 24'!H299</f>
        <v>0</v>
      </c>
      <c r="J1254" s="926">
        <f>'Non TB - Note 12 to 24'!I299</f>
        <v>0</v>
      </c>
      <c r="K1254" s="902"/>
    </row>
    <row r="1255" spans="1:11" ht="13.5" customHeight="1" x14ac:dyDescent="0.3">
      <c r="A1255" s="3" t="str">
        <f t="shared" si="58"/>
        <v>Do Not Print</v>
      </c>
      <c r="D1255" s="1738" t="s">
        <v>508</v>
      </c>
      <c r="E1255" s="1803"/>
      <c r="F1255" s="1803"/>
      <c r="G1255" s="1803"/>
      <c r="H1255" s="1739"/>
      <c r="I1255" s="926">
        <f>'Non TB - Note 12 to 24'!H300</f>
        <v>0</v>
      </c>
      <c r="J1255" s="926">
        <f>'Non TB - Note 12 to 24'!I300</f>
        <v>0</v>
      </c>
      <c r="K1255" s="902"/>
    </row>
    <row r="1256" spans="1:11" ht="13.5" customHeight="1" x14ac:dyDescent="0.3">
      <c r="A1256" s="3" t="str">
        <f t="shared" si="58"/>
        <v>Do Not Print</v>
      </c>
      <c r="D1256" s="1738" t="s">
        <v>509</v>
      </c>
      <c r="E1256" s="1803"/>
      <c r="F1256" s="1803"/>
      <c r="G1256" s="1803"/>
      <c r="H1256" s="1739"/>
      <c r="I1256" s="926">
        <f>'Non TB - Note 12 to 24'!H301</f>
        <v>0</v>
      </c>
      <c r="J1256" s="926">
        <f>'Non TB - Note 12 to 24'!I301</f>
        <v>0</v>
      </c>
      <c r="K1256" s="902"/>
    </row>
    <row r="1257" spans="1:11" ht="13.5" customHeight="1" x14ac:dyDescent="0.3">
      <c r="A1257" s="3" t="str">
        <f t="shared" si="58"/>
        <v>Do Not Print</v>
      </c>
      <c r="D1257" s="1738" t="s">
        <v>373</v>
      </c>
      <c r="E1257" s="1803"/>
      <c r="F1257" s="1803"/>
      <c r="G1257" s="1803"/>
      <c r="H1257" s="1739"/>
      <c r="I1257" s="926">
        <f>'Non TB - Note 12 to 24'!H302</f>
        <v>0</v>
      </c>
      <c r="J1257" s="926">
        <f>'Non TB - Note 12 to 24'!I302</f>
        <v>0</v>
      </c>
      <c r="K1257" s="902"/>
    </row>
    <row r="1258" spans="1:11" ht="12.75" customHeight="1" x14ac:dyDescent="0.3">
      <c r="A1258" s="3" t="str">
        <f t="shared" si="58"/>
        <v>Do Not Print</v>
      </c>
      <c r="D1258" s="1805" t="s">
        <v>74</v>
      </c>
      <c r="E1258" s="1806"/>
      <c r="F1258" s="1806"/>
      <c r="G1258" s="1806"/>
      <c r="H1258" s="1807"/>
      <c r="I1258" s="631">
        <f>SUM(I1252:I1257)</f>
        <v>0</v>
      </c>
      <c r="J1258" s="631">
        <f>SUM(J1252:J1257)</f>
        <v>0</v>
      </c>
      <c r="K1258" s="903"/>
    </row>
    <row r="1259" spans="1:11" ht="13.5" customHeight="1" x14ac:dyDescent="0.3">
      <c r="A1259" s="3" t="str">
        <f>IF(A1258="Print","Print","Do Not Print")</f>
        <v>Do Not Print</v>
      </c>
      <c r="D1259" s="1500"/>
      <c r="E1259" s="1500"/>
      <c r="F1259" s="1500"/>
      <c r="G1259" s="1500"/>
      <c r="H1259" s="1500"/>
      <c r="I1259" s="1500"/>
      <c r="J1259" s="1500"/>
      <c r="K1259" s="1500"/>
    </row>
    <row r="1260" spans="1:11" ht="13.5" customHeight="1" x14ac:dyDescent="0.3">
      <c r="A1260" s="3" t="str">
        <f>IF(OR(A1262="Print",A1264="Print",A1266="Print"),"Print","Do Not Print")</f>
        <v>Print</v>
      </c>
      <c r="C1260" s="585" t="str">
        <f>Checklist!E124</f>
        <v>g</v>
      </c>
      <c r="D1260" s="474" t="str">
        <f>IF('Non TB - Note 12 to 24'!F303=1,'Non TB - Note 12 to 24'!E303,"")</f>
        <v>Northern Ireland Civil Service Pension Arrangements</v>
      </c>
      <c r="E1260" s="474"/>
      <c r="F1260" s="474"/>
      <c r="G1260" s="474"/>
      <c r="H1260" s="604"/>
      <c r="I1260" s="604"/>
      <c r="J1260" s="604"/>
      <c r="K1260" s="604"/>
    </row>
    <row r="1261" spans="1:11" ht="13.5" customHeight="1" x14ac:dyDescent="0.3">
      <c r="A1261" s="3" t="str">
        <f>IF(A1260="Print","Print","Do Not Print")</f>
        <v>Print</v>
      </c>
      <c r="D1261" s="1500"/>
      <c r="E1261" s="1500"/>
      <c r="F1261" s="1500"/>
      <c r="G1261" s="1500"/>
      <c r="H1261" s="1500"/>
      <c r="I1261" s="1500"/>
      <c r="J1261" s="1500"/>
      <c r="K1261" s="1500"/>
    </row>
    <row r="1262" spans="1:11" ht="57.6" customHeight="1" x14ac:dyDescent="0.3">
      <c r="A1262" s="3" t="str">
        <f>IF('Non TB - Note 12 to 24'!F303=1,"Print","Do Not Print")</f>
        <v>Print</v>
      </c>
      <c r="D1262" s="1506" t="str">
        <f>IF('Non TB - Note 12 to 24'!F303=1,'Non TB - Note 12 to 24'!H303,"")</f>
        <v xml:space="preserve">The Northern Ireland Civil Service Pension arrangements are unfunded multi-employer defined benefit schemes but the Council is unable to identify its share of the underlying assets and liabilities. The most up to date actuarial valuation was carried out as at 31/03/YY. This valuation is then reviewed by the Scheme Actuary and updated to reflect current conditions and rolled forward to the reporting date of the DoF Superannuation and Other Allowances Resource Accounts as at 31 March 2026. </v>
      </c>
      <c r="E1262" s="1506"/>
      <c r="F1262" s="1506"/>
      <c r="G1262" s="1506"/>
      <c r="H1262" s="1506"/>
      <c r="I1262" s="1506"/>
      <c r="J1262" s="1506"/>
      <c r="K1262" s="1506"/>
    </row>
    <row r="1263" spans="1:11" ht="13.5" customHeight="1" x14ac:dyDescent="0.3">
      <c r="A1263" s="3" t="str">
        <f>IF(A1262="Print","Print","Do Not Print")</f>
        <v>Print</v>
      </c>
      <c r="D1263" s="1500"/>
      <c r="E1263" s="1500"/>
      <c r="F1263" s="1500"/>
      <c r="G1263" s="1500"/>
      <c r="H1263" s="1500"/>
      <c r="I1263" s="1500"/>
      <c r="J1263" s="1500"/>
      <c r="K1263" s="1500"/>
    </row>
    <row r="1264" spans="1:11" ht="83.25" customHeight="1" x14ac:dyDescent="0.3">
      <c r="A1264" s="3" t="str">
        <f>IF('Non TB - Note 12 to 24'!F304=1,"Print","Do Not Print")</f>
        <v>Print</v>
      </c>
      <c r="D1264" s="1506" t="str">
        <f>IF('Non TB - Note 12 to 24'!F304=1,'Non TB - Note 12 to 24'!H304,"")</f>
        <v>Guaranteed Minimum Pension (GMP) is a portion of pension that was accrued by individuals who were contracted out of the state pension prior to 6 April 1997.  At present there is an inequality of benefits between male and female members who have GMP.  Although the Government intends that GMP should be equalised, at present it is not clear how this equalisation will be implemented.  In July 2014 the Government stated an intention to develop fully considered proposals and to publish guidance when this work is completed, but no target date was given.  The impact of any liabilities relating to the Council is therefore uncertain and no provision has been made in these financial statements.</v>
      </c>
      <c r="E1264" s="1506"/>
      <c r="F1264" s="1506"/>
      <c r="G1264" s="1506"/>
      <c r="H1264" s="1506"/>
      <c r="I1264" s="1506"/>
      <c r="J1264" s="1506"/>
      <c r="K1264" s="1506"/>
    </row>
    <row r="1265" spans="1:13" ht="13.5" customHeight="1" x14ac:dyDescent="0.3">
      <c r="A1265" s="3" t="str">
        <f>IF(A1264="Print","Print","Do Not Print")</f>
        <v>Print</v>
      </c>
      <c r="D1265" s="1506"/>
      <c r="E1265" s="1506"/>
      <c r="F1265" s="1506"/>
      <c r="G1265" s="1506"/>
      <c r="H1265" s="1506"/>
      <c r="I1265" s="1506"/>
      <c r="J1265" s="1506"/>
      <c r="K1265" s="1506"/>
    </row>
    <row r="1266" spans="1:13" ht="58.5" customHeight="1" x14ac:dyDescent="0.3">
      <c r="A1266" s="3" t="str">
        <f>IF('Non TB - Note 12 to 24'!F305=1,"Print","Do Not Print")</f>
        <v>Print</v>
      </c>
      <c r="D1266" s="1504" t="str">
        <f>IF('Non TB - Note 12 to 24'!F305=1,'Non TB - Note 12 to 24'!H305,"")</f>
        <v>Council specific text</v>
      </c>
      <c r="E1266" s="1504"/>
      <c r="F1266" s="1504"/>
      <c r="G1266" s="1504"/>
      <c r="H1266" s="1504"/>
      <c r="I1266" s="1504"/>
      <c r="J1266" s="1504"/>
      <c r="K1266" s="1504"/>
    </row>
    <row r="1267" spans="1:13" x14ac:dyDescent="0.3">
      <c r="A1267" s="3" t="str">
        <f>IF(A1266="Print","Print","Do Not Print")</f>
        <v>Print</v>
      </c>
      <c r="D1267" s="1500"/>
      <c r="E1267" s="1500"/>
      <c r="F1267" s="1500"/>
      <c r="G1267" s="1500"/>
      <c r="H1267" s="1500"/>
      <c r="I1267" s="1500"/>
      <c r="J1267" s="1500"/>
      <c r="K1267" s="1500"/>
    </row>
    <row r="1268" spans="1:13" x14ac:dyDescent="0.3">
      <c r="A1268" s="3" t="str">
        <f>IF(AND(I1274=0,J1274=0,K1274=0),"Do Not Print","Print")</f>
        <v>Do Not Print</v>
      </c>
      <c r="B1268" s="585">
        <f>Checklist!E125</f>
        <v>22</v>
      </c>
      <c r="C1268" s="632"/>
      <c r="D1268" s="474" t="s">
        <v>788</v>
      </c>
      <c r="E1268" s="474"/>
      <c r="F1268" s="474"/>
      <c r="G1268" s="486"/>
      <c r="H1268" s="486"/>
      <c r="I1268" s="586" t="s">
        <v>474</v>
      </c>
      <c r="J1268" s="586" t="str">
        <f>I574</f>
        <v>2025/26</v>
      </c>
      <c r="K1268" s="586" t="str">
        <f>J574</f>
        <v>2024/25</v>
      </c>
      <c r="M1268" s="3"/>
    </row>
    <row r="1269" spans="1:13" x14ac:dyDescent="0.3">
      <c r="A1269" s="3" t="str">
        <f>IF(A1268="Print","Print","Do Not Print")</f>
        <v>Do Not Print</v>
      </c>
      <c r="D1269" s="474"/>
      <c r="E1269" s="474"/>
      <c r="F1269" s="474"/>
      <c r="G1269" s="486"/>
      <c r="H1269" s="486"/>
      <c r="I1269" s="586"/>
      <c r="J1269" s="586" t="str">
        <f>I575</f>
        <v>£</v>
      </c>
      <c r="K1269" s="586" t="str">
        <f>J575</f>
        <v>£</v>
      </c>
    </row>
    <row r="1270" spans="1:13" x14ac:dyDescent="0.3">
      <c r="A1270" s="3" t="str">
        <f>IF(AND(K1270=0,I1270=0,J1270=0),"Do Not Print","Print")</f>
        <v>Do Not Print</v>
      </c>
      <c r="D1270" s="1738" t="s">
        <v>789</v>
      </c>
      <c r="E1270" s="1803"/>
      <c r="F1270" s="1803"/>
      <c r="G1270" s="1739"/>
      <c r="H1270" s="610"/>
      <c r="I1270" s="610"/>
      <c r="J1270" s="1169">
        <f>K1274</f>
        <v>0</v>
      </c>
      <c r="K1270" s="1169">
        <f>'Input - BS'!U419</f>
        <v>0</v>
      </c>
      <c r="L1270" s="6"/>
    </row>
    <row r="1271" spans="1:13" ht="17.100000000000001" customHeight="1" x14ac:dyDescent="0.3">
      <c r="A1271" s="3" t="str">
        <f>IF(AND(K1271=0,I1271=0,J1271=0),"Do Not Print","Print")</f>
        <v>Do Not Print</v>
      </c>
      <c r="D1271" s="1957" t="s">
        <v>2950</v>
      </c>
      <c r="E1271" s="1958"/>
      <c r="F1271" s="1958"/>
      <c r="G1271" s="1959"/>
      <c r="H1271" s="610"/>
      <c r="I1271" s="610"/>
      <c r="J1271" s="1170">
        <f>'Non TB - Note 12 to 24'!H306</f>
        <v>0</v>
      </c>
      <c r="K1271" s="1170">
        <f>'Non TB - Note 12 to 24'!I306</f>
        <v>0</v>
      </c>
    </row>
    <row r="1272" spans="1:13" ht="25.5" customHeight="1" x14ac:dyDescent="0.3">
      <c r="A1272" s="3" t="str">
        <f>IF(AND(K1272=0,I1272=0,J1272=0),"Do Not Print","Print")</f>
        <v>Do Not Print</v>
      </c>
      <c r="D1272" s="1957" t="s">
        <v>790</v>
      </c>
      <c r="E1272" s="1958"/>
      <c r="F1272" s="1958"/>
      <c r="G1272" s="1959"/>
      <c r="H1272" s="610"/>
      <c r="I1272" s="610"/>
      <c r="J1272" s="1169">
        <f>'Det CIES'!P129</f>
        <v>0</v>
      </c>
      <c r="K1272" s="1169">
        <f>'Det CIES'!S129</f>
        <v>0</v>
      </c>
    </row>
    <row r="1273" spans="1:13" x14ac:dyDescent="0.3">
      <c r="A1273" s="3" t="str">
        <f>IF(A1272="Print","Print","Do Not Print")</f>
        <v>Do Not Print</v>
      </c>
      <c r="D1273" s="947"/>
      <c r="E1273" s="947"/>
      <c r="F1273" s="947"/>
      <c r="G1273" s="947"/>
      <c r="H1273" s="947"/>
      <c r="I1273" s="947"/>
      <c r="J1273" s="1171"/>
      <c r="K1273" s="1171"/>
    </row>
    <row r="1274" spans="1:13" x14ac:dyDescent="0.3">
      <c r="A1274" s="3" t="str">
        <f>IF(AND(K1274=0,I1274=0,J1274=0),"Do Not Print","Print")</f>
        <v>Do Not Print</v>
      </c>
      <c r="D1274" s="474"/>
      <c r="E1274" s="474"/>
      <c r="F1274" s="474"/>
      <c r="G1274" s="486"/>
      <c r="H1274" s="604"/>
      <c r="I1274" s="474"/>
      <c r="J1274" s="1172">
        <f>SUM(J1270:J1273)</f>
        <v>0</v>
      </c>
      <c r="K1274" s="1172">
        <f>SUM(K1270:K1273)</f>
        <v>0</v>
      </c>
    </row>
    <row r="1275" spans="1:13" x14ac:dyDescent="0.3">
      <c r="A1275" s="3" t="str">
        <f>IF(A1274="Print","Print","Do Not Print")</f>
        <v>Do Not Print</v>
      </c>
      <c r="D1275" s="401"/>
    </row>
    <row r="1276" spans="1:13" x14ac:dyDescent="0.3">
      <c r="A1276" s="3" t="str">
        <f>IF(OR(A1277="Print",A1279="Print"),"Print","Do Not Print")</f>
        <v>Print</v>
      </c>
      <c r="D1276" s="1726" t="str">
        <f>IF('Non TB - Note 12 to 24'!F307=1,'Non TB - Note 12 to 24'!E307,"")</f>
        <v>Analysis of Donated Assets Account</v>
      </c>
      <c r="E1276" s="1726"/>
      <c r="F1276" s="1726"/>
      <c r="G1276" s="1726"/>
      <c r="H1276" s="1726"/>
      <c r="I1276" s="1726"/>
      <c r="J1276" s="1726"/>
      <c r="K1276" s="1726"/>
    </row>
    <row r="1277" spans="1:13" ht="45.45" customHeight="1" x14ac:dyDescent="0.3">
      <c r="A1277" s="3" t="str">
        <f>IF('Non TB - Note 12 to 24'!F307=1,"Print","Do Not Print")</f>
        <v>Print</v>
      </c>
      <c r="D1277" s="1501" t="str">
        <f>IF('Non TB - Note 12 to 24'!F307=1,'Non TB - Note 12 to 24'!H307,"")</f>
        <v>The balance of the Donated Assets Account represents donations received that have yet to be recognised as income, as they have conditions attached to them, which will require the donated assets to be returned, if conditions are not met. The balances at the year end are as follows:</v>
      </c>
      <c r="E1277" s="1501"/>
      <c r="F1277" s="1501"/>
      <c r="G1277" s="1501"/>
      <c r="H1277" s="1501"/>
      <c r="I1277" s="1501"/>
      <c r="J1277" s="1501"/>
      <c r="K1277" s="1501"/>
    </row>
    <row r="1278" spans="1:13" x14ac:dyDescent="0.3">
      <c r="A1278" s="3" t="str">
        <f>IF(A1277="Print","Print","Do Not Print")</f>
        <v>Print</v>
      </c>
      <c r="D1278" s="1500"/>
      <c r="E1278" s="1500"/>
      <c r="F1278" s="1500"/>
      <c r="G1278" s="1500"/>
      <c r="H1278" s="1500"/>
      <c r="I1278" s="1500"/>
      <c r="J1278" s="1500"/>
      <c r="K1278" s="1500"/>
    </row>
    <row r="1279" spans="1:13" x14ac:dyDescent="0.3">
      <c r="A1279" s="3" t="str">
        <f>IF('Non TB - Note 12 to 24'!F311=1,"Print","Do Not Print")</f>
        <v>Print</v>
      </c>
      <c r="D1279" s="1500" t="str">
        <f>IF('Non TB - Note 12 to 24'!F311=1,'Non TB - Note 12 to 24'!H311,"")</f>
        <v>Additional narrative</v>
      </c>
      <c r="E1279" s="1500"/>
      <c r="F1279" s="1500"/>
      <c r="G1279" s="1500"/>
      <c r="H1279" s="1500"/>
      <c r="I1279" s="1500"/>
      <c r="J1279" s="1500"/>
      <c r="K1279" s="1500"/>
    </row>
    <row r="1280" spans="1:13" x14ac:dyDescent="0.3">
      <c r="A1280" s="3" t="str">
        <f>IF(A1279="Print","Print","Do Not Print")</f>
        <v>Print</v>
      </c>
      <c r="D1280" s="1500"/>
      <c r="E1280" s="1500"/>
      <c r="F1280" s="1500"/>
      <c r="G1280" s="1500"/>
      <c r="H1280" s="1500"/>
      <c r="I1280" s="1500"/>
      <c r="J1280" s="1500"/>
      <c r="K1280" s="1500"/>
    </row>
    <row r="1281" spans="1:13" x14ac:dyDescent="0.3">
      <c r="A1281" s="3" t="str">
        <f>IF(AND(J1287=0,K1287=0),"Do Not Print","Print")</f>
        <v>Do Not Print</v>
      </c>
      <c r="D1281" s="474" t="s">
        <v>788</v>
      </c>
      <c r="E1281" s="474"/>
      <c r="F1281" s="474"/>
      <c r="G1281" s="486"/>
      <c r="H1281" s="486"/>
      <c r="I1281" s="486" t="s">
        <v>474</v>
      </c>
      <c r="J1281" s="586" t="str">
        <f>J1268</f>
        <v>2025/26</v>
      </c>
      <c r="K1281" s="586" t="str">
        <f>K1268</f>
        <v>2024/25</v>
      </c>
    </row>
    <row r="1282" spans="1:13" x14ac:dyDescent="0.3">
      <c r="A1282" s="3" t="str">
        <f>IF(A1281="Print","Print","Do Not Print")</f>
        <v>Do Not Print</v>
      </c>
      <c r="D1282" s="474"/>
      <c r="E1282" s="474"/>
      <c r="F1282" s="474"/>
      <c r="G1282" s="486"/>
      <c r="H1282" s="486"/>
      <c r="I1282" s="486"/>
      <c r="J1282" s="586" t="s">
        <v>450</v>
      </c>
      <c r="K1282" s="586" t="s">
        <v>450</v>
      </c>
    </row>
    <row r="1283" spans="1:13" x14ac:dyDescent="0.3">
      <c r="A1283" s="3" t="str">
        <f>IF(AND(J1283=0,K1283=0),"Do Not Print","Print")</f>
        <v>Do Not Print</v>
      </c>
      <c r="D1283" s="1738" t="s">
        <v>793</v>
      </c>
      <c r="E1283" s="1803"/>
      <c r="F1283" s="1803"/>
      <c r="G1283" s="1803"/>
      <c r="H1283" s="1739"/>
      <c r="I1283" s="610"/>
      <c r="J1283" s="1170">
        <f>'Non TB - Note 12 to 24'!H308</f>
        <v>0</v>
      </c>
      <c r="K1283" s="1170">
        <f>'Non TB - Note 12 to 24'!I308</f>
        <v>0</v>
      </c>
    </row>
    <row r="1284" spans="1:13" x14ac:dyDescent="0.3">
      <c r="A1284" s="3" t="str">
        <f>IF(AND(J1284=0,K1284=0),"Do Not Print","Print")</f>
        <v>Do Not Print</v>
      </c>
      <c r="D1284" s="1738" t="s">
        <v>794</v>
      </c>
      <c r="E1284" s="1803"/>
      <c r="F1284" s="1803"/>
      <c r="G1284" s="1803"/>
      <c r="H1284" s="1739"/>
      <c r="I1284" s="610"/>
      <c r="J1284" s="1170">
        <f>'Non TB - Note 12 to 24'!H309</f>
        <v>0</v>
      </c>
      <c r="K1284" s="1170">
        <f>'Non TB - Note 12 to 24'!I309</f>
        <v>0</v>
      </c>
    </row>
    <row r="1285" spans="1:13" x14ac:dyDescent="0.3">
      <c r="A1285" s="3" t="str">
        <f>IF(AND(J1285=0,K1285=0),"Do Not Print","Print")</f>
        <v>Do Not Print</v>
      </c>
      <c r="D1285" s="1738" t="s">
        <v>795</v>
      </c>
      <c r="E1285" s="1803"/>
      <c r="F1285" s="1803"/>
      <c r="G1285" s="1803"/>
      <c r="H1285" s="1739"/>
      <c r="I1285" s="610"/>
      <c r="J1285" s="1170">
        <f>'Non TB - Note 12 to 24'!H310</f>
        <v>0</v>
      </c>
      <c r="K1285" s="1170">
        <f>'Non TB - Note 12 to 24'!I310</f>
        <v>0</v>
      </c>
    </row>
    <row r="1286" spans="1:13" x14ac:dyDescent="0.3">
      <c r="A1286" s="3" t="str">
        <f>IF(A1285="Print","Print","Do Not Print")</f>
        <v>Do Not Print</v>
      </c>
      <c r="D1286" s="1738"/>
      <c r="E1286" s="1803"/>
      <c r="F1286" s="1803"/>
      <c r="G1286" s="1803"/>
      <c r="H1286" s="1803"/>
      <c r="I1286" s="1803"/>
      <c r="J1286" s="1803"/>
      <c r="K1286" s="1739"/>
    </row>
    <row r="1287" spans="1:13" x14ac:dyDescent="0.3">
      <c r="A1287" s="3" t="str">
        <f>IF(AND(J1285=0,K1285=0),"Do Not Print","Print")</f>
        <v>Do Not Print</v>
      </c>
      <c r="D1287" s="474"/>
      <c r="E1287" s="474"/>
      <c r="F1287" s="474"/>
      <c r="G1287" s="486"/>
      <c r="H1287" s="604"/>
      <c r="I1287" s="474"/>
      <c r="J1287" s="1172">
        <f>SUM(J1283:J1286)</f>
        <v>0</v>
      </c>
      <c r="K1287" s="1172">
        <f>SUM(K1283:K1286)</f>
        <v>0</v>
      </c>
    </row>
    <row r="1288" spans="1:13" x14ac:dyDescent="0.3">
      <c r="A1288" s="3" t="str">
        <f>IF(A1287="Print","Print","Do Not Print")</f>
        <v>Do Not Print</v>
      </c>
      <c r="D1288" s="401"/>
    </row>
    <row r="1289" spans="1:13" x14ac:dyDescent="0.3">
      <c r="A1289" s="3" t="str">
        <f>IF(A1288="Print","Print","Do Not Print")</f>
        <v>Do Not Print</v>
      </c>
      <c r="D1289" s="401"/>
    </row>
    <row r="1290" spans="1:13" x14ac:dyDescent="0.3">
      <c r="A1290" s="3" t="str">
        <f>IF(AND(J1296=0,K1296=0),"Do Not Print","Print")</f>
        <v>Do Not Print</v>
      </c>
      <c r="B1290" s="585">
        <f>Checklist!E126</f>
        <v>23</v>
      </c>
      <c r="D1290" s="474" t="s">
        <v>316</v>
      </c>
      <c r="E1290" s="474"/>
      <c r="F1290" s="474"/>
      <c r="G1290" s="486"/>
      <c r="H1290" s="486"/>
      <c r="I1290" s="486" t="s">
        <v>474</v>
      </c>
      <c r="J1290" s="586" t="str">
        <f>J1268</f>
        <v>2025/26</v>
      </c>
      <c r="K1290" s="586" t="str">
        <f>K1268</f>
        <v>2024/25</v>
      </c>
      <c r="M1290" s="3"/>
    </row>
    <row r="1291" spans="1:13" x14ac:dyDescent="0.3">
      <c r="A1291" s="3" t="str">
        <f>IF(A1290="Print","Print","Do Not Print")</f>
        <v>Do Not Print</v>
      </c>
      <c r="D1291" s="474"/>
      <c r="E1291" s="474"/>
      <c r="F1291" s="474"/>
      <c r="G1291" s="486"/>
      <c r="H1291" s="486"/>
      <c r="I1291" s="486"/>
      <c r="J1291" s="586" t="s">
        <v>450</v>
      </c>
      <c r="K1291" s="586" t="s">
        <v>450</v>
      </c>
    </row>
    <row r="1292" spans="1:13" x14ac:dyDescent="0.3">
      <c r="A1292" s="3" t="str">
        <f>IF(AND(J1292=0,K1292=0),"Do Not Print","Print")</f>
        <v>Do Not Print</v>
      </c>
      <c r="D1292" s="1738" t="s">
        <v>789</v>
      </c>
      <c r="E1292" s="1803"/>
      <c r="F1292" s="1803"/>
      <c r="G1292" s="1803"/>
      <c r="H1292" s="1739"/>
      <c r="I1292" s="610"/>
      <c r="J1292" s="1169">
        <f>'Input - BS'!O420</f>
        <v>0</v>
      </c>
      <c r="K1292" s="1169">
        <f>'Input - BS'!U420</f>
        <v>0</v>
      </c>
    </row>
    <row r="1293" spans="1:13" ht="15.6" customHeight="1" x14ac:dyDescent="0.3">
      <c r="A1293" s="3" t="str">
        <f>IF(AND(J1293=0,K1293=0),"Do Not Print","Print")</f>
        <v>Do Not Print</v>
      </c>
      <c r="D1293" s="1957" t="s">
        <v>2951</v>
      </c>
      <c r="E1293" s="1958"/>
      <c r="F1293" s="1958"/>
      <c r="G1293" s="1958"/>
      <c r="H1293" s="1959"/>
      <c r="I1293" s="610"/>
      <c r="J1293" s="1170">
        <f>'Non TB - Note 12 to 24'!H312</f>
        <v>0</v>
      </c>
      <c r="K1293" s="1170">
        <f>'Non TB - Note 12 to 24'!I312</f>
        <v>0</v>
      </c>
    </row>
    <row r="1294" spans="1:13" ht="12.75" customHeight="1" x14ac:dyDescent="0.3">
      <c r="A1294" s="3" t="str">
        <f>IF(AND(J1294=0,K1294=0),"Do Not Print","Print")</f>
        <v>Do Not Print</v>
      </c>
      <c r="D1294" s="1957" t="s">
        <v>796</v>
      </c>
      <c r="E1294" s="1958"/>
      <c r="F1294" s="1958"/>
      <c r="G1294" s="1958"/>
      <c r="H1294" s="1959"/>
      <c r="I1294" s="610"/>
      <c r="J1294" s="1169">
        <f>'Det CIES'!P127</f>
        <v>0</v>
      </c>
      <c r="K1294" s="1169">
        <f>'Det CIES'!S127</f>
        <v>0</v>
      </c>
    </row>
    <row r="1295" spans="1:13" x14ac:dyDescent="0.3">
      <c r="A1295" s="3" t="str">
        <f>IF(A1294="Print","Print","Do Not Print")</f>
        <v>Do Not Print</v>
      </c>
      <c r="D1295" s="1738"/>
      <c r="E1295" s="1803"/>
      <c r="F1295" s="1803"/>
      <c r="G1295" s="1803"/>
      <c r="H1295" s="1803"/>
      <c r="I1295" s="1803"/>
      <c r="J1295" s="1803"/>
      <c r="K1295" s="1739"/>
    </row>
    <row r="1296" spans="1:13" x14ac:dyDescent="0.3">
      <c r="A1296" s="3" t="str">
        <f>IF(AND(J1296=0,K1296=0),"Do Not Print","Print")</f>
        <v>Do Not Print</v>
      </c>
      <c r="D1296" s="479"/>
      <c r="E1296" s="479"/>
      <c r="F1296" s="479"/>
      <c r="G1296" s="633"/>
      <c r="H1296" s="604"/>
      <c r="I1296" s="634"/>
      <c r="J1296" s="1173">
        <f>SUM(J1292:J1294)</f>
        <v>0</v>
      </c>
      <c r="K1296" s="1173">
        <f>SUM(K1292:K1294)</f>
        <v>0</v>
      </c>
    </row>
    <row r="1297" spans="1:11" x14ac:dyDescent="0.3">
      <c r="A1297" s="3" t="str">
        <f>IF(A1296="Print","Print","Do Not Print")</f>
        <v>Do Not Print</v>
      </c>
      <c r="D1297" s="1500"/>
      <c r="E1297" s="1500"/>
      <c r="F1297" s="1500"/>
      <c r="G1297" s="1500"/>
      <c r="H1297" s="1500"/>
      <c r="I1297" s="1500"/>
      <c r="J1297" s="1500"/>
      <c r="K1297" s="1500"/>
    </row>
    <row r="1298" spans="1:11" ht="13.5" customHeight="1" x14ac:dyDescent="0.3">
      <c r="A1298" s="3" t="str">
        <f>IF(OR(A1299="Print",A1301="Print"),"Print","Do Not Print")</f>
        <v>Print</v>
      </c>
      <c r="D1298" s="1726" t="str">
        <f>IF('Non TB - Note 12 to 24'!F313=1,'Non TB - Note 12 to 24'!E313,"")</f>
        <v>Analysis of Capital Grants Receipts in Advance Balance</v>
      </c>
      <c r="E1298" s="1726"/>
      <c r="F1298" s="1726"/>
      <c r="G1298" s="1726"/>
      <c r="H1298" s="1726"/>
      <c r="I1298" s="1726"/>
      <c r="J1298" s="1726"/>
      <c r="K1298" s="1726"/>
    </row>
    <row r="1299" spans="1:11" ht="26.25" customHeight="1" x14ac:dyDescent="0.3">
      <c r="A1299" s="3" t="str">
        <f>IF('Non TB - Note 12 to 24'!F313=1,"Print","Do Not Print")</f>
        <v>Print</v>
      </c>
      <c r="D1299" s="1501" t="str">
        <f>IF('Non TB - Note 12 to 24'!F313=1,'Non TB - Note 12 to 24'!H313,"")</f>
        <v>The balance of Capital Grants Receipts in Advance represents grants received that have yet to be recognised as income, as they have conditions attached to them, which will require the grant to be repaid, if conditions are not met. The balances at the year end are as follows:</v>
      </c>
      <c r="E1299" s="1501"/>
      <c r="F1299" s="1501"/>
      <c r="G1299" s="1501"/>
      <c r="H1299" s="1501"/>
      <c r="I1299" s="1501"/>
      <c r="J1299" s="1501"/>
      <c r="K1299" s="1501"/>
    </row>
    <row r="1300" spans="1:11" x14ac:dyDescent="0.3">
      <c r="A1300" s="3" t="str">
        <f>IF(A1299="Print","Print","Do Not Print")</f>
        <v>Print</v>
      </c>
      <c r="D1300" s="1500"/>
      <c r="E1300" s="1500"/>
      <c r="F1300" s="1500"/>
      <c r="G1300" s="1500"/>
      <c r="H1300" s="1500"/>
      <c r="I1300" s="1500"/>
      <c r="J1300" s="1500"/>
      <c r="K1300" s="1500"/>
    </row>
    <row r="1301" spans="1:11" x14ac:dyDescent="0.3">
      <c r="A1301" s="3" t="str">
        <f>IF(AND(J1307=0,K1307=0),"Do Not Print","Print")</f>
        <v>Do Not Print</v>
      </c>
      <c r="D1301" s="479" t="s">
        <v>799</v>
      </c>
      <c r="E1301" s="479"/>
      <c r="F1301" s="479"/>
      <c r="G1301" s="633"/>
      <c r="H1301" s="633"/>
      <c r="I1301" s="633" t="s">
        <v>474</v>
      </c>
      <c r="J1301" s="586" t="str">
        <f>J1290</f>
        <v>2025/26</v>
      </c>
      <c r="K1301" s="586" t="str">
        <f>K1290</f>
        <v>2024/25</v>
      </c>
    </row>
    <row r="1302" spans="1:11" x14ac:dyDescent="0.3">
      <c r="A1302" s="3" t="str">
        <f>IF(A1301="Print","Print","Do Not Print")</f>
        <v>Do Not Print</v>
      </c>
      <c r="D1302" s="474"/>
      <c r="E1302" s="474"/>
      <c r="F1302" s="474"/>
      <c r="G1302" s="486"/>
      <c r="H1302" s="486"/>
      <c r="I1302" s="486"/>
      <c r="J1302" s="586" t="s">
        <v>450</v>
      </c>
      <c r="K1302" s="586" t="s">
        <v>450</v>
      </c>
    </row>
    <row r="1303" spans="1:11" x14ac:dyDescent="0.3">
      <c r="A1303" s="3" t="str">
        <f>IF(AND(J1303=0,K1303=0),"Do Not Print","Print")</f>
        <v>Do Not Print</v>
      </c>
      <c r="D1303" s="1738" t="s">
        <v>800</v>
      </c>
      <c r="E1303" s="1803"/>
      <c r="F1303" s="1803"/>
      <c r="G1303" s="1803"/>
      <c r="H1303" s="1739"/>
      <c r="I1303" s="610"/>
      <c r="J1303" s="1170">
        <f>'Non TB - Note 12 to 24'!H314</f>
        <v>0</v>
      </c>
      <c r="K1303" s="1170">
        <f>'Non TB - Note 12 to 24'!I314</f>
        <v>0</v>
      </c>
    </row>
    <row r="1304" spans="1:11" x14ac:dyDescent="0.3">
      <c r="A1304" s="3" t="str">
        <f>IF(AND(J1304=0,K1304=0),"Do Not Print","Print")</f>
        <v>Do Not Print</v>
      </c>
      <c r="D1304" s="1738" t="s">
        <v>801</v>
      </c>
      <c r="E1304" s="1803"/>
      <c r="F1304" s="1803"/>
      <c r="G1304" s="1803"/>
      <c r="H1304" s="1739"/>
      <c r="I1304" s="610"/>
      <c r="J1304" s="1170">
        <f>'Non TB - Note 12 to 24'!H315</f>
        <v>0</v>
      </c>
      <c r="K1304" s="1170">
        <f>'Non TB - Note 12 to 24'!I315</f>
        <v>0</v>
      </c>
    </row>
    <row r="1305" spans="1:11" x14ac:dyDescent="0.3">
      <c r="A1305" s="3" t="str">
        <f>IF(AND(J1305=0,K1305=0),"Do Not Print","Print")</f>
        <v>Do Not Print</v>
      </c>
      <c r="D1305" s="1738" t="s">
        <v>802</v>
      </c>
      <c r="E1305" s="1803"/>
      <c r="F1305" s="1803"/>
      <c r="G1305" s="1803"/>
      <c r="H1305" s="1739"/>
      <c r="I1305" s="610"/>
      <c r="J1305" s="1170">
        <f>'Non TB - Note 12 to 24'!H316</f>
        <v>0</v>
      </c>
      <c r="K1305" s="1170">
        <f>'Non TB - Note 12 to 24'!I316</f>
        <v>0</v>
      </c>
    </row>
    <row r="1306" spans="1:11" x14ac:dyDescent="0.3">
      <c r="A1306" s="3" t="str">
        <f>IF(A1305="Print","Print","Do Not Print")</f>
        <v>Do Not Print</v>
      </c>
      <c r="D1306" s="1738"/>
      <c r="E1306" s="1803"/>
      <c r="F1306" s="1803"/>
      <c r="G1306" s="1803"/>
      <c r="H1306" s="1803"/>
      <c r="I1306" s="1803"/>
      <c r="J1306" s="1803"/>
      <c r="K1306" s="1739"/>
    </row>
    <row r="1307" spans="1:11" x14ac:dyDescent="0.3">
      <c r="A1307" s="3" t="str">
        <f>IF(AND(J1307=0,K1307=0),"Do Not Print","Print")</f>
        <v>Do Not Print</v>
      </c>
      <c r="D1307" s="479"/>
      <c r="E1307" s="479"/>
      <c r="F1307" s="479"/>
      <c r="G1307" s="633"/>
      <c r="H1307" s="633"/>
      <c r="I1307" s="604"/>
      <c r="J1307" s="1173">
        <f>SUM(J1303:J1306)</f>
        <v>0</v>
      </c>
      <c r="K1307" s="1173">
        <f>SUM(K1303:K1306)</f>
        <v>0</v>
      </c>
    </row>
    <row r="1308" spans="1:11" x14ac:dyDescent="0.3">
      <c r="A1308" s="3" t="str">
        <f>IF(A1307="Print","Print","Do Not Print")</f>
        <v>Do Not Print</v>
      </c>
      <c r="D1308" s="401"/>
    </row>
    <row r="1309" spans="1:11" x14ac:dyDescent="0.3">
      <c r="A1309" s="3" t="e">
        <f>IF(OR(A1311="Print",A1313="Print",A1315="Print",A1317="Print",#REF!="Print",A1319="Print"),"Print","Do Not Print")</f>
        <v>#REF!</v>
      </c>
      <c r="B1309" s="585">
        <f>Checklist!E127</f>
        <v>24</v>
      </c>
      <c r="D1309" s="474" t="s">
        <v>317</v>
      </c>
      <c r="E1309" s="474"/>
      <c r="F1309" s="474"/>
      <c r="G1309" s="474"/>
      <c r="H1309" s="604"/>
      <c r="I1309" s="604"/>
      <c r="J1309" s="604"/>
      <c r="K1309" s="604"/>
    </row>
    <row r="1310" spans="1:11" x14ac:dyDescent="0.3">
      <c r="A1310" s="3" t="e">
        <f>IF(A1309="Print","Print","Do Not Print")</f>
        <v>#REF!</v>
      </c>
      <c r="D1310" s="1726"/>
      <c r="E1310" s="1726"/>
      <c r="F1310" s="1726"/>
      <c r="G1310" s="1726"/>
      <c r="H1310" s="1726"/>
      <c r="I1310" s="1726"/>
      <c r="J1310" s="1726"/>
      <c r="K1310" s="1726"/>
    </row>
    <row r="1311" spans="1:11" ht="42.6" customHeight="1" x14ac:dyDescent="0.3">
      <c r="A1311" s="3" t="str">
        <f>IF('Non TB - Note 12 to 24'!F318=1,"Print","Do Not Print")</f>
        <v>Print</v>
      </c>
      <c r="D1311" s="1512" t="str">
        <f>IF('Non TB - Note 12 to 24'!F318=1,'Non TB - Note 12 to 24'!H318,"")</f>
        <v>In accordance with the Code (and IAS 37), Councils should disclose by way of note if there is a possible obligation arising from past events and whose existence will be confirmed only by the occurrence or non-occurrence of one or more uncertain future events not wholly within the control of the authority, or a present obligation that arises from past events but is not recognised because:</v>
      </c>
      <c r="E1311" s="1542"/>
      <c r="F1311" s="1542"/>
      <c r="G1311" s="1542"/>
      <c r="H1311" s="1542"/>
      <c r="I1311" s="1542"/>
      <c r="J1311" s="1542"/>
      <c r="K1311" s="1542"/>
    </row>
    <row r="1312" spans="1:11" x14ac:dyDescent="0.3">
      <c r="A1312" s="3" t="str">
        <f>IF(A1311="Print","Print","Do Not Print")</f>
        <v>Print</v>
      </c>
      <c r="D1312" s="1500"/>
      <c r="E1312" s="1500"/>
      <c r="F1312" s="1500"/>
      <c r="G1312" s="1500"/>
      <c r="H1312" s="1500"/>
      <c r="I1312" s="1500"/>
      <c r="J1312" s="1500"/>
      <c r="K1312" s="1500"/>
    </row>
    <row r="1313" spans="1:12" ht="44.55" customHeight="1" x14ac:dyDescent="0.3">
      <c r="A1313" s="3" t="str">
        <f>IF('Non TB - Note 12 to 24'!F319=1,"Print","Do Not Print")</f>
        <v>Print</v>
      </c>
      <c r="D1313" s="1504" t="str">
        <f>IF('Non TB - Note 12 to 24'!F319=1,'Non TB - Note 12 to 24'!H319,"")</f>
        <v>a) it is not probable that an outflow of resources embodying economic benefits or service potential will be required to settle the obligation, or
b) the amount of the obligation cannot be measured with sufficient reliability.</v>
      </c>
      <c r="E1313" s="1504"/>
      <c r="F1313" s="1504"/>
      <c r="G1313" s="1504"/>
      <c r="H1313" s="1504"/>
      <c r="I1313" s="1504"/>
      <c r="J1313" s="1504"/>
      <c r="K1313" s="1504"/>
    </row>
    <row r="1314" spans="1:12" x14ac:dyDescent="0.3">
      <c r="A1314" s="3" t="str">
        <f>IF(A1313="Print","Print","Do Not Print")</f>
        <v>Print</v>
      </c>
      <c r="D1314" s="1500"/>
      <c r="E1314" s="1500"/>
      <c r="F1314" s="1500"/>
      <c r="G1314" s="1500"/>
      <c r="H1314" s="1500"/>
      <c r="I1314" s="1500"/>
      <c r="J1314" s="1500"/>
      <c r="K1314" s="1500"/>
    </row>
    <row r="1315" spans="1:12" ht="101.25" customHeight="1" x14ac:dyDescent="0.3">
      <c r="A1315" s="3" t="str">
        <f>IF('Non TB - Note 12 to 24'!F320=1,"Print","Do Not Print")</f>
        <v>Print</v>
      </c>
      <c r="D1315" s="1512" t="str">
        <f>IF('Non TB - Note 12 to 24'!F320=1,'Non TB - Note 12 to 24'!H320,"")</f>
        <v>There are a number of legal claims in which Council is a defendant.  It is uncertain whether these cases will proceed to court or if they do, the courts will have reached a decision in relation to them by 31 March 2026.  Council is of the opinion that, in the majority of cases, it is not probable that an outflow of resources will be required to settle the claim.  Council is also of the opinion that, in any event, it is not possible to make a sufficiently reliable estimate of potential contingent liabilities for disclosure purposes.  Where legal claims predate the formation of the Council, i.e. the defendant was originally one of the former legacy councils, there has been no change in the amount recognised as a potential liability at 31 March 2026 as there has been no change in Council’s assessment of the probability of a negative outcome for Council in relation to the claim.</v>
      </c>
      <c r="E1315" s="1512"/>
      <c r="F1315" s="1512"/>
      <c r="G1315" s="1512"/>
      <c r="H1315" s="1512"/>
      <c r="I1315" s="1512"/>
      <c r="J1315" s="1512"/>
      <c r="K1315" s="1512"/>
    </row>
    <row r="1316" spans="1:12" x14ac:dyDescent="0.3">
      <c r="A1316" s="3" t="str">
        <f>IF(A1315="Print","Print","Do Not Print")</f>
        <v>Print</v>
      </c>
      <c r="D1316" s="1500"/>
      <c r="E1316" s="1500"/>
      <c r="F1316" s="1500"/>
      <c r="G1316" s="1500"/>
      <c r="H1316" s="1500"/>
      <c r="I1316" s="1500"/>
      <c r="J1316" s="1500"/>
      <c r="K1316" s="1500"/>
    </row>
    <row r="1317" spans="1:12" ht="40.5" customHeight="1" x14ac:dyDescent="0.3">
      <c r="A1317" s="3" t="str">
        <f>IF('Non TB - Note 12 to 24'!F321=1,"Print","Do Not Print")</f>
        <v>Print</v>
      </c>
      <c r="D1317" s="1504" t="str">
        <f>IF('Non TB - Note 12 to 24'!F321=1,'Non TB - Note 12 to 24'!H321,"")</f>
        <v>Council also owns two landfill sites and a 50% share with Fermanagh Omagh District Council in a third landfill site.  Although Council has plans to close and cap these sites it is required to make financial provision for closure and aftercare costs of its landfill sites.  Further disclosure of the estimated costs is included at notes 18 and 25.</v>
      </c>
      <c r="E1317" s="1504"/>
      <c r="F1317" s="1504"/>
      <c r="G1317" s="1504"/>
      <c r="H1317" s="1504"/>
      <c r="I1317" s="1504"/>
      <c r="J1317" s="1504"/>
      <c r="K1317" s="1504"/>
    </row>
    <row r="1318" spans="1:12" x14ac:dyDescent="0.3">
      <c r="A1318" s="3" t="str">
        <f>IF(A1317="Print","Print","Do Not Print")</f>
        <v>Print</v>
      </c>
      <c r="D1318" s="1500"/>
      <c r="E1318" s="1500"/>
      <c r="F1318" s="1500"/>
      <c r="G1318" s="1500"/>
      <c r="H1318" s="1500"/>
      <c r="I1318" s="1500"/>
      <c r="J1318" s="1500"/>
      <c r="K1318" s="1500"/>
    </row>
    <row r="1319" spans="1:12" ht="301.5" customHeight="1" x14ac:dyDescent="0.3">
      <c r="A1319" s="3" t="str">
        <f>IF('Non TB - Note 12 to 24'!F322=1,"Print","Do Not Print")</f>
        <v>Print</v>
      </c>
      <c r="D1319" s="1504" t="str">
        <f>IF('Non TB - Note 12 to 24'!F322=1,'Non TB - Note 12 to 24'!H322,"")</f>
        <v xml:space="preserve">Landfill Allowance and Other Trading Schemes
The Waste and Emissions Trading Act 2003 placed a duty on waste disposal authorities (WDAs) 
in England, Scotland, Wales and Northern Ireland to reduce the amount of biodegradable 
municipal waste (BMW) disposed of to landfill. It also provides the legal framework for the Landfill Allowances Scheme (Northern Ireland) Regulations, which came into force on 1 April 
2005.
The landfill allowance schemes that operate in Wales and Northern Ireland are not ‘cap and 
trade’ schemes and therefore authorities shall not recognise an asset for landfill allowances, 
grant income in respect of the allowances or liabilities for actual BMW landfill usage.
 WDAs in Wales and district councils in Northern Ireland are required to meet annual target 
figures for the maximum amount of BMW that can be sent to landfill. For each tonne of BMW 
sent to landfill in excess of the target, an authority may be liable to a penalty (different values 
apply in Wales and Northern Ireland). However, current guidance indicates the penalty will be 
exercised with discretion rather than as an automatic consequence of exceeding the target. An 
authority shall recognise a provision for penalties payable to the Welsh Government or the 
Department of Agriculture, Environment and Rural Affairs in Northern Ireland. Where a possible 
landfill allowance liability exists but the authority has concluded that it does not need to make a 
provision, the authority shall disclose a separate class of contingent liability in relation to the 
possible penalty.
</v>
      </c>
      <c r="E1319" s="1504"/>
      <c r="F1319" s="1504"/>
      <c r="G1319" s="1504"/>
      <c r="H1319" s="1504"/>
      <c r="I1319" s="1504"/>
      <c r="J1319" s="1504"/>
      <c r="K1319" s="1504"/>
    </row>
    <row r="1320" spans="1:12" x14ac:dyDescent="0.3">
      <c r="A1320" s="3" t="str">
        <f>IF(A1319="Print","Print","Do Not Print")</f>
        <v>Print</v>
      </c>
      <c r="D1320" s="1500"/>
      <c r="E1320" s="1500"/>
      <c r="F1320" s="1500"/>
      <c r="G1320" s="1500"/>
      <c r="H1320" s="1500"/>
      <c r="I1320" s="1500"/>
      <c r="J1320" s="1500"/>
      <c r="K1320" s="1500"/>
    </row>
    <row r="1321" spans="1:12" x14ac:dyDescent="0.3">
      <c r="A1321" s="3"/>
      <c r="D1321" s="1500"/>
      <c r="E1321" s="1500"/>
      <c r="F1321" s="1500"/>
      <c r="G1321" s="1500"/>
      <c r="H1321" s="1500"/>
      <c r="I1321" s="1500"/>
      <c r="J1321" s="1500"/>
      <c r="K1321" s="1500"/>
    </row>
    <row r="1322" spans="1:12" ht="25.5" customHeight="1" x14ac:dyDescent="0.3">
      <c r="A1322" s="3"/>
      <c r="D1322" s="2006"/>
      <c r="E1322" s="2006"/>
      <c r="F1322" s="2006"/>
      <c r="G1322" s="2006"/>
      <c r="H1322" s="2006"/>
      <c r="I1322" s="2006"/>
      <c r="J1322" s="2006"/>
      <c r="K1322" s="2006"/>
      <c r="L1322" s="27"/>
    </row>
    <row r="1323" spans="1:12" x14ac:dyDescent="0.3">
      <c r="A1323" s="3"/>
      <c r="D1323" s="1501"/>
      <c r="E1323" s="1501"/>
      <c r="F1323" s="1501"/>
      <c r="G1323" s="1501"/>
      <c r="H1323" s="1501"/>
      <c r="I1323" s="1501"/>
      <c r="J1323" s="1501"/>
      <c r="K1323" s="1501"/>
    </row>
    <row r="1324" spans="1:12" x14ac:dyDescent="0.3">
      <c r="A1324" s="3"/>
      <c r="D1324" s="1501"/>
      <c r="E1324" s="1501"/>
      <c r="F1324" s="1501"/>
      <c r="G1324" s="1501"/>
      <c r="H1324" s="1501"/>
      <c r="I1324" s="1501"/>
      <c r="J1324" s="1501"/>
      <c r="K1324" s="1501"/>
    </row>
    <row r="1325" spans="1:12" ht="12.75" customHeight="1" x14ac:dyDescent="0.3">
      <c r="A1325" s="3"/>
      <c r="D1325" s="1501"/>
      <c r="E1325" s="1501"/>
      <c r="F1325" s="1501"/>
      <c r="G1325" s="1501"/>
      <c r="H1325" s="1501"/>
      <c r="I1325" s="1501"/>
      <c r="J1325" s="1501"/>
      <c r="K1325" s="1501"/>
    </row>
    <row r="1326" spans="1:12" ht="12.75" customHeight="1" x14ac:dyDescent="0.3">
      <c r="A1326" s="3"/>
      <c r="D1326" s="1501"/>
      <c r="E1326" s="1501"/>
      <c r="F1326" s="1501"/>
      <c r="G1326" s="1501"/>
      <c r="H1326" s="1501"/>
      <c r="I1326" s="1501"/>
      <c r="J1326" s="1501"/>
      <c r="K1326" s="1501"/>
    </row>
    <row r="1327" spans="1:12" ht="12.75" customHeight="1" x14ac:dyDescent="0.3">
      <c r="A1327" s="3"/>
      <c r="D1327" s="1501"/>
      <c r="E1327" s="1501"/>
      <c r="F1327" s="1501"/>
      <c r="G1327" s="1501"/>
      <c r="H1327" s="1501"/>
      <c r="I1327" s="1501"/>
      <c r="J1327" s="1501"/>
      <c r="K1327" s="1501"/>
    </row>
    <row r="1328" spans="1:12" ht="12.75" customHeight="1" x14ac:dyDescent="0.3">
      <c r="A1328" s="3"/>
      <c r="D1328" s="478"/>
      <c r="E1328" s="478"/>
      <c r="F1328" s="478"/>
      <c r="G1328" s="478"/>
      <c r="H1328" s="478"/>
      <c r="I1328" s="421"/>
      <c r="J1328" s="544"/>
      <c r="K1328" s="544"/>
    </row>
    <row r="1329" spans="1:11" ht="12.75" customHeight="1" x14ac:dyDescent="0.3">
      <c r="A1329" s="3"/>
      <c r="D1329" s="478"/>
      <c r="E1329" s="478"/>
      <c r="F1329" s="478"/>
      <c r="G1329" s="478"/>
      <c r="H1329" s="478"/>
      <c r="I1329" s="421"/>
      <c r="J1329" s="544"/>
      <c r="K1329" s="544"/>
    </row>
    <row r="1330" spans="1:11" ht="12.75" customHeight="1" x14ac:dyDescent="0.3">
      <c r="A1330" s="3"/>
      <c r="D1330" s="478"/>
      <c r="E1330" s="478"/>
      <c r="F1330" s="478"/>
      <c r="G1330" s="478"/>
      <c r="H1330" s="478"/>
      <c r="I1330" s="421"/>
      <c r="J1330" s="544"/>
      <c r="K1330" s="544"/>
    </row>
    <row r="1331" spans="1:11" ht="12.75" customHeight="1" x14ac:dyDescent="0.3">
      <c r="A1331" s="3"/>
      <c r="D1331" s="478"/>
      <c r="E1331" s="478"/>
      <c r="F1331" s="478"/>
      <c r="G1331" s="478"/>
      <c r="H1331" s="478"/>
      <c r="I1331" s="421"/>
      <c r="J1331" s="544"/>
      <c r="K1331" s="544"/>
    </row>
    <row r="1332" spans="1:11" x14ac:dyDescent="0.3">
      <c r="A1332" s="3"/>
      <c r="D1332" s="478"/>
      <c r="E1332" s="478"/>
      <c r="F1332" s="478"/>
      <c r="G1332" s="478"/>
      <c r="H1332" s="478"/>
      <c r="I1332" s="421"/>
      <c r="J1332" s="544"/>
      <c r="K1332" s="544"/>
    </row>
    <row r="1333" spans="1:11" ht="12.75" customHeight="1" x14ac:dyDescent="0.3">
      <c r="A1333" s="3"/>
      <c r="D1333" s="478"/>
      <c r="E1333" s="478"/>
      <c r="F1333" s="478"/>
      <c r="G1333" s="478"/>
      <c r="H1333" s="478"/>
      <c r="I1333" s="421"/>
      <c r="J1333" s="544"/>
      <c r="K1333" s="544"/>
    </row>
    <row r="1334" spans="1:11" ht="12.75" customHeight="1" x14ac:dyDescent="0.3">
      <c r="A1334" s="3"/>
      <c r="D1334" s="478"/>
      <c r="E1334" s="478"/>
      <c r="F1334" s="478"/>
      <c r="G1334" s="478"/>
      <c r="H1334" s="478"/>
      <c r="I1334" s="421"/>
      <c r="J1334" s="544"/>
      <c r="K1334" s="544"/>
    </row>
    <row r="1335" spans="1:11" ht="12.75" customHeight="1" x14ac:dyDescent="0.3">
      <c r="A1335" s="3"/>
      <c r="D1335" s="478"/>
      <c r="E1335" s="478"/>
      <c r="F1335" s="478"/>
      <c r="G1335" s="478"/>
      <c r="H1335" s="478"/>
      <c r="I1335" s="421"/>
      <c r="J1335" s="544"/>
      <c r="K1335" s="544"/>
    </row>
    <row r="1336" spans="1:11" ht="24" customHeight="1" x14ac:dyDescent="0.3">
      <c r="A1336" s="3"/>
      <c r="D1336" s="478"/>
      <c r="E1336" s="478"/>
      <c r="F1336" s="478"/>
      <c r="G1336" s="478"/>
      <c r="H1336" s="478"/>
      <c r="I1336" s="421"/>
      <c r="J1336" s="544"/>
      <c r="K1336" s="544"/>
    </row>
    <row r="1337" spans="1:11" ht="12.75" customHeight="1" x14ac:dyDescent="0.3">
      <c r="A1337" s="3"/>
      <c r="D1337" s="478"/>
      <c r="E1337" s="478"/>
      <c r="F1337" s="478"/>
      <c r="G1337" s="478"/>
      <c r="H1337" s="478"/>
      <c r="I1337" s="421"/>
      <c r="J1337" s="544"/>
      <c r="K1337" s="544"/>
    </row>
    <row r="1338" spans="1:11" x14ac:dyDescent="0.3">
      <c r="A1338" s="3"/>
      <c r="D1338" s="478"/>
      <c r="E1338" s="478"/>
      <c r="F1338" s="478"/>
      <c r="G1338" s="478"/>
      <c r="H1338" s="478"/>
      <c r="I1338" s="421"/>
      <c r="J1338" s="544"/>
      <c r="K1338" s="544"/>
    </row>
    <row r="1339" spans="1:11" x14ac:dyDescent="0.3">
      <c r="A1339" s="3"/>
      <c r="D1339" s="635"/>
      <c r="E1339" s="476"/>
      <c r="F1339" s="476"/>
      <c r="G1339" s="476"/>
      <c r="I1339" s="636"/>
      <c r="J1339" s="613"/>
      <c r="K1339" s="613"/>
    </row>
    <row r="1340" spans="1:11" x14ac:dyDescent="0.3">
      <c r="A1340" s="3"/>
      <c r="D1340" s="478"/>
      <c r="I1340" s="421"/>
    </row>
    <row r="1341" spans="1:11" x14ac:dyDescent="0.3">
      <c r="A1341" s="3"/>
      <c r="D1341" s="478"/>
      <c r="I1341" s="421"/>
    </row>
    <row r="1342" spans="1:11" ht="25.5" customHeight="1" x14ac:dyDescent="0.3">
      <c r="A1342" s="3"/>
      <c r="D1342" s="476"/>
      <c r="E1342" s="635"/>
      <c r="F1342" s="635"/>
      <c r="G1342" s="635"/>
      <c r="I1342" s="636"/>
      <c r="J1342" s="518"/>
      <c r="K1342" s="518"/>
    </row>
    <row r="1343" spans="1:11" x14ac:dyDescent="0.3">
      <c r="A1343" s="3"/>
      <c r="D1343" s="478"/>
      <c r="E1343" s="478"/>
      <c r="F1343" s="478"/>
      <c r="G1343" s="478"/>
      <c r="H1343" s="478"/>
      <c r="I1343" s="421"/>
      <c r="J1343" s="485"/>
      <c r="K1343" s="485"/>
    </row>
    <row r="1344" spans="1:11" ht="24" customHeight="1" x14ac:dyDescent="0.3">
      <c r="A1344" s="3"/>
      <c r="D1344" s="478"/>
      <c r="E1344" s="478"/>
      <c r="F1344" s="478"/>
      <c r="G1344" s="478"/>
      <c r="H1344" s="478"/>
      <c r="I1344" s="421"/>
      <c r="J1344" s="544"/>
      <c r="K1344" s="544"/>
    </row>
    <row r="1345" spans="1:13" ht="36" customHeight="1" x14ac:dyDescent="0.3">
      <c r="A1345" s="3"/>
      <c r="D1345" s="478"/>
      <c r="E1345" s="478"/>
      <c r="F1345" s="478"/>
      <c r="G1345" s="478"/>
      <c r="H1345" s="478"/>
      <c r="I1345" s="421"/>
      <c r="J1345" s="544"/>
      <c r="K1345" s="544"/>
    </row>
    <row r="1346" spans="1:13" ht="24" customHeight="1" x14ac:dyDescent="0.3">
      <c r="A1346" s="3"/>
      <c r="D1346" s="478"/>
      <c r="E1346" s="478"/>
      <c r="F1346" s="478"/>
      <c r="G1346" s="478"/>
      <c r="H1346" s="478"/>
      <c r="I1346" s="421"/>
      <c r="J1346" s="544"/>
      <c r="K1346" s="544"/>
    </row>
    <row r="1347" spans="1:13" ht="12.75" customHeight="1" x14ac:dyDescent="0.3">
      <c r="A1347" s="3"/>
      <c r="D1347" s="478"/>
      <c r="E1347" s="478"/>
      <c r="F1347" s="478"/>
      <c r="G1347" s="478"/>
      <c r="H1347" s="478"/>
      <c r="I1347" s="421"/>
      <c r="J1347" s="544"/>
      <c r="K1347" s="544"/>
    </row>
    <row r="1348" spans="1:13" x14ac:dyDescent="0.3">
      <c r="A1348" s="3"/>
      <c r="D1348" s="478"/>
      <c r="E1348" s="478"/>
      <c r="F1348" s="478"/>
      <c r="G1348" s="478"/>
      <c r="H1348" s="478"/>
      <c r="I1348" s="421"/>
      <c r="J1348" s="544"/>
      <c r="K1348" s="544"/>
    </row>
    <row r="1349" spans="1:13" x14ac:dyDescent="0.3">
      <c r="A1349" s="3"/>
      <c r="D1349" s="472"/>
      <c r="E1349" s="472"/>
      <c r="F1349" s="472"/>
      <c r="G1349" s="472"/>
      <c r="I1349" s="637"/>
      <c r="J1349" s="638"/>
      <c r="K1349" s="638"/>
    </row>
    <row r="1350" spans="1:13" x14ac:dyDescent="0.3">
      <c r="A1350" s="3"/>
      <c r="D1350" s="401"/>
    </row>
    <row r="1351" spans="1:13" x14ac:dyDescent="0.3">
      <c r="A1351" s="3"/>
      <c r="D1351" s="401"/>
    </row>
    <row r="1352" spans="1:13" x14ac:dyDescent="0.3">
      <c r="A1352" s="3"/>
      <c r="D1352" s="468"/>
      <c r="M1352" s="3"/>
    </row>
    <row r="1353" spans="1:13" x14ac:dyDescent="0.3">
      <c r="A1353" s="3"/>
      <c r="D1353" s="468"/>
      <c r="E1353" s="468"/>
      <c r="F1353" s="468"/>
      <c r="G1353" s="468"/>
      <c r="H1353" s="468"/>
      <c r="I1353" s="468"/>
      <c r="J1353" s="468"/>
      <c r="K1353" s="468"/>
    </row>
    <row r="1354" spans="1:13" ht="50.1" customHeight="1" x14ac:dyDescent="0.3">
      <c r="A1354" s="3"/>
      <c r="D1354" s="478"/>
    </row>
    <row r="1355" spans="1:13" x14ac:dyDescent="0.3">
      <c r="A1355" s="3"/>
      <c r="D1355" s="401"/>
    </row>
    <row r="1356" spans="1:13" x14ac:dyDescent="0.3">
      <c r="A1356" s="3"/>
      <c r="D1356" s="476"/>
      <c r="E1356" s="476"/>
      <c r="F1356" s="476"/>
      <c r="G1356" s="476"/>
      <c r="I1356" s="472"/>
      <c r="J1356" s="518"/>
      <c r="K1356" s="518"/>
    </row>
    <row r="1357" spans="1:13" x14ac:dyDescent="0.3">
      <c r="A1357" s="3"/>
      <c r="D1357" s="478"/>
      <c r="E1357" s="478"/>
      <c r="F1357" s="478"/>
      <c r="G1357" s="478"/>
      <c r="J1357" s="485"/>
      <c r="K1357" s="485"/>
    </row>
    <row r="1358" spans="1:13" x14ac:dyDescent="0.3">
      <c r="A1358" s="3"/>
      <c r="D1358" s="478"/>
      <c r="E1358" s="478"/>
      <c r="F1358" s="478"/>
      <c r="G1358" s="478"/>
    </row>
    <row r="1359" spans="1:13" x14ac:dyDescent="0.3">
      <c r="A1359" s="3"/>
      <c r="D1359" s="478"/>
      <c r="E1359" s="478"/>
      <c r="F1359" s="478"/>
      <c r="G1359" s="478"/>
      <c r="J1359" s="544"/>
      <c r="K1359" s="544"/>
    </row>
    <row r="1360" spans="1:13" ht="26.25" customHeight="1" x14ac:dyDescent="0.3">
      <c r="A1360" s="3"/>
      <c r="D1360" s="478"/>
      <c r="E1360" s="478"/>
      <c r="F1360" s="478"/>
      <c r="G1360" s="478"/>
      <c r="J1360" s="544"/>
      <c r="K1360" s="544"/>
    </row>
    <row r="1361" spans="1:12" ht="25.5" customHeight="1" x14ac:dyDescent="0.3">
      <c r="A1361" s="3"/>
      <c r="D1361" s="478"/>
      <c r="E1361" s="478"/>
      <c r="F1361" s="478"/>
      <c r="G1361" s="478"/>
      <c r="J1361" s="544"/>
      <c r="K1361" s="544"/>
    </row>
    <row r="1362" spans="1:12" x14ac:dyDescent="0.3">
      <c r="A1362" s="3"/>
      <c r="D1362" s="478"/>
      <c r="E1362" s="478"/>
      <c r="F1362" s="478"/>
      <c r="G1362" s="478"/>
      <c r="J1362" s="544"/>
      <c r="K1362" s="544"/>
    </row>
    <row r="1363" spans="1:12" x14ac:dyDescent="0.3">
      <c r="A1363" s="3"/>
      <c r="D1363" s="478"/>
      <c r="E1363" s="478"/>
      <c r="F1363" s="478"/>
      <c r="G1363" s="478"/>
      <c r="J1363" s="544"/>
      <c r="K1363" s="544"/>
    </row>
    <row r="1364" spans="1:12" x14ac:dyDescent="0.3">
      <c r="A1364" s="3"/>
      <c r="D1364" s="476"/>
      <c r="E1364" s="476"/>
      <c r="F1364" s="476"/>
      <c r="G1364" s="476"/>
      <c r="I1364" s="472"/>
      <c r="J1364" s="613"/>
      <c r="K1364" s="613"/>
    </row>
    <row r="1365" spans="1:12" x14ac:dyDescent="0.3">
      <c r="A1365" s="3"/>
      <c r="D1365" s="401"/>
    </row>
    <row r="1366" spans="1:12" x14ac:dyDescent="0.3">
      <c r="A1366" s="3"/>
      <c r="D1366" s="401"/>
    </row>
    <row r="1367" spans="1:12" x14ac:dyDescent="0.3">
      <c r="A1367" s="3"/>
      <c r="D1367" s="472"/>
      <c r="E1367" s="472"/>
      <c r="F1367" s="472"/>
      <c r="G1367" s="472"/>
      <c r="I1367" s="472"/>
      <c r="J1367" s="518"/>
      <c r="K1367" s="518"/>
      <c r="L1367" s="27"/>
    </row>
    <row r="1368" spans="1:12" x14ac:dyDescent="0.3">
      <c r="A1368" s="3"/>
      <c r="D1368" s="478"/>
      <c r="E1368" s="478"/>
      <c r="F1368" s="478"/>
      <c r="G1368" s="478"/>
      <c r="H1368" s="478"/>
      <c r="J1368" s="485"/>
      <c r="K1368" s="485"/>
    </row>
    <row r="1369" spans="1:12" x14ac:dyDescent="0.3">
      <c r="A1369" s="3"/>
      <c r="D1369" s="401"/>
      <c r="J1369" s="544"/>
      <c r="K1369" s="544"/>
    </row>
    <row r="1370" spans="1:12" x14ac:dyDescent="0.3">
      <c r="A1370" s="3"/>
      <c r="D1370" s="401"/>
      <c r="J1370" s="544"/>
      <c r="K1370" s="544"/>
    </row>
    <row r="1371" spans="1:12" x14ac:dyDescent="0.3">
      <c r="A1371" s="3"/>
      <c r="D1371" s="401"/>
      <c r="J1371" s="544"/>
      <c r="K1371" s="544"/>
    </row>
    <row r="1372" spans="1:12" x14ac:dyDescent="0.3">
      <c r="A1372" s="3"/>
      <c r="D1372" s="401"/>
    </row>
    <row r="1373" spans="1:12" x14ac:dyDescent="0.3">
      <c r="A1373" s="3"/>
      <c r="D1373" s="401"/>
    </row>
    <row r="1374" spans="1:12" x14ac:dyDescent="0.3">
      <c r="A1374" s="3"/>
      <c r="D1374" s="472"/>
      <c r="E1374" s="472"/>
      <c r="F1374" s="472"/>
      <c r="G1374" s="472"/>
      <c r="I1374" s="472"/>
      <c r="J1374" s="518"/>
      <c r="K1374" s="518"/>
      <c r="L1374" s="27"/>
    </row>
    <row r="1375" spans="1:12" x14ac:dyDescent="0.3">
      <c r="A1375" s="3"/>
      <c r="D1375" s="401"/>
      <c r="J1375" s="485"/>
      <c r="K1375" s="485"/>
    </row>
    <row r="1376" spans="1:12" x14ac:dyDescent="0.3">
      <c r="A1376" s="3"/>
      <c r="D1376" s="401"/>
      <c r="J1376" s="544"/>
      <c r="K1376" s="544"/>
    </row>
    <row r="1377" spans="1:12" x14ac:dyDescent="0.3">
      <c r="A1377" s="3"/>
      <c r="D1377" s="401"/>
      <c r="J1377" s="544"/>
      <c r="K1377" s="544"/>
    </row>
    <row r="1378" spans="1:12" x14ac:dyDescent="0.3">
      <c r="A1378" s="3"/>
      <c r="D1378" s="401"/>
      <c r="J1378" s="544"/>
      <c r="K1378" s="544"/>
    </row>
    <row r="1379" spans="1:12" x14ac:dyDescent="0.3">
      <c r="A1379" s="3"/>
      <c r="D1379" s="401"/>
      <c r="J1379" s="544"/>
      <c r="K1379" s="544"/>
    </row>
    <row r="1380" spans="1:12" x14ac:dyDescent="0.3">
      <c r="A1380" s="3"/>
      <c r="D1380" s="401"/>
      <c r="J1380" s="544"/>
      <c r="K1380" s="544"/>
    </row>
    <row r="1381" spans="1:12" x14ac:dyDescent="0.3">
      <c r="A1381" s="3"/>
      <c r="D1381" s="401"/>
      <c r="J1381" s="544"/>
      <c r="K1381" s="544"/>
    </row>
    <row r="1382" spans="1:12" x14ac:dyDescent="0.3">
      <c r="A1382" s="3"/>
      <c r="D1382" s="401"/>
      <c r="J1382" s="544"/>
      <c r="K1382" s="544"/>
    </row>
    <row r="1383" spans="1:12" x14ac:dyDescent="0.3">
      <c r="A1383" s="3"/>
      <c r="D1383" s="401"/>
      <c r="J1383" s="544"/>
      <c r="K1383" s="544"/>
    </row>
    <row r="1384" spans="1:12" x14ac:dyDescent="0.3">
      <c r="A1384" s="3"/>
      <c r="D1384" s="401"/>
      <c r="J1384" s="544"/>
      <c r="K1384" s="544"/>
    </row>
    <row r="1385" spans="1:12" x14ac:dyDescent="0.3">
      <c r="A1385" s="3"/>
      <c r="D1385" s="401"/>
      <c r="J1385" s="544"/>
      <c r="K1385" s="544"/>
    </row>
    <row r="1386" spans="1:12" x14ac:dyDescent="0.3">
      <c r="A1386" s="3"/>
      <c r="D1386" s="476"/>
      <c r="E1386" s="476"/>
      <c r="F1386" s="476"/>
      <c r="G1386" s="476"/>
      <c r="I1386" s="476"/>
      <c r="J1386" s="613"/>
      <c r="K1386" s="613"/>
    </row>
    <row r="1387" spans="1:12" x14ac:dyDescent="0.3">
      <c r="A1387" s="3"/>
      <c r="D1387" s="401"/>
    </row>
    <row r="1388" spans="1:12" x14ac:dyDescent="0.3">
      <c r="A1388" s="3"/>
      <c r="D1388" s="401"/>
    </row>
    <row r="1389" spans="1:12" x14ac:dyDescent="0.3">
      <c r="A1389" s="3"/>
      <c r="D1389" s="476"/>
      <c r="E1389" s="476"/>
      <c r="F1389" s="476"/>
      <c r="G1389" s="476"/>
      <c r="I1389" s="476"/>
      <c r="J1389" s="518"/>
      <c r="K1389" s="518"/>
      <c r="L1389" s="27"/>
    </row>
    <row r="1390" spans="1:12" x14ac:dyDescent="0.3">
      <c r="A1390" s="3"/>
      <c r="D1390" s="401"/>
      <c r="J1390" s="485"/>
      <c r="K1390" s="485"/>
    </row>
    <row r="1391" spans="1:12" x14ac:dyDescent="0.3">
      <c r="A1391" s="3"/>
      <c r="D1391" s="401"/>
      <c r="J1391" s="544"/>
      <c r="K1391" s="544"/>
    </row>
    <row r="1392" spans="1:12" x14ac:dyDescent="0.3">
      <c r="A1392" s="3"/>
      <c r="D1392" s="401"/>
      <c r="J1392" s="544"/>
      <c r="K1392" s="544"/>
    </row>
    <row r="1393" spans="1:12" ht="43.5" customHeight="1" x14ac:dyDescent="0.3">
      <c r="A1393" s="3"/>
      <c r="D1393" s="639"/>
      <c r="E1393" s="639"/>
      <c r="F1393" s="639"/>
      <c r="G1393" s="639"/>
      <c r="J1393" s="544"/>
      <c r="K1393" s="544"/>
    </row>
    <row r="1394" spans="1:12" x14ac:dyDescent="0.3">
      <c r="A1394" s="3"/>
      <c r="D1394" s="401"/>
      <c r="J1394" s="544"/>
      <c r="K1394" s="544"/>
    </row>
    <row r="1395" spans="1:12" x14ac:dyDescent="0.3">
      <c r="A1395" s="3"/>
      <c r="D1395" s="401"/>
      <c r="J1395" s="544"/>
      <c r="K1395" s="544"/>
    </row>
    <row r="1396" spans="1:12" x14ac:dyDescent="0.3">
      <c r="A1396" s="3"/>
      <c r="D1396" s="401"/>
      <c r="J1396" s="544"/>
      <c r="K1396" s="544"/>
    </row>
    <row r="1397" spans="1:12" x14ac:dyDescent="0.3">
      <c r="A1397" s="3"/>
      <c r="D1397" s="476"/>
      <c r="E1397" s="476"/>
      <c r="F1397" s="476"/>
      <c r="G1397" s="476"/>
      <c r="I1397" s="476"/>
      <c r="J1397" s="613"/>
      <c r="K1397" s="613"/>
    </row>
    <row r="1398" spans="1:12" x14ac:dyDescent="0.3">
      <c r="A1398" s="3"/>
      <c r="D1398" s="401"/>
    </row>
    <row r="1399" spans="1:12" x14ac:dyDescent="0.3">
      <c r="A1399" s="3"/>
      <c r="D1399" s="401"/>
    </row>
    <row r="1400" spans="1:12" x14ac:dyDescent="0.3">
      <c r="A1400" s="3"/>
      <c r="D1400" s="468"/>
    </row>
    <row r="1401" spans="1:12" ht="26.1" customHeight="1" x14ac:dyDescent="0.3">
      <c r="A1401" s="3"/>
      <c r="D1401" s="478"/>
      <c r="E1401" s="478"/>
      <c r="F1401" s="478"/>
      <c r="G1401" s="478"/>
      <c r="H1401" s="478"/>
      <c r="I1401" s="478"/>
      <c r="J1401" s="478"/>
      <c r="K1401" s="478"/>
    </row>
    <row r="1402" spans="1:12" ht="12.75" customHeight="1" x14ac:dyDescent="0.3">
      <c r="A1402" s="3"/>
      <c r="D1402" s="408"/>
      <c r="E1402" s="478"/>
      <c r="F1402" s="478"/>
      <c r="G1402" s="478"/>
      <c r="H1402" s="478"/>
      <c r="I1402" s="478"/>
      <c r="J1402" s="478"/>
      <c r="K1402" s="478"/>
    </row>
    <row r="1403" spans="1:12" ht="75" customHeight="1" x14ac:dyDescent="0.3">
      <c r="A1403" s="3"/>
      <c r="D1403" s="478"/>
      <c r="E1403" s="478"/>
      <c r="F1403" s="478"/>
      <c r="G1403" s="478"/>
      <c r="H1403" s="478"/>
      <c r="I1403" s="478"/>
      <c r="J1403" s="478"/>
      <c r="K1403" s="478"/>
    </row>
    <row r="1404" spans="1:12" x14ac:dyDescent="0.3">
      <c r="A1404" s="3"/>
      <c r="D1404" s="401"/>
    </row>
    <row r="1405" spans="1:12" x14ac:dyDescent="0.3">
      <c r="A1405" s="3"/>
      <c r="D1405" s="476"/>
      <c r="E1405" s="476"/>
      <c r="F1405" s="476"/>
      <c r="G1405" s="476"/>
      <c r="I1405" s="637"/>
      <c r="J1405" s="518"/>
      <c r="K1405" s="518"/>
    </row>
    <row r="1406" spans="1:12" x14ac:dyDescent="0.3">
      <c r="A1406" s="3"/>
      <c r="D1406" s="401"/>
      <c r="J1406" s="485"/>
      <c r="K1406" s="485"/>
    </row>
    <row r="1407" spans="1:12" x14ac:dyDescent="0.3">
      <c r="A1407" s="3"/>
      <c r="D1407" s="639"/>
      <c r="E1407" s="639"/>
      <c r="F1407" s="639"/>
      <c r="G1407" s="639"/>
      <c r="L1407" s="35"/>
    </row>
    <row r="1408" spans="1:12" x14ac:dyDescent="0.3">
      <c r="A1408" s="3"/>
      <c r="D1408" s="639"/>
      <c r="E1408" s="639"/>
      <c r="F1408" s="639"/>
      <c r="G1408" s="639"/>
    </row>
    <row r="1409" spans="1:11" x14ac:dyDescent="0.3">
      <c r="A1409" s="3"/>
      <c r="D1409" s="639"/>
      <c r="E1409" s="639"/>
      <c r="F1409" s="639"/>
      <c r="G1409" s="639"/>
      <c r="J1409" s="544"/>
      <c r="K1409" s="544"/>
    </row>
    <row r="1410" spans="1:11" x14ac:dyDescent="0.3">
      <c r="A1410" s="3"/>
      <c r="D1410" s="639"/>
      <c r="E1410" s="639"/>
      <c r="F1410" s="639"/>
      <c r="G1410" s="639"/>
      <c r="J1410" s="544"/>
      <c r="K1410" s="544"/>
    </row>
    <row r="1411" spans="1:11" ht="43.5" customHeight="1" x14ac:dyDescent="0.3">
      <c r="A1411" s="3"/>
      <c r="D1411" s="639"/>
      <c r="E1411" s="639"/>
      <c r="F1411" s="639"/>
      <c r="G1411" s="639"/>
      <c r="J1411" s="544"/>
      <c r="K1411" s="544"/>
    </row>
    <row r="1412" spans="1:11" ht="12" customHeight="1" x14ac:dyDescent="0.3">
      <c r="A1412" s="3"/>
      <c r="D1412" s="402"/>
      <c r="E1412" s="402"/>
      <c r="F1412" s="402"/>
      <c r="G1412" s="402"/>
    </row>
    <row r="1413" spans="1:11" ht="12" customHeight="1" x14ac:dyDescent="0.3">
      <c r="A1413" s="3"/>
      <c r="D1413" s="401"/>
    </row>
    <row r="1414" spans="1:11" x14ac:dyDescent="0.3">
      <c r="A1414" s="3"/>
      <c r="D1414" s="476"/>
      <c r="E1414" s="476"/>
      <c r="F1414" s="476"/>
      <c r="G1414" s="476"/>
      <c r="I1414" s="476"/>
      <c r="J1414" s="613"/>
      <c r="K1414" s="613"/>
    </row>
    <row r="1415" spans="1:11" x14ac:dyDescent="0.3">
      <c r="A1415" s="3"/>
      <c r="D1415" s="401"/>
    </row>
    <row r="1416" spans="1:11" x14ac:dyDescent="0.3">
      <c r="A1416" s="3"/>
      <c r="D1416" s="468"/>
    </row>
    <row r="1417" spans="1:11" ht="65.099999999999994" customHeight="1" x14ac:dyDescent="0.3">
      <c r="A1417" s="3"/>
      <c r="D1417" s="478"/>
      <c r="E1417" s="478"/>
      <c r="F1417" s="478"/>
      <c r="G1417" s="478"/>
      <c r="H1417" s="478"/>
      <c r="I1417" s="478"/>
      <c r="J1417" s="478"/>
      <c r="K1417" s="478"/>
    </row>
    <row r="1418" spans="1:11" x14ac:dyDescent="0.3">
      <c r="A1418" s="3"/>
      <c r="D1418" s="401"/>
    </row>
    <row r="1419" spans="1:11" ht="54" customHeight="1" x14ac:dyDescent="0.3">
      <c r="A1419" s="3"/>
      <c r="D1419" s="478"/>
      <c r="E1419" s="478"/>
      <c r="F1419" s="478"/>
      <c r="G1419" s="478"/>
      <c r="H1419" s="478"/>
      <c r="I1419" s="478"/>
      <c r="J1419" s="478"/>
      <c r="K1419" s="478"/>
    </row>
    <row r="1420" spans="1:11" x14ac:dyDescent="0.3">
      <c r="A1420" s="3"/>
      <c r="D1420" s="401"/>
    </row>
    <row r="1421" spans="1:11" x14ac:dyDescent="0.3">
      <c r="A1421" s="3"/>
      <c r="D1421" s="476"/>
      <c r="E1421" s="476"/>
      <c r="F1421" s="476"/>
      <c r="G1421" s="476"/>
      <c r="I1421" s="637"/>
      <c r="J1421" s="518"/>
      <c r="K1421" s="518"/>
    </row>
    <row r="1422" spans="1:11" x14ac:dyDescent="0.3">
      <c r="A1422" s="3"/>
      <c r="D1422" s="401"/>
      <c r="J1422" s="485"/>
      <c r="K1422" s="485"/>
    </row>
    <row r="1423" spans="1:11" x14ac:dyDescent="0.3">
      <c r="A1423" s="3"/>
      <c r="D1423" s="639"/>
      <c r="E1423" s="639"/>
      <c r="F1423" s="639"/>
      <c r="G1423" s="639"/>
      <c r="J1423" s="544"/>
    </row>
    <row r="1424" spans="1:11" x14ac:dyDescent="0.3">
      <c r="A1424" s="3"/>
      <c r="D1424" s="639"/>
      <c r="E1424" s="639"/>
      <c r="F1424" s="639"/>
      <c r="G1424" s="639"/>
    </row>
    <row r="1425" spans="1:12" x14ac:dyDescent="0.3">
      <c r="A1425" s="3"/>
      <c r="D1425" s="639"/>
      <c r="E1425" s="639"/>
      <c r="F1425" s="639"/>
      <c r="G1425" s="639"/>
      <c r="J1425" s="544"/>
      <c r="K1425" s="544"/>
    </row>
    <row r="1426" spans="1:12" x14ac:dyDescent="0.3">
      <c r="A1426" s="3"/>
      <c r="D1426" s="639"/>
      <c r="E1426" s="639"/>
      <c r="F1426" s="639"/>
      <c r="G1426" s="639"/>
      <c r="J1426" s="544"/>
      <c r="K1426" s="544"/>
    </row>
    <row r="1427" spans="1:12" x14ac:dyDescent="0.3">
      <c r="A1427" s="3"/>
      <c r="D1427" s="401"/>
    </row>
    <row r="1428" spans="1:12" x14ac:dyDescent="0.3">
      <c r="A1428" s="3"/>
      <c r="D1428" s="476"/>
      <c r="E1428" s="476"/>
      <c r="F1428" s="476"/>
      <c r="G1428" s="476"/>
      <c r="I1428" s="476"/>
      <c r="J1428" s="613"/>
      <c r="K1428" s="613"/>
    </row>
    <row r="1429" spans="1:12" x14ac:dyDescent="0.3">
      <c r="A1429" s="3"/>
      <c r="D1429" s="401"/>
    </row>
    <row r="1430" spans="1:12" ht="12.75" customHeight="1" x14ac:dyDescent="0.3">
      <c r="A1430" s="3"/>
      <c r="D1430" s="468"/>
    </row>
    <row r="1431" spans="1:12" ht="38.1" customHeight="1" x14ac:dyDescent="0.3">
      <c r="A1431" s="3"/>
      <c r="D1431" s="478"/>
      <c r="E1431" s="478"/>
      <c r="F1431" s="478"/>
      <c r="G1431" s="478"/>
      <c r="H1431" s="478"/>
      <c r="I1431" s="478"/>
      <c r="J1431" s="478"/>
      <c r="K1431" s="478"/>
    </row>
    <row r="1432" spans="1:12" ht="12.75" customHeight="1" x14ac:dyDescent="0.3">
      <c r="A1432" s="3"/>
      <c r="D1432" s="478"/>
      <c r="E1432" s="478"/>
      <c r="F1432" s="478"/>
      <c r="G1432" s="478"/>
      <c r="I1432" s="478"/>
      <c r="J1432" s="478"/>
      <c r="K1432" s="478"/>
    </row>
    <row r="1433" spans="1:12" ht="12.75" customHeight="1" x14ac:dyDescent="0.3">
      <c r="A1433" s="3"/>
      <c r="D1433" s="476"/>
      <c r="E1433" s="476"/>
      <c r="F1433" s="476"/>
      <c r="G1433" s="476"/>
      <c r="I1433" s="636"/>
      <c r="J1433" s="518"/>
      <c r="K1433" s="518"/>
    </row>
    <row r="1434" spans="1:12" ht="12.75" customHeight="1" x14ac:dyDescent="0.3">
      <c r="A1434" s="3"/>
      <c r="D1434" s="401"/>
      <c r="J1434" s="485"/>
      <c r="K1434" s="485"/>
    </row>
    <row r="1435" spans="1:12" ht="12.75" customHeight="1" x14ac:dyDescent="0.3">
      <c r="A1435" s="3"/>
      <c r="D1435" s="401"/>
      <c r="J1435" s="544"/>
      <c r="K1435" s="544"/>
      <c r="L1435" s="35"/>
    </row>
    <row r="1436" spans="1:12" ht="12.75" customHeight="1" x14ac:dyDescent="0.3">
      <c r="A1436" s="3"/>
      <c r="D1436" s="401"/>
      <c r="J1436" s="544"/>
      <c r="K1436" s="544"/>
      <c r="L1436" s="35"/>
    </row>
    <row r="1437" spans="1:12" ht="12.75" customHeight="1" x14ac:dyDescent="0.3">
      <c r="A1437" s="3"/>
      <c r="D1437" s="401"/>
      <c r="J1437" s="544"/>
      <c r="K1437" s="544"/>
      <c r="L1437" s="35"/>
    </row>
    <row r="1438" spans="1:12" ht="12.75" customHeight="1" x14ac:dyDescent="0.3">
      <c r="A1438" s="3"/>
      <c r="D1438" s="401"/>
      <c r="J1438" s="544"/>
      <c r="K1438" s="544"/>
    </row>
    <row r="1439" spans="1:12" ht="12.75" customHeight="1" x14ac:dyDescent="0.3">
      <c r="A1439" s="3"/>
      <c r="D1439" s="476"/>
      <c r="E1439" s="476"/>
      <c r="F1439" s="476"/>
      <c r="G1439" s="476"/>
      <c r="I1439" s="476"/>
      <c r="J1439" s="613"/>
      <c r="K1439" s="613"/>
    </row>
    <row r="1440" spans="1:12" x14ac:dyDescent="0.3">
      <c r="A1440" s="3"/>
      <c r="D1440" s="401"/>
    </row>
    <row r="1441" spans="1:11" x14ac:dyDescent="0.3">
      <c r="A1441" s="3"/>
      <c r="D1441" s="401"/>
    </row>
    <row r="1442" spans="1:11" x14ac:dyDescent="0.3">
      <c r="A1442" s="3"/>
      <c r="D1442" s="401"/>
    </row>
    <row r="1443" spans="1:11" x14ac:dyDescent="0.3">
      <c r="A1443" s="3"/>
      <c r="D1443" s="401"/>
    </row>
    <row r="1444" spans="1:11" x14ac:dyDescent="0.3">
      <c r="A1444" s="3"/>
      <c r="D1444" s="401"/>
    </row>
    <row r="1445" spans="1:11" x14ac:dyDescent="0.3">
      <c r="A1445" s="3"/>
      <c r="D1445" s="401"/>
    </row>
    <row r="1446" spans="1:11" x14ac:dyDescent="0.3">
      <c r="A1446" s="3"/>
      <c r="D1446" s="401"/>
    </row>
    <row r="1447" spans="1:11" x14ac:dyDescent="0.3">
      <c r="A1447" s="3"/>
      <c r="D1447" s="401"/>
    </row>
    <row r="1448" spans="1:11" x14ac:dyDescent="0.3">
      <c r="A1448" s="3"/>
      <c r="D1448" s="468"/>
    </row>
    <row r="1449" spans="1:11" ht="38.1" customHeight="1" x14ac:dyDescent="0.3">
      <c r="A1449" s="3"/>
      <c r="D1449" s="478"/>
      <c r="E1449" s="478"/>
      <c r="F1449" s="478"/>
      <c r="G1449" s="478"/>
      <c r="H1449" s="478"/>
      <c r="I1449" s="478"/>
      <c r="J1449" s="478"/>
      <c r="K1449" s="478"/>
    </row>
    <row r="1450" spans="1:11" x14ac:dyDescent="0.3">
      <c r="A1450" s="3"/>
      <c r="D1450" s="401"/>
    </row>
    <row r="1451" spans="1:11" x14ac:dyDescent="0.3">
      <c r="A1451" s="3"/>
      <c r="D1451" s="476"/>
      <c r="E1451" s="476"/>
      <c r="F1451" s="476"/>
      <c r="G1451" s="476"/>
      <c r="I1451" s="636"/>
      <c r="J1451" s="518"/>
      <c r="K1451" s="518"/>
    </row>
    <row r="1452" spans="1:11" x14ac:dyDescent="0.3">
      <c r="A1452" s="3"/>
      <c r="D1452" s="401"/>
      <c r="J1452" s="485"/>
      <c r="K1452" s="485"/>
    </row>
    <row r="1453" spans="1:11" x14ac:dyDescent="0.3">
      <c r="A1453" s="3"/>
      <c r="D1453" s="401"/>
      <c r="J1453" s="544"/>
      <c r="K1453" s="544"/>
    </row>
    <row r="1454" spans="1:11" x14ac:dyDescent="0.3">
      <c r="A1454" s="3"/>
      <c r="D1454" s="401"/>
      <c r="J1454" s="544"/>
      <c r="K1454" s="544"/>
    </row>
    <row r="1455" spans="1:11" x14ac:dyDescent="0.3">
      <c r="A1455" s="3"/>
      <c r="D1455" s="401"/>
      <c r="J1455" s="544"/>
      <c r="K1455" s="544"/>
    </row>
    <row r="1456" spans="1:11" x14ac:dyDescent="0.3">
      <c r="A1456" s="3"/>
      <c r="D1456" s="401"/>
      <c r="J1456" s="544"/>
      <c r="K1456" s="544"/>
    </row>
    <row r="1457" spans="1:12" x14ac:dyDescent="0.3">
      <c r="A1457" s="3"/>
      <c r="D1457" s="476"/>
      <c r="E1457" s="476"/>
      <c r="F1457" s="476"/>
      <c r="G1457" s="476"/>
      <c r="I1457" s="476"/>
      <c r="J1457" s="613"/>
      <c r="K1457" s="613"/>
    </row>
    <row r="1458" spans="1:12" x14ac:dyDescent="0.3">
      <c r="A1458" s="3"/>
      <c r="D1458" s="401"/>
    </row>
    <row r="1459" spans="1:12" x14ac:dyDescent="0.3">
      <c r="A1459" s="3"/>
      <c r="D1459" s="401"/>
    </row>
    <row r="1460" spans="1:12" x14ac:dyDescent="0.3">
      <c r="A1460" s="3"/>
      <c r="D1460" s="401"/>
    </row>
    <row r="1461" spans="1:12" x14ac:dyDescent="0.3">
      <c r="A1461" s="3"/>
      <c r="D1461" s="401"/>
    </row>
    <row r="1462" spans="1:12" x14ac:dyDescent="0.3">
      <c r="A1462" s="3"/>
      <c r="D1462" s="401"/>
    </row>
    <row r="1463" spans="1:12" x14ac:dyDescent="0.3">
      <c r="A1463" s="3"/>
      <c r="D1463" s="401"/>
    </row>
    <row r="1464" spans="1:12" x14ac:dyDescent="0.3">
      <c r="A1464" s="3"/>
      <c r="D1464" s="401"/>
    </row>
    <row r="1465" spans="1:12" x14ac:dyDescent="0.3">
      <c r="A1465" s="3"/>
      <c r="D1465" s="401"/>
    </row>
    <row r="1466" spans="1:12" x14ac:dyDescent="0.3">
      <c r="A1466" s="3"/>
      <c r="D1466" s="468"/>
    </row>
    <row r="1467" spans="1:12" x14ac:dyDescent="0.3">
      <c r="A1467" s="3"/>
      <c r="D1467" s="401"/>
    </row>
    <row r="1468" spans="1:12" x14ac:dyDescent="0.3">
      <c r="A1468" s="3"/>
      <c r="D1468" s="476"/>
      <c r="E1468" s="476"/>
      <c r="F1468" s="476"/>
      <c r="G1468" s="476"/>
      <c r="I1468" s="636"/>
      <c r="J1468" s="518"/>
      <c r="K1468" s="518"/>
    </row>
    <row r="1469" spans="1:12" x14ac:dyDescent="0.3">
      <c r="A1469" s="3"/>
      <c r="D1469" s="401"/>
      <c r="I1469" s="421"/>
      <c r="J1469" s="485"/>
      <c r="K1469" s="485"/>
    </row>
    <row r="1470" spans="1:12" x14ac:dyDescent="0.3">
      <c r="A1470" s="3"/>
      <c r="D1470" s="401"/>
      <c r="I1470" s="421"/>
      <c r="K1470" s="640"/>
      <c r="L1470" s="35"/>
    </row>
    <row r="1471" spans="1:12" x14ac:dyDescent="0.3">
      <c r="A1471" s="3"/>
      <c r="D1471" s="401"/>
      <c r="I1471" s="421"/>
      <c r="K1471" s="640"/>
      <c r="L1471" s="35"/>
    </row>
    <row r="1472" spans="1:12" x14ac:dyDescent="0.3">
      <c r="A1472" s="3"/>
      <c r="D1472" s="401"/>
    </row>
    <row r="1473" spans="1:12" x14ac:dyDescent="0.3">
      <c r="A1473" s="3"/>
      <c r="D1473" s="476"/>
      <c r="E1473" s="476"/>
      <c r="F1473" s="476"/>
      <c r="G1473" s="476"/>
      <c r="I1473" s="476"/>
      <c r="J1473" s="476"/>
      <c r="K1473" s="476"/>
    </row>
    <row r="1474" spans="1:12" x14ac:dyDescent="0.3">
      <c r="A1474" s="3"/>
      <c r="D1474" s="401"/>
    </row>
    <row r="1475" spans="1:12" ht="25.5" customHeight="1" x14ac:dyDescent="0.3">
      <c r="A1475" s="3"/>
      <c r="D1475" s="478"/>
      <c r="E1475" s="478"/>
      <c r="F1475" s="478"/>
      <c r="G1475" s="478"/>
      <c r="H1475" s="478"/>
      <c r="I1475" s="478"/>
      <c r="J1475" s="478"/>
      <c r="K1475" s="478"/>
    </row>
    <row r="1476" spans="1:12" ht="12.75" customHeight="1" x14ac:dyDescent="0.3">
      <c r="A1476" s="3"/>
      <c r="D1476" s="478"/>
      <c r="E1476" s="478"/>
      <c r="F1476" s="478"/>
      <c r="G1476" s="478"/>
      <c r="I1476" s="478"/>
      <c r="J1476" s="478"/>
      <c r="K1476" s="478"/>
    </row>
    <row r="1477" spans="1:12" ht="12.75" customHeight="1" x14ac:dyDescent="0.3">
      <c r="A1477" s="3"/>
      <c r="D1477" s="478"/>
      <c r="E1477" s="478"/>
      <c r="F1477" s="478"/>
      <c r="G1477" s="478"/>
      <c r="I1477" s="478"/>
      <c r="J1477" s="478"/>
      <c r="K1477" s="478"/>
    </row>
    <row r="1478" spans="1:12" x14ac:dyDescent="0.3">
      <c r="A1478" s="3"/>
      <c r="D1478" s="468"/>
    </row>
    <row r="1479" spans="1:12" ht="48" customHeight="1" x14ac:dyDescent="0.3">
      <c r="A1479" s="3"/>
      <c r="D1479" s="478"/>
      <c r="E1479" s="478"/>
      <c r="F1479" s="478"/>
      <c r="G1479" s="478"/>
      <c r="H1479" s="478"/>
      <c r="I1479" s="478"/>
      <c r="J1479" s="478"/>
      <c r="K1479" s="478"/>
    </row>
    <row r="1480" spans="1:12" ht="12.75" customHeight="1" x14ac:dyDescent="0.3">
      <c r="A1480" s="3"/>
      <c r="D1480" s="478"/>
      <c r="E1480" s="478"/>
      <c r="F1480" s="478"/>
      <c r="G1480" s="478"/>
      <c r="I1480" s="478"/>
      <c r="J1480" s="478"/>
      <c r="K1480" s="478"/>
    </row>
    <row r="1481" spans="1:12" ht="12.75" customHeight="1" x14ac:dyDescent="0.3">
      <c r="A1481" s="3"/>
      <c r="D1481" s="476"/>
      <c r="E1481" s="476"/>
      <c r="F1481" s="476"/>
      <c r="G1481" s="476"/>
      <c r="I1481" s="636"/>
      <c r="J1481" s="518"/>
      <c r="K1481" s="518"/>
    </row>
    <row r="1482" spans="1:12" ht="12.75" customHeight="1" x14ac:dyDescent="0.3">
      <c r="A1482" s="3"/>
      <c r="D1482" s="401"/>
      <c r="I1482" s="421"/>
      <c r="J1482" s="485"/>
      <c r="K1482" s="485"/>
    </row>
    <row r="1483" spans="1:12" x14ac:dyDescent="0.3">
      <c r="A1483" s="3"/>
      <c r="D1483" s="639"/>
      <c r="E1483" s="639"/>
      <c r="F1483" s="639"/>
      <c r="G1483" s="639"/>
      <c r="I1483" s="421"/>
      <c r="J1483" s="544"/>
      <c r="K1483" s="544"/>
      <c r="L1483" s="35"/>
    </row>
    <row r="1484" spans="1:12" ht="12.75" customHeight="1" x14ac:dyDescent="0.3">
      <c r="A1484" s="3"/>
      <c r="D1484" s="639"/>
      <c r="E1484" s="639"/>
      <c r="F1484" s="639"/>
      <c r="G1484" s="639"/>
      <c r="I1484" s="421"/>
      <c r="J1484" s="544"/>
      <c r="K1484" s="544"/>
    </row>
    <row r="1485" spans="1:12" ht="12.75" customHeight="1" x14ac:dyDescent="0.3">
      <c r="A1485" s="3"/>
      <c r="D1485" s="639"/>
      <c r="E1485" s="639"/>
      <c r="F1485" s="639"/>
      <c r="G1485" s="639"/>
      <c r="I1485" s="421"/>
      <c r="J1485" s="544"/>
      <c r="K1485" s="544"/>
    </row>
    <row r="1486" spans="1:12" ht="12.75" customHeight="1" x14ac:dyDescent="0.3">
      <c r="A1486" s="3"/>
      <c r="D1486" s="639"/>
      <c r="E1486" s="639"/>
      <c r="F1486" s="639"/>
      <c r="G1486" s="639"/>
      <c r="I1486" s="421"/>
      <c r="J1486" s="544"/>
      <c r="K1486" s="544"/>
    </row>
    <row r="1487" spans="1:12" ht="12.75" customHeight="1" x14ac:dyDescent="0.3">
      <c r="A1487" s="3"/>
      <c r="D1487" s="639"/>
      <c r="E1487" s="639"/>
      <c r="F1487" s="639"/>
      <c r="G1487" s="639"/>
      <c r="I1487" s="421"/>
      <c r="J1487" s="544"/>
      <c r="K1487" s="544"/>
    </row>
    <row r="1488" spans="1:12" ht="12.75" customHeight="1" x14ac:dyDescent="0.3">
      <c r="A1488" s="3"/>
      <c r="D1488" s="639"/>
      <c r="E1488" s="639"/>
      <c r="F1488" s="639"/>
      <c r="G1488" s="639"/>
      <c r="I1488" s="421"/>
      <c r="J1488" s="544"/>
      <c r="K1488" s="544"/>
    </row>
    <row r="1489" spans="1:12" ht="27.75" customHeight="1" x14ac:dyDescent="0.3">
      <c r="A1489" s="3"/>
      <c r="D1489" s="639"/>
      <c r="E1489" s="639"/>
      <c r="F1489" s="639"/>
      <c r="G1489" s="639"/>
      <c r="J1489" s="544"/>
      <c r="K1489" s="544"/>
    </row>
    <row r="1490" spans="1:12" x14ac:dyDescent="0.3">
      <c r="A1490" s="3"/>
      <c r="D1490" s="639"/>
      <c r="E1490" s="639"/>
      <c r="F1490" s="639"/>
      <c r="G1490" s="639"/>
      <c r="I1490" s="421"/>
      <c r="J1490" s="544"/>
      <c r="K1490" s="544"/>
    </row>
    <row r="1491" spans="1:12" ht="30.75" customHeight="1" x14ac:dyDescent="0.3">
      <c r="A1491" s="3"/>
      <c r="D1491" s="639"/>
      <c r="E1491" s="639"/>
      <c r="F1491" s="639"/>
      <c r="G1491" s="639"/>
      <c r="I1491" s="421"/>
      <c r="J1491" s="544"/>
      <c r="K1491" s="544"/>
    </row>
    <row r="1492" spans="1:12" x14ac:dyDescent="0.3">
      <c r="A1492" s="3"/>
      <c r="D1492" s="639"/>
      <c r="E1492" s="639"/>
      <c r="F1492" s="639"/>
      <c r="G1492" s="639"/>
      <c r="I1492" s="421"/>
      <c r="J1492" s="544"/>
      <c r="K1492" s="544"/>
    </row>
    <row r="1493" spans="1:12" x14ac:dyDescent="0.3">
      <c r="A1493" s="3"/>
      <c r="D1493" s="639"/>
      <c r="E1493" s="639"/>
      <c r="F1493" s="639"/>
      <c r="G1493" s="639"/>
      <c r="I1493" s="421"/>
      <c r="J1493" s="544"/>
      <c r="K1493" s="544"/>
    </row>
    <row r="1494" spans="1:12" ht="44.25" customHeight="1" x14ac:dyDescent="0.3">
      <c r="A1494" s="3"/>
      <c r="D1494" s="639"/>
      <c r="E1494" s="639"/>
      <c r="F1494" s="639"/>
      <c r="G1494" s="639"/>
      <c r="I1494" s="421"/>
      <c r="J1494" s="544"/>
      <c r="K1494" s="544"/>
    </row>
    <row r="1495" spans="1:12" x14ac:dyDescent="0.3">
      <c r="A1495" s="3"/>
      <c r="D1495" s="639"/>
      <c r="E1495" s="639"/>
      <c r="F1495" s="639"/>
      <c r="G1495" s="639"/>
      <c r="I1495" s="421"/>
      <c r="J1495" s="544"/>
      <c r="K1495" s="544"/>
    </row>
    <row r="1496" spans="1:12" x14ac:dyDescent="0.3">
      <c r="A1496" s="3"/>
      <c r="D1496" s="401"/>
      <c r="I1496" s="421"/>
      <c r="J1496" s="544"/>
      <c r="K1496" s="544"/>
    </row>
    <row r="1497" spans="1:12" x14ac:dyDescent="0.3">
      <c r="A1497" s="3"/>
      <c r="D1497" s="476"/>
      <c r="E1497" s="476"/>
      <c r="F1497" s="476"/>
      <c r="G1497" s="476"/>
      <c r="I1497" s="636"/>
      <c r="J1497" s="613"/>
      <c r="K1497" s="613"/>
      <c r="L1497" s="26"/>
    </row>
    <row r="1498" spans="1:12" x14ac:dyDescent="0.3">
      <c r="A1498" s="3"/>
      <c r="D1498" s="401"/>
    </row>
    <row r="1499" spans="1:12" x14ac:dyDescent="0.3">
      <c r="A1499" s="3"/>
      <c r="B1499" s="468"/>
      <c r="C1499" s="632"/>
      <c r="D1499" s="468"/>
      <c r="E1499" s="468"/>
      <c r="F1499" s="468"/>
      <c r="G1499" s="468"/>
      <c r="H1499" s="468"/>
      <c r="I1499" s="468"/>
      <c r="J1499" s="468"/>
      <c r="K1499" s="468"/>
    </row>
    <row r="1500" spans="1:12" x14ac:dyDescent="0.3">
      <c r="A1500" s="3"/>
      <c r="D1500" s="468"/>
      <c r="E1500" s="468"/>
      <c r="F1500" s="468"/>
      <c r="G1500" s="468"/>
      <c r="H1500" s="468"/>
      <c r="I1500" s="468"/>
      <c r="J1500" s="468"/>
      <c r="K1500" s="468"/>
    </row>
    <row r="1501" spans="1:12" x14ac:dyDescent="0.3">
      <c r="A1501" s="3"/>
      <c r="D1501" s="468"/>
      <c r="E1501" s="468"/>
      <c r="F1501" s="468"/>
      <c r="G1501" s="468"/>
      <c r="H1501" s="468"/>
      <c r="I1501" s="468"/>
      <c r="J1501" s="468"/>
      <c r="K1501" s="468"/>
    </row>
    <row r="1502" spans="1:12" ht="36" customHeight="1" x14ac:dyDescent="0.3">
      <c r="A1502" s="3"/>
      <c r="D1502" s="478"/>
      <c r="E1502" s="478"/>
      <c r="F1502" s="478"/>
      <c r="G1502" s="478"/>
      <c r="H1502" s="478"/>
      <c r="I1502" s="478"/>
      <c r="J1502" s="478"/>
      <c r="K1502" s="478"/>
    </row>
    <row r="1503" spans="1:12" ht="12.75" customHeight="1" x14ac:dyDescent="0.3">
      <c r="A1503" s="3"/>
      <c r="D1503" s="478"/>
      <c r="E1503" s="478"/>
      <c r="F1503" s="478"/>
      <c r="G1503" s="478"/>
      <c r="H1503" s="478"/>
      <c r="I1503" s="478"/>
      <c r="J1503" s="478"/>
      <c r="K1503" s="478"/>
    </row>
    <row r="1504" spans="1:12" ht="36" customHeight="1" x14ac:dyDescent="0.3">
      <c r="A1504" s="3"/>
      <c r="D1504" s="478"/>
      <c r="E1504" s="478"/>
      <c r="F1504" s="478"/>
      <c r="G1504" s="478"/>
      <c r="H1504" s="478"/>
      <c r="I1504" s="478"/>
      <c r="J1504" s="478"/>
      <c r="K1504" s="478"/>
    </row>
    <row r="1505" spans="1:12" ht="12.75" customHeight="1" x14ac:dyDescent="0.3">
      <c r="A1505" s="3"/>
      <c r="D1505" s="478"/>
      <c r="E1505" s="478"/>
      <c r="F1505" s="478"/>
      <c r="G1505" s="478"/>
      <c r="H1505" s="478"/>
      <c r="I1505" s="478"/>
      <c r="J1505" s="478"/>
      <c r="K1505" s="478"/>
    </row>
    <row r="1506" spans="1:12" ht="24" customHeight="1" x14ac:dyDescent="0.3">
      <c r="A1506" s="3"/>
      <c r="D1506" s="478"/>
      <c r="E1506" s="478"/>
      <c r="F1506" s="478"/>
      <c r="G1506" s="478"/>
      <c r="H1506" s="478"/>
      <c r="I1506" s="478"/>
      <c r="J1506" s="478"/>
      <c r="K1506" s="478"/>
    </row>
    <row r="1507" spans="1:12" ht="12.75" customHeight="1" x14ac:dyDescent="0.3">
      <c r="A1507" s="3"/>
      <c r="D1507" s="478"/>
      <c r="E1507" s="478"/>
      <c r="F1507" s="478"/>
      <c r="G1507" s="478"/>
      <c r="H1507" s="478"/>
      <c r="I1507" s="478"/>
      <c r="J1507" s="478"/>
      <c r="K1507" s="478"/>
    </row>
    <row r="1508" spans="1:12" ht="25.5" customHeight="1" x14ac:dyDescent="0.3">
      <c r="A1508" s="3"/>
      <c r="D1508" s="478"/>
      <c r="E1508" s="478"/>
      <c r="F1508" s="478"/>
      <c r="G1508" s="478"/>
      <c r="H1508" s="478"/>
      <c r="I1508" s="478"/>
      <c r="J1508" s="478"/>
      <c r="K1508" s="478"/>
    </row>
    <row r="1509" spans="1:12" x14ac:dyDescent="0.3">
      <c r="A1509" s="3"/>
      <c r="D1509" s="401"/>
    </row>
    <row r="1510" spans="1:12" x14ac:dyDescent="0.3">
      <c r="A1510" s="3"/>
      <c r="D1510" s="401"/>
    </row>
    <row r="1511" spans="1:12" x14ac:dyDescent="0.3">
      <c r="A1511" s="3"/>
      <c r="D1511" s="401"/>
    </row>
    <row r="1512" spans="1:12" x14ac:dyDescent="0.3">
      <c r="A1512" s="3"/>
      <c r="D1512" s="476"/>
      <c r="E1512" s="476"/>
      <c r="F1512" s="476"/>
      <c r="G1512" s="476"/>
      <c r="I1512" s="636"/>
      <c r="J1512" s="518"/>
      <c r="K1512" s="518"/>
    </row>
    <row r="1513" spans="1:12" x14ac:dyDescent="0.3">
      <c r="A1513" s="3"/>
      <c r="D1513" s="401"/>
      <c r="I1513" s="421"/>
      <c r="J1513" s="485"/>
      <c r="K1513" s="485"/>
    </row>
    <row r="1514" spans="1:12" x14ac:dyDescent="0.3">
      <c r="A1514" s="3"/>
      <c r="D1514" s="478"/>
      <c r="E1514" s="478"/>
      <c r="F1514" s="478"/>
      <c r="G1514" s="478"/>
      <c r="H1514" s="478"/>
      <c r="I1514" s="421"/>
      <c r="J1514" s="544"/>
      <c r="K1514" s="641"/>
      <c r="L1514" s="35"/>
    </row>
    <row r="1515" spans="1:12" x14ac:dyDescent="0.3">
      <c r="A1515" s="3"/>
      <c r="D1515" s="478"/>
      <c r="E1515" s="478"/>
      <c r="F1515" s="478"/>
      <c r="G1515" s="478"/>
      <c r="H1515" s="478"/>
      <c r="I1515" s="421"/>
      <c r="J1515" s="544"/>
      <c r="K1515" s="544"/>
    </row>
    <row r="1516" spans="1:12" x14ac:dyDescent="0.3">
      <c r="A1516" s="3"/>
      <c r="D1516" s="478"/>
      <c r="E1516" s="478"/>
      <c r="F1516" s="478"/>
      <c r="G1516" s="478"/>
      <c r="H1516" s="478"/>
      <c r="I1516" s="421"/>
      <c r="J1516" s="544"/>
      <c r="K1516" s="544"/>
    </row>
    <row r="1517" spans="1:12" x14ac:dyDescent="0.3">
      <c r="A1517" s="3"/>
      <c r="D1517" s="478"/>
      <c r="E1517" s="478"/>
      <c r="F1517" s="478"/>
      <c r="G1517" s="478"/>
      <c r="H1517" s="478"/>
      <c r="I1517" s="421"/>
      <c r="J1517" s="544"/>
      <c r="K1517" s="544"/>
    </row>
    <row r="1518" spans="1:12" ht="25.5" customHeight="1" x14ac:dyDescent="0.3">
      <c r="A1518" s="3"/>
      <c r="D1518" s="478"/>
      <c r="E1518" s="478"/>
      <c r="F1518" s="478"/>
      <c r="G1518" s="478"/>
      <c r="H1518" s="478"/>
      <c r="I1518" s="421"/>
      <c r="J1518" s="641"/>
      <c r="K1518" s="641"/>
      <c r="L1518" s="35"/>
    </row>
    <row r="1519" spans="1:12" x14ac:dyDescent="0.3">
      <c r="A1519" s="3"/>
      <c r="D1519" s="478"/>
      <c r="E1519" s="478"/>
      <c r="F1519" s="478"/>
      <c r="G1519" s="478"/>
      <c r="H1519" s="478"/>
      <c r="I1519" s="642"/>
      <c r="J1519" s="641"/>
      <c r="K1519" s="641"/>
      <c r="L1519" s="35"/>
    </row>
    <row r="1520" spans="1:12" x14ac:dyDescent="0.3">
      <c r="A1520" s="3"/>
      <c r="D1520" s="478"/>
      <c r="E1520" s="478"/>
      <c r="F1520" s="478"/>
      <c r="G1520" s="478"/>
      <c r="H1520" s="478"/>
      <c r="I1520" s="642"/>
      <c r="J1520" s="641"/>
      <c r="K1520" s="641"/>
      <c r="L1520" s="35"/>
    </row>
    <row r="1521" spans="1:13" x14ac:dyDescent="0.3">
      <c r="A1521" s="3"/>
      <c r="D1521" s="478"/>
      <c r="E1521" s="478"/>
      <c r="F1521" s="478"/>
      <c r="G1521" s="478"/>
      <c r="H1521" s="478"/>
      <c r="I1521" s="642"/>
      <c r="J1521" s="641"/>
      <c r="K1521" s="641"/>
      <c r="L1521" s="35"/>
    </row>
    <row r="1522" spans="1:13" x14ac:dyDescent="0.3">
      <c r="A1522" s="3"/>
      <c r="D1522" s="478"/>
      <c r="E1522" s="478"/>
      <c r="F1522" s="478"/>
      <c r="G1522" s="478"/>
      <c r="H1522" s="478"/>
      <c r="I1522" s="642"/>
      <c r="J1522" s="641"/>
      <c r="K1522" s="641"/>
      <c r="L1522" s="35"/>
    </row>
    <row r="1523" spans="1:13" x14ac:dyDescent="0.3">
      <c r="A1523" s="3"/>
      <c r="D1523" s="478"/>
      <c r="E1523" s="478"/>
      <c r="F1523" s="478"/>
      <c r="G1523" s="478"/>
      <c r="H1523" s="478"/>
      <c r="I1523" s="642"/>
      <c r="J1523" s="641"/>
      <c r="K1523" s="641"/>
      <c r="L1523" s="35"/>
    </row>
    <row r="1524" spans="1:13" ht="26.25" customHeight="1" x14ac:dyDescent="0.3">
      <c r="A1524" s="3"/>
      <c r="D1524" s="478"/>
      <c r="E1524" s="478"/>
      <c r="F1524" s="478"/>
      <c r="G1524" s="478"/>
      <c r="H1524" s="478"/>
      <c r="I1524" s="642"/>
      <c r="J1524" s="641"/>
      <c r="K1524" s="641"/>
      <c r="L1524" s="35"/>
    </row>
    <row r="1525" spans="1:13" x14ac:dyDescent="0.3">
      <c r="A1525" s="3"/>
      <c r="D1525" s="640"/>
      <c r="E1525" s="640"/>
      <c r="F1525" s="640"/>
      <c r="G1525" s="640"/>
      <c r="H1525" s="640"/>
      <c r="I1525" s="642"/>
      <c r="J1525" s="641"/>
      <c r="K1525" s="641"/>
      <c r="L1525" s="35"/>
    </row>
    <row r="1526" spans="1:13" x14ac:dyDescent="0.3">
      <c r="A1526" s="3"/>
      <c r="D1526" s="472"/>
      <c r="E1526" s="472"/>
      <c r="F1526" s="472"/>
      <c r="G1526" s="472"/>
      <c r="I1526" s="637"/>
      <c r="J1526" s="638"/>
      <c r="K1526" s="638"/>
      <c r="M1526" s="26"/>
    </row>
    <row r="1527" spans="1:13" x14ac:dyDescent="0.3">
      <c r="A1527" s="3"/>
      <c r="D1527" s="401"/>
    </row>
    <row r="1528" spans="1:13" x14ac:dyDescent="0.3">
      <c r="A1528" s="3"/>
      <c r="D1528" s="468"/>
      <c r="E1528" s="468"/>
      <c r="F1528" s="468"/>
      <c r="G1528" s="468"/>
      <c r="H1528" s="468"/>
      <c r="I1528" s="468"/>
      <c r="J1528" s="468"/>
      <c r="K1528" s="468"/>
    </row>
    <row r="1529" spans="1:13" x14ac:dyDescent="0.3">
      <c r="A1529" s="3"/>
      <c r="D1529" s="401"/>
    </row>
    <row r="1530" spans="1:13" x14ac:dyDescent="0.3">
      <c r="A1530" s="3"/>
      <c r="D1530" s="476"/>
      <c r="E1530" s="476"/>
      <c r="F1530" s="476"/>
      <c r="G1530" s="476"/>
      <c r="I1530" s="636"/>
      <c r="J1530" s="518"/>
      <c r="K1530" s="518"/>
    </row>
    <row r="1531" spans="1:13" x14ac:dyDescent="0.3">
      <c r="A1531" s="3"/>
      <c r="D1531" s="401"/>
      <c r="I1531" s="421"/>
      <c r="J1531" s="485"/>
      <c r="K1531" s="485"/>
    </row>
    <row r="1532" spans="1:13" x14ac:dyDescent="0.3">
      <c r="A1532" s="3"/>
      <c r="D1532" s="478"/>
      <c r="E1532" s="478"/>
      <c r="F1532" s="478"/>
      <c r="G1532" s="478"/>
      <c r="H1532" s="478"/>
      <c r="I1532" s="421"/>
      <c r="J1532" s="544"/>
      <c r="K1532" s="641"/>
    </row>
    <row r="1533" spans="1:13" s="78" customFormat="1" ht="41.25" customHeight="1" x14ac:dyDescent="0.3">
      <c r="A1533" s="3"/>
      <c r="B1533" s="597"/>
      <c r="C1533" s="597"/>
      <c r="D1533" s="639"/>
      <c r="E1533" s="639"/>
      <c r="F1533" s="639"/>
      <c r="G1533" s="639"/>
      <c r="H1533" s="639"/>
      <c r="I1533" s="643"/>
      <c r="J1533" s="644"/>
      <c r="K1533" s="644"/>
    </row>
    <row r="1534" spans="1:13" x14ac:dyDescent="0.3">
      <c r="A1534" s="3"/>
      <c r="D1534" s="401"/>
    </row>
    <row r="1535" spans="1:13" x14ac:dyDescent="0.3">
      <c r="A1535" s="3"/>
      <c r="D1535" s="472"/>
      <c r="E1535" s="472"/>
      <c r="F1535" s="472"/>
      <c r="G1535" s="472"/>
      <c r="I1535" s="637"/>
      <c r="J1535" s="638"/>
      <c r="K1535" s="638"/>
    </row>
    <row r="1536" spans="1:13" x14ac:dyDescent="0.3">
      <c r="A1536" s="3"/>
      <c r="D1536" s="401"/>
    </row>
    <row r="1537" spans="1:11" x14ac:dyDescent="0.3">
      <c r="A1537" s="3"/>
      <c r="D1537" s="401"/>
    </row>
    <row r="1538" spans="1:11" x14ac:dyDescent="0.3">
      <c r="A1538" s="3"/>
      <c r="D1538" s="401"/>
    </row>
    <row r="1539" spans="1:11" x14ac:dyDescent="0.3">
      <c r="A1539" s="3"/>
      <c r="D1539" s="468"/>
    </row>
    <row r="1540" spans="1:11" x14ac:dyDescent="0.3">
      <c r="A1540" s="3"/>
      <c r="D1540" s="468"/>
      <c r="E1540" s="468"/>
      <c r="F1540" s="468"/>
      <c r="G1540" s="468"/>
      <c r="H1540" s="468"/>
      <c r="I1540" s="468"/>
      <c r="J1540" s="468"/>
      <c r="K1540" s="468"/>
    </row>
    <row r="1541" spans="1:11" ht="38.549999999999997" customHeight="1" x14ac:dyDescent="0.3">
      <c r="A1541" s="3"/>
      <c r="D1541" s="478"/>
      <c r="E1541" s="478"/>
      <c r="F1541" s="478"/>
      <c r="G1541" s="478"/>
      <c r="H1541" s="478"/>
      <c r="I1541" s="478"/>
      <c r="J1541" s="478"/>
      <c r="K1541" s="478"/>
    </row>
    <row r="1542" spans="1:11" ht="12.75" customHeight="1" x14ac:dyDescent="0.3">
      <c r="A1542" s="3"/>
      <c r="D1542" s="478"/>
      <c r="E1542" s="478"/>
      <c r="F1542" s="478"/>
      <c r="G1542" s="478"/>
      <c r="H1542" s="478"/>
      <c r="I1542" s="478"/>
      <c r="J1542" s="478"/>
      <c r="K1542" s="478"/>
    </row>
    <row r="1543" spans="1:11" s="83" customFormat="1" ht="55.5" customHeight="1" x14ac:dyDescent="0.3">
      <c r="A1543" s="80"/>
      <c r="B1543" s="645"/>
      <c r="C1543" s="645"/>
      <c r="D1543" s="639"/>
      <c r="E1543" s="639"/>
      <c r="F1543" s="639"/>
      <c r="G1543" s="639"/>
      <c r="H1543" s="639"/>
      <c r="I1543" s="639"/>
      <c r="J1543" s="639"/>
      <c r="K1543" s="639"/>
    </row>
    <row r="1544" spans="1:11" ht="12.75" customHeight="1" x14ac:dyDescent="0.3">
      <c r="A1544" s="3"/>
      <c r="E1544" s="585"/>
      <c r="F1544" s="585"/>
      <c r="G1544" s="585"/>
      <c r="H1544" s="585"/>
      <c r="I1544" s="585"/>
      <c r="J1544" s="585"/>
      <c r="K1544" s="585"/>
    </row>
    <row r="1545" spans="1:11" ht="38.1" customHeight="1" x14ac:dyDescent="0.3">
      <c r="A1545" s="3"/>
      <c r="D1545" s="639"/>
      <c r="E1545" s="639"/>
      <c r="F1545" s="639"/>
      <c r="G1545" s="639"/>
      <c r="H1545" s="639"/>
      <c r="I1545" s="639"/>
      <c r="J1545" s="639"/>
      <c r="K1545" s="639"/>
    </row>
    <row r="1546" spans="1:11" ht="12.75" customHeight="1" x14ac:dyDescent="0.3">
      <c r="A1546" s="3"/>
      <c r="D1546" s="639"/>
      <c r="E1546" s="639"/>
      <c r="F1546" s="639"/>
      <c r="G1546" s="639"/>
      <c r="H1546" s="639"/>
      <c r="I1546" s="639"/>
      <c r="J1546" s="639"/>
      <c r="K1546" s="639"/>
    </row>
    <row r="1547" spans="1:11" ht="80.099999999999994" customHeight="1" x14ac:dyDescent="0.3">
      <c r="A1547" s="3"/>
      <c r="D1547" s="639"/>
      <c r="E1547" s="639"/>
      <c r="F1547" s="639"/>
      <c r="G1547" s="639"/>
      <c r="H1547" s="639"/>
      <c r="I1547" s="639"/>
      <c r="J1547" s="639"/>
      <c r="K1547" s="639"/>
    </row>
    <row r="1548" spans="1:11" x14ac:dyDescent="0.3">
      <c r="A1548" s="3"/>
      <c r="D1548" s="401"/>
    </row>
    <row r="1549" spans="1:11" x14ac:dyDescent="0.3">
      <c r="A1549" s="3"/>
      <c r="D1549" s="476"/>
      <c r="E1549" s="476"/>
      <c r="F1549" s="476"/>
      <c r="G1549" s="476"/>
      <c r="I1549" s="636"/>
      <c r="J1549" s="518"/>
      <c r="K1549" s="518"/>
    </row>
    <row r="1550" spans="1:11" x14ac:dyDescent="0.3">
      <c r="A1550" s="3"/>
      <c r="D1550" s="401"/>
      <c r="J1550" s="485"/>
      <c r="K1550" s="485"/>
    </row>
    <row r="1551" spans="1:11" x14ac:dyDescent="0.3">
      <c r="A1551" s="3"/>
      <c r="D1551" s="401"/>
      <c r="J1551" s="544"/>
      <c r="K1551" s="544"/>
    </row>
    <row r="1552" spans="1:11" x14ac:dyDescent="0.3">
      <c r="A1552" s="3"/>
      <c r="D1552" s="401"/>
      <c r="J1552" s="544"/>
      <c r="K1552" s="544"/>
    </row>
    <row r="1553" spans="1:11" x14ac:dyDescent="0.3">
      <c r="A1553" s="3"/>
      <c r="D1553" s="401"/>
      <c r="J1553" s="544"/>
      <c r="K1553" s="544"/>
    </row>
    <row r="1554" spans="1:11" x14ac:dyDescent="0.3">
      <c r="A1554" s="3"/>
      <c r="D1554" s="401"/>
      <c r="J1554" s="544"/>
      <c r="K1554" s="544"/>
    </row>
    <row r="1555" spans="1:11" x14ac:dyDescent="0.3">
      <c r="A1555" s="3"/>
      <c r="D1555" s="476"/>
      <c r="E1555" s="476"/>
      <c r="F1555" s="476"/>
      <c r="G1555" s="476"/>
      <c r="I1555" s="476"/>
      <c r="J1555" s="613"/>
      <c r="K1555" s="613"/>
    </row>
    <row r="1556" spans="1:11" x14ac:dyDescent="0.3">
      <c r="A1556" s="3"/>
      <c r="D1556" s="401"/>
    </row>
    <row r="1557" spans="1:11" x14ac:dyDescent="0.3">
      <c r="A1557" s="3"/>
      <c r="D1557" s="468"/>
    </row>
    <row r="1558" spans="1:11" x14ac:dyDescent="0.3">
      <c r="A1558" s="3"/>
      <c r="D1558" s="401"/>
    </row>
    <row r="1559" spans="1:11" x14ac:dyDescent="0.3">
      <c r="A1559" s="3"/>
      <c r="D1559" s="401"/>
    </row>
    <row r="1560" spans="1:11" x14ac:dyDescent="0.3">
      <c r="A1560" s="3"/>
      <c r="D1560" s="401"/>
    </row>
    <row r="1561" spans="1:11" x14ac:dyDescent="0.3">
      <c r="A1561" s="3"/>
      <c r="D1561" s="476"/>
      <c r="E1561" s="476"/>
      <c r="F1561" s="476"/>
      <c r="G1561" s="476"/>
      <c r="I1561" s="636"/>
      <c r="J1561" s="518"/>
      <c r="K1561" s="518"/>
    </row>
    <row r="1562" spans="1:11" x14ac:dyDescent="0.3">
      <c r="A1562" s="3"/>
      <c r="D1562" s="401"/>
      <c r="J1562" s="485"/>
      <c r="K1562" s="485"/>
    </row>
    <row r="1563" spans="1:11" x14ac:dyDescent="0.3">
      <c r="A1563" s="3"/>
      <c r="D1563" s="401"/>
      <c r="J1563" s="544"/>
      <c r="K1563" s="544"/>
    </row>
    <row r="1564" spans="1:11" x14ac:dyDescent="0.3">
      <c r="A1564" s="3"/>
      <c r="D1564" s="401"/>
      <c r="J1564" s="544"/>
      <c r="K1564" s="544"/>
    </row>
    <row r="1565" spans="1:11" x14ac:dyDescent="0.3">
      <c r="A1565" s="3"/>
      <c r="D1565" s="401"/>
    </row>
    <row r="1566" spans="1:11" x14ac:dyDescent="0.3">
      <c r="A1566" s="3"/>
      <c r="D1566" s="476"/>
      <c r="E1566" s="476"/>
      <c r="F1566" s="476"/>
      <c r="G1566" s="476"/>
      <c r="I1566" s="476"/>
      <c r="J1566" s="613"/>
      <c r="K1566" s="613"/>
    </row>
    <row r="1567" spans="1:11" x14ac:dyDescent="0.3">
      <c r="A1567" s="3"/>
      <c r="D1567" s="401"/>
    </row>
    <row r="1568" spans="1:11" x14ac:dyDescent="0.3">
      <c r="A1568" s="3"/>
      <c r="D1568" s="468"/>
    </row>
    <row r="1569" spans="1:12" x14ac:dyDescent="0.3">
      <c r="A1569" s="3"/>
      <c r="D1569" s="401"/>
    </row>
    <row r="1570" spans="1:12" x14ac:dyDescent="0.3">
      <c r="A1570" s="3"/>
      <c r="D1570" s="476"/>
      <c r="E1570" s="476"/>
      <c r="F1570" s="476"/>
      <c r="G1570" s="476"/>
      <c r="I1570" s="636"/>
      <c r="J1570" s="518"/>
      <c r="K1570" s="518"/>
    </row>
    <row r="1571" spans="1:12" x14ac:dyDescent="0.3">
      <c r="A1571" s="3"/>
      <c r="D1571" s="401"/>
      <c r="J1571" s="485"/>
      <c r="K1571" s="485"/>
    </row>
    <row r="1572" spans="1:12" x14ac:dyDescent="0.3">
      <c r="A1572" s="3"/>
      <c r="D1572" s="401"/>
      <c r="J1572" s="544"/>
      <c r="K1572" s="641"/>
      <c r="L1572" s="35"/>
    </row>
    <row r="1573" spans="1:12" x14ac:dyDescent="0.3">
      <c r="A1573" s="3"/>
      <c r="D1573" s="401"/>
      <c r="J1573" s="544"/>
      <c r="K1573" s="544"/>
    </row>
    <row r="1574" spans="1:12" x14ac:dyDescent="0.3">
      <c r="A1574" s="3"/>
      <c r="D1574" s="401"/>
      <c r="J1574" s="544"/>
      <c r="K1574" s="544"/>
    </row>
    <row r="1575" spans="1:12" x14ac:dyDescent="0.3">
      <c r="A1575" s="3"/>
      <c r="D1575" s="401"/>
    </row>
    <row r="1576" spans="1:12" x14ac:dyDescent="0.3">
      <c r="A1576" s="3"/>
      <c r="D1576" s="476"/>
      <c r="E1576" s="476"/>
      <c r="F1576" s="476"/>
      <c r="G1576" s="476"/>
      <c r="I1576" s="476"/>
      <c r="J1576" s="613"/>
      <c r="K1576" s="613"/>
    </row>
    <row r="1577" spans="1:12" x14ac:dyDescent="0.3">
      <c r="A1577" s="3"/>
      <c r="D1577" s="401"/>
    </row>
    <row r="1578" spans="1:12" x14ac:dyDescent="0.3">
      <c r="A1578" s="3"/>
      <c r="D1578" s="468"/>
      <c r="E1578" s="468"/>
      <c r="F1578" s="468"/>
      <c r="G1578" s="468"/>
      <c r="H1578" s="468"/>
      <c r="I1578" s="468"/>
      <c r="J1578" s="468"/>
      <c r="K1578" s="468"/>
    </row>
    <row r="1579" spans="1:12" x14ac:dyDescent="0.3">
      <c r="A1579" s="3"/>
      <c r="D1579" s="468"/>
      <c r="E1579" s="468"/>
      <c r="F1579" s="468"/>
      <c r="G1579" s="468"/>
      <c r="H1579" s="468"/>
      <c r="I1579" s="468"/>
      <c r="J1579" s="468"/>
      <c r="K1579" s="468"/>
    </row>
    <row r="1580" spans="1:12" ht="37.35" customHeight="1" x14ac:dyDescent="0.3">
      <c r="A1580" s="3"/>
      <c r="D1580" s="478"/>
      <c r="E1580" s="478"/>
      <c r="F1580" s="478"/>
      <c r="G1580" s="478"/>
      <c r="H1580" s="478"/>
      <c r="I1580" s="478"/>
      <c r="J1580" s="478"/>
      <c r="K1580" s="478"/>
    </row>
    <row r="1581" spans="1:12" x14ac:dyDescent="0.3">
      <c r="A1581" s="3"/>
      <c r="D1581" s="401"/>
    </row>
    <row r="1582" spans="1:12" x14ac:dyDescent="0.3">
      <c r="A1582" s="3"/>
      <c r="D1582" s="476"/>
      <c r="E1582" s="476"/>
      <c r="F1582" s="476"/>
      <c r="G1582" s="476"/>
      <c r="I1582" s="636"/>
      <c r="J1582" s="518"/>
      <c r="K1582" s="518"/>
    </row>
    <row r="1583" spans="1:12" x14ac:dyDescent="0.3">
      <c r="A1583" s="3"/>
      <c r="D1583" s="401"/>
      <c r="J1583" s="485"/>
      <c r="K1583" s="485"/>
    </row>
    <row r="1584" spans="1:12" x14ac:dyDescent="0.3">
      <c r="A1584" s="3"/>
      <c r="D1584" s="401"/>
      <c r="J1584" s="544"/>
      <c r="K1584" s="641"/>
    </row>
    <row r="1585" spans="1:12" x14ac:dyDescent="0.3">
      <c r="A1585" s="3"/>
      <c r="D1585" s="401"/>
      <c r="J1585" s="544"/>
      <c r="K1585" s="544"/>
    </row>
    <row r="1586" spans="1:12" x14ac:dyDescent="0.3">
      <c r="A1586" s="3"/>
      <c r="D1586" s="401"/>
      <c r="J1586" s="544"/>
      <c r="K1586" s="544"/>
    </row>
    <row r="1587" spans="1:12" x14ac:dyDescent="0.3">
      <c r="A1587" s="3"/>
      <c r="D1587" s="476"/>
      <c r="E1587" s="476"/>
      <c r="F1587" s="476"/>
      <c r="G1587" s="476"/>
      <c r="I1587" s="476"/>
      <c r="J1587" s="613"/>
      <c r="K1587" s="613"/>
    </row>
    <row r="1588" spans="1:12" x14ac:dyDescent="0.3">
      <c r="A1588" s="3"/>
      <c r="D1588" s="401"/>
      <c r="J1588" s="544"/>
      <c r="K1588" s="544"/>
    </row>
    <row r="1589" spans="1:12" x14ac:dyDescent="0.3">
      <c r="A1589" s="3"/>
      <c r="D1589" s="468"/>
      <c r="E1589" s="468"/>
      <c r="F1589" s="468"/>
      <c r="G1589" s="468"/>
      <c r="H1589" s="468"/>
      <c r="I1589" s="468"/>
      <c r="J1589" s="468"/>
      <c r="K1589" s="468"/>
    </row>
    <row r="1590" spans="1:12" x14ac:dyDescent="0.3">
      <c r="A1590" s="3"/>
      <c r="D1590" s="468"/>
      <c r="E1590" s="468"/>
      <c r="F1590" s="468"/>
      <c r="G1590" s="468"/>
      <c r="H1590" s="468"/>
      <c r="I1590" s="468"/>
      <c r="J1590" s="468"/>
      <c r="K1590" s="468"/>
    </row>
    <row r="1591" spans="1:12" ht="59.25" customHeight="1" x14ac:dyDescent="0.3">
      <c r="A1591" s="3"/>
      <c r="D1591" s="639"/>
      <c r="E1591" s="639"/>
      <c r="F1591" s="639"/>
      <c r="G1591" s="639"/>
      <c r="H1591" s="639"/>
      <c r="I1591" s="639"/>
      <c r="J1591" s="639"/>
      <c r="K1591" s="639"/>
    </row>
    <row r="1592" spans="1:12" x14ac:dyDescent="0.3">
      <c r="A1592" s="3"/>
      <c r="D1592" s="401"/>
    </row>
    <row r="1593" spans="1:12" x14ac:dyDescent="0.3">
      <c r="A1593" s="3"/>
      <c r="D1593" s="476"/>
      <c r="E1593" s="476"/>
      <c r="F1593" s="476"/>
      <c r="G1593" s="476"/>
      <c r="I1593" s="636"/>
      <c r="J1593" s="518"/>
      <c r="K1593" s="518"/>
    </row>
    <row r="1594" spans="1:12" x14ac:dyDescent="0.3">
      <c r="A1594" s="3"/>
      <c r="D1594" s="401"/>
      <c r="J1594" s="485"/>
      <c r="K1594" s="485"/>
    </row>
    <row r="1595" spans="1:12" x14ac:dyDescent="0.3">
      <c r="A1595" s="3"/>
      <c r="D1595" s="639"/>
      <c r="E1595" s="639"/>
      <c r="F1595" s="639"/>
      <c r="G1595" s="639"/>
      <c r="H1595" s="639"/>
      <c r="J1595" s="544"/>
      <c r="K1595" s="641"/>
      <c r="L1595" s="35"/>
    </row>
    <row r="1596" spans="1:12" ht="42" customHeight="1" x14ac:dyDescent="0.3">
      <c r="A1596" s="3"/>
      <c r="D1596" s="639"/>
      <c r="E1596" s="639"/>
      <c r="F1596" s="639"/>
      <c r="G1596" s="639"/>
      <c r="H1596" s="639"/>
      <c r="I1596" s="421"/>
      <c r="J1596" s="544"/>
      <c r="K1596" s="544"/>
    </row>
    <row r="1597" spans="1:12" x14ac:dyDescent="0.3">
      <c r="A1597" s="3"/>
      <c r="D1597" s="401"/>
      <c r="J1597" s="544"/>
      <c r="K1597" s="544"/>
    </row>
    <row r="1598" spans="1:12" x14ac:dyDescent="0.3">
      <c r="A1598" s="3"/>
      <c r="D1598" s="476"/>
      <c r="E1598" s="476"/>
      <c r="F1598" s="476"/>
      <c r="G1598" s="476"/>
      <c r="I1598" s="476"/>
      <c r="J1598" s="613"/>
      <c r="K1598" s="613"/>
    </row>
    <row r="1599" spans="1:12" x14ac:dyDescent="0.3">
      <c r="A1599" s="3"/>
      <c r="D1599" s="401"/>
    </row>
    <row r="1600" spans="1:12" x14ac:dyDescent="0.3">
      <c r="A1600" s="3"/>
      <c r="D1600" s="468"/>
    </row>
    <row r="1601" spans="1:11" x14ac:dyDescent="0.3">
      <c r="A1601" s="3"/>
      <c r="D1601" s="468"/>
      <c r="E1601" s="468"/>
      <c r="F1601" s="468"/>
      <c r="G1601" s="468"/>
      <c r="H1601" s="468"/>
      <c r="I1601" s="468"/>
      <c r="J1601" s="468"/>
      <c r="K1601" s="468"/>
    </row>
    <row r="1602" spans="1:11" ht="50.1" customHeight="1" x14ac:dyDescent="0.3">
      <c r="A1602" s="3"/>
      <c r="D1602" s="478"/>
      <c r="E1602" s="478"/>
      <c r="F1602" s="478"/>
      <c r="G1602" s="478"/>
      <c r="H1602" s="478"/>
      <c r="I1602" s="478"/>
      <c r="J1602" s="478"/>
      <c r="K1602" s="478"/>
    </row>
    <row r="1603" spans="1:11" ht="12.75" customHeight="1" x14ac:dyDescent="0.3">
      <c r="A1603" s="3"/>
      <c r="D1603" s="478"/>
      <c r="E1603" s="478"/>
      <c r="F1603" s="478"/>
      <c r="G1603" s="478"/>
      <c r="H1603" s="478"/>
      <c r="I1603" s="478"/>
      <c r="J1603" s="478"/>
      <c r="K1603" s="478"/>
    </row>
    <row r="1604" spans="1:11" ht="25.5" customHeight="1" x14ac:dyDescent="0.3">
      <c r="A1604" s="3"/>
      <c r="D1604" s="478"/>
      <c r="E1604" s="478"/>
      <c r="F1604" s="478"/>
      <c r="G1604" s="478"/>
      <c r="H1604" s="478"/>
      <c r="I1604" s="478"/>
      <c r="J1604" s="478"/>
      <c r="K1604" s="478"/>
    </row>
    <row r="1605" spans="1:11" x14ac:dyDescent="0.3">
      <c r="A1605" s="3"/>
      <c r="D1605" s="401"/>
    </row>
    <row r="1606" spans="1:11" x14ac:dyDescent="0.3">
      <c r="A1606" s="3"/>
      <c r="D1606" s="476"/>
      <c r="E1606" s="476"/>
      <c r="F1606" s="476"/>
      <c r="G1606" s="476"/>
      <c r="I1606" s="636"/>
      <c r="J1606" s="518"/>
      <c r="K1606" s="518"/>
    </row>
    <row r="1607" spans="1:11" x14ac:dyDescent="0.3">
      <c r="A1607" s="3"/>
      <c r="D1607" s="401"/>
      <c r="J1607" s="485"/>
      <c r="K1607" s="485"/>
    </row>
    <row r="1608" spans="1:11" x14ac:dyDescent="0.3">
      <c r="A1608" s="3"/>
      <c r="D1608" s="639"/>
      <c r="E1608" s="639"/>
      <c r="F1608" s="639"/>
      <c r="G1608" s="639"/>
      <c r="H1608" s="639"/>
      <c r="J1608" s="544"/>
      <c r="K1608" s="641"/>
    </row>
    <row r="1609" spans="1:11" ht="41.25" customHeight="1" x14ac:dyDescent="0.3">
      <c r="A1609" s="3"/>
      <c r="D1609" s="639"/>
      <c r="E1609" s="639"/>
      <c r="F1609" s="639"/>
      <c r="G1609" s="639"/>
      <c r="H1609" s="639"/>
      <c r="I1609" s="421"/>
      <c r="J1609" s="544"/>
      <c r="K1609" s="544"/>
    </row>
    <row r="1610" spans="1:11" x14ac:dyDescent="0.3">
      <c r="A1610" s="3"/>
      <c r="D1610" s="401"/>
      <c r="J1610" s="544"/>
      <c r="K1610" s="544"/>
    </row>
    <row r="1611" spans="1:11" x14ac:dyDescent="0.3">
      <c r="A1611" s="3"/>
      <c r="D1611" s="401"/>
    </row>
    <row r="1612" spans="1:11" x14ac:dyDescent="0.3">
      <c r="A1612" s="3"/>
      <c r="D1612" s="476"/>
      <c r="E1612" s="476"/>
      <c r="F1612" s="476"/>
      <c r="G1612" s="476"/>
      <c r="I1612" s="476"/>
      <c r="J1612" s="613"/>
      <c r="K1612" s="613"/>
    </row>
    <row r="1613" spans="1:11" x14ac:dyDescent="0.3">
      <c r="A1613" s="3"/>
      <c r="D1613" s="401"/>
    </row>
    <row r="1614" spans="1:11" ht="12.75" customHeight="1" x14ac:dyDescent="0.3">
      <c r="A1614" s="3"/>
      <c r="D1614" s="646"/>
      <c r="E1614" s="646"/>
      <c r="F1614" s="646"/>
      <c r="G1614" s="646"/>
      <c r="H1614" s="646"/>
      <c r="I1614" s="646"/>
      <c r="J1614" s="646"/>
      <c r="K1614" s="646"/>
    </row>
    <row r="1615" spans="1:11" ht="12.75" customHeight="1" x14ac:dyDescent="0.3">
      <c r="A1615" s="3"/>
      <c r="D1615" s="646"/>
      <c r="E1615" s="646"/>
      <c r="F1615" s="646"/>
      <c r="G1615" s="646"/>
      <c r="H1615" s="646"/>
      <c r="I1615" s="646"/>
      <c r="J1615" s="646"/>
      <c r="K1615" s="646"/>
    </row>
    <row r="1616" spans="1:11" ht="37.35" customHeight="1" x14ac:dyDescent="0.3">
      <c r="A1616" s="3"/>
      <c r="D1616" s="478"/>
      <c r="E1616" s="478"/>
      <c r="F1616" s="478"/>
      <c r="G1616" s="478"/>
      <c r="H1616" s="478"/>
      <c r="I1616" s="478"/>
      <c r="J1616" s="478"/>
      <c r="K1616" s="478"/>
    </row>
    <row r="1617" spans="1:23" ht="12.75" customHeight="1" x14ac:dyDescent="0.3">
      <c r="A1617" s="3"/>
      <c r="D1617" s="478"/>
      <c r="E1617" s="478"/>
      <c r="F1617" s="478"/>
      <c r="G1617" s="478"/>
      <c r="H1617" s="478"/>
      <c r="I1617" s="478"/>
      <c r="J1617" s="478"/>
      <c r="K1617" s="478"/>
    </row>
    <row r="1618" spans="1:23" ht="25.5" customHeight="1" x14ac:dyDescent="0.3">
      <c r="A1618" s="3"/>
      <c r="D1618" s="478"/>
      <c r="E1618" s="478"/>
      <c r="F1618" s="478"/>
      <c r="G1618" s="478"/>
      <c r="H1618" s="478"/>
      <c r="I1618" s="478"/>
      <c r="J1618" s="478"/>
      <c r="K1618" s="478"/>
    </row>
    <row r="1619" spans="1:23" ht="12.75" customHeight="1" x14ac:dyDescent="0.3">
      <c r="A1619" s="3"/>
      <c r="D1619" s="478"/>
      <c r="E1619" s="478"/>
      <c r="F1619" s="478"/>
      <c r="G1619" s="478"/>
      <c r="H1619" s="478"/>
      <c r="I1619" s="478"/>
      <c r="J1619" s="478"/>
      <c r="K1619" s="478"/>
    </row>
    <row r="1620" spans="1:23" ht="25.5" customHeight="1" x14ac:dyDescent="0.3">
      <c r="A1620" s="3"/>
      <c r="D1620" s="478"/>
      <c r="E1620" s="478"/>
      <c r="F1620" s="478"/>
      <c r="G1620" s="478"/>
      <c r="H1620" s="478"/>
      <c r="I1620" s="478"/>
      <c r="J1620" s="478"/>
      <c r="K1620" s="478"/>
    </row>
    <row r="1621" spans="1:23" x14ac:dyDescent="0.3">
      <c r="A1621" s="3"/>
      <c r="D1621" s="401"/>
    </row>
    <row r="1622" spans="1:23" x14ac:dyDescent="0.3">
      <c r="A1622" s="3"/>
      <c r="D1622" s="476"/>
      <c r="E1622" s="476"/>
      <c r="F1622" s="476"/>
      <c r="G1622" s="476"/>
      <c r="I1622" s="636"/>
      <c r="J1622" s="518"/>
      <c r="K1622" s="518"/>
    </row>
    <row r="1623" spans="1:23" x14ac:dyDescent="0.3">
      <c r="A1623" s="3"/>
      <c r="D1623" s="401"/>
      <c r="J1623" s="485"/>
      <c r="K1623" s="485"/>
    </row>
    <row r="1624" spans="1:23" x14ac:dyDescent="0.3">
      <c r="A1624" s="3"/>
      <c r="D1624" s="639"/>
      <c r="E1624" s="639"/>
      <c r="F1624" s="639"/>
      <c r="G1624" s="639"/>
      <c r="H1624" s="639"/>
      <c r="J1624" s="544"/>
      <c r="K1624" s="641"/>
    </row>
    <row r="1625" spans="1:23" ht="40.5" customHeight="1" x14ac:dyDescent="0.3">
      <c r="A1625" s="3"/>
      <c r="D1625" s="639"/>
      <c r="E1625" s="639"/>
      <c r="F1625" s="639"/>
      <c r="G1625" s="639"/>
      <c r="H1625" s="639"/>
      <c r="I1625" s="421"/>
      <c r="J1625" s="544"/>
      <c r="K1625" s="544"/>
    </row>
    <row r="1626" spans="1:23" x14ac:dyDescent="0.3">
      <c r="A1626" s="3"/>
      <c r="D1626" s="411"/>
      <c r="E1626" s="411"/>
      <c r="F1626" s="411"/>
      <c r="G1626" s="411"/>
      <c r="H1626" s="411"/>
      <c r="I1626" s="411"/>
      <c r="J1626" s="411"/>
      <c r="K1626" s="411"/>
    </row>
    <row r="1627" spans="1:23" x14ac:dyDescent="0.3">
      <c r="A1627" s="3"/>
      <c r="D1627" s="476"/>
      <c r="E1627" s="476"/>
      <c r="F1627" s="476"/>
      <c r="G1627" s="476"/>
      <c r="I1627" s="476"/>
      <c r="J1627" s="613"/>
      <c r="K1627" s="613"/>
    </row>
    <row r="1628" spans="1:23" s="3" customFormat="1" x14ac:dyDescent="0.3">
      <c r="B1628" s="404"/>
      <c r="C1628" s="404"/>
      <c r="D1628" s="405"/>
      <c r="E1628" s="405"/>
      <c r="F1628" s="405"/>
      <c r="G1628" s="405"/>
      <c r="H1628" s="405"/>
      <c r="I1628" s="405"/>
      <c r="J1628" s="405"/>
      <c r="K1628" s="405"/>
    </row>
    <row r="1629" spans="1:23" ht="12.75" customHeight="1" x14ac:dyDescent="0.3">
      <c r="A1629" s="3"/>
      <c r="D1629" s="646"/>
      <c r="E1629" s="478"/>
      <c r="F1629" s="478"/>
      <c r="G1629" s="478"/>
      <c r="H1629" s="478"/>
      <c r="I1629" s="478"/>
      <c r="J1629" s="478"/>
      <c r="K1629" s="478"/>
    </row>
    <row r="1630" spans="1:23" ht="12.75" customHeight="1" x14ac:dyDescent="0.3">
      <c r="A1630" s="3"/>
      <c r="D1630" s="646"/>
      <c r="E1630" s="646"/>
      <c r="F1630" s="646"/>
      <c r="G1630" s="646"/>
      <c r="H1630" s="646"/>
      <c r="I1630" s="646"/>
      <c r="J1630" s="646"/>
      <c r="K1630" s="646"/>
    </row>
    <row r="1631" spans="1:23" ht="37.35" customHeight="1" x14ac:dyDescent="0.3">
      <c r="A1631" s="3"/>
      <c r="D1631" s="478"/>
      <c r="E1631" s="478"/>
      <c r="F1631" s="478"/>
      <c r="G1631" s="478"/>
      <c r="H1631" s="478"/>
      <c r="I1631" s="478"/>
      <c r="J1631" s="478"/>
      <c r="K1631" s="478"/>
      <c r="Q1631" s="25"/>
      <c r="R1631" s="25"/>
      <c r="S1631" s="25"/>
      <c r="T1631" s="25"/>
      <c r="U1631" s="25"/>
      <c r="V1631" s="25"/>
      <c r="W1631" s="25"/>
    </row>
    <row r="1632" spans="1:23" ht="12.75" customHeight="1" x14ac:dyDescent="0.3">
      <c r="A1632" s="3"/>
      <c r="D1632" s="478"/>
      <c r="E1632" s="478"/>
      <c r="F1632" s="478"/>
      <c r="G1632" s="478"/>
      <c r="H1632" s="478"/>
      <c r="I1632" s="478"/>
      <c r="J1632" s="478"/>
      <c r="K1632" s="478"/>
    </row>
    <row r="1633" spans="1:11" ht="29.25" customHeight="1" x14ac:dyDescent="0.3">
      <c r="A1633" s="3"/>
      <c r="D1633" s="639"/>
      <c r="E1633" s="639"/>
      <c r="F1633" s="639"/>
      <c r="G1633" s="639"/>
      <c r="H1633" s="639"/>
      <c r="I1633" s="639"/>
      <c r="J1633" s="639"/>
      <c r="K1633" s="639"/>
    </row>
    <row r="1634" spans="1:11" ht="12.75" customHeight="1" x14ac:dyDescent="0.3">
      <c r="A1634" s="3"/>
      <c r="D1634" s="478"/>
      <c r="E1634" s="478"/>
      <c r="F1634" s="478"/>
      <c r="G1634" s="478"/>
      <c r="H1634" s="478"/>
      <c r="I1634" s="478"/>
      <c r="J1634" s="478"/>
      <c r="K1634" s="478"/>
    </row>
    <row r="1635" spans="1:11" ht="25.5" customHeight="1" x14ac:dyDescent="0.3">
      <c r="A1635" s="3"/>
      <c r="D1635" s="478"/>
      <c r="E1635" s="478"/>
      <c r="F1635" s="478"/>
      <c r="G1635" s="478"/>
      <c r="H1635" s="478"/>
      <c r="I1635" s="478"/>
      <c r="J1635" s="478"/>
      <c r="K1635" s="478"/>
    </row>
    <row r="1636" spans="1:11" ht="12.75" customHeight="1" x14ac:dyDescent="0.3">
      <c r="A1636" s="3"/>
      <c r="D1636" s="478"/>
      <c r="E1636" s="478"/>
      <c r="F1636" s="478"/>
      <c r="G1636" s="478"/>
      <c r="H1636" s="478"/>
      <c r="I1636" s="478"/>
      <c r="J1636" s="478"/>
      <c r="K1636" s="478"/>
    </row>
    <row r="1637" spans="1:11" ht="25.5" customHeight="1" x14ac:dyDescent="0.3">
      <c r="A1637" s="3"/>
      <c r="D1637" s="478"/>
      <c r="E1637" s="478"/>
      <c r="F1637" s="478"/>
      <c r="G1637" s="478"/>
      <c r="H1637" s="478"/>
      <c r="I1637" s="478"/>
      <c r="J1637" s="478"/>
      <c r="K1637" s="478"/>
    </row>
    <row r="1638" spans="1:11" ht="12.75" customHeight="1" x14ac:dyDescent="0.3">
      <c r="A1638" s="3"/>
      <c r="D1638" s="478"/>
      <c r="E1638" s="478"/>
      <c r="F1638" s="478"/>
      <c r="G1638" s="478"/>
      <c r="H1638" s="478"/>
      <c r="I1638" s="478"/>
      <c r="J1638" s="478"/>
      <c r="K1638" s="478"/>
    </row>
    <row r="1639" spans="1:11" ht="12.75" customHeight="1" x14ac:dyDescent="0.3">
      <c r="A1639" s="3"/>
      <c r="D1639" s="478"/>
      <c r="E1639" s="478"/>
      <c r="F1639" s="478"/>
      <c r="G1639" s="478"/>
      <c r="H1639" s="478"/>
      <c r="I1639" s="478"/>
      <c r="J1639" s="478"/>
      <c r="K1639" s="478"/>
    </row>
    <row r="1640" spans="1:11" x14ac:dyDescent="0.3">
      <c r="A1640" s="3"/>
      <c r="D1640" s="401"/>
    </row>
    <row r="1641" spans="1:11" ht="12.75" customHeight="1" x14ac:dyDescent="0.3">
      <c r="A1641" s="3"/>
      <c r="D1641" s="478"/>
      <c r="E1641" s="478"/>
      <c r="F1641" s="478"/>
      <c r="G1641" s="478"/>
      <c r="H1641" s="478"/>
      <c r="I1641" s="478"/>
      <c r="J1641" s="478"/>
      <c r="K1641" s="478"/>
    </row>
    <row r="1642" spans="1:11" ht="14.25" customHeight="1" x14ac:dyDescent="0.3">
      <c r="A1642" s="3"/>
      <c r="D1642" s="478"/>
      <c r="E1642" s="478"/>
      <c r="F1642" s="478"/>
      <c r="G1642" s="478"/>
      <c r="H1642" s="478"/>
      <c r="I1642" s="478"/>
      <c r="J1642" s="478"/>
      <c r="K1642" s="478"/>
    </row>
    <row r="1643" spans="1:11" ht="23.25" customHeight="1" x14ac:dyDescent="0.3">
      <c r="A1643" s="3"/>
      <c r="D1643" s="478"/>
      <c r="E1643" s="478"/>
      <c r="F1643" s="478"/>
      <c r="G1643" s="478"/>
      <c r="H1643" s="478"/>
      <c r="I1643" s="478"/>
      <c r="J1643" s="478"/>
      <c r="K1643" s="478"/>
    </row>
    <row r="1644" spans="1:11" ht="12.75" customHeight="1" x14ac:dyDescent="0.3">
      <c r="A1644" s="3"/>
      <c r="D1644" s="478"/>
      <c r="E1644" s="478"/>
      <c r="F1644" s="478"/>
      <c r="G1644" s="478"/>
      <c r="H1644" s="478"/>
      <c r="I1644" s="478"/>
      <c r="J1644" s="478"/>
      <c r="K1644" s="478"/>
    </row>
    <row r="1645" spans="1:11" ht="27.75" customHeight="1" x14ac:dyDescent="0.3">
      <c r="A1645" s="3"/>
      <c r="D1645" s="639"/>
      <c r="E1645" s="639"/>
      <c r="F1645" s="639"/>
      <c r="G1645" s="639"/>
      <c r="H1645" s="639"/>
      <c r="I1645" s="639"/>
      <c r="J1645" s="639"/>
      <c r="K1645" s="639"/>
    </row>
    <row r="1646" spans="1:11" ht="12.75" customHeight="1" x14ac:dyDescent="0.3">
      <c r="A1646" s="3"/>
      <c r="D1646" s="478"/>
      <c r="E1646" s="478"/>
      <c r="F1646" s="478"/>
      <c r="G1646" s="478"/>
      <c r="H1646" s="478"/>
      <c r="I1646" s="478"/>
      <c r="J1646" s="478"/>
      <c r="K1646" s="478"/>
    </row>
    <row r="1647" spans="1:11" ht="12.75" customHeight="1" x14ac:dyDescent="0.3">
      <c r="A1647" s="3"/>
      <c r="D1647" s="478"/>
      <c r="E1647" s="478"/>
      <c r="F1647" s="478"/>
      <c r="G1647" s="478"/>
      <c r="H1647" s="478"/>
      <c r="I1647" s="478"/>
      <c r="J1647" s="478"/>
      <c r="K1647" s="478"/>
    </row>
    <row r="1648" spans="1:11" ht="12.75" customHeight="1" x14ac:dyDescent="0.3">
      <c r="A1648" s="3"/>
      <c r="D1648" s="478"/>
      <c r="E1648" s="478"/>
      <c r="F1648" s="478"/>
      <c r="G1648" s="478"/>
      <c r="H1648" s="478"/>
      <c r="I1648" s="478"/>
      <c r="J1648" s="478"/>
      <c r="K1648" s="478"/>
    </row>
    <row r="1649" spans="1:11" ht="24.75" customHeight="1" x14ac:dyDescent="0.3">
      <c r="A1649" s="3"/>
      <c r="D1649" s="478"/>
      <c r="E1649" s="478"/>
      <c r="F1649" s="478"/>
      <c r="G1649" s="478"/>
      <c r="H1649" s="478"/>
      <c r="I1649" s="478"/>
      <c r="J1649" s="478"/>
      <c r="K1649" s="478"/>
    </row>
    <row r="1650" spans="1:11" ht="12.75" customHeight="1" x14ac:dyDescent="0.3">
      <c r="A1650" s="3"/>
      <c r="D1650" s="478"/>
      <c r="E1650" s="478"/>
      <c r="F1650" s="478"/>
      <c r="G1650" s="478"/>
      <c r="H1650" s="478"/>
      <c r="I1650" s="478"/>
      <c r="J1650" s="478"/>
      <c r="K1650" s="478"/>
    </row>
    <row r="1651" spans="1:11" ht="12.75" customHeight="1" x14ac:dyDescent="0.3">
      <c r="A1651" s="3"/>
      <c r="D1651" s="478"/>
      <c r="E1651" s="478"/>
      <c r="F1651" s="478"/>
      <c r="G1651" s="478"/>
      <c r="H1651" s="478"/>
      <c r="I1651" s="478"/>
      <c r="J1651" s="478"/>
      <c r="K1651" s="478"/>
    </row>
    <row r="1652" spans="1:11" ht="12.75" customHeight="1" x14ac:dyDescent="0.3">
      <c r="A1652" s="3"/>
      <c r="D1652" s="478"/>
      <c r="E1652" s="478"/>
      <c r="F1652" s="478"/>
      <c r="G1652" s="478"/>
      <c r="H1652" s="478"/>
      <c r="I1652" s="478"/>
      <c r="J1652" s="478"/>
      <c r="K1652" s="478"/>
    </row>
    <row r="1653" spans="1:11" ht="30" customHeight="1" x14ac:dyDescent="0.3">
      <c r="A1653" s="3"/>
      <c r="D1653" s="478"/>
      <c r="E1653" s="478"/>
      <c r="F1653" s="478"/>
      <c r="G1653" s="478"/>
      <c r="H1653" s="478"/>
      <c r="I1653" s="478"/>
      <c r="J1653" s="478"/>
      <c r="K1653" s="478"/>
    </row>
    <row r="1654" spans="1:11" ht="12.75" customHeight="1" x14ac:dyDescent="0.3">
      <c r="A1654" s="3"/>
      <c r="D1654" s="478"/>
      <c r="E1654" s="478"/>
      <c r="F1654" s="478"/>
      <c r="G1654" s="478"/>
      <c r="H1654" s="478"/>
      <c r="I1654" s="478"/>
      <c r="J1654" s="478"/>
      <c r="K1654" s="478"/>
    </row>
    <row r="1655" spans="1:11" ht="12.75" customHeight="1" x14ac:dyDescent="0.3">
      <c r="A1655" s="3"/>
      <c r="D1655" s="478"/>
      <c r="E1655" s="478"/>
      <c r="F1655" s="478"/>
      <c r="G1655" s="478"/>
      <c r="H1655" s="478"/>
      <c r="I1655" s="478"/>
      <c r="J1655" s="478"/>
      <c r="K1655" s="478"/>
    </row>
    <row r="1656" spans="1:11" x14ac:dyDescent="0.3">
      <c r="A1656" s="3"/>
      <c r="D1656" s="401"/>
    </row>
    <row r="1657" spans="1:11" x14ac:dyDescent="0.3">
      <c r="A1657" s="3"/>
      <c r="D1657" s="647"/>
      <c r="H1657" s="476"/>
      <c r="I1657" s="476"/>
      <c r="J1657" s="476"/>
      <c r="K1657" s="476"/>
    </row>
    <row r="1658" spans="1:11" x14ac:dyDescent="0.3">
      <c r="A1658" s="3"/>
      <c r="D1658" s="401"/>
      <c r="H1658" s="518"/>
      <c r="I1658" s="518"/>
      <c r="J1658" s="518"/>
      <c r="K1658" s="518"/>
    </row>
    <row r="1659" spans="1:11" x14ac:dyDescent="0.3">
      <c r="A1659" s="3"/>
      <c r="D1659" s="401"/>
      <c r="H1659" s="476"/>
      <c r="I1659" s="476"/>
      <c r="J1659" s="476"/>
      <c r="K1659" s="476"/>
    </row>
    <row r="1660" spans="1:11" x14ac:dyDescent="0.3">
      <c r="A1660" s="3"/>
      <c r="D1660" s="401"/>
    </row>
    <row r="1661" spans="1:11" x14ac:dyDescent="0.3">
      <c r="A1661" s="3"/>
      <c r="D1661" s="401"/>
    </row>
    <row r="1662" spans="1:11" x14ac:dyDescent="0.3">
      <c r="A1662" s="3"/>
      <c r="D1662" s="401"/>
    </row>
    <row r="1663" spans="1:11" x14ac:dyDescent="0.3">
      <c r="A1663" s="3"/>
      <c r="D1663" s="401"/>
    </row>
    <row r="1664" spans="1:11" x14ac:dyDescent="0.3">
      <c r="A1664" s="3"/>
      <c r="D1664" s="401"/>
    </row>
    <row r="1665" spans="1:19" x14ac:dyDescent="0.3">
      <c r="A1665" s="3"/>
      <c r="D1665" s="401"/>
    </row>
    <row r="1666" spans="1:19" x14ac:dyDescent="0.3">
      <c r="A1666" s="3"/>
      <c r="D1666" s="401"/>
    </row>
    <row r="1667" spans="1:19" x14ac:dyDescent="0.3">
      <c r="A1667" s="3"/>
      <c r="D1667" s="401"/>
    </row>
    <row r="1668" spans="1:19" x14ac:dyDescent="0.3">
      <c r="A1668" s="3"/>
      <c r="D1668" s="401"/>
    </row>
    <row r="1669" spans="1:19" x14ac:dyDescent="0.3">
      <c r="A1669" s="3"/>
      <c r="D1669" s="468"/>
    </row>
    <row r="1670" spans="1:19" x14ac:dyDescent="0.3">
      <c r="A1670" s="3"/>
      <c r="D1670" s="401"/>
    </row>
    <row r="1671" spans="1:19" ht="81.75" customHeight="1" x14ac:dyDescent="0.3">
      <c r="A1671" s="3"/>
      <c r="D1671" s="639"/>
      <c r="E1671" s="639"/>
      <c r="F1671" s="639"/>
      <c r="G1671" s="639"/>
      <c r="H1671" s="639"/>
      <c r="I1671" s="639"/>
      <c r="J1671" s="639"/>
      <c r="K1671" s="639"/>
      <c r="L1671" s="102"/>
      <c r="M1671" s="102"/>
      <c r="N1671" s="102"/>
      <c r="O1671" s="102"/>
      <c r="P1671" s="102"/>
      <c r="Q1671" s="102"/>
      <c r="R1671" s="102"/>
      <c r="S1671" s="102"/>
    </row>
    <row r="1672" spans="1:19" x14ac:dyDescent="0.3">
      <c r="A1672" s="3"/>
      <c r="D1672" s="401"/>
    </row>
    <row r="1673" spans="1:19" x14ac:dyDescent="0.3">
      <c r="A1673" s="3"/>
      <c r="D1673" s="401"/>
    </row>
    <row r="1674" spans="1:19" x14ac:dyDescent="0.3">
      <c r="A1674" s="3"/>
      <c r="D1674" s="401"/>
    </row>
    <row r="1675" spans="1:19" x14ac:dyDescent="0.3">
      <c r="A1675" s="3"/>
      <c r="D1675" s="401"/>
    </row>
    <row r="1676" spans="1:19" x14ac:dyDescent="0.3">
      <c r="A1676" s="3"/>
      <c r="D1676" s="401"/>
    </row>
    <row r="1677" spans="1:19" x14ac:dyDescent="0.3">
      <c r="A1677" s="3"/>
      <c r="D1677" s="401"/>
    </row>
    <row r="1678" spans="1:19" x14ac:dyDescent="0.3">
      <c r="A1678" s="3"/>
      <c r="D1678" s="401"/>
    </row>
    <row r="1679" spans="1:19" x14ac:dyDescent="0.3">
      <c r="A1679" s="3"/>
      <c r="D1679" s="468"/>
    </row>
    <row r="1680" spans="1:19" x14ac:dyDescent="0.3">
      <c r="A1680" s="3"/>
      <c r="D1680" s="468"/>
      <c r="E1680" s="468"/>
      <c r="F1680" s="468"/>
      <c r="G1680" s="468"/>
      <c r="H1680" s="468"/>
      <c r="I1680" s="468"/>
      <c r="J1680" s="468"/>
      <c r="K1680" s="468"/>
    </row>
    <row r="1681" spans="1:19" ht="114.75" customHeight="1" x14ac:dyDescent="0.3">
      <c r="A1681" s="3"/>
      <c r="D1681" s="478"/>
      <c r="E1681" s="478"/>
      <c r="F1681" s="478"/>
      <c r="G1681" s="478"/>
      <c r="H1681" s="478"/>
      <c r="I1681" s="478"/>
      <c r="J1681" s="478"/>
      <c r="K1681" s="478"/>
      <c r="L1681" s="102"/>
      <c r="M1681" s="102"/>
      <c r="N1681" s="102"/>
      <c r="O1681" s="102"/>
      <c r="P1681" s="102"/>
      <c r="Q1681" s="102"/>
      <c r="R1681" s="102"/>
      <c r="S1681" s="102"/>
    </row>
    <row r="1682" spans="1:19" x14ac:dyDescent="0.3">
      <c r="A1682" s="3"/>
      <c r="D1682" s="401"/>
    </row>
    <row r="1683" spans="1:19" ht="51" customHeight="1" x14ac:dyDescent="0.3">
      <c r="A1683" s="3"/>
      <c r="D1683" s="478"/>
      <c r="E1683" s="478"/>
      <c r="F1683" s="478"/>
      <c r="G1683" s="478"/>
      <c r="H1683" s="478"/>
      <c r="I1683" s="478"/>
      <c r="J1683" s="478"/>
      <c r="K1683" s="478"/>
    </row>
    <row r="1684" spans="1:19" x14ac:dyDescent="0.3">
      <c r="A1684" s="3"/>
      <c r="D1684" s="401"/>
    </row>
    <row r="1685" spans="1:19" ht="38.25" customHeight="1" x14ac:dyDescent="0.3">
      <c r="A1685" s="3"/>
      <c r="D1685" s="478"/>
      <c r="E1685" s="478"/>
      <c r="F1685" s="478"/>
      <c r="G1685" s="478"/>
      <c r="H1685" s="478"/>
      <c r="I1685" s="478"/>
      <c r="J1685" s="478"/>
      <c r="K1685" s="478"/>
    </row>
    <row r="1686" spans="1:19" ht="46.5" customHeight="1" x14ac:dyDescent="0.3">
      <c r="A1686" s="3"/>
      <c r="D1686" s="639"/>
      <c r="E1686" s="639"/>
      <c r="F1686" s="639"/>
      <c r="G1686" s="639"/>
      <c r="H1686" s="639"/>
      <c r="I1686" s="639"/>
      <c r="J1686" s="639"/>
      <c r="K1686" s="639"/>
    </row>
    <row r="1687" spans="1:19" ht="32.25" customHeight="1" x14ac:dyDescent="0.3">
      <c r="A1687" s="3"/>
      <c r="D1687" s="639"/>
      <c r="E1687" s="639"/>
      <c r="F1687" s="639"/>
      <c r="G1687" s="639"/>
      <c r="H1687" s="639"/>
      <c r="I1687" s="639"/>
      <c r="J1687" s="639"/>
      <c r="K1687" s="639"/>
    </row>
    <row r="1688" spans="1:19" ht="12.75" customHeight="1" x14ac:dyDescent="0.3">
      <c r="A1688" s="3"/>
      <c r="E1688" s="585"/>
      <c r="F1688" s="585"/>
      <c r="G1688" s="585"/>
      <c r="H1688" s="585"/>
      <c r="I1688" s="585"/>
      <c r="J1688" s="585"/>
      <c r="K1688" s="585"/>
    </row>
    <row r="1689" spans="1:19" x14ac:dyDescent="0.3">
      <c r="A1689" s="3"/>
      <c r="D1689" s="401"/>
    </row>
    <row r="1690" spans="1:19" ht="12.75" customHeight="1" x14ac:dyDescent="0.3">
      <c r="A1690" s="3"/>
      <c r="D1690" s="478"/>
      <c r="E1690" s="478"/>
      <c r="F1690" s="478"/>
      <c r="G1690" s="478"/>
      <c r="H1690" s="478"/>
      <c r="I1690" s="478"/>
      <c r="J1690" s="478"/>
      <c r="K1690" s="478"/>
    </row>
    <row r="1691" spans="1:19" ht="12.75" customHeight="1" x14ac:dyDescent="0.3">
      <c r="A1691" s="3"/>
      <c r="D1691" s="478"/>
      <c r="E1691" s="478"/>
      <c r="F1691" s="478"/>
      <c r="G1691" s="478"/>
      <c r="H1691" s="478"/>
      <c r="I1691" s="478"/>
      <c r="J1691" s="478"/>
      <c r="K1691" s="478"/>
    </row>
    <row r="1692" spans="1:19" x14ac:dyDescent="0.3">
      <c r="A1692" s="3"/>
      <c r="D1692" s="401"/>
    </row>
    <row r="1693" spans="1:19" ht="12.75" customHeight="1" x14ac:dyDescent="0.3">
      <c r="A1693" s="3"/>
      <c r="D1693" s="478"/>
      <c r="E1693" s="478"/>
      <c r="F1693" s="478"/>
      <c r="G1693" s="478"/>
      <c r="H1693" s="478"/>
      <c r="I1693" s="478"/>
      <c r="J1693" s="478"/>
      <c r="K1693" s="478"/>
    </row>
    <row r="1694" spans="1:19" x14ac:dyDescent="0.3">
      <c r="A1694" s="3"/>
      <c r="D1694" s="401"/>
    </row>
    <row r="1695" spans="1:19" ht="12.75" customHeight="1" x14ac:dyDescent="0.3">
      <c r="A1695" s="3"/>
      <c r="D1695" s="478"/>
      <c r="E1695" s="478"/>
      <c r="F1695" s="478"/>
      <c r="G1695" s="478"/>
      <c r="H1695" s="478"/>
      <c r="I1695" s="478"/>
      <c r="J1695" s="478"/>
      <c r="K1695" s="478"/>
    </row>
    <row r="1696" spans="1:19" x14ac:dyDescent="0.3">
      <c r="A1696" s="3"/>
      <c r="D1696" s="401"/>
    </row>
    <row r="1697" spans="1:4" x14ac:dyDescent="0.3">
      <c r="A1697" s="3"/>
      <c r="D1697" s="401"/>
    </row>
    <row r="1698" spans="1:4" x14ac:dyDescent="0.3">
      <c r="A1698" s="3"/>
      <c r="D1698" s="401"/>
    </row>
    <row r="1699" spans="1:4" x14ac:dyDescent="0.3">
      <c r="A1699" s="3"/>
      <c r="D1699" s="401"/>
    </row>
    <row r="1700" spans="1:4" x14ac:dyDescent="0.3">
      <c r="A1700" s="3"/>
      <c r="D1700" s="401"/>
    </row>
    <row r="1701" spans="1:4" x14ac:dyDescent="0.3">
      <c r="A1701" s="3"/>
      <c r="D1701" s="401"/>
    </row>
    <row r="1702" spans="1:4" x14ac:dyDescent="0.3">
      <c r="A1702" s="3"/>
      <c r="D1702" s="401"/>
    </row>
    <row r="1703" spans="1:4" x14ac:dyDescent="0.3">
      <c r="A1703" s="3"/>
      <c r="D1703" s="401"/>
    </row>
    <row r="1704" spans="1:4" x14ac:dyDescent="0.3">
      <c r="A1704" s="3"/>
      <c r="D1704" s="401"/>
    </row>
    <row r="1705" spans="1:4" x14ac:dyDescent="0.3">
      <c r="A1705" s="3"/>
      <c r="D1705" s="401"/>
    </row>
    <row r="1706" spans="1:4" x14ac:dyDescent="0.3">
      <c r="A1706" s="3"/>
      <c r="D1706" s="401"/>
    </row>
    <row r="1707" spans="1:4" x14ac:dyDescent="0.3">
      <c r="A1707" s="3"/>
    </row>
    <row r="1708" spans="1:4" x14ac:dyDescent="0.3">
      <c r="A1708" s="3"/>
    </row>
    <row r="1709" spans="1:4" x14ac:dyDescent="0.3">
      <c r="A1709" s="3"/>
    </row>
    <row r="1710" spans="1:4" x14ac:dyDescent="0.3">
      <c r="A1710" s="3"/>
    </row>
    <row r="1711" spans="1:4" x14ac:dyDescent="0.3">
      <c r="A1711" s="3"/>
    </row>
    <row r="1712" spans="1:4"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sheetData>
  <autoFilter ref="A5:AB1320" xr:uid="{00000000-0009-0000-0000-00001C000000}"/>
  <mergeCells count="1375">
    <mergeCell ref="D623:E623"/>
    <mergeCell ref="D618:K618"/>
    <mergeCell ref="D619:K619"/>
    <mergeCell ref="D616:K616"/>
    <mergeCell ref="D612:K612"/>
    <mergeCell ref="D613:K613"/>
    <mergeCell ref="F603:G603"/>
    <mergeCell ref="D603:E603"/>
    <mergeCell ref="D604:E604"/>
    <mergeCell ref="D1085:H1085"/>
    <mergeCell ref="D1092:K1092"/>
    <mergeCell ref="D1086:K1086"/>
    <mergeCell ref="D1039:H1039"/>
    <mergeCell ref="D538:J538"/>
    <mergeCell ref="D561:G561"/>
    <mergeCell ref="D610:K610"/>
    <mergeCell ref="D661:E661"/>
    <mergeCell ref="D662:E662"/>
    <mergeCell ref="D663:E663"/>
    <mergeCell ref="D664:E664"/>
    <mergeCell ref="D665:E665"/>
    <mergeCell ref="D582:G582"/>
    <mergeCell ref="D620:E620"/>
    <mergeCell ref="D608:E608"/>
    <mergeCell ref="D640:K640"/>
    <mergeCell ref="D585:G585"/>
    <mergeCell ref="D1067:H1067"/>
    <mergeCell ref="D1061:H1061"/>
    <mergeCell ref="D1012:K1012"/>
    <mergeCell ref="D1020:K1020"/>
    <mergeCell ref="D1062:H1062"/>
    <mergeCell ref="D1063:D1066"/>
    <mergeCell ref="D1047:H1047"/>
    <mergeCell ref="D1049:H1049"/>
    <mergeCell ref="D1058:H1058"/>
    <mergeCell ref="D1059:H1059"/>
    <mergeCell ref="D1053:I1053"/>
    <mergeCell ref="D81:K81"/>
    <mergeCell ref="D584:G584"/>
    <mergeCell ref="D569:J569"/>
    <mergeCell ref="D564:G564"/>
    <mergeCell ref="D659:K659"/>
    <mergeCell ref="D636:K636"/>
    <mergeCell ref="D559:G559"/>
    <mergeCell ref="D560:G560"/>
    <mergeCell ref="D558:G558"/>
    <mergeCell ref="D542:G542"/>
    <mergeCell ref="D543:G543"/>
    <mergeCell ref="D544:G544"/>
    <mergeCell ref="D522:J522"/>
    <mergeCell ref="D534:G534"/>
    <mergeCell ref="D255:K255"/>
    <mergeCell ref="D254:K254"/>
    <mergeCell ref="D547:J547"/>
    <mergeCell ref="D553:G553"/>
    <mergeCell ref="D1052:K1052"/>
    <mergeCell ref="D535:G535"/>
    <mergeCell ref="D536:J536"/>
    <mergeCell ref="D541:G541"/>
    <mergeCell ref="D557:G557"/>
    <mergeCell ref="D583:G583"/>
    <mergeCell ref="D563:G563"/>
    <mergeCell ref="D579:G579"/>
    <mergeCell ref="D655:E655"/>
    <mergeCell ref="F655:G655"/>
    <mergeCell ref="D1135:H1135"/>
    <mergeCell ref="D1113:H1113"/>
    <mergeCell ref="D1114:H1114"/>
    <mergeCell ref="D1115:H1115"/>
    <mergeCell ref="D1116:H1116"/>
    <mergeCell ref="D1142:H1142"/>
    <mergeCell ref="D1138:H1138"/>
    <mergeCell ref="D1074:K1074"/>
    <mergeCell ref="D1089:K1089"/>
    <mergeCell ref="D1091:K1091"/>
    <mergeCell ref="D1077:H1077"/>
    <mergeCell ref="D1088:K1088"/>
    <mergeCell ref="D1090:K1090"/>
    <mergeCell ref="D1097:H1097"/>
    <mergeCell ref="D1098:H1098"/>
    <mergeCell ref="D1081:H1081"/>
    <mergeCell ref="D1141:H1141"/>
    <mergeCell ref="D1119:H1119"/>
    <mergeCell ref="D1139:H1139"/>
    <mergeCell ref="D1110:K1110"/>
    <mergeCell ref="D1078:H1078"/>
    <mergeCell ref="D1082:H1082"/>
    <mergeCell ref="D1103:K1103"/>
    <mergeCell ref="D1136:H1136"/>
    <mergeCell ref="D1128:H1128"/>
    <mergeCell ref="D1133:G1133"/>
    <mergeCell ref="D1099:H1099"/>
    <mergeCell ref="D1109:K1109"/>
    <mergeCell ref="D1120:H1120"/>
    <mergeCell ref="D1121:H1121"/>
    <mergeCell ref="D1122:H1122"/>
    <mergeCell ref="D1104:K1104"/>
    <mergeCell ref="D1237:I1237"/>
    <mergeCell ref="D1322:K1322"/>
    <mergeCell ref="D1318:K1318"/>
    <mergeCell ref="D1144:H1144"/>
    <mergeCell ref="D1145:H1145"/>
    <mergeCell ref="D1152:K1152"/>
    <mergeCell ref="D1194:I1194"/>
    <mergeCell ref="D1195:I1195"/>
    <mergeCell ref="D1196:I1196"/>
    <mergeCell ref="D1197:I1197"/>
    <mergeCell ref="D1156:I1156"/>
    <mergeCell ref="D1157:I1157"/>
    <mergeCell ref="D1158:I1158"/>
    <mergeCell ref="D1188:I1188"/>
    <mergeCell ref="D1189:I1189"/>
    <mergeCell ref="D1190:I1190"/>
    <mergeCell ref="D1191:I1191"/>
    <mergeCell ref="D1192:I1192"/>
    <mergeCell ref="D1193:I1193"/>
    <mergeCell ref="D1187:I1187"/>
    <mergeCell ref="D1215:I1215"/>
    <mergeCell ref="D1216:I1216"/>
    <mergeCell ref="D1305:H1305"/>
    <mergeCell ref="D1312:K1312"/>
    <mergeCell ref="D1314:K1314"/>
    <mergeCell ref="D1295:K1295"/>
    <mergeCell ref="D1292:H1292"/>
    <mergeCell ref="D1293:H1293"/>
    <mergeCell ref="D1209:K1209"/>
    <mergeCell ref="D1262:K1262"/>
    <mergeCell ref="D1244:K1244"/>
    <mergeCell ref="D1149:K1149"/>
    <mergeCell ref="D1327:K1327"/>
    <mergeCell ref="D1323:K1323"/>
    <mergeCell ref="D1203:K1203"/>
    <mergeCell ref="D1204:K1204"/>
    <mergeCell ref="D1206:K1206"/>
    <mergeCell ref="D1241:I1241"/>
    <mergeCell ref="D1270:G1270"/>
    <mergeCell ref="D1286:K1286"/>
    <mergeCell ref="D1283:H1283"/>
    <mergeCell ref="D1284:H1284"/>
    <mergeCell ref="D1285:H1285"/>
    <mergeCell ref="D1254:H1254"/>
    <mergeCell ref="D1255:H1255"/>
    <mergeCell ref="D1256:H1256"/>
    <mergeCell ref="D1257:H1257"/>
    <mergeCell ref="D1258:H1258"/>
    <mergeCell ref="D1271:G1271"/>
    <mergeCell ref="D1272:G1272"/>
    <mergeCell ref="D1265:K1265"/>
    <mergeCell ref="D1235:I1235"/>
    <mergeCell ref="D1242:I1242"/>
    <mergeCell ref="D1319:K1319"/>
    <mergeCell ref="D1320:K1320"/>
    <mergeCell ref="D1321:K1321"/>
    <mergeCell ref="D1324:K1324"/>
    <mergeCell ref="D1325:K1325"/>
    <mergeCell ref="D1326:K1326"/>
    <mergeCell ref="D1261:K1261"/>
    <mergeCell ref="D1264:K1264"/>
    <mergeCell ref="D1263:K1263"/>
    <mergeCell ref="D1236:I1236"/>
    <mergeCell ref="D1313:K1313"/>
    <mergeCell ref="H655:I655"/>
    <mergeCell ref="J655:K655"/>
    <mergeCell ref="D666:E666"/>
    <mergeCell ref="D667:E667"/>
    <mergeCell ref="D668:E668"/>
    <mergeCell ref="D669:E669"/>
    <mergeCell ref="D1219:I1219"/>
    <mergeCell ref="D1220:I1220"/>
    <mergeCell ref="D1221:I1221"/>
    <mergeCell ref="D1226:I1226"/>
    <mergeCell ref="D1224:I1224"/>
    <mergeCell ref="D1102:K1102"/>
    <mergeCell ref="D1060:H1060"/>
    <mergeCell ref="D1070:H1070"/>
    <mergeCell ref="D1071:H1071"/>
    <mergeCell ref="E1063:H1063"/>
    <mergeCell ref="E1064:H1064"/>
    <mergeCell ref="E1065:H1065"/>
    <mergeCell ref="E1066:H1066"/>
    <mergeCell ref="D1069:H1069"/>
    <mergeCell ref="D1079:H1079"/>
    <mergeCell ref="D1080:H1080"/>
    <mergeCell ref="D1096:H1096"/>
    <mergeCell ref="D1068:H1068"/>
    <mergeCell ref="D1095:H1095"/>
    <mergeCell ref="D1072:I1072"/>
    <mergeCell ref="D1185:I1185"/>
    <mergeCell ref="D1117:H1117"/>
    <mergeCell ref="D1118:H1118"/>
    <mergeCell ref="D1129:H1129"/>
    <mergeCell ref="D1147:K1147"/>
    <mergeCell ref="D1148:K1148"/>
    <mergeCell ref="D1150:K1150"/>
    <mergeCell ref="D1266:K1266"/>
    <mergeCell ref="D188:K188"/>
    <mergeCell ref="D189:K189"/>
    <mergeCell ref="D395:H395"/>
    <mergeCell ref="D380:H380"/>
    <mergeCell ref="D1143:H1143"/>
    <mergeCell ref="D1165:K1165"/>
    <mergeCell ref="D1151:K1151"/>
    <mergeCell ref="D1184:I1184"/>
    <mergeCell ref="D1183:I1183"/>
    <mergeCell ref="D1155:I1155"/>
    <mergeCell ref="D1146:K1146"/>
    <mergeCell ref="D1162:K1162"/>
    <mergeCell ref="D1186:I1186"/>
    <mergeCell ref="D1311:K1311"/>
    <mergeCell ref="D414:K414"/>
    <mergeCell ref="D609:E609"/>
    <mergeCell ref="D643:K643"/>
    <mergeCell ref="D644:K644"/>
    <mergeCell ref="D645:K645"/>
    <mergeCell ref="D637:K637"/>
    <mergeCell ref="D481:J481"/>
    <mergeCell ref="H603:I603"/>
    <mergeCell ref="D641:K641"/>
    <mergeCell ref="D565:G565"/>
    <mergeCell ref="D526:J526"/>
    <mergeCell ref="D549:J549"/>
    <mergeCell ref="D506:K506"/>
    <mergeCell ref="D554:G554"/>
    <mergeCell ref="D555:G555"/>
    <mergeCell ref="D562:G562"/>
    <mergeCell ref="D1316:K1316"/>
    <mergeCell ref="D1310:K1310"/>
    <mergeCell ref="D1317:K1317"/>
    <mergeCell ref="D1315:K1315"/>
    <mergeCell ref="D418:F418"/>
    <mergeCell ref="D1306:K1306"/>
    <mergeCell ref="D1303:H1303"/>
    <mergeCell ref="D1304:H1304"/>
    <mergeCell ref="D515:J515"/>
    <mergeCell ref="D459:J459"/>
    <mergeCell ref="D461:J461"/>
    <mergeCell ref="D1140:H1140"/>
    <mergeCell ref="D1205:K1205"/>
    <mergeCell ref="D1298:K1298"/>
    <mergeCell ref="D1299:K1299"/>
    <mergeCell ref="D1300:K1300"/>
    <mergeCell ref="D1294:H1294"/>
    <mergeCell ref="D1239:I1239"/>
    <mergeCell ref="D1243:K1243"/>
    <mergeCell ref="D1252:H1252"/>
    <mergeCell ref="D1253:H1253"/>
    <mergeCell ref="D1280:K1280"/>
    <mergeCell ref="D1278:K1278"/>
    <mergeCell ref="D1279:K1279"/>
    <mergeCell ref="D605:E605"/>
    <mergeCell ref="D431:J431"/>
    <mergeCell ref="D434:K434"/>
    <mergeCell ref="D433:J433"/>
    <mergeCell ref="D638:K638"/>
    <mergeCell ref="D639:K639"/>
    <mergeCell ref="D545:J545"/>
    <mergeCell ref="D556:G556"/>
    <mergeCell ref="D580:G580"/>
    <mergeCell ref="D576:G576"/>
    <mergeCell ref="D581:G581"/>
    <mergeCell ref="D567:J567"/>
    <mergeCell ref="D577:G577"/>
    <mergeCell ref="D578:G578"/>
    <mergeCell ref="D487:K487"/>
    <mergeCell ref="D488:K488"/>
    <mergeCell ref="D377:K377"/>
    <mergeCell ref="D378:K378"/>
    <mergeCell ref="D379:K379"/>
    <mergeCell ref="D411:K411"/>
    <mergeCell ref="D412:K412"/>
    <mergeCell ref="D413:K413"/>
    <mergeCell ref="D406:H406"/>
    <mergeCell ref="D483:J483"/>
    <mergeCell ref="D398:G398"/>
    <mergeCell ref="D425:H425"/>
    <mergeCell ref="D426:H426"/>
    <mergeCell ref="D427:H427"/>
    <mergeCell ref="D428:H428"/>
    <mergeCell ref="D429:H429"/>
    <mergeCell ref="D430:H430"/>
    <mergeCell ref="D443:H443"/>
    <mergeCell ref="D530:J530"/>
    <mergeCell ref="D528:K528"/>
    <mergeCell ref="D529:K529"/>
    <mergeCell ref="D447:H447"/>
    <mergeCell ref="D448:H448"/>
    <mergeCell ref="D449:H449"/>
    <mergeCell ref="D450:H450"/>
    <mergeCell ref="D493:H493"/>
    <mergeCell ref="D251:H251"/>
    <mergeCell ref="D252:H252"/>
    <mergeCell ref="D253:H253"/>
    <mergeCell ref="D236:H236"/>
    <mergeCell ref="D237:H237"/>
    <mergeCell ref="D238:H238"/>
    <mergeCell ref="D239:H239"/>
    <mergeCell ref="D444:H444"/>
    <mergeCell ref="D383:H383"/>
    <mergeCell ref="D381:H381"/>
    <mergeCell ref="D382:H382"/>
    <mergeCell ref="D384:H384"/>
    <mergeCell ref="D435:K435"/>
    <mergeCell ref="D436:K436"/>
    <mergeCell ref="D437:K437"/>
    <mergeCell ref="D388:G388"/>
    <mergeCell ref="D389:G389"/>
    <mergeCell ref="D419:F419"/>
    <mergeCell ref="D405:H405"/>
    <mergeCell ref="D392:G392"/>
    <mergeCell ref="D393:G393"/>
    <mergeCell ref="D385:G385"/>
    <mergeCell ref="D386:G386"/>
    <mergeCell ref="D387:G387"/>
    <mergeCell ref="D390:H390"/>
    <mergeCell ref="D391:H391"/>
    <mergeCell ref="D403:H403"/>
    <mergeCell ref="D404:H404"/>
    <mergeCell ref="D438:K438"/>
    <mergeCell ref="D240:H240"/>
    <mergeCell ref="D241:H241"/>
    <mergeCell ref="D242:H242"/>
    <mergeCell ref="D193:K193"/>
    <mergeCell ref="D194:K194"/>
    <mergeCell ref="D195:K195"/>
    <mergeCell ref="D196:K196"/>
    <mergeCell ref="D197:K197"/>
    <mergeCell ref="D200:H200"/>
    <mergeCell ref="D201:H201"/>
    <mergeCell ref="D202:H202"/>
    <mergeCell ref="D203:H203"/>
    <mergeCell ref="D204:H204"/>
    <mergeCell ref="D486:K486"/>
    <mergeCell ref="D205:H205"/>
    <mergeCell ref="D206:H206"/>
    <mergeCell ref="D207:H207"/>
    <mergeCell ref="D208:H208"/>
    <mergeCell ref="D209:H209"/>
    <mergeCell ref="D210:H210"/>
    <mergeCell ref="D211:H211"/>
    <mergeCell ref="D212:H212"/>
    <mergeCell ref="D213:H213"/>
    <mergeCell ref="D245:H245"/>
    <mergeCell ref="D246:H246"/>
    <mergeCell ref="D247:H247"/>
    <mergeCell ref="D248:H248"/>
    <mergeCell ref="D249:H249"/>
    <mergeCell ref="D250:H250"/>
    <mergeCell ref="D289:H289"/>
    <mergeCell ref="D290:H290"/>
    <mergeCell ref="D291:H291"/>
    <mergeCell ref="D292:H292"/>
    <mergeCell ref="D293:H293"/>
    <mergeCell ref="D294:H294"/>
    <mergeCell ref="D11:K11"/>
    <mergeCell ref="D32:K32"/>
    <mergeCell ref="D33:K33"/>
    <mergeCell ref="D34:K34"/>
    <mergeCell ref="D35:K35"/>
    <mergeCell ref="D36:K36"/>
    <mergeCell ref="D37:K37"/>
    <mergeCell ref="D176:K176"/>
    <mergeCell ref="D173:K173"/>
    <mergeCell ref="D174:K174"/>
    <mergeCell ref="D175:K175"/>
    <mergeCell ref="E62:I62"/>
    <mergeCell ref="E63:I63"/>
    <mergeCell ref="E64:I64"/>
    <mergeCell ref="D96:K96"/>
    <mergeCell ref="D62:D64"/>
    <mergeCell ref="D58:K58"/>
    <mergeCell ref="D59:K59"/>
    <mergeCell ref="D70:K70"/>
    <mergeCell ref="D29:K29"/>
    <mergeCell ref="D12:K12"/>
    <mergeCell ref="D13:K13"/>
    <mergeCell ref="E65:I65"/>
    <mergeCell ref="D75:I75"/>
    <mergeCell ref="D76:I76"/>
    <mergeCell ref="D77:I77"/>
    <mergeCell ref="D78:K78"/>
    <mergeCell ref="D71:K71"/>
    <mergeCell ref="D72:K72"/>
    <mergeCell ref="D79:K79"/>
    <mergeCell ref="D80:K80"/>
    <mergeCell ref="D177:K177"/>
    <mergeCell ref="D180:K180"/>
    <mergeCell ref="D181:K181"/>
    <mergeCell ref="D182:K182"/>
    <mergeCell ref="D223:H223"/>
    <mergeCell ref="D224:H224"/>
    <mergeCell ref="D225:H225"/>
    <mergeCell ref="D226:H226"/>
    <mergeCell ref="D231:H231"/>
    <mergeCell ref="D232:H232"/>
    <mergeCell ref="D233:H233"/>
    <mergeCell ref="D234:H234"/>
    <mergeCell ref="D235:H235"/>
    <mergeCell ref="D214:H214"/>
    <mergeCell ref="D215:H215"/>
    <mergeCell ref="D216:H216"/>
    <mergeCell ref="D217:H217"/>
    <mergeCell ref="D218:H218"/>
    <mergeCell ref="D219:H219"/>
    <mergeCell ref="D220:H220"/>
    <mergeCell ref="D221:H221"/>
    <mergeCell ref="D222:H222"/>
    <mergeCell ref="D183:K183"/>
    <mergeCell ref="D178:K178"/>
    <mergeCell ref="D179:K179"/>
    <mergeCell ref="D184:K184"/>
    <mergeCell ref="D185:K185"/>
    <mergeCell ref="D186:K186"/>
    <mergeCell ref="D187:K187"/>
    <mergeCell ref="D190:K190"/>
    <mergeCell ref="D191:K191"/>
    <mergeCell ref="D192:K192"/>
    <mergeCell ref="D243:H243"/>
    <mergeCell ref="D244:H244"/>
    <mergeCell ref="D283:H283"/>
    <mergeCell ref="D284:H284"/>
    <mergeCell ref="D285:H285"/>
    <mergeCell ref="D286:H286"/>
    <mergeCell ref="D287:H287"/>
    <mergeCell ref="D341:K341"/>
    <mergeCell ref="D342:K342"/>
    <mergeCell ref="D343:K343"/>
    <mergeCell ref="D344:K344"/>
    <mergeCell ref="D345:K345"/>
    <mergeCell ref="D330:K330"/>
    <mergeCell ref="D331:K331"/>
    <mergeCell ref="D332:K332"/>
    <mergeCell ref="D333:K333"/>
    <mergeCell ref="D334:K334"/>
    <mergeCell ref="D335:K335"/>
    <mergeCell ref="D336:K336"/>
    <mergeCell ref="D337:K337"/>
    <mergeCell ref="D306:F306"/>
    <mergeCell ref="G302:H302"/>
    <mergeCell ref="D308:F308"/>
    <mergeCell ref="D309:F309"/>
    <mergeCell ref="D310:F310"/>
    <mergeCell ref="D311:F311"/>
    <mergeCell ref="D312:F312"/>
    <mergeCell ref="G301:H301"/>
    <mergeCell ref="G303:H303"/>
    <mergeCell ref="G304:H304"/>
    <mergeCell ref="G305:H305"/>
    <mergeCell ref="D256:K256"/>
    <mergeCell ref="D257:K257"/>
    <mergeCell ref="D258:K258"/>
    <mergeCell ref="D259:K259"/>
    <mergeCell ref="D260:K260"/>
    <mergeCell ref="D299:K299"/>
    <mergeCell ref="G313:H313"/>
    <mergeCell ref="G369:H369"/>
    <mergeCell ref="D266:H266"/>
    <mergeCell ref="D267:H267"/>
    <mergeCell ref="D268:H268"/>
    <mergeCell ref="D269:H269"/>
    <mergeCell ref="D270:H270"/>
    <mergeCell ref="D271:H271"/>
    <mergeCell ref="D272:H272"/>
    <mergeCell ref="D273:H273"/>
    <mergeCell ref="D274:H274"/>
    <mergeCell ref="D275:H275"/>
    <mergeCell ref="D276:H276"/>
    <mergeCell ref="D277:H277"/>
    <mergeCell ref="D278:H278"/>
    <mergeCell ref="D282:H282"/>
    <mergeCell ref="D288:H288"/>
    <mergeCell ref="D324:K324"/>
    <mergeCell ref="D325:K325"/>
    <mergeCell ref="D326:K326"/>
    <mergeCell ref="D327:K327"/>
    <mergeCell ref="D328:K328"/>
    <mergeCell ref="D329:K329"/>
    <mergeCell ref="D295:H295"/>
    <mergeCell ref="D304:F304"/>
    <mergeCell ref="D305:F305"/>
    <mergeCell ref="G306:H306"/>
    <mergeCell ref="D592:K592"/>
    <mergeCell ref="D593:K593"/>
    <mergeCell ref="D594:K594"/>
    <mergeCell ref="D595:K595"/>
    <mergeCell ref="D652:K652"/>
    <mergeCell ref="D653:K653"/>
    <mergeCell ref="D489:K489"/>
    <mergeCell ref="D527:K527"/>
    <mergeCell ref="D597:K597"/>
    <mergeCell ref="D598:K598"/>
    <mergeCell ref="D599:K599"/>
    <mergeCell ref="D600:K600"/>
    <mergeCell ref="D601:K601"/>
    <mergeCell ref="D602:K602"/>
    <mergeCell ref="D591:J591"/>
    <mergeCell ref="J603:K603"/>
    <mergeCell ref="G308:H308"/>
    <mergeCell ref="G310:H310"/>
    <mergeCell ref="G311:H311"/>
    <mergeCell ref="G312:H312"/>
    <mergeCell ref="G366:H366"/>
    <mergeCell ref="G368:H368"/>
    <mergeCell ref="D321:K321"/>
    <mergeCell ref="D322:K322"/>
    <mergeCell ref="D323:K323"/>
    <mergeCell ref="D352:I352"/>
    <mergeCell ref="D353:I353"/>
    <mergeCell ref="D354:I354"/>
    <mergeCell ref="D355:I355"/>
    <mergeCell ref="D356:I356"/>
    <mergeCell ref="D357:I357"/>
    <mergeCell ref="D358:I358"/>
    <mergeCell ref="D658:K658"/>
    <mergeCell ref="D626:K626"/>
    <mergeCell ref="D621:E621"/>
    <mergeCell ref="D635:K635"/>
    <mergeCell ref="D632:K632"/>
    <mergeCell ref="D628:K628"/>
    <mergeCell ref="D629:K629"/>
    <mergeCell ref="D654:K654"/>
    <mergeCell ref="D656:K656"/>
    <mergeCell ref="D646:K646"/>
    <mergeCell ref="D634:K634"/>
    <mergeCell ref="D642:K642"/>
    <mergeCell ref="D606:E606"/>
    <mergeCell ref="D607:E607"/>
    <mergeCell ref="D507:K507"/>
    <mergeCell ref="D508:K508"/>
    <mergeCell ref="D1045:G1045"/>
    <mergeCell ref="D1044:K1044"/>
    <mergeCell ref="D1038:H1038"/>
    <mergeCell ref="D1023:K1023"/>
    <mergeCell ref="D1017:J1017"/>
    <mergeCell ref="D1022:K1022"/>
    <mergeCell ref="D1024:K1024"/>
    <mergeCell ref="D1021:K1021"/>
    <mergeCell ref="D1031:H1031"/>
    <mergeCell ref="D1037:H1037"/>
    <mergeCell ref="D1042:K1042"/>
    <mergeCell ref="D1040:K1040"/>
    <mergeCell ref="D687:E687"/>
    <mergeCell ref="D688:E688"/>
    <mergeCell ref="D689:E689"/>
    <mergeCell ref="D690:E690"/>
    <mergeCell ref="D1222:I1222"/>
    <mergeCell ref="D1223:I1223"/>
    <mergeCell ref="D1225:I1225"/>
    <mergeCell ref="D1232:I1232"/>
    <mergeCell ref="D1233:I1233"/>
    <mergeCell ref="D1234:I1234"/>
    <mergeCell ref="D1217:I1217"/>
    <mergeCell ref="D1227:I1227"/>
    <mergeCell ref="D1228:I1228"/>
    <mergeCell ref="D1229:I1229"/>
    <mergeCell ref="D1230:I1230"/>
    <mergeCell ref="D1218:I1218"/>
    <mergeCell ref="D1210:K1210"/>
    <mergeCell ref="D1211:K1211"/>
    <mergeCell ref="D1212:K1212"/>
    <mergeCell ref="D1213:K1213"/>
    <mergeCell ref="D1198:I1198"/>
    <mergeCell ref="D1199:I1199"/>
    <mergeCell ref="D1207:K1207"/>
    <mergeCell ref="D1200:I1200"/>
    <mergeCell ref="D1137:H1137"/>
    <mergeCell ref="D1083:H1083"/>
    <mergeCell ref="D1084:H1084"/>
    <mergeCell ref="D1009:E1009"/>
    <mergeCell ref="D1277:K1277"/>
    <mergeCell ref="F1009:G1009"/>
    <mergeCell ref="H1009:I1009"/>
    <mergeCell ref="J1009:K1009"/>
    <mergeCell ref="D1010:K1010"/>
    <mergeCell ref="D1011:K1011"/>
    <mergeCell ref="D1013:K1013"/>
    <mergeCell ref="D1015:K1015"/>
    <mergeCell ref="D1014:K1014"/>
    <mergeCell ref="D1214:I1214"/>
    <mergeCell ref="D1208:K1208"/>
    <mergeCell ref="D1231:I1231"/>
    <mergeCell ref="D1297:K1297"/>
    <mergeCell ref="D1028:H1028"/>
    <mergeCell ref="D1029:H1029"/>
    <mergeCell ref="D1030:H1030"/>
    <mergeCell ref="D1032:H1032"/>
    <mergeCell ref="D1033:H1033"/>
    <mergeCell ref="D1034:H1034"/>
    <mergeCell ref="D1016:K1016"/>
    <mergeCell ref="D1048:H1048"/>
    <mergeCell ref="D1055:K1055"/>
    <mergeCell ref="D1027:H1027"/>
    <mergeCell ref="D1050:H1050"/>
    <mergeCell ref="D1051:H1051"/>
    <mergeCell ref="D1019:K1019"/>
    <mergeCell ref="D1035:H1035"/>
    <mergeCell ref="D1036:H1036"/>
    <mergeCell ref="D1177:I1177"/>
    <mergeCell ref="D1178:I1178"/>
    <mergeCell ref="D1173:K1173"/>
    <mergeCell ref="D1179:I1179"/>
    <mergeCell ref="D1180:I1180"/>
    <mergeCell ref="D1181:I1181"/>
    <mergeCell ref="D1182:I1182"/>
    <mergeCell ref="D1267:K1267"/>
    <mergeCell ref="D1276:K1276"/>
    <mergeCell ref="D1248:K1248"/>
    <mergeCell ref="D1238:I1238"/>
    <mergeCell ref="D1259:K1259"/>
    <mergeCell ref="D1240:I1240"/>
    <mergeCell ref="F660:G660"/>
    <mergeCell ref="H660:I660"/>
    <mergeCell ref="J660:J661"/>
    <mergeCell ref="D671:K671"/>
    <mergeCell ref="F672:G672"/>
    <mergeCell ref="H672:I672"/>
    <mergeCell ref="J672:J673"/>
    <mergeCell ref="D673:E673"/>
    <mergeCell ref="D692:E692"/>
    <mergeCell ref="D695:K695"/>
    <mergeCell ref="F696:G696"/>
    <mergeCell ref="H696:I696"/>
    <mergeCell ref="J696:J697"/>
    <mergeCell ref="D697:E697"/>
    <mergeCell ref="D698:E698"/>
    <mergeCell ref="F685:G685"/>
    <mergeCell ref="H685:I685"/>
    <mergeCell ref="J685:J686"/>
    <mergeCell ref="D686:E686"/>
    <mergeCell ref="D301:F301"/>
    <mergeCell ref="D302:F302"/>
    <mergeCell ref="D303:F303"/>
    <mergeCell ref="D485:J485"/>
    <mergeCell ref="D394:G394"/>
    <mergeCell ref="D396:G396"/>
    <mergeCell ref="D397:G397"/>
    <mergeCell ref="E375:K375"/>
    <mergeCell ref="D338:K338"/>
    <mergeCell ref="D339:K339"/>
    <mergeCell ref="D340:K340"/>
    <mergeCell ref="D451:H451"/>
    <mergeCell ref="D452:H452"/>
    <mergeCell ref="D453:H453"/>
    <mergeCell ref="D454:H454"/>
    <mergeCell ref="D455:H455"/>
    <mergeCell ref="D456:H456"/>
    <mergeCell ref="D457:H457"/>
    <mergeCell ref="D313:F313"/>
    <mergeCell ref="G309:H309"/>
    <mergeCell ref="D315:K315"/>
    <mergeCell ref="D316:K316"/>
    <mergeCell ref="D317:K317"/>
    <mergeCell ref="D318:K318"/>
    <mergeCell ref="D319:K319"/>
    <mergeCell ref="D320:K320"/>
    <mergeCell ref="D360:K360"/>
    <mergeCell ref="D361:K361"/>
    <mergeCell ref="D362:K362"/>
    <mergeCell ref="D363:K363"/>
    <mergeCell ref="D364:K364"/>
    <mergeCell ref="D365:K365"/>
    <mergeCell ref="D691:E691"/>
    <mergeCell ref="D674:E674"/>
    <mergeCell ref="D675:E675"/>
    <mergeCell ref="D676:E676"/>
    <mergeCell ref="D677:E677"/>
    <mergeCell ref="D678:E678"/>
    <mergeCell ref="D679:E679"/>
    <mergeCell ref="D680:E680"/>
    <mergeCell ref="D681:E681"/>
    <mergeCell ref="D684:K684"/>
    <mergeCell ref="D710:K710"/>
    <mergeCell ref="F711:G711"/>
    <mergeCell ref="H711:I711"/>
    <mergeCell ref="D712:E712"/>
    <mergeCell ref="D713:E713"/>
    <mergeCell ref="D714:E714"/>
    <mergeCell ref="D715:E715"/>
    <mergeCell ref="D716:E716"/>
    <mergeCell ref="D699:E699"/>
    <mergeCell ref="D700:E700"/>
    <mergeCell ref="D701:E701"/>
    <mergeCell ref="D702:E702"/>
    <mergeCell ref="D703:E703"/>
    <mergeCell ref="D709:K709"/>
    <mergeCell ref="D705:K705"/>
    <mergeCell ref="D706:K706"/>
    <mergeCell ref="D707:K707"/>
    <mergeCell ref="D708:K708"/>
    <mergeCell ref="F723:G723"/>
    <mergeCell ref="D723:E723"/>
    <mergeCell ref="H713:I713"/>
    <mergeCell ref="H714:I714"/>
    <mergeCell ref="H715:I715"/>
    <mergeCell ref="H716:I716"/>
    <mergeCell ref="H717:I717"/>
    <mergeCell ref="H718:I718"/>
    <mergeCell ref="H719:I719"/>
    <mergeCell ref="H720:I720"/>
    <mergeCell ref="H721:I721"/>
    <mergeCell ref="H723:I723"/>
    <mergeCell ref="D717:E717"/>
    <mergeCell ref="D719:E719"/>
    <mergeCell ref="D721:E721"/>
    <mergeCell ref="D718:E718"/>
    <mergeCell ref="D720:E720"/>
    <mergeCell ref="F713:G713"/>
    <mergeCell ref="F714:G714"/>
    <mergeCell ref="F715:G715"/>
    <mergeCell ref="F716:G716"/>
    <mergeCell ref="F717:G717"/>
    <mergeCell ref="F718:G718"/>
    <mergeCell ref="F719:G719"/>
    <mergeCell ref="F720:G720"/>
    <mergeCell ref="F721:G721"/>
    <mergeCell ref="D739:E739"/>
    <mergeCell ref="D740:E740"/>
    <mergeCell ref="D741:E741"/>
    <mergeCell ref="D733:K733"/>
    <mergeCell ref="F735:G735"/>
    <mergeCell ref="H735:I735"/>
    <mergeCell ref="D736:E736"/>
    <mergeCell ref="D737:E737"/>
    <mergeCell ref="D738:E738"/>
    <mergeCell ref="D724:K724"/>
    <mergeCell ref="D725:K725"/>
    <mergeCell ref="D726:K726"/>
    <mergeCell ref="D727:K727"/>
    <mergeCell ref="D728:K728"/>
    <mergeCell ref="D729:K729"/>
    <mergeCell ref="D730:K730"/>
    <mergeCell ref="D731:K731"/>
    <mergeCell ref="D732:K732"/>
    <mergeCell ref="D749:K749"/>
    <mergeCell ref="D750:K750"/>
    <mergeCell ref="D751:K751"/>
    <mergeCell ref="D752:K752"/>
    <mergeCell ref="D753:K753"/>
    <mergeCell ref="D754:K754"/>
    <mergeCell ref="D755:K755"/>
    <mergeCell ref="D756:K756"/>
    <mergeCell ref="D757:K757"/>
    <mergeCell ref="D745:E745"/>
    <mergeCell ref="D748:E748"/>
    <mergeCell ref="F748:G748"/>
    <mergeCell ref="H748:I748"/>
    <mergeCell ref="D746:E746"/>
    <mergeCell ref="D742:E742"/>
    <mergeCell ref="D743:E743"/>
    <mergeCell ref="D744:E744"/>
    <mergeCell ref="D767:E767"/>
    <mergeCell ref="D768:E768"/>
    <mergeCell ref="D769:E769"/>
    <mergeCell ref="D770:E770"/>
    <mergeCell ref="D771:E771"/>
    <mergeCell ref="D772:E772"/>
    <mergeCell ref="D773:E773"/>
    <mergeCell ref="D774:E774"/>
    <mergeCell ref="D775:E775"/>
    <mergeCell ref="D758:K758"/>
    <mergeCell ref="D762:K762"/>
    <mergeCell ref="D763:K763"/>
    <mergeCell ref="D764:K764"/>
    <mergeCell ref="D759:K759"/>
    <mergeCell ref="D760:K760"/>
    <mergeCell ref="D761:K761"/>
    <mergeCell ref="F766:G766"/>
    <mergeCell ref="H766:I766"/>
    <mergeCell ref="H768:I768"/>
    <mergeCell ref="H769:I769"/>
    <mergeCell ref="H770:I770"/>
    <mergeCell ref="H771:I771"/>
    <mergeCell ref="H772:I772"/>
    <mergeCell ref="H773:I773"/>
    <mergeCell ref="H774:I774"/>
    <mergeCell ref="H775:I775"/>
    <mergeCell ref="H776:I776"/>
    <mergeCell ref="D776:E776"/>
    <mergeCell ref="F768:G768"/>
    <mergeCell ref="F769:G769"/>
    <mergeCell ref="F770:G770"/>
    <mergeCell ref="F771:G771"/>
    <mergeCell ref="F772:G772"/>
    <mergeCell ref="F773:G773"/>
    <mergeCell ref="F774:G774"/>
    <mergeCell ref="F775:G775"/>
    <mergeCell ref="F776:G776"/>
    <mergeCell ref="D788:E788"/>
    <mergeCell ref="F788:G788"/>
    <mergeCell ref="H788:I788"/>
    <mergeCell ref="H789:I789"/>
    <mergeCell ref="D789:E789"/>
    <mergeCell ref="F789:G789"/>
    <mergeCell ref="D784:E784"/>
    <mergeCell ref="D785:E785"/>
    <mergeCell ref="F785:G785"/>
    <mergeCell ref="H785:I785"/>
    <mergeCell ref="D786:E786"/>
    <mergeCell ref="F786:G786"/>
    <mergeCell ref="H786:I786"/>
    <mergeCell ref="D787:E787"/>
    <mergeCell ref="F787:G787"/>
    <mergeCell ref="H787:I787"/>
    <mergeCell ref="F777:G777"/>
    <mergeCell ref="H777:I777"/>
    <mergeCell ref="D779:K779"/>
    <mergeCell ref="D780:K780"/>
    <mergeCell ref="D781:K781"/>
    <mergeCell ref="D782:K782"/>
    <mergeCell ref="F783:G783"/>
    <mergeCell ref="H783:I783"/>
    <mergeCell ref="F793:G793"/>
    <mergeCell ref="H793:I793"/>
    <mergeCell ref="D793:E793"/>
    <mergeCell ref="D794:K794"/>
    <mergeCell ref="D795:K795"/>
    <mergeCell ref="D796:K796"/>
    <mergeCell ref="D797:K797"/>
    <mergeCell ref="D798:K798"/>
    <mergeCell ref="D799:K799"/>
    <mergeCell ref="D790:E790"/>
    <mergeCell ref="F790:G790"/>
    <mergeCell ref="H790:I790"/>
    <mergeCell ref="D791:E791"/>
    <mergeCell ref="F791:G791"/>
    <mergeCell ref="H791:I791"/>
    <mergeCell ref="D792:E792"/>
    <mergeCell ref="F792:G792"/>
    <mergeCell ref="H792:I792"/>
    <mergeCell ref="D815:E815"/>
    <mergeCell ref="F815:G815"/>
    <mergeCell ref="H815:I815"/>
    <mergeCell ref="D816:E816"/>
    <mergeCell ref="F816:G816"/>
    <mergeCell ref="H816:I816"/>
    <mergeCell ref="D811:E811"/>
    <mergeCell ref="D812:E812"/>
    <mergeCell ref="F812:G812"/>
    <mergeCell ref="H812:I812"/>
    <mergeCell ref="D813:E813"/>
    <mergeCell ref="F813:G813"/>
    <mergeCell ref="H813:I813"/>
    <mergeCell ref="D800:K800"/>
    <mergeCell ref="D801:K801"/>
    <mergeCell ref="D802:K802"/>
    <mergeCell ref="D803:K803"/>
    <mergeCell ref="D804:K804"/>
    <mergeCell ref="D805:K805"/>
    <mergeCell ref="D806:K806"/>
    <mergeCell ref="D807:K807"/>
    <mergeCell ref="D808:K808"/>
    <mergeCell ref="F840:G840"/>
    <mergeCell ref="H837:I837"/>
    <mergeCell ref="H838:I838"/>
    <mergeCell ref="H840:I840"/>
    <mergeCell ref="D819:E819"/>
    <mergeCell ref="F819:G819"/>
    <mergeCell ref="H819:I819"/>
    <mergeCell ref="H810:I810"/>
    <mergeCell ref="F810:G810"/>
    <mergeCell ref="F809:I809"/>
    <mergeCell ref="D838:E838"/>
    <mergeCell ref="D841:E841"/>
    <mergeCell ref="F820:G820"/>
    <mergeCell ref="F821:G821"/>
    <mergeCell ref="F822:G822"/>
    <mergeCell ref="F823:G823"/>
    <mergeCell ref="F824:G824"/>
    <mergeCell ref="F825:G825"/>
    <mergeCell ref="F826:G826"/>
    <mergeCell ref="F827:G827"/>
    <mergeCell ref="F828:G828"/>
    <mergeCell ref="F829:G829"/>
    <mergeCell ref="F830:G830"/>
    <mergeCell ref="D817:E817"/>
    <mergeCell ref="F817:G817"/>
    <mergeCell ref="H817:I817"/>
    <mergeCell ref="D818:E818"/>
    <mergeCell ref="F818:G818"/>
    <mergeCell ref="H818:I818"/>
    <mergeCell ref="D814:E814"/>
    <mergeCell ref="F814:G814"/>
    <mergeCell ref="H814:I814"/>
    <mergeCell ref="D820:E820"/>
    <mergeCell ref="D821:E821"/>
    <mergeCell ref="D822:E822"/>
    <mergeCell ref="D823:E823"/>
    <mergeCell ref="D824:E824"/>
    <mergeCell ref="D825:E825"/>
    <mergeCell ref="D826:E826"/>
    <mergeCell ref="D827:E827"/>
    <mergeCell ref="D828:E828"/>
    <mergeCell ref="D829:E829"/>
    <mergeCell ref="D830:E830"/>
    <mergeCell ref="D831:E831"/>
    <mergeCell ref="D832:E832"/>
    <mergeCell ref="D833:E833"/>
    <mergeCell ref="D834:E834"/>
    <mergeCell ref="D835:E835"/>
    <mergeCell ref="D836:E836"/>
    <mergeCell ref="H820:I820"/>
    <mergeCell ref="H821:I821"/>
    <mergeCell ref="H822:I822"/>
    <mergeCell ref="H823:I823"/>
    <mergeCell ref="H824:I824"/>
    <mergeCell ref="H825:I825"/>
    <mergeCell ref="H826:I826"/>
    <mergeCell ref="H827:I827"/>
    <mergeCell ref="H828:I828"/>
    <mergeCell ref="H829:I829"/>
    <mergeCell ref="H830:I830"/>
    <mergeCell ref="H831:I831"/>
    <mergeCell ref="H832:I832"/>
    <mergeCell ref="H833:I833"/>
    <mergeCell ref="H834:I834"/>
    <mergeCell ref="H835:I835"/>
    <mergeCell ref="H836:I836"/>
    <mergeCell ref="F831:G831"/>
    <mergeCell ref="F832:G832"/>
    <mergeCell ref="F833:G833"/>
    <mergeCell ref="F834:G834"/>
    <mergeCell ref="F835:G835"/>
    <mergeCell ref="F836:G836"/>
    <mergeCell ref="F837:G837"/>
    <mergeCell ref="F838:G838"/>
    <mergeCell ref="F839:I839"/>
    <mergeCell ref="D845:E845"/>
    <mergeCell ref="F845:G845"/>
    <mergeCell ref="H845:I845"/>
    <mergeCell ref="F846:G846"/>
    <mergeCell ref="H846:I846"/>
    <mergeCell ref="D855:E855"/>
    <mergeCell ref="F855:G855"/>
    <mergeCell ref="H855:I855"/>
    <mergeCell ref="D837:E837"/>
    <mergeCell ref="D850:E850"/>
    <mergeCell ref="F850:G850"/>
    <mergeCell ref="H850:I850"/>
    <mergeCell ref="D851:E851"/>
    <mergeCell ref="F851:G851"/>
    <mergeCell ref="H851:I851"/>
    <mergeCell ref="D852:E852"/>
    <mergeCell ref="F852:G852"/>
    <mergeCell ref="H852:I852"/>
    <mergeCell ref="D846:E846"/>
    <mergeCell ref="D847:E847"/>
    <mergeCell ref="F847:G847"/>
    <mergeCell ref="H847:I847"/>
    <mergeCell ref="D848:E848"/>
    <mergeCell ref="D856:E856"/>
    <mergeCell ref="F856:G856"/>
    <mergeCell ref="H856:I856"/>
    <mergeCell ref="D842:E842"/>
    <mergeCell ref="F842:G842"/>
    <mergeCell ref="H842:I842"/>
    <mergeCell ref="D843:E843"/>
    <mergeCell ref="F843:G843"/>
    <mergeCell ref="H843:I843"/>
    <mergeCell ref="D844:E844"/>
    <mergeCell ref="F844:G844"/>
    <mergeCell ref="H844:I844"/>
    <mergeCell ref="D853:E853"/>
    <mergeCell ref="F853:G853"/>
    <mergeCell ref="H853:I853"/>
    <mergeCell ref="D854:E854"/>
    <mergeCell ref="F854:G854"/>
    <mergeCell ref="H854:I854"/>
    <mergeCell ref="F848:G848"/>
    <mergeCell ref="H848:I848"/>
    <mergeCell ref="D849:E849"/>
    <mergeCell ref="F849:G849"/>
    <mergeCell ref="H849:I849"/>
    <mergeCell ref="D860:E860"/>
    <mergeCell ref="F860:G860"/>
    <mergeCell ref="H860:I860"/>
    <mergeCell ref="D861:E861"/>
    <mergeCell ref="F861:G861"/>
    <mergeCell ref="H861:I861"/>
    <mergeCell ref="D862:E862"/>
    <mergeCell ref="F862:G862"/>
    <mergeCell ref="H862:I862"/>
    <mergeCell ref="D857:E857"/>
    <mergeCell ref="F857:G857"/>
    <mergeCell ref="H857:I857"/>
    <mergeCell ref="D858:E858"/>
    <mergeCell ref="F858:G858"/>
    <mergeCell ref="H858:I858"/>
    <mergeCell ref="D859:E859"/>
    <mergeCell ref="F859:G859"/>
    <mergeCell ref="H859:I859"/>
    <mergeCell ref="D866:E866"/>
    <mergeCell ref="F866:G866"/>
    <mergeCell ref="H866:I866"/>
    <mergeCell ref="D867:K867"/>
    <mergeCell ref="D868:K868"/>
    <mergeCell ref="D869:K869"/>
    <mergeCell ref="D870:K870"/>
    <mergeCell ref="D871:K871"/>
    <mergeCell ref="D872:K872"/>
    <mergeCell ref="D863:E863"/>
    <mergeCell ref="F863:G863"/>
    <mergeCell ref="H863:I863"/>
    <mergeCell ref="D864:E864"/>
    <mergeCell ref="F864:G864"/>
    <mergeCell ref="H864:I864"/>
    <mergeCell ref="D865:E865"/>
    <mergeCell ref="F865:G865"/>
    <mergeCell ref="H865:I865"/>
    <mergeCell ref="D885:E885"/>
    <mergeCell ref="D886:E886"/>
    <mergeCell ref="D881:E882"/>
    <mergeCell ref="F881:G882"/>
    <mergeCell ref="H881:I882"/>
    <mergeCell ref="J881:J882"/>
    <mergeCell ref="F884:G884"/>
    <mergeCell ref="F885:G885"/>
    <mergeCell ref="F886:G886"/>
    <mergeCell ref="H884:I884"/>
    <mergeCell ref="H885:I885"/>
    <mergeCell ref="H886:I886"/>
    <mergeCell ref="D887:I887"/>
    <mergeCell ref="D883:K883"/>
    <mergeCell ref="D884:E884"/>
    <mergeCell ref="K881:K882"/>
    <mergeCell ref="D873:K873"/>
    <mergeCell ref="D874:K874"/>
    <mergeCell ref="D875:K875"/>
    <mergeCell ref="D876:K876"/>
    <mergeCell ref="D877:K877"/>
    <mergeCell ref="D878:K878"/>
    <mergeCell ref="D879:K879"/>
    <mergeCell ref="D880:K880"/>
    <mergeCell ref="D906:K906"/>
    <mergeCell ref="D907:K907"/>
    <mergeCell ref="D908:K908"/>
    <mergeCell ref="D909:E910"/>
    <mergeCell ref="F909:G910"/>
    <mergeCell ref="H909:I910"/>
    <mergeCell ref="D897:K897"/>
    <mergeCell ref="D898:K898"/>
    <mergeCell ref="D899:K899"/>
    <mergeCell ref="D900:K900"/>
    <mergeCell ref="D901:K901"/>
    <mergeCell ref="D902:K902"/>
    <mergeCell ref="D903:K903"/>
    <mergeCell ref="D904:K904"/>
    <mergeCell ref="D905:K905"/>
    <mergeCell ref="D888:K888"/>
    <mergeCell ref="D889:K889"/>
    <mergeCell ref="D890:K890"/>
    <mergeCell ref="D891:K891"/>
    <mergeCell ref="D892:K892"/>
    <mergeCell ref="D893:K893"/>
    <mergeCell ref="D894:K894"/>
    <mergeCell ref="D895:K895"/>
    <mergeCell ref="D896:K896"/>
    <mergeCell ref="J909:K910"/>
    <mergeCell ref="D911:E911"/>
    <mergeCell ref="F911:G911"/>
    <mergeCell ref="H911:I911"/>
    <mergeCell ref="J911:K911"/>
    <mergeCell ref="D915:E915"/>
    <mergeCell ref="F915:G915"/>
    <mergeCell ref="H915:I915"/>
    <mergeCell ref="J912:K912"/>
    <mergeCell ref="J913:K913"/>
    <mergeCell ref="J914:K914"/>
    <mergeCell ref="J915:K915"/>
    <mergeCell ref="D912:E912"/>
    <mergeCell ref="F912:G912"/>
    <mergeCell ref="H912:I912"/>
    <mergeCell ref="D913:E913"/>
    <mergeCell ref="F913:G913"/>
    <mergeCell ref="H913:I913"/>
    <mergeCell ref="D914:E914"/>
    <mergeCell ref="F914:G914"/>
    <mergeCell ref="H914:I914"/>
    <mergeCell ref="H916:I916"/>
    <mergeCell ref="H918:I918"/>
    <mergeCell ref="H919:I919"/>
    <mergeCell ref="H920:I920"/>
    <mergeCell ref="J916:K916"/>
    <mergeCell ref="J918:K918"/>
    <mergeCell ref="J919:K919"/>
    <mergeCell ref="J920:K920"/>
    <mergeCell ref="D917:K917"/>
    <mergeCell ref="D916:E916"/>
    <mergeCell ref="D918:E918"/>
    <mergeCell ref="D919:E919"/>
    <mergeCell ref="D920:E920"/>
    <mergeCell ref="F916:G916"/>
    <mergeCell ref="F918:G918"/>
    <mergeCell ref="F919:G919"/>
    <mergeCell ref="F920:G920"/>
    <mergeCell ref="D927:E927"/>
    <mergeCell ref="F927:G927"/>
    <mergeCell ref="H927:I927"/>
    <mergeCell ref="J927:K927"/>
    <mergeCell ref="D928:E928"/>
    <mergeCell ref="F928:G928"/>
    <mergeCell ref="H928:I928"/>
    <mergeCell ref="J928:K928"/>
    <mergeCell ref="D929:E929"/>
    <mergeCell ref="F929:G929"/>
    <mergeCell ref="H929:I929"/>
    <mergeCell ref="J929:K929"/>
    <mergeCell ref="D923:K923"/>
    <mergeCell ref="D924:E925"/>
    <mergeCell ref="F924:G925"/>
    <mergeCell ref="H924:I925"/>
    <mergeCell ref="J924:K925"/>
    <mergeCell ref="D926:E926"/>
    <mergeCell ref="F926:G926"/>
    <mergeCell ref="H926:I926"/>
    <mergeCell ref="J926:K926"/>
    <mergeCell ref="D933:E933"/>
    <mergeCell ref="F933:G933"/>
    <mergeCell ref="H933:I933"/>
    <mergeCell ref="J933:K933"/>
    <mergeCell ref="D934:E934"/>
    <mergeCell ref="F934:G934"/>
    <mergeCell ref="H934:I934"/>
    <mergeCell ref="J934:K934"/>
    <mergeCell ref="D935:E935"/>
    <mergeCell ref="F935:G935"/>
    <mergeCell ref="H935:I935"/>
    <mergeCell ref="J935:K935"/>
    <mergeCell ref="D941:K941"/>
    <mergeCell ref="D942:K942"/>
    <mergeCell ref="D930:E930"/>
    <mergeCell ref="F930:G930"/>
    <mergeCell ref="H930:I930"/>
    <mergeCell ref="J930:K930"/>
    <mergeCell ref="D931:E931"/>
    <mergeCell ref="F931:G931"/>
    <mergeCell ref="H931:I931"/>
    <mergeCell ref="J931:K931"/>
    <mergeCell ref="D932:K932"/>
    <mergeCell ref="D965:K965"/>
    <mergeCell ref="D951:E951"/>
    <mergeCell ref="D945:E947"/>
    <mergeCell ref="D952:K952"/>
    <mergeCell ref="D953:K953"/>
    <mergeCell ref="D954:K954"/>
    <mergeCell ref="D955:E957"/>
    <mergeCell ref="F955:G955"/>
    <mergeCell ref="H955:I955"/>
    <mergeCell ref="F945:G945"/>
    <mergeCell ref="H945:I945"/>
    <mergeCell ref="D948:E948"/>
    <mergeCell ref="D949:E949"/>
    <mergeCell ref="D950:E950"/>
    <mergeCell ref="D936:K936"/>
    <mergeCell ref="D937:K937"/>
    <mergeCell ref="D938:K938"/>
    <mergeCell ref="D939:K939"/>
    <mergeCell ref="D940:K940"/>
    <mergeCell ref="D943:K943"/>
    <mergeCell ref="D944:K944"/>
    <mergeCell ref="D958:E958"/>
    <mergeCell ref="D959:E959"/>
    <mergeCell ref="D960:E960"/>
    <mergeCell ref="D961:K961"/>
    <mergeCell ref="D962:K962"/>
    <mergeCell ref="D963:K963"/>
    <mergeCell ref="D964:K964"/>
    <mergeCell ref="D1005:F1005"/>
    <mergeCell ref="D1006:F1006"/>
    <mergeCell ref="D1007:F1007"/>
    <mergeCell ref="G1004:I1004"/>
    <mergeCell ref="G1005:I1005"/>
    <mergeCell ref="G1006:I1006"/>
    <mergeCell ref="G1007:I1007"/>
    <mergeCell ref="D1002:F1003"/>
    <mergeCell ref="G1002:I1003"/>
    <mergeCell ref="D1008:K1008"/>
    <mergeCell ref="D997:E997"/>
    <mergeCell ref="D998:K998"/>
    <mergeCell ref="D999:K999"/>
    <mergeCell ref="D1000:K1000"/>
    <mergeCell ref="D1001:F1001"/>
    <mergeCell ref="G1001:I1001"/>
    <mergeCell ref="D987:E987"/>
    <mergeCell ref="D988:E988"/>
    <mergeCell ref="D989:E989"/>
    <mergeCell ref="D990:E990"/>
    <mergeCell ref="D992:E992"/>
    <mergeCell ref="D993:E993"/>
    <mergeCell ref="D994:E994"/>
    <mergeCell ref="D995:E995"/>
    <mergeCell ref="D996:E996"/>
    <mergeCell ref="D1004:F1004"/>
    <mergeCell ref="D975:E975"/>
    <mergeCell ref="D976:E976"/>
    <mergeCell ref="D977:E977"/>
    <mergeCell ref="D978:E978"/>
    <mergeCell ref="D979:E979"/>
    <mergeCell ref="D980:E980"/>
    <mergeCell ref="D983:E985"/>
    <mergeCell ref="F983:I983"/>
    <mergeCell ref="D986:E986"/>
    <mergeCell ref="D966:E968"/>
    <mergeCell ref="D969:E969"/>
    <mergeCell ref="D970:E970"/>
    <mergeCell ref="D971:E971"/>
    <mergeCell ref="F966:I966"/>
    <mergeCell ref="D972:E972"/>
    <mergeCell ref="D973:E973"/>
    <mergeCell ref="F107:G107"/>
    <mergeCell ref="D108:E108"/>
    <mergeCell ref="F108:G108"/>
    <mergeCell ref="D109:E109"/>
    <mergeCell ref="F109:G109"/>
    <mergeCell ref="D502:H502"/>
    <mergeCell ref="D503:H503"/>
    <mergeCell ref="D511:H511"/>
    <mergeCell ref="D512:H512"/>
    <mergeCell ref="D513:H513"/>
    <mergeCell ref="D514:H514"/>
    <mergeCell ref="D520:H520"/>
    <mergeCell ref="D521:H521"/>
    <mergeCell ref="D446:H446"/>
    <mergeCell ref="D141:K141"/>
    <mergeCell ref="D153:K153"/>
    <mergeCell ref="D14:K14"/>
    <mergeCell ref="D15:K15"/>
    <mergeCell ref="D16:K16"/>
    <mergeCell ref="D17:K17"/>
    <mergeCell ref="D18:K18"/>
    <mergeCell ref="D19:K19"/>
    <mergeCell ref="D20:K20"/>
    <mergeCell ref="D21:K21"/>
    <mergeCell ref="D22:K22"/>
    <mergeCell ref="D23:K23"/>
    <mergeCell ref="D24:K24"/>
    <mergeCell ref="D25:K25"/>
    <mergeCell ref="D26:K26"/>
    <mergeCell ref="D27:K27"/>
    <mergeCell ref="D28:K28"/>
    <mergeCell ref="D31:K31"/>
    <mergeCell ref="D445:H445"/>
    <mergeCell ref="D110:E110"/>
    <mergeCell ref="F110:G110"/>
    <mergeCell ref="D98:E99"/>
    <mergeCell ref="D105:E106"/>
    <mergeCell ref="F106:G106"/>
    <mergeCell ref="F99:G99"/>
    <mergeCell ref="D111:K111"/>
    <mergeCell ref="D112:K112"/>
    <mergeCell ref="D113:K113"/>
    <mergeCell ref="D114:K114"/>
    <mergeCell ref="D115:K115"/>
    <mergeCell ref="D116:K116"/>
    <mergeCell ref="D117:K117"/>
    <mergeCell ref="D123:K123"/>
    <mergeCell ref="D94:K94"/>
    <mergeCell ref="D152:H152"/>
    <mergeCell ref="D158:K158"/>
    <mergeCell ref="D144:H145"/>
    <mergeCell ref="D139:K139"/>
    <mergeCell ref="D142:K142"/>
    <mergeCell ref="D95:K95"/>
    <mergeCell ref="D97:K97"/>
    <mergeCell ref="D104:K104"/>
    <mergeCell ref="D118:K118"/>
    <mergeCell ref="D119:K119"/>
    <mergeCell ref="D120:K120"/>
    <mergeCell ref="D121:K121"/>
    <mergeCell ref="D122:K122"/>
    <mergeCell ref="F98:G98"/>
    <mergeCell ref="D100:E100"/>
    <mergeCell ref="F100:G100"/>
    <mergeCell ref="D101:E101"/>
    <mergeCell ref="F101:G101"/>
    <mergeCell ref="D102:E102"/>
    <mergeCell ref="F102:G102"/>
    <mergeCell ref="D103:E103"/>
    <mergeCell ref="F103:G103"/>
    <mergeCell ref="D107:E107"/>
    <mergeCell ref="F105:G105"/>
    <mergeCell ref="D40:I40"/>
    <mergeCell ref="D41:I41"/>
    <mergeCell ref="D42:I42"/>
    <mergeCell ref="D43:I43"/>
    <mergeCell ref="D44:I44"/>
    <mergeCell ref="D45:I45"/>
    <mergeCell ref="D46:I46"/>
    <mergeCell ref="D47:I47"/>
    <mergeCell ref="D48:I48"/>
    <mergeCell ref="D49:I49"/>
    <mergeCell ref="D50:I50"/>
    <mergeCell ref="D51:I51"/>
    <mergeCell ref="D160:E162"/>
    <mergeCell ref="D163:E163"/>
    <mergeCell ref="D164:E164"/>
    <mergeCell ref="G160:H162"/>
    <mergeCell ref="I160:I162"/>
    <mergeCell ref="D124:K124"/>
    <mergeCell ref="D125:K125"/>
    <mergeCell ref="D85:I85"/>
    <mergeCell ref="D86:I86"/>
    <mergeCell ref="D87:I87"/>
    <mergeCell ref="D88:I88"/>
    <mergeCell ref="D89:I89"/>
    <mergeCell ref="D90:I90"/>
    <mergeCell ref="D91:I91"/>
    <mergeCell ref="D92:I92"/>
    <mergeCell ref="G164:H164"/>
    <mergeCell ref="D143:K143"/>
    <mergeCell ref="D156:K156"/>
    <mergeCell ref="D157:K157"/>
    <mergeCell ref="D140:K140"/>
    <mergeCell ref="D350:I351"/>
    <mergeCell ref="D126:K126"/>
    <mergeCell ref="D127:K127"/>
    <mergeCell ref="D128:K128"/>
    <mergeCell ref="D129:K129"/>
    <mergeCell ref="D130:K130"/>
    <mergeCell ref="D131:K131"/>
    <mergeCell ref="D132:K132"/>
    <mergeCell ref="D133:K133"/>
    <mergeCell ref="D134:K134"/>
    <mergeCell ref="D135:K135"/>
    <mergeCell ref="D136:K136"/>
    <mergeCell ref="D137:K137"/>
    <mergeCell ref="D138:K138"/>
    <mergeCell ref="J160:J162"/>
    <mergeCell ref="K160:K162"/>
    <mergeCell ref="G163:H163"/>
    <mergeCell ref="D168:K168"/>
    <mergeCell ref="D169:K169"/>
    <mergeCell ref="D170:K170"/>
    <mergeCell ref="D171:K171"/>
    <mergeCell ref="D165:K165"/>
    <mergeCell ref="D166:K166"/>
    <mergeCell ref="D167:K167"/>
    <mergeCell ref="D154:K154"/>
    <mergeCell ref="D155:K155"/>
    <mergeCell ref="D146:H146"/>
    <mergeCell ref="D147:H147"/>
    <mergeCell ref="D148:H148"/>
    <mergeCell ref="D149:H149"/>
    <mergeCell ref="D150:H150"/>
    <mergeCell ref="D151:H151"/>
    <mergeCell ref="D494:H494"/>
    <mergeCell ref="D495:H495"/>
    <mergeCell ref="D496:H496"/>
    <mergeCell ref="D346:K346"/>
    <mergeCell ref="D347:K347"/>
    <mergeCell ref="D348:K348"/>
    <mergeCell ref="D586:G586"/>
    <mergeCell ref="D566:G566"/>
    <mergeCell ref="D458:H458"/>
    <mergeCell ref="D464:H464"/>
    <mergeCell ref="D465:H465"/>
    <mergeCell ref="D466:H466"/>
    <mergeCell ref="D467:H467"/>
    <mergeCell ref="D468:H468"/>
    <mergeCell ref="D469:H469"/>
    <mergeCell ref="D470:H470"/>
    <mergeCell ref="D471:H471"/>
    <mergeCell ref="D472:H472"/>
    <mergeCell ref="D473:H473"/>
    <mergeCell ref="D474:H474"/>
    <mergeCell ref="D475:H475"/>
    <mergeCell ref="D476:H476"/>
    <mergeCell ref="D477:H477"/>
    <mergeCell ref="D478:H478"/>
    <mergeCell ref="D479:H479"/>
    <mergeCell ref="D480:H480"/>
    <mergeCell ref="D368:E368"/>
    <mergeCell ref="D369:E369"/>
    <mergeCell ref="D366:E367"/>
    <mergeCell ref="D372:K372"/>
    <mergeCell ref="D373:K373"/>
    <mergeCell ref="D374:K374"/>
  </mergeCells>
  <phoneticPr fontId="9" type="noConversion"/>
  <pageMargins left="0.70866141732283472" right="0.70866141732283472" top="0.74803149606299213" bottom="0.74803149606299213" header="0.31496062992125984" footer="0.31496062992125984"/>
  <pageSetup paperSize="9" scale="59" fitToHeight="0" orientation="portrait" r:id="rId1"/>
  <headerFooter>
    <oddFooter>&amp;R&amp;P</oddFooter>
  </headerFooter>
  <rowBreaks count="6" manualBreakCount="6">
    <brk id="433" min="1" max="12" man="1"/>
    <brk id="601" min="1" max="12" man="1"/>
    <brk id="1042" min="1" max="12" man="1"/>
    <brk id="1108" min="1" max="12" man="1"/>
    <brk id="1171" min="1" max="12" man="1"/>
    <brk id="1245" min="1" max="12" man="1"/>
  </rowBreaks>
  <ignoredErrors>
    <ignoredError sqref="A66:A67 A1049:A1098 A390 A587:A613 A481:A505 A385:A388 A392:A395 A397:A419 A180:A227 A1100:A1165 A1167:A1225 A1249:A1318 A615:A654 A509:A560 A507 A1009:A1016 A421:A439 A1019:A1047 A1227:A1246 A173 A34:A37 A658 A60:A64 A117 A175 A229:A254 A256:A383 A567:A585 A563:A565 A459:A479 A442:A457 A1319:A132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B2:G106"/>
  <sheetViews>
    <sheetView zoomScale="90" zoomScaleNormal="90" workbookViewId="0">
      <selection activeCell="D95" sqref="D95"/>
    </sheetView>
  </sheetViews>
  <sheetFormatPr defaultRowHeight="13.8" x14ac:dyDescent="0.3"/>
  <cols>
    <col min="1" max="1" width="2.33203125" customWidth="1"/>
    <col min="2" max="2" width="30.88671875" bestFit="1" customWidth="1"/>
    <col min="4" max="4" width="120.33203125" customWidth="1"/>
    <col min="5" max="5" width="26.109375" bestFit="1" customWidth="1"/>
    <col min="6" max="6" width="13.109375" bestFit="1" customWidth="1"/>
  </cols>
  <sheetData>
    <row r="2" spans="2:4" ht="16.2" x14ac:dyDescent="0.3">
      <c r="B2" s="105" t="s">
        <v>1484</v>
      </c>
    </row>
    <row r="3" spans="2:4" ht="14.4" thickBot="1" x14ac:dyDescent="0.35"/>
    <row r="4" spans="2:4" ht="15" thickBot="1" x14ac:dyDescent="0.35">
      <c r="B4" s="106" t="s">
        <v>1487</v>
      </c>
      <c r="D4" s="86" t="s">
        <v>1487</v>
      </c>
    </row>
    <row r="5" spans="2:4" ht="14.4" x14ac:dyDescent="0.3">
      <c r="B5" s="106"/>
      <c r="D5" s="89"/>
    </row>
    <row r="6" spans="2:4" ht="14.4" x14ac:dyDescent="0.3">
      <c r="B6" s="414" t="s">
        <v>1670</v>
      </c>
      <c r="D6" s="89"/>
    </row>
    <row r="7" spans="2:4" ht="15" thickBot="1" x14ac:dyDescent="0.35">
      <c r="B7" s="106"/>
      <c r="D7" s="89"/>
    </row>
    <row r="8" spans="2:4" ht="15" thickBot="1" x14ac:dyDescent="0.35">
      <c r="B8" s="106" t="s">
        <v>1673</v>
      </c>
      <c r="D8" s="86" t="s">
        <v>1671</v>
      </c>
    </row>
    <row r="9" spans="2:4" ht="15" thickBot="1" x14ac:dyDescent="0.35">
      <c r="B9" s="106"/>
      <c r="D9" s="89"/>
    </row>
    <row r="10" spans="2:4" ht="15" thickBot="1" x14ac:dyDescent="0.35">
      <c r="B10" s="106" t="s">
        <v>1674</v>
      </c>
      <c r="D10" s="86" t="s">
        <v>1672</v>
      </c>
    </row>
    <row r="11" spans="2:4" ht="15" thickBot="1" x14ac:dyDescent="0.35">
      <c r="B11" s="106"/>
      <c r="D11" s="89"/>
    </row>
    <row r="12" spans="2:4" ht="15" thickBot="1" x14ac:dyDescent="0.35">
      <c r="B12" s="106" t="s">
        <v>1488</v>
      </c>
      <c r="D12" s="86" t="s">
        <v>3045</v>
      </c>
    </row>
    <row r="13" spans="2:4" ht="15" thickBot="1" x14ac:dyDescent="0.35">
      <c r="B13" s="108"/>
      <c r="D13" s="87"/>
    </row>
    <row r="14" spans="2:4" ht="15" thickBot="1" x14ac:dyDescent="0.35">
      <c r="B14" s="106"/>
      <c r="D14" s="86" t="s">
        <v>3046</v>
      </c>
    </row>
    <row r="15" spans="2:4" ht="15" thickBot="1" x14ac:dyDescent="0.35">
      <c r="B15" s="106"/>
      <c r="D15" s="87"/>
    </row>
    <row r="16" spans="2:4" ht="15" thickBot="1" x14ac:dyDescent="0.35">
      <c r="B16" s="106" t="s">
        <v>1489</v>
      </c>
      <c r="D16" s="86" t="s">
        <v>3047</v>
      </c>
    </row>
    <row r="17" spans="2:4" ht="15" thickBot="1" x14ac:dyDescent="0.35">
      <c r="B17" s="108"/>
      <c r="D17" s="87"/>
    </row>
    <row r="18" spans="2:4" ht="15" thickBot="1" x14ac:dyDescent="0.35">
      <c r="B18" s="108"/>
      <c r="D18" s="86" t="s">
        <v>3048</v>
      </c>
    </row>
    <row r="19" spans="2:4" ht="15" thickBot="1" x14ac:dyDescent="0.35">
      <c r="B19" s="106"/>
      <c r="D19" s="87"/>
    </row>
    <row r="20" spans="2:4" ht="15" thickBot="1" x14ac:dyDescent="0.35">
      <c r="B20" s="106" t="s">
        <v>1490</v>
      </c>
      <c r="D20" s="86" t="s">
        <v>3049</v>
      </c>
    </row>
    <row r="21" spans="2:4" ht="15" thickBot="1" x14ac:dyDescent="0.35">
      <c r="B21" s="109"/>
      <c r="D21" s="87"/>
    </row>
    <row r="22" spans="2:4" ht="15" thickBot="1" x14ac:dyDescent="0.35">
      <c r="B22" s="106"/>
      <c r="D22" s="86" t="s">
        <v>3050</v>
      </c>
    </row>
    <row r="23" spans="2:4" ht="15" thickBot="1" x14ac:dyDescent="0.35">
      <c r="B23" s="106"/>
      <c r="D23" s="87"/>
    </row>
    <row r="24" spans="2:4" ht="15" thickBot="1" x14ac:dyDescent="0.35">
      <c r="B24" s="106" t="s">
        <v>1491</v>
      </c>
      <c r="D24" s="86" t="s">
        <v>3051</v>
      </c>
    </row>
    <row r="25" spans="2:4" ht="15" thickBot="1" x14ac:dyDescent="0.35">
      <c r="B25" s="109"/>
      <c r="D25" s="87"/>
    </row>
    <row r="26" spans="2:4" ht="15" thickBot="1" x14ac:dyDescent="0.35">
      <c r="B26" s="109"/>
      <c r="D26" s="86" t="s">
        <v>3052</v>
      </c>
    </row>
    <row r="27" spans="2:4" ht="15" thickBot="1" x14ac:dyDescent="0.35">
      <c r="B27" s="106"/>
      <c r="D27" s="87"/>
    </row>
    <row r="28" spans="2:4" ht="15" thickBot="1" x14ac:dyDescent="0.35">
      <c r="B28" s="106" t="s">
        <v>1492</v>
      </c>
      <c r="D28" s="86" t="s">
        <v>1485</v>
      </c>
    </row>
    <row r="29" spans="2:4" ht="15" thickBot="1" x14ac:dyDescent="0.35">
      <c r="B29" s="106"/>
      <c r="D29" s="87"/>
    </row>
    <row r="30" spans="2:4" ht="15" thickBot="1" x14ac:dyDescent="0.35">
      <c r="B30" s="109" t="s">
        <v>345</v>
      </c>
      <c r="D30" s="86" t="s">
        <v>1486</v>
      </c>
    </row>
    <row r="31" spans="2:4" ht="15" thickBot="1" x14ac:dyDescent="0.35">
      <c r="B31" s="109"/>
      <c r="D31" s="89"/>
    </row>
    <row r="32" spans="2:4" ht="15" thickBot="1" x14ac:dyDescent="0.35">
      <c r="B32" s="107" t="s">
        <v>1493</v>
      </c>
      <c r="C32" s="88"/>
      <c r="D32" s="86" t="s">
        <v>3053</v>
      </c>
    </row>
    <row r="33" spans="2:4" ht="15" thickBot="1" x14ac:dyDescent="0.35">
      <c r="B33" s="109"/>
      <c r="C33" s="88"/>
      <c r="D33" s="89"/>
    </row>
    <row r="34" spans="2:4" ht="15" thickBot="1" x14ac:dyDescent="0.35">
      <c r="B34" s="106"/>
      <c r="C34" s="88"/>
      <c r="D34" s="86" t="s">
        <v>3054</v>
      </c>
    </row>
    <row r="35" spans="2:4" ht="15" thickBot="1" x14ac:dyDescent="0.35">
      <c r="B35" s="106"/>
      <c r="C35" s="88"/>
      <c r="D35" s="89"/>
    </row>
    <row r="36" spans="2:4" ht="15" thickBot="1" x14ac:dyDescent="0.35">
      <c r="B36" s="106"/>
      <c r="C36" s="88"/>
      <c r="D36" s="86" t="s">
        <v>3055</v>
      </c>
    </row>
    <row r="37" spans="2:4" ht="15" thickBot="1" x14ac:dyDescent="0.35">
      <c r="B37" s="106"/>
      <c r="C37" s="88"/>
      <c r="D37" s="89"/>
    </row>
    <row r="38" spans="2:4" ht="15" thickBot="1" x14ac:dyDescent="0.35">
      <c r="B38" s="106"/>
      <c r="C38" s="88"/>
      <c r="D38" s="86">
        <v>2026</v>
      </c>
    </row>
    <row r="39" spans="2:4" ht="15" thickBot="1" x14ac:dyDescent="0.35">
      <c r="B39" s="106"/>
      <c r="C39" s="90"/>
      <c r="D39" s="91"/>
    </row>
    <row r="40" spans="2:4" ht="15" thickBot="1" x14ac:dyDescent="0.35">
      <c r="B40" s="109"/>
      <c r="C40" s="88"/>
      <c r="D40" s="86" t="s">
        <v>3056</v>
      </c>
    </row>
    <row r="41" spans="2:4" ht="15" thickBot="1" x14ac:dyDescent="0.35">
      <c r="B41" s="109"/>
      <c r="C41" s="88"/>
      <c r="D41" s="89"/>
    </row>
    <row r="42" spans="2:4" ht="15" thickBot="1" x14ac:dyDescent="0.35">
      <c r="B42" s="109"/>
      <c r="C42" s="88"/>
      <c r="D42" s="1259" t="s">
        <v>3057</v>
      </c>
    </row>
    <row r="43" spans="2:4" ht="15" thickBot="1" x14ac:dyDescent="0.35">
      <c r="B43" s="106"/>
      <c r="C43" s="88"/>
      <c r="D43" s="89"/>
    </row>
    <row r="44" spans="2:4" ht="15" thickBot="1" x14ac:dyDescent="0.35">
      <c r="B44" s="106"/>
      <c r="C44" s="88"/>
      <c r="D44" s="92">
        <v>46112</v>
      </c>
    </row>
    <row r="45" spans="2:4" ht="15" thickBot="1" x14ac:dyDescent="0.35">
      <c r="B45" s="109"/>
      <c r="C45" s="88"/>
      <c r="D45" s="93"/>
    </row>
    <row r="46" spans="2:4" ht="15" thickBot="1" x14ac:dyDescent="0.35">
      <c r="B46" s="106"/>
      <c r="C46" s="88"/>
      <c r="D46" s="86" t="s">
        <v>3058</v>
      </c>
    </row>
    <row r="47" spans="2:4" ht="15" thickBot="1" x14ac:dyDescent="0.35">
      <c r="B47" s="106"/>
      <c r="C47" s="88"/>
      <c r="D47" s="89"/>
    </row>
    <row r="48" spans="2:4" ht="15" thickBot="1" x14ac:dyDescent="0.35">
      <c r="B48" s="109"/>
      <c r="C48" s="88"/>
      <c r="D48" s="86" t="s">
        <v>3059</v>
      </c>
    </row>
    <row r="49" spans="2:4" ht="15" thickBot="1" x14ac:dyDescent="0.35">
      <c r="B49" s="106"/>
      <c r="C49" s="88"/>
      <c r="D49" s="87"/>
    </row>
    <row r="50" spans="2:4" ht="15" thickBot="1" x14ac:dyDescent="0.35">
      <c r="B50" s="107" t="s">
        <v>1494</v>
      </c>
      <c r="C50" s="88"/>
      <c r="D50" s="86" t="s">
        <v>3008</v>
      </c>
    </row>
    <row r="51" spans="2:4" ht="15" thickBot="1" x14ac:dyDescent="0.35">
      <c r="B51" s="107"/>
      <c r="C51" s="88"/>
      <c r="D51" s="87"/>
    </row>
    <row r="52" spans="2:4" ht="15" thickBot="1" x14ac:dyDescent="0.35">
      <c r="B52" s="110"/>
      <c r="C52" s="88"/>
      <c r="D52" s="86" t="s">
        <v>3021</v>
      </c>
    </row>
    <row r="53" spans="2:4" ht="15" thickBot="1" x14ac:dyDescent="0.35">
      <c r="B53" s="110"/>
      <c r="C53" s="88"/>
      <c r="D53" s="89"/>
    </row>
    <row r="54" spans="2:4" ht="15" thickBot="1" x14ac:dyDescent="0.35">
      <c r="B54" s="110"/>
      <c r="C54" s="88"/>
      <c r="D54" s="86" t="s">
        <v>3022</v>
      </c>
    </row>
    <row r="55" spans="2:4" ht="15" thickBot="1" x14ac:dyDescent="0.35">
      <c r="B55" s="110"/>
      <c r="C55" s="88"/>
      <c r="D55" s="89"/>
    </row>
    <row r="56" spans="2:4" ht="15" thickBot="1" x14ac:dyDescent="0.35">
      <c r="B56" s="110"/>
      <c r="C56" s="88"/>
      <c r="D56" s="86" t="s">
        <v>2856</v>
      </c>
    </row>
    <row r="57" spans="2:4" ht="15" thickBot="1" x14ac:dyDescent="0.35">
      <c r="B57" s="110"/>
      <c r="C57" s="88"/>
      <c r="D57" s="89"/>
    </row>
    <row r="58" spans="2:4" ht="15" thickBot="1" x14ac:dyDescent="0.35">
      <c r="B58" s="110"/>
      <c r="C58" s="88"/>
      <c r="D58" s="86" t="s">
        <v>2847</v>
      </c>
    </row>
    <row r="59" spans="2:4" ht="15" thickBot="1" x14ac:dyDescent="0.35">
      <c r="B59" s="110"/>
      <c r="C59" s="88"/>
      <c r="D59" s="89"/>
    </row>
    <row r="60" spans="2:4" ht="15" thickBot="1" x14ac:dyDescent="0.35">
      <c r="B60" s="110"/>
      <c r="C60" s="88"/>
      <c r="D60" s="86" t="s">
        <v>2786</v>
      </c>
    </row>
    <row r="61" spans="2:4" ht="15" thickBot="1" x14ac:dyDescent="0.35">
      <c r="B61" s="106"/>
      <c r="C61" s="88"/>
      <c r="D61" s="87"/>
    </row>
    <row r="62" spans="2:4" ht="15" thickBot="1" x14ac:dyDescent="0.35">
      <c r="B62" s="106"/>
      <c r="C62" s="88"/>
      <c r="D62" s="86">
        <v>2025</v>
      </c>
    </row>
    <row r="63" spans="2:4" ht="15" thickBot="1" x14ac:dyDescent="0.35">
      <c r="B63" s="106"/>
      <c r="C63" s="88"/>
      <c r="D63" s="89"/>
    </row>
    <row r="64" spans="2:4" ht="15" thickBot="1" x14ac:dyDescent="0.35">
      <c r="B64" s="106"/>
      <c r="C64" s="88"/>
      <c r="D64" s="86">
        <v>2024</v>
      </c>
    </row>
    <row r="65" spans="2:7" ht="15" thickBot="1" x14ac:dyDescent="0.35">
      <c r="B65" s="106"/>
      <c r="C65" s="88"/>
      <c r="D65" s="87"/>
    </row>
    <row r="66" spans="2:7" ht="15" thickBot="1" x14ac:dyDescent="0.35">
      <c r="B66" s="109"/>
      <c r="C66" s="88"/>
      <c r="D66" s="86" t="s">
        <v>3034</v>
      </c>
    </row>
    <row r="67" spans="2:7" ht="15" thickBot="1" x14ac:dyDescent="0.35">
      <c r="B67" s="109"/>
      <c r="C67" s="88"/>
      <c r="D67" s="89"/>
    </row>
    <row r="68" spans="2:7" ht="15" thickBot="1" x14ac:dyDescent="0.35">
      <c r="B68" s="109"/>
      <c r="C68" s="88"/>
      <c r="D68" s="86" t="s">
        <v>3060</v>
      </c>
    </row>
    <row r="69" spans="2:7" ht="15" thickBot="1" x14ac:dyDescent="0.35">
      <c r="B69" s="109"/>
      <c r="C69" s="88"/>
      <c r="D69" s="89"/>
    </row>
    <row r="70" spans="2:7" ht="15" thickBot="1" x14ac:dyDescent="0.35">
      <c r="B70" s="109"/>
      <c r="C70" s="88"/>
      <c r="D70" s="86" t="s">
        <v>3034</v>
      </c>
    </row>
    <row r="71" spans="2:7" ht="15" thickBot="1" x14ac:dyDescent="0.35">
      <c r="B71" s="106"/>
      <c r="C71" s="88"/>
      <c r="D71" s="87"/>
      <c r="E71" s="34"/>
      <c r="F71" s="34"/>
    </row>
    <row r="72" spans="2:7" ht="15" thickBot="1" x14ac:dyDescent="0.35">
      <c r="B72" s="106"/>
      <c r="C72" s="88"/>
      <c r="D72" s="92">
        <v>45747</v>
      </c>
      <c r="E72" s="94"/>
      <c r="F72" s="94"/>
    </row>
    <row r="73" spans="2:7" ht="15" thickBot="1" x14ac:dyDescent="0.35">
      <c r="B73" s="106"/>
      <c r="C73" s="88"/>
      <c r="D73" s="87"/>
      <c r="E73" s="95"/>
      <c r="F73" s="95"/>
    </row>
    <row r="74" spans="2:7" ht="15" thickBot="1" x14ac:dyDescent="0.35">
      <c r="B74" s="106"/>
      <c r="C74" s="88"/>
      <c r="D74" s="92" t="s">
        <v>3061</v>
      </c>
      <c r="E74" s="95"/>
      <c r="F74" s="95"/>
    </row>
    <row r="75" spans="2:7" ht="15" thickBot="1" x14ac:dyDescent="0.35">
      <c r="B75" s="106"/>
      <c r="C75" s="88"/>
      <c r="D75" s="87"/>
      <c r="E75" s="95"/>
      <c r="F75" s="95"/>
    </row>
    <row r="76" spans="2:7" ht="15" thickBot="1" x14ac:dyDescent="0.35">
      <c r="B76" s="106"/>
      <c r="C76" s="88"/>
      <c r="D76" s="92">
        <v>45382</v>
      </c>
      <c r="E76" s="96"/>
      <c r="F76" s="97"/>
    </row>
    <row r="77" spans="2:7" ht="15" thickBot="1" x14ac:dyDescent="0.35">
      <c r="B77" s="106"/>
      <c r="C77" s="88"/>
      <c r="D77" s="87"/>
      <c r="E77" s="96"/>
      <c r="F77" s="97"/>
    </row>
    <row r="78" spans="2:7" ht="15" thickBot="1" x14ac:dyDescent="0.35">
      <c r="B78" s="106"/>
      <c r="C78" s="88"/>
      <c r="D78" s="92">
        <v>45016</v>
      </c>
      <c r="E78" s="95"/>
      <c r="F78" s="94"/>
    </row>
    <row r="79" spans="2:7" ht="15" thickBot="1" x14ac:dyDescent="0.35">
      <c r="B79" s="106"/>
      <c r="C79" s="88"/>
      <c r="D79" s="87"/>
      <c r="E79" s="95"/>
      <c r="F79" s="95"/>
      <c r="G79" s="98"/>
    </row>
    <row r="80" spans="2:7" ht="15" thickBot="1" x14ac:dyDescent="0.35">
      <c r="B80" s="106"/>
      <c r="C80" s="88"/>
      <c r="D80" s="92">
        <v>45747</v>
      </c>
      <c r="E80" s="96"/>
    </row>
    <row r="81" spans="2:5" ht="15" thickBot="1" x14ac:dyDescent="0.35">
      <c r="B81" s="106"/>
      <c r="C81" s="88"/>
      <c r="D81" s="87"/>
      <c r="E81" s="99"/>
    </row>
    <row r="82" spans="2:5" ht="15" thickBot="1" x14ac:dyDescent="0.35">
      <c r="B82" s="106"/>
      <c r="C82" s="88"/>
      <c r="D82" s="86" t="s">
        <v>3009</v>
      </c>
      <c r="E82" s="99"/>
    </row>
    <row r="83" spans="2:5" ht="15" thickBot="1" x14ac:dyDescent="0.35">
      <c r="B83" s="109"/>
      <c r="C83" s="88"/>
      <c r="D83" s="87"/>
    </row>
    <row r="84" spans="2:5" ht="15" thickBot="1" x14ac:dyDescent="0.35">
      <c r="B84" s="109"/>
      <c r="C84" s="88"/>
      <c r="D84" s="86" t="s">
        <v>3062</v>
      </c>
    </row>
    <row r="85" spans="2:5" ht="15" thickBot="1" x14ac:dyDescent="0.35">
      <c r="B85" s="109"/>
      <c r="C85" s="88"/>
      <c r="D85" s="87"/>
    </row>
    <row r="86" spans="2:5" ht="15" thickBot="1" x14ac:dyDescent="0.35">
      <c r="B86" s="109"/>
      <c r="C86" s="88"/>
      <c r="D86" s="86" t="s">
        <v>3041</v>
      </c>
    </row>
    <row r="87" spans="2:5" ht="15" thickBot="1" x14ac:dyDescent="0.35">
      <c r="B87" s="106"/>
      <c r="C87" s="88"/>
      <c r="D87" s="87"/>
    </row>
    <row r="88" spans="2:5" ht="15" thickBot="1" x14ac:dyDescent="0.35">
      <c r="B88" s="106"/>
      <c r="C88" s="88"/>
      <c r="D88" s="86" t="s">
        <v>3063</v>
      </c>
    </row>
    <row r="89" spans="2:5" ht="15" thickBot="1" x14ac:dyDescent="0.35">
      <c r="B89" s="106"/>
      <c r="C89" s="88"/>
      <c r="D89" s="87"/>
    </row>
    <row r="90" spans="2:5" ht="15" thickBot="1" x14ac:dyDescent="0.35">
      <c r="B90" s="109"/>
      <c r="C90" s="88"/>
      <c r="D90" s="86" t="s">
        <v>2854</v>
      </c>
    </row>
    <row r="91" spans="2:5" ht="15" thickBot="1" x14ac:dyDescent="0.35">
      <c r="B91" s="109"/>
      <c r="C91" s="88"/>
      <c r="D91" s="87"/>
    </row>
    <row r="92" spans="2:5" ht="15" thickBot="1" x14ac:dyDescent="0.35">
      <c r="B92" s="109"/>
      <c r="C92" s="88"/>
      <c r="D92" s="86" t="s">
        <v>2871</v>
      </c>
    </row>
    <row r="93" spans="2:5" ht="15" thickBot="1" x14ac:dyDescent="0.35">
      <c r="B93" s="109"/>
      <c r="C93" s="88"/>
      <c r="D93" s="87"/>
    </row>
    <row r="94" spans="2:5" ht="15" thickBot="1" x14ac:dyDescent="0.35">
      <c r="B94" s="107" t="s">
        <v>1627</v>
      </c>
      <c r="C94" s="88"/>
      <c r="D94" s="100" t="s">
        <v>3064</v>
      </c>
    </row>
    <row r="95" spans="2:5" ht="15" thickBot="1" x14ac:dyDescent="0.35">
      <c r="B95" s="109"/>
      <c r="C95" s="88"/>
      <c r="D95" s="87"/>
    </row>
    <row r="96" spans="2:5" ht="15" thickBot="1" x14ac:dyDescent="0.35">
      <c r="B96" s="107" t="s">
        <v>1628</v>
      </c>
      <c r="C96" s="88"/>
      <c r="D96" s="100" t="s">
        <v>3065</v>
      </c>
    </row>
    <row r="97" spans="2:6" ht="15" thickBot="1" x14ac:dyDescent="0.35">
      <c r="B97" s="109"/>
      <c r="C97" s="88"/>
      <c r="D97" s="87"/>
    </row>
    <row r="98" spans="2:6" ht="15" thickBot="1" x14ac:dyDescent="0.35">
      <c r="B98" s="107" t="s">
        <v>2866</v>
      </c>
      <c r="C98" s="88"/>
      <c r="D98" s="100" t="s">
        <v>3066</v>
      </c>
    </row>
    <row r="99" spans="2:6" ht="15" thickBot="1" x14ac:dyDescent="0.35">
      <c r="B99" s="109"/>
      <c r="C99" s="88"/>
      <c r="D99" s="87"/>
    </row>
    <row r="100" spans="2:6" ht="15" thickBot="1" x14ac:dyDescent="0.35">
      <c r="B100" s="107" t="s">
        <v>2867</v>
      </c>
      <c r="C100" s="88"/>
      <c r="D100" s="100" t="s">
        <v>3067</v>
      </c>
    </row>
    <row r="101" spans="2:6" x14ac:dyDescent="0.3">
      <c r="B101" s="35"/>
    </row>
    <row r="102" spans="2:6" ht="14.4" thickBot="1" x14ac:dyDescent="0.35">
      <c r="B102" s="35"/>
    </row>
    <row r="103" spans="2:6" ht="15" thickBot="1" x14ac:dyDescent="0.35">
      <c r="B103" s="107" t="s">
        <v>1495</v>
      </c>
      <c r="C103" s="88"/>
      <c r="D103" s="100" t="s">
        <v>450</v>
      </c>
    </row>
    <row r="106" spans="2:6" ht="15.6" x14ac:dyDescent="0.3">
      <c r="B106" s="19" t="s">
        <v>211</v>
      </c>
      <c r="C106" s="9"/>
      <c r="D106" s="9"/>
      <c r="E106" s="9"/>
      <c r="F106" s="9"/>
    </row>
  </sheetData>
  <phoneticPr fontId="9" type="noConversion"/>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pageSetUpPr fitToPage="1"/>
  </sheetPr>
  <dimension ref="A1:W1085"/>
  <sheetViews>
    <sheetView view="pageBreakPreview" topLeftCell="A584" zoomScaleNormal="100" zoomScaleSheetLayoutView="100" workbookViewId="0">
      <selection activeCell="E574" sqref="E574:K574"/>
    </sheetView>
  </sheetViews>
  <sheetFormatPr defaultColWidth="9.109375" defaultRowHeight="13.8" x14ac:dyDescent="0.3"/>
  <cols>
    <col min="1" max="1" width="10.33203125" style="23" bestFit="1" customWidth="1"/>
    <col min="2" max="2" width="3" style="585" customWidth="1"/>
    <col min="3" max="4" width="2" style="585" customWidth="1"/>
    <col min="5" max="5" width="16.5546875" style="401" customWidth="1"/>
    <col min="6" max="6" width="14.6640625" style="401" customWidth="1"/>
    <col min="7" max="7" width="13.33203125" style="401" customWidth="1"/>
    <col min="8" max="8" width="12.44140625" style="401" customWidth="1"/>
    <col min="9" max="9" width="23.5546875" style="401" customWidth="1"/>
    <col min="10" max="10" width="14.5546875" style="401" bestFit="1" customWidth="1"/>
    <col min="11" max="11" width="15.6640625" style="401" bestFit="1" customWidth="1"/>
    <col min="12" max="12" width="12.5546875" style="23" customWidth="1"/>
    <col min="13" max="13" width="11.6640625" style="23" customWidth="1"/>
    <col min="14" max="14" width="14.5546875" style="23" customWidth="1"/>
    <col min="15" max="16" width="9.109375" style="23"/>
    <col min="17" max="17" width="10.6640625" style="23" customWidth="1"/>
    <col min="18" max="18" width="10.88671875" style="23" customWidth="1"/>
    <col min="19" max="19" width="18.33203125" style="23" customWidth="1"/>
    <col min="20" max="16384" width="9.109375" style="23"/>
  </cols>
  <sheetData>
    <row r="1" spans="1:17" x14ac:dyDescent="0.3">
      <c r="E1" s="401">
        <v>12.75</v>
      </c>
      <c r="F1" s="401">
        <f>$E1*F2</f>
        <v>25.5</v>
      </c>
      <c r="G1" s="401">
        <f t="shared" ref="G1:O1" si="0">$E1*G2</f>
        <v>38.25</v>
      </c>
      <c r="H1" s="401">
        <f t="shared" si="0"/>
        <v>51</v>
      </c>
      <c r="I1" s="401">
        <f t="shared" si="0"/>
        <v>63.75</v>
      </c>
      <c r="J1" s="401">
        <f t="shared" si="0"/>
        <v>76.5</v>
      </c>
      <c r="K1" s="401">
        <f t="shared" si="0"/>
        <v>89.25</v>
      </c>
      <c r="L1" s="1">
        <f t="shared" si="0"/>
        <v>102</v>
      </c>
      <c r="M1" s="1">
        <f t="shared" si="0"/>
        <v>114.75</v>
      </c>
      <c r="N1" s="1">
        <f t="shared" si="0"/>
        <v>127.5</v>
      </c>
      <c r="O1" s="1">
        <f t="shared" si="0"/>
        <v>140.25</v>
      </c>
      <c r="P1" s="1">
        <f>$C1*P2</f>
        <v>0</v>
      </c>
      <c r="Q1" s="1" t="s">
        <v>855</v>
      </c>
    </row>
    <row r="2" spans="1:17" x14ac:dyDescent="0.3">
      <c r="E2" s="401">
        <v>1</v>
      </c>
      <c r="F2" s="401">
        <v>2</v>
      </c>
      <c r="G2" s="401">
        <v>3</v>
      </c>
      <c r="H2" s="401">
        <v>4</v>
      </c>
      <c r="I2" s="401">
        <v>5</v>
      </c>
      <c r="J2" s="401">
        <v>6</v>
      </c>
      <c r="K2" s="401">
        <v>7</v>
      </c>
      <c r="L2" s="1">
        <v>8</v>
      </c>
      <c r="M2" s="1">
        <v>9</v>
      </c>
      <c r="N2" s="1">
        <v>10</v>
      </c>
      <c r="O2" s="1">
        <v>11</v>
      </c>
      <c r="P2" s="1">
        <v>12</v>
      </c>
      <c r="Q2" s="1" t="s">
        <v>526</v>
      </c>
    </row>
    <row r="4" spans="1:17" x14ac:dyDescent="0.3">
      <c r="B4" s="585">
        <v>2.29</v>
      </c>
      <c r="C4" s="585">
        <v>1.29</v>
      </c>
      <c r="D4" s="585">
        <v>1.29</v>
      </c>
      <c r="E4" s="401">
        <v>19.57</v>
      </c>
      <c r="F4" s="401">
        <v>10.43</v>
      </c>
      <c r="G4" s="401">
        <v>10.43</v>
      </c>
      <c r="H4" s="401">
        <v>7.29</v>
      </c>
      <c r="I4" s="401">
        <v>10.43</v>
      </c>
      <c r="J4" s="401">
        <v>10.43</v>
      </c>
      <c r="K4" s="401">
        <v>10.43</v>
      </c>
      <c r="L4" s="23" t="s">
        <v>854</v>
      </c>
    </row>
    <row r="5" spans="1:17" x14ac:dyDescent="0.3">
      <c r="A5" s="23" t="s">
        <v>448</v>
      </c>
      <c r="N5" s="23">
        <f>19.57-7.29</f>
        <v>12.280000000000001</v>
      </c>
    </row>
    <row r="6" spans="1:17" x14ac:dyDescent="0.3">
      <c r="A6" s="23" t="s">
        <v>448</v>
      </c>
      <c r="B6" s="467" t="str">
        <f>'Standing Data'!$D$4</f>
        <v>NAME OF COUNCIL</v>
      </c>
    </row>
    <row r="7" spans="1:17" x14ac:dyDescent="0.3">
      <c r="A7" s="23" t="s">
        <v>448</v>
      </c>
      <c r="B7" s="467" t="str">
        <f>'Standing Data'!$D$28</f>
        <v>Notes to the Financial Statements</v>
      </c>
    </row>
    <row r="8" spans="1:17" x14ac:dyDescent="0.3">
      <c r="A8" s="23" t="s">
        <v>448</v>
      </c>
      <c r="B8" s="467" t="str">
        <f>'Standing Data'!$D$32</f>
        <v>FOR THE YEAR ENDED 31 March 2026</v>
      </c>
    </row>
    <row r="9" spans="1:17" x14ac:dyDescent="0.3">
      <c r="A9" s="3" t="s">
        <v>448</v>
      </c>
    </row>
    <row r="10" spans="1:17" x14ac:dyDescent="0.3">
      <c r="A10" s="23" t="s">
        <v>448</v>
      </c>
      <c r="B10" s="585">
        <f>Checklist!E128</f>
        <v>25</v>
      </c>
      <c r="D10" s="474" t="s">
        <v>1548</v>
      </c>
      <c r="E10" s="474"/>
      <c r="F10" s="474"/>
      <c r="G10" s="474"/>
      <c r="H10" s="604"/>
      <c r="I10" s="604"/>
      <c r="J10" s="604"/>
      <c r="K10" s="604"/>
      <c r="L10" s="3"/>
    </row>
    <row r="11" spans="1:17" x14ac:dyDescent="0.3">
      <c r="A11" s="3" t="str">
        <f>IF(OR(A33="Print",A43="Print"),"Print","Do Not Print")</f>
        <v>Do Not Print</v>
      </c>
      <c r="B11" s="401"/>
      <c r="C11" s="585" t="str">
        <f>Checklist!E129</f>
        <v>a</v>
      </c>
      <c r="D11" s="474" t="s">
        <v>803</v>
      </c>
      <c r="E11" s="474"/>
      <c r="F11" s="474"/>
      <c r="G11" s="474"/>
      <c r="H11" s="604"/>
      <c r="I11" s="604"/>
      <c r="J11" s="604"/>
      <c r="K11" s="604"/>
    </row>
    <row r="12" spans="1:17" x14ac:dyDescent="0.3">
      <c r="A12" s="3" t="str">
        <f>IF(A11="Print","Print","Do Not Print")</f>
        <v>Do Not Print</v>
      </c>
      <c r="D12" s="401"/>
    </row>
    <row r="13" spans="1:17" ht="25.5" customHeight="1" x14ac:dyDescent="0.3">
      <c r="A13" s="3" t="str">
        <f>IF(AND(J33=0,K33=0),"Do Not Print","Print")</f>
        <v>Do Not Print</v>
      </c>
      <c r="D13" s="1764" t="s">
        <v>2952</v>
      </c>
      <c r="E13" s="1764"/>
      <c r="F13" s="1764"/>
      <c r="G13" s="1764"/>
      <c r="H13" s="1500"/>
      <c r="I13" s="486" t="s">
        <v>343</v>
      </c>
      <c r="J13" s="586" t="str">
        <f>'Standing Data'!D34</f>
        <v>2025/26</v>
      </c>
      <c r="K13" s="936" t="str">
        <f>'Standing Data'!D52</f>
        <v>2024/25</v>
      </c>
    </row>
    <row r="14" spans="1:17" x14ac:dyDescent="0.3">
      <c r="A14" s="3" t="str">
        <f>IF(A13="Print","Print","Do Not Print")</f>
        <v>Do Not Print</v>
      </c>
      <c r="D14" s="2033"/>
      <c r="E14" s="2033"/>
      <c r="F14" s="2033"/>
      <c r="G14" s="2033"/>
      <c r="H14" s="2033"/>
      <c r="I14" s="599"/>
      <c r="J14" s="648" t="s">
        <v>450</v>
      </c>
      <c r="K14" s="648" t="s">
        <v>450</v>
      </c>
    </row>
    <row r="15" spans="1:17" x14ac:dyDescent="0.3">
      <c r="A15" s="3" t="str">
        <f>IF(AND(K15=0,J15=0),"Do Not Print","Print")</f>
        <v>Do Not Print</v>
      </c>
      <c r="D15" s="2033" t="s">
        <v>804</v>
      </c>
      <c r="E15" s="2012"/>
      <c r="F15" s="2012"/>
      <c r="G15" s="2012"/>
      <c r="H15" s="2012"/>
      <c r="I15" s="599">
        <v>11</v>
      </c>
      <c r="J15" s="601">
        <f>'Notes 3 to 10'!G96</f>
        <v>0</v>
      </c>
      <c r="K15" s="601">
        <f>'Notes 3 to 10'!I96</f>
        <v>0</v>
      </c>
    </row>
    <row r="16" spans="1:17" ht="25.5" customHeight="1" x14ac:dyDescent="0.3">
      <c r="A16" s="3" t="str">
        <f t="shared" ref="A16:A32" si="1">IF(AND(K16=0,J16=0),"Do Not Print","Print")</f>
        <v>Do Not Print</v>
      </c>
      <c r="D16" s="2033" t="s">
        <v>805</v>
      </c>
      <c r="E16" s="2033"/>
      <c r="F16" s="2033"/>
      <c r="G16" s="2033"/>
      <c r="H16" s="2033"/>
      <c r="I16" s="599">
        <v>11</v>
      </c>
      <c r="J16" s="601">
        <f>'Notes 3 to 10'!G93+'Notes 3 to 10'!G94+'Notes 3 to 10'!G95</f>
        <v>0</v>
      </c>
      <c r="K16" s="600">
        <f>SUM('Notes 3 to 10'!I93:I95)</f>
        <v>0</v>
      </c>
    </row>
    <row r="17" spans="1:17" ht="12.75" customHeight="1" x14ac:dyDescent="0.3">
      <c r="A17" s="3" t="str">
        <f t="shared" si="1"/>
        <v>Do Not Print</v>
      </c>
      <c r="D17" s="2033" t="s">
        <v>806</v>
      </c>
      <c r="E17" s="2033"/>
      <c r="F17" s="2033"/>
      <c r="G17" s="2033"/>
      <c r="H17" s="2033"/>
      <c r="I17" s="599"/>
      <c r="J17" s="601">
        <v>0</v>
      </c>
      <c r="K17" s="600">
        <v>0</v>
      </c>
    </row>
    <row r="18" spans="1:17" ht="12.75" customHeight="1" x14ac:dyDescent="0.3">
      <c r="A18" s="3" t="str">
        <f t="shared" si="1"/>
        <v>Do Not Print</v>
      </c>
      <c r="D18" s="2033" t="s">
        <v>2583</v>
      </c>
      <c r="E18" s="2033"/>
      <c r="F18" s="2033"/>
      <c r="G18" s="2033"/>
      <c r="H18" s="2033"/>
      <c r="I18" s="599"/>
      <c r="J18" s="601">
        <f>'Non TB - Note 25 to end'!H2</f>
        <v>0</v>
      </c>
      <c r="K18" s="601">
        <f>'Non TB - Note 25 to end'!I2</f>
        <v>0</v>
      </c>
      <c r="P18" s="3"/>
      <c r="Q18" s="3"/>
    </row>
    <row r="19" spans="1:17" ht="12.75" customHeight="1" x14ac:dyDescent="0.3">
      <c r="A19" s="3" t="str">
        <f t="shared" si="1"/>
        <v>Do Not Print</v>
      </c>
      <c r="D19" s="2033" t="s">
        <v>807</v>
      </c>
      <c r="E19" s="2033"/>
      <c r="F19" s="2033"/>
      <c r="G19" s="2033"/>
      <c r="H19" s="2033"/>
      <c r="I19" s="599"/>
      <c r="J19" s="601">
        <f>'Non TB - Note 25 to end'!H3</f>
        <v>0</v>
      </c>
      <c r="K19" s="601">
        <f>'Non TB - Note 25 to end'!I3</f>
        <v>0</v>
      </c>
      <c r="P19" s="3"/>
      <c r="Q19" s="3"/>
    </row>
    <row r="20" spans="1:17" ht="12.75" customHeight="1" x14ac:dyDescent="0.3">
      <c r="A20" s="3" t="str">
        <f t="shared" si="1"/>
        <v>Do Not Print</v>
      </c>
      <c r="D20" s="2033" t="s">
        <v>2953</v>
      </c>
      <c r="E20" s="2033"/>
      <c r="F20" s="2033"/>
      <c r="G20" s="2033"/>
      <c r="H20" s="2033"/>
      <c r="I20" s="599"/>
      <c r="J20" s="601">
        <f>'Non TB - Note 25 to end'!H4</f>
        <v>0</v>
      </c>
      <c r="K20" s="601">
        <f>'Non TB - Note 25 to end'!I4</f>
        <v>0</v>
      </c>
      <c r="P20" s="3"/>
      <c r="Q20" s="3"/>
    </row>
    <row r="21" spans="1:17" ht="12.75" customHeight="1" x14ac:dyDescent="0.3">
      <c r="A21" s="3" t="str">
        <f t="shared" si="1"/>
        <v>Do Not Print</v>
      </c>
      <c r="D21" s="2033" t="s">
        <v>808</v>
      </c>
      <c r="E21" s="2033"/>
      <c r="F21" s="2033"/>
      <c r="G21" s="2033"/>
      <c r="H21" s="2033"/>
      <c r="I21" s="599"/>
      <c r="J21" s="601">
        <f>'Non TB - Note 25 to end'!H5</f>
        <v>0</v>
      </c>
      <c r="K21" s="601">
        <f>'Non TB - Note 25 to end'!I5</f>
        <v>0</v>
      </c>
      <c r="P21" s="3"/>
      <c r="Q21" s="3"/>
    </row>
    <row r="22" spans="1:17" ht="12.75" customHeight="1" x14ac:dyDescent="0.3">
      <c r="A22" s="3" t="str">
        <f t="shared" si="1"/>
        <v>Do Not Print</v>
      </c>
      <c r="D22" s="2033" t="s">
        <v>809</v>
      </c>
      <c r="E22" s="2033"/>
      <c r="F22" s="2033"/>
      <c r="G22" s="2033"/>
      <c r="H22" s="2033"/>
      <c r="I22" s="599"/>
      <c r="J22" s="601">
        <f>'Non TB - Note 25 to end'!H6</f>
        <v>0</v>
      </c>
      <c r="K22" s="601">
        <f>'Non TB - Note 25 to end'!I6</f>
        <v>0</v>
      </c>
    </row>
    <row r="23" spans="1:17" x14ac:dyDescent="0.3">
      <c r="A23" s="3" t="str">
        <f t="shared" si="1"/>
        <v>Do Not Print</v>
      </c>
      <c r="C23" s="402"/>
      <c r="D23" s="2033" t="s">
        <v>810</v>
      </c>
      <c r="E23" s="2033"/>
      <c r="F23" s="2033"/>
      <c r="G23" s="2033"/>
      <c r="H23" s="2033"/>
      <c r="I23" s="599">
        <v>20</v>
      </c>
      <c r="J23" s="600">
        <f>'Notes 3 to 10'!H101+'Notes 3 to 10'!H102</f>
        <v>0</v>
      </c>
      <c r="K23" s="600">
        <f>'Notes 3 to 10'!J101+'Notes 3 to 10'!J102</f>
        <v>0</v>
      </c>
    </row>
    <row r="24" spans="1:17" ht="12.75" customHeight="1" x14ac:dyDescent="0.3">
      <c r="A24" s="3" t="str">
        <f t="shared" si="1"/>
        <v>Do Not Print</v>
      </c>
      <c r="D24" s="2033" t="s">
        <v>811</v>
      </c>
      <c r="E24" s="2033"/>
      <c r="F24" s="2033"/>
      <c r="G24" s="2033"/>
      <c r="H24" s="2033"/>
      <c r="I24" s="599">
        <v>8</v>
      </c>
      <c r="J24" s="601">
        <f>+('Notes 3 to 10'!G98)</f>
        <v>0</v>
      </c>
      <c r="K24" s="601">
        <f>+('Notes 3 to 10'!I98)</f>
        <v>0</v>
      </c>
    </row>
    <row r="25" spans="1:17" ht="12.75" customHeight="1" x14ac:dyDescent="0.3">
      <c r="A25" s="3" t="str">
        <f t="shared" si="1"/>
        <v>Do Not Print</v>
      </c>
      <c r="D25" s="2033" t="s">
        <v>812</v>
      </c>
      <c r="E25" s="2033"/>
      <c r="F25" s="2033"/>
      <c r="G25" s="2033"/>
      <c r="H25" s="2033"/>
      <c r="I25" s="599">
        <v>11</v>
      </c>
      <c r="J25" s="600">
        <f>'Notes 3 to 10'!G94</f>
        <v>0</v>
      </c>
      <c r="K25" s="600">
        <f>'Notes 3 to 10'!I94</f>
        <v>0</v>
      </c>
    </row>
    <row r="26" spans="1:17" ht="12.75" customHeight="1" x14ac:dyDescent="0.3">
      <c r="A26" s="3" t="str">
        <f t="shared" si="1"/>
        <v>Do Not Print</v>
      </c>
      <c r="D26" s="2033" t="s">
        <v>813</v>
      </c>
      <c r="E26" s="2033"/>
      <c r="F26" s="2033"/>
      <c r="G26" s="2033"/>
      <c r="H26" s="2033"/>
      <c r="I26" s="599"/>
      <c r="J26" s="601">
        <f>'Non TB - Note 25 to end'!H8</f>
        <v>0</v>
      </c>
      <c r="K26" s="601">
        <f>'Non TB - Note 25 to end'!I8</f>
        <v>0</v>
      </c>
      <c r="M26" s="3"/>
    </row>
    <row r="27" spans="1:17" ht="38.1" customHeight="1" x14ac:dyDescent="0.3">
      <c r="A27" s="3" t="str">
        <f t="shared" si="1"/>
        <v>Do Not Print</v>
      </c>
      <c r="D27" s="2033" t="s">
        <v>814</v>
      </c>
      <c r="E27" s="2033"/>
      <c r="F27" s="2033"/>
      <c r="G27" s="2033"/>
      <c r="H27" s="2033"/>
      <c r="I27" s="599"/>
      <c r="J27" s="601">
        <f>'Non TB - Note 25 to end'!H7</f>
        <v>0</v>
      </c>
      <c r="K27" s="601">
        <f>'Non TB - Note 25 to end'!I7</f>
        <v>0</v>
      </c>
    </row>
    <row r="28" spans="1:17" ht="12.75" customHeight="1" x14ac:dyDescent="0.3">
      <c r="A28" s="3" t="str">
        <f t="shared" si="1"/>
        <v>Do Not Print</v>
      </c>
      <c r="D28" s="2033" t="s">
        <v>815</v>
      </c>
      <c r="E28" s="2033"/>
      <c r="F28" s="2033"/>
      <c r="G28" s="2033"/>
      <c r="H28" s="2033"/>
      <c r="I28" s="599">
        <v>21</v>
      </c>
      <c r="J28" s="600">
        <f>'Notes 11c to 24'!J1272</f>
        <v>0</v>
      </c>
      <c r="K28" s="600">
        <f>'Notes 11c to 24'!K1272</f>
        <v>0</v>
      </c>
    </row>
    <row r="29" spans="1:17" ht="12.75" customHeight="1" x14ac:dyDescent="0.3">
      <c r="A29" s="3" t="str">
        <f t="shared" si="1"/>
        <v>Do Not Print</v>
      </c>
      <c r="D29" s="2037" t="s">
        <v>2692</v>
      </c>
      <c r="E29" s="2037"/>
      <c r="F29" s="2037"/>
      <c r="G29" s="2037"/>
      <c r="H29" s="2037"/>
      <c r="I29" s="1225"/>
      <c r="J29" s="1234">
        <f>'Non TB - Note 25 to end'!H9</f>
        <v>0</v>
      </c>
      <c r="K29" s="1234">
        <f>'Non TB - Note 25 to end'!I9</f>
        <v>0</v>
      </c>
    </row>
    <row r="30" spans="1:17" ht="12.75" customHeight="1" x14ac:dyDescent="0.3">
      <c r="A30" s="3" t="str">
        <f t="shared" si="1"/>
        <v>Do Not Print</v>
      </c>
      <c r="D30" s="2037" t="s">
        <v>2363</v>
      </c>
      <c r="E30" s="2037"/>
      <c r="F30" s="2037"/>
      <c r="G30" s="2037"/>
      <c r="H30" s="2037"/>
      <c r="I30" s="1225"/>
      <c r="J30" s="1234">
        <f>'Non TB - Note 25 to end'!H10</f>
        <v>0</v>
      </c>
      <c r="K30" s="1234">
        <f>'Non TB - Note 25 to end'!I10</f>
        <v>0</v>
      </c>
    </row>
    <row r="31" spans="1:17" ht="12.75" customHeight="1" x14ac:dyDescent="0.3">
      <c r="A31" s="3" t="str">
        <f t="shared" si="1"/>
        <v>Do Not Print</v>
      </c>
      <c r="D31" s="2037" t="s">
        <v>2364</v>
      </c>
      <c r="E31" s="2037"/>
      <c r="F31" s="2037"/>
      <c r="G31" s="2037"/>
      <c r="H31" s="2037"/>
      <c r="I31" s="1225"/>
      <c r="J31" s="1234">
        <f>'Non TB - Note 25 to end'!H11</f>
        <v>0</v>
      </c>
      <c r="K31" s="1234">
        <f>'Non TB - Note 25 to end'!I11</f>
        <v>0</v>
      </c>
    </row>
    <row r="32" spans="1:17" ht="12.75" customHeight="1" x14ac:dyDescent="0.3">
      <c r="A32" s="3" t="str">
        <f t="shared" si="1"/>
        <v>Do Not Print</v>
      </c>
      <c r="D32" s="2037" t="s">
        <v>2693</v>
      </c>
      <c r="E32" s="2037"/>
      <c r="F32" s="2037"/>
      <c r="G32" s="2037"/>
      <c r="H32" s="2037"/>
      <c r="I32" s="1225"/>
      <c r="J32" s="1234">
        <f>'Non TB - Note 25 to end'!H12</f>
        <v>0</v>
      </c>
      <c r="K32" s="1234">
        <f>'Non TB - Note 25 to end'!I12</f>
        <v>0</v>
      </c>
    </row>
    <row r="33" spans="1:16" x14ac:dyDescent="0.3">
      <c r="A33" s="3" t="str">
        <f>IF(AND(K33=0,J33=0),"Do Not Print","Print")</f>
        <v>Do Not Print</v>
      </c>
      <c r="D33" s="649"/>
      <c r="E33" s="605"/>
      <c r="F33" s="605"/>
      <c r="G33" s="605"/>
      <c r="H33" s="650"/>
      <c r="I33" s="651"/>
      <c r="J33" s="606">
        <f>SUM(J15:J32)</f>
        <v>0</v>
      </c>
      <c r="K33" s="606">
        <f>SUM(K15:K32)</f>
        <v>0</v>
      </c>
    </row>
    <row r="34" spans="1:16" x14ac:dyDescent="0.3">
      <c r="A34" s="3" t="str">
        <f>IF(A33="Print","Print","Do Not Print")</f>
        <v>Do Not Print</v>
      </c>
      <c r="C34" s="402"/>
      <c r="D34" s="2036"/>
      <c r="E34" s="2036"/>
      <c r="F34" s="2036"/>
      <c r="G34" s="2036"/>
      <c r="H34" s="2036"/>
      <c r="I34" s="2036"/>
      <c r="J34" s="2036"/>
      <c r="K34" s="2036"/>
    </row>
    <row r="35" spans="1:16" x14ac:dyDescent="0.3">
      <c r="A35" s="3" t="str">
        <f>IF(A34="Print","Print","Do Not Print")</f>
        <v>Do Not Print</v>
      </c>
      <c r="D35" s="1501"/>
      <c r="E35" s="1501"/>
      <c r="F35" s="1501"/>
      <c r="G35" s="1501"/>
      <c r="H35" s="1501"/>
      <c r="I35" s="1501"/>
      <c r="J35" s="1501"/>
      <c r="K35" s="1501"/>
    </row>
    <row r="36" spans="1:16" ht="25.5" customHeight="1" x14ac:dyDescent="0.3">
      <c r="A36" s="3" t="str">
        <f>IF(AND(J43=0,K43=0),"Do Not Print","Print")</f>
        <v>Do Not Print</v>
      </c>
      <c r="D36" s="2035" t="s">
        <v>816</v>
      </c>
      <c r="E36" s="2035"/>
      <c r="F36" s="2035"/>
      <c r="G36" s="2035"/>
      <c r="H36" s="2035"/>
      <c r="I36" s="486" t="s">
        <v>343</v>
      </c>
      <c r="J36" s="586" t="str">
        <f>J13</f>
        <v>2025/26</v>
      </c>
      <c r="K36" s="936" t="str">
        <f>'Standing Data'!D52</f>
        <v>2024/25</v>
      </c>
    </row>
    <row r="37" spans="1:16" x14ac:dyDescent="0.3">
      <c r="A37" s="3" t="str">
        <f>IF(A36="Print","Print","Do Not Print")</f>
        <v>Do Not Print</v>
      </c>
      <c r="D37" s="2033"/>
      <c r="E37" s="2033"/>
      <c r="F37" s="2033"/>
      <c r="G37" s="2033"/>
      <c r="H37" s="2033"/>
      <c r="I37" s="599"/>
      <c r="J37" s="648" t="s">
        <v>450</v>
      </c>
      <c r="K37" s="648" t="s">
        <v>450</v>
      </c>
    </row>
    <row r="38" spans="1:16" ht="41.1" customHeight="1" x14ac:dyDescent="0.3">
      <c r="A38" s="3" t="str">
        <f>IF(AND(K38=0,J38=0),"Do Not Print","Print")</f>
        <v>Do Not Print</v>
      </c>
      <c r="D38" s="2033" t="s">
        <v>817</v>
      </c>
      <c r="E38" s="2033"/>
      <c r="F38" s="2033"/>
      <c r="G38" s="2033"/>
      <c r="H38" s="2033"/>
      <c r="I38" s="599"/>
      <c r="J38" s="601">
        <f>'Non TB - Note 25 to end'!H13</f>
        <v>0</v>
      </c>
      <c r="K38" s="601">
        <f>'Non TB - Note 25 to end'!I13</f>
        <v>0</v>
      </c>
    </row>
    <row r="39" spans="1:16" ht="40.049999999999997" customHeight="1" x14ac:dyDescent="0.3">
      <c r="A39" s="3" t="str">
        <f>IF(AND(K39=0,J39=0),"Do Not Print","Print")</f>
        <v>Do Not Print</v>
      </c>
      <c r="D39" s="2033" t="s">
        <v>818</v>
      </c>
      <c r="E39" s="2033"/>
      <c r="F39" s="2033"/>
      <c r="G39" s="2033"/>
      <c r="H39" s="2033"/>
      <c r="I39" s="599"/>
      <c r="J39" s="601">
        <f>'Non TB - Note 25 to end'!H14</f>
        <v>0</v>
      </c>
      <c r="K39" s="601">
        <f>'Non TB - Note 25 to end'!I14</f>
        <v>0</v>
      </c>
    </row>
    <row r="40" spans="1:16" ht="27" customHeight="1" x14ac:dyDescent="0.3">
      <c r="A40" s="3" t="str">
        <f>IF(AND(K40=0,J40=0),"Do Not Print","Print")</f>
        <v>Do Not Print</v>
      </c>
      <c r="D40" s="2033" t="s">
        <v>567</v>
      </c>
      <c r="E40" s="2033"/>
      <c r="F40" s="2033"/>
      <c r="G40" s="2033"/>
      <c r="H40" s="2033"/>
      <c r="I40" s="599"/>
      <c r="J40" s="601">
        <f>'Notes 3 to 10'!G99</f>
        <v>0</v>
      </c>
      <c r="K40" s="601">
        <f>'Notes 3 to 10'!I99</f>
        <v>0</v>
      </c>
    </row>
    <row r="41" spans="1:16" ht="27.75" customHeight="1" x14ac:dyDescent="0.3">
      <c r="A41" s="3" t="str">
        <f>IF(AND(K41=0,J41=0),"Do Not Print","Print")</f>
        <v>Do Not Print</v>
      </c>
      <c r="D41" s="2033" t="s">
        <v>51</v>
      </c>
      <c r="E41" s="2033"/>
      <c r="F41" s="2033"/>
      <c r="G41" s="2033"/>
      <c r="H41" s="2033"/>
      <c r="I41" s="599"/>
      <c r="J41" s="601">
        <f>'Non TB - Note 25 to end'!H15</f>
        <v>0</v>
      </c>
      <c r="K41" s="601">
        <f>'Non TB - Note 25 to end'!I15</f>
        <v>0</v>
      </c>
      <c r="P41" s="3"/>
    </row>
    <row r="42" spans="1:16" x14ac:dyDescent="0.3">
      <c r="A42" s="3" t="str">
        <f>IF(A41="Print","Print","Do Not Print")</f>
        <v>Do Not Print</v>
      </c>
      <c r="D42" s="2033"/>
      <c r="E42" s="2033"/>
      <c r="F42" s="2033"/>
      <c r="G42" s="2033"/>
      <c r="H42" s="2033"/>
      <c r="I42" s="599"/>
      <c r="J42" s="600"/>
      <c r="K42" s="600"/>
    </row>
    <row r="43" spans="1:16" x14ac:dyDescent="0.3">
      <c r="A43" s="3" t="str">
        <f>IF(AND(K43=0,J43=0),"Do Not Print","Print")</f>
        <v>Do Not Print</v>
      </c>
      <c r="D43" s="479"/>
      <c r="E43" s="479"/>
      <c r="F43" s="479"/>
      <c r="G43" s="479"/>
      <c r="H43" s="604"/>
      <c r="I43" s="633"/>
      <c r="J43" s="617">
        <f>SUM(J38:J41)</f>
        <v>0</v>
      </c>
      <c r="K43" s="617">
        <f>SUM(K38:K41)</f>
        <v>0</v>
      </c>
    </row>
    <row r="44" spans="1:16" x14ac:dyDescent="0.3">
      <c r="A44" s="3" t="str">
        <f>IF(A43="Print","Print","Do Not Print")</f>
        <v>Do Not Print</v>
      </c>
      <c r="D44" s="1500"/>
      <c r="E44" s="1500"/>
      <c r="F44" s="1500"/>
      <c r="G44" s="1500"/>
      <c r="H44" s="1500"/>
      <c r="I44" s="1500"/>
      <c r="J44" s="1500"/>
      <c r="K44" s="1500"/>
    </row>
    <row r="45" spans="1:16" x14ac:dyDescent="0.3">
      <c r="A45" s="3" t="str">
        <f>IF(A43="Print","Print","Do Not Print")</f>
        <v>Do Not Print</v>
      </c>
      <c r="D45" s="1500"/>
      <c r="E45" s="1500"/>
      <c r="F45" s="1500"/>
      <c r="G45" s="1500"/>
      <c r="H45" s="1500"/>
      <c r="I45" s="1500"/>
      <c r="J45" s="1500"/>
      <c r="K45" s="1500"/>
    </row>
    <row r="46" spans="1:16" x14ac:dyDescent="0.3">
      <c r="A46" s="3" t="str">
        <f>IF(OR(A48="Print",A58="Print"),"Print","Do Not Print")</f>
        <v>Print</v>
      </c>
      <c r="C46" s="585" t="str">
        <f>Checklist!E130</f>
        <v>b</v>
      </c>
      <c r="D46" s="474" t="str">
        <f>Checklist!C130</f>
        <v>Cash and Cash Equivalents</v>
      </c>
      <c r="E46" s="474"/>
      <c r="F46" s="474"/>
      <c r="G46" s="474"/>
      <c r="H46" s="604"/>
      <c r="I46" s="604"/>
      <c r="J46" s="604"/>
      <c r="K46" s="604"/>
    </row>
    <row r="47" spans="1:16" x14ac:dyDescent="0.3">
      <c r="A47" s="3" t="str">
        <f>IF(A46="Print","Print","Do Not Print")</f>
        <v>Print</v>
      </c>
      <c r="D47" s="1726"/>
      <c r="E47" s="1726"/>
      <c r="F47" s="1726"/>
      <c r="G47" s="1726"/>
      <c r="H47" s="1726"/>
      <c r="I47" s="1726"/>
      <c r="J47" s="1726"/>
      <c r="K47" s="1726"/>
    </row>
    <row r="48" spans="1:16" ht="56.25" customHeight="1" x14ac:dyDescent="0.3">
      <c r="A48" s="3" t="str">
        <f>IF('Non TB - Note 25 to end'!F26=1,"Print","Do Not Print")</f>
        <v>Print</v>
      </c>
      <c r="D48" s="1512" t="str">
        <f>IF('Non TB - Note 25 to end'!F26=1,'Non TB - Note 25 to end'!H26,"")</f>
        <v>For the purposes of the cash flow statement, cash and cash equivalents include cash on hand and in bank and short term deposits and investments (considered to be cash equivalents), net of outstanding bank overdrafts. Cash and cash equivalents at the end of the reporting period as shown in the statement of cash flows can be reconciled to the related items in the Balance Sheet as follows:</v>
      </c>
      <c r="E48" s="1542"/>
      <c r="F48" s="1542"/>
      <c r="G48" s="1542"/>
      <c r="H48" s="1542"/>
      <c r="I48" s="1542"/>
      <c r="J48" s="1542"/>
      <c r="K48" s="1542"/>
    </row>
    <row r="49" spans="1:11" x14ac:dyDescent="0.3">
      <c r="A49" s="3" t="str">
        <f>IF(A48="Print","Print","Do Not Print")</f>
        <v>Print</v>
      </c>
      <c r="D49" s="1500"/>
      <c r="E49" s="1500"/>
      <c r="F49" s="1500"/>
      <c r="G49" s="1500"/>
      <c r="H49" s="1500"/>
      <c r="I49" s="1500"/>
      <c r="J49" s="1500"/>
      <c r="K49" s="1500"/>
    </row>
    <row r="50" spans="1:11" x14ac:dyDescent="0.3">
      <c r="A50" s="3" t="str">
        <f>IF(AND(J58=0,K58=0),"Do Not Print","Print")</f>
        <v>Do Not Print</v>
      </c>
      <c r="D50" s="474"/>
      <c r="E50" s="474"/>
      <c r="F50" s="474"/>
      <c r="G50" s="474"/>
      <c r="H50" s="604"/>
      <c r="I50" s="586" t="str">
        <f>J13</f>
        <v>2025/26</v>
      </c>
      <c r="J50" s="936" t="str">
        <f>'Standing Data'!D52</f>
        <v>2024/25</v>
      </c>
      <c r="K50" s="936" t="str">
        <f>'Standing Data'!D56</f>
        <v>2023/24</v>
      </c>
    </row>
    <row r="51" spans="1:11" x14ac:dyDescent="0.3">
      <c r="A51" s="3" t="str">
        <f>IF(A50="Print","Print","Do Not Print")</f>
        <v>Do Not Print</v>
      </c>
      <c r="D51" s="2038"/>
      <c r="E51" s="2039"/>
      <c r="F51" s="2039"/>
      <c r="G51" s="2039"/>
      <c r="H51" s="2040"/>
      <c r="I51" s="648" t="s">
        <v>450</v>
      </c>
      <c r="J51" s="648" t="s">
        <v>450</v>
      </c>
      <c r="K51" s="648" t="s">
        <v>450</v>
      </c>
    </row>
    <row r="52" spans="1:11" x14ac:dyDescent="0.3">
      <c r="A52" s="3" t="str">
        <f>IF(A50="Print","Print","Do Not Print")</f>
        <v>Do Not Print</v>
      </c>
      <c r="D52" s="2038"/>
      <c r="E52" s="2039"/>
      <c r="F52" s="2039"/>
      <c r="G52" s="2039"/>
      <c r="H52" s="2040"/>
      <c r="I52" s="610"/>
      <c r="J52" s="610"/>
      <c r="K52" s="610"/>
    </row>
    <row r="53" spans="1:11" ht="13.5" customHeight="1" x14ac:dyDescent="0.3">
      <c r="A53" s="3" t="str">
        <f>IF(AND(J53=0,K53=0),"Do Not Print","Print")</f>
        <v>Do Not Print</v>
      </c>
      <c r="D53" s="2056" t="s">
        <v>53</v>
      </c>
      <c r="E53" s="2057"/>
      <c r="F53" s="2057"/>
      <c r="G53" s="2057"/>
      <c r="H53" s="2058"/>
      <c r="I53" s="600">
        <f>'Det BS '!J362</f>
        <v>0</v>
      </c>
      <c r="J53" s="600">
        <f>'Det BS '!K362</f>
        <v>0</v>
      </c>
      <c r="K53" s="600">
        <f>'Det BS '!L362</f>
        <v>0</v>
      </c>
    </row>
    <row r="54" spans="1:11" ht="14.55" customHeight="1" x14ac:dyDescent="0.3">
      <c r="A54" s="3" t="str">
        <f>IF(AND(J54=0,K54=0),"Do Not Print","Print")</f>
        <v>Do Not Print</v>
      </c>
      <c r="D54" s="2056" t="s">
        <v>536</v>
      </c>
      <c r="E54" s="2057"/>
      <c r="F54" s="2057"/>
      <c r="G54" s="2057"/>
      <c r="H54" s="2058"/>
      <c r="I54" s="600">
        <f>'Det BS '!J363</f>
        <v>0</v>
      </c>
      <c r="J54" s="600">
        <f>'Det BS '!K363</f>
        <v>0</v>
      </c>
      <c r="K54" s="600">
        <f>'Det BS '!L363</f>
        <v>0</v>
      </c>
    </row>
    <row r="55" spans="1:11" ht="25.5" customHeight="1" x14ac:dyDescent="0.3">
      <c r="A55" s="3" t="str">
        <f>IF(AND(J55=0,K55=0),"Do Not Print","Print")</f>
        <v>Do Not Print</v>
      </c>
      <c r="D55" s="1957" t="s">
        <v>54</v>
      </c>
      <c r="E55" s="1958"/>
      <c r="F55" s="1958"/>
      <c r="G55" s="1958"/>
      <c r="H55" s="1959"/>
      <c r="I55" s="601">
        <f>'Non TB - Note 25 to end'!H27</f>
        <v>0</v>
      </c>
      <c r="J55" s="601">
        <f>'Non TB - Note 25 to end'!I27</f>
        <v>0</v>
      </c>
      <c r="K55" s="601">
        <f>'Non TB - Note 25 to end'!J27</f>
        <v>0</v>
      </c>
    </row>
    <row r="56" spans="1:11" ht="13.5" customHeight="1" x14ac:dyDescent="0.3">
      <c r="A56" s="3" t="str">
        <f>IF(AND(J56=0,K56=0),"Do Not Print","Print")</f>
        <v>Do Not Print</v>
      </c>
      <c r="D56" s="1957" t="s">
        <v>386</v>
      </c>
      <c r="E56" s="1958"/>
      <c r="F56" s="1958"/>
      <c r="G56" s="1958"/>
      <c r="H56" s="1959"/>
      <c r="I56" s="600">
        <f>-'Det BS '!J389</f>
        <v>0</v>
      </c>
      <c r="J56" s="600">
        <f>-'Det BS '!K389</f>
        <v>0</v>
      </c>
      <c r="K56" s="600">
        <f>-'Det BS '!L389</f>
        <v>0</v>
      </c>
    </row>
    <row r="57" spans="1:11" x14ac:dyDescent="0.3">
      <c r="A57" s="3" t="str">
        <f>IF(A56="Print","Print","Do Not Print")</f>
        <v>Do Not Print</v>
      </c>
      <c r="D57" s="2038"/>
      <c r="E57" s="2039"/>
      <c r="F57" s="2039"/>
      <c r="G57" s="2039"/>
      <c r="H57" s="2039"/>
      <c r="I57" s="2039"/>
      <c r="J57" s="2039"/>
      <c r="K57" s="2040"/>
    </row>
    <row r="58" spans="1:11" x14ac:dyDescent="0.3">
      <c r="A58" s="3" t="str">
        <f>IF(AND(J58=0,K58=0),"Do Not Print","Print")</f>
        <v>Do Not Print</v>
      </c>
      <c r="D58" s="474"/>
      <c r="E58" s="474"/>
      <c r="F58" s="474"/>
      <c r="G58" s="474"/>
      <c r="H58" s="604"/>
      <c r="I58" s="606">
        <f>SUM(I53:I56)</f>
        <v>0</v>
      </c>
      <c r="J58" s="606">
        <f>SUM(J53:J56)</f>
        <v>0</v>
      </c>
      <c r="K58" s="606">
        <f>SUM(K53:K56)</f>
        <v>0</v>
      </c>
    </row>
    <row r="59" spans="1:11" x14ac:dyDescent="0.3">
      <c r="A59" s="3" t="str">
        <f>IF(A58="Print","Print","Do Not Print")</f>
        <v>Do Not Print</v>
      </c>
      <c r="D59" s="401"/>
    </row>
    <row r="60" spans="1:11" x14ac:dyDescent="0.3">
      <c r="A60" s="3" t="str">
        <f>IF(A58="Print","Print","Do Not Print")</f>
        <v>Do Not Print</v>
      </c>
      <c r="D60" s="401"/>
    </row>
    <row r="61" spans="1:11" x14ac:dyDescent="0.3">
      <c r="A61" s="3" t="str">
        <f>IF(AND(A63="Print",A65="Print"),"Print","Do Not Print")</f>
        <v>Do Not Print</v>
      </c>
      <c r="C61" s="585" t="str">
        <f>Checklist!E131</f>
        <v>c</v>
      </c>
      <c r="D61" s="474" t="s">
        <v>1549</v>
      </c>
      <c r="E61" s="474"/>
      <c r="F61" s="479"/>
      <c r="G61" s="479"/>
      <c r="H61" s="604"/>
      <c r="I61" s="479"/>
      <c r="J61" s="586" t="str">
        <f>J13</f>
        <v>2025/26</v>
      </c>
      <c r="K61" s="936" t="str">
        <f>'Standing Data'!D52</f>
        <v>2024/25</v>
      </c>
    </row>
    <row r="62" spans="1:11" x14ac:dyDescent="0.3">
      <c r="A62" s="3" t="str">
        <f>IF(A61="Print","Print","Do Not Print")</f>
        <v>Do Not Print</v>
      </c>
      <c r="D62" s="2042" t="s">
        <v>537</v>
      </c>
      <c r="E62" s="2042"/>
      <c r="F62" s="2042"/>
      <c r="G62" s="2042"/>
      <c r="H62" s="2042"/>
      <c r="I62" s="652"/>
      <c r="J62" s="653" t="s">
        <v>450</v>
      </c>
      <c r="K62" s="653" t="s">
        <v>450</v>
      </c>
    </row>
    <row r="63" spans="1:11" x14ac:dyDescent="0.3">
      <c r="A63" s="3" t="str">
        <f>IF(AND(K63=0,J63=0),"Do Not Print","Print")</f>
        <v>Do Not Print</v>
      </c>
      <c r="D63" s="2015" t="s">
        <v>538</v>
      </c>
      <c r="E63" s="2015"/>
      <c r="F63" s="2015"/>
      <c r="G63" s="2015"/>
      <c r="H63" s="2015"/>
      <c r="I63" s="652"/>
      <c r="J63" s="872">
        <f>'Non TB - Note 25 to end'!H16</f>
        <v>0</v>
      </c>
      <c r="K63" s="872">
        <f>'Non TB - Note 25 to end'!I16</f>
        <v>0</v>
      </c>
    </row>
    <row r="64" spans="1:11" ht="14.4" thickBot="1" x14ac:dyDescent="0.35">
      <c r="A64" s="3" t="str">
        <f>IF(A63="Print","Print","Do Not Print")</f>
        <v>Do Not Print</v>
      </c>
      <c r="D64" s="2015"/>
      <c r="E64" s="2015"/>
      <c r="F64" s="2015"/>
      <c r="G64" s="2015"/>
      <c r="H64" s="2015"/>
      <c r="I64" s="652"/>
      <c r="J64" s="928"/>
      <c r="K64" s="928"/>
    </row>
    <row r="65" spans="1:11" ht="15" thickTop="1" thickBot="1" x14ac:dyDescent="0.35">
      <c r="A65" s="3" t="str">
        <f>IF(AND(K63=0,J63=0),"Do Not Print","Print")</f>
        <v>Do Not Print</v>
      </c>
      <c r="D65" s="2015" t="s">
        <v>539</v>
      </c>
      <c r="E65" s="2015"/>
      <c r="F65" s="2015"/>
      <c r="G65" s="2015"/>
      <c r="H65" s="2015"/>
      <c r="I65" s="652"/>
      <c r="J65" s="929">
        <f>'Non TB - Note 25 to end'!H17</f>
        <v>0</v>
      </c>
      <c r="K65" s="929">
        <f>'Non TB - Note 25 to end'!I17</f>
        <v>0</v>
      </c>
    </row>
    <row r="66" spans="1:11" ht="14.4" thickTop="1" x14ac:dyDescent="0.3">
      <c r="A66" s="3" t="str">
        <f>IF(A65="Print","Print","Do Not Print")</f>
        <v>Do Not Print</v>
      </c>
      <c r="D66" s="2015"/>
      <c r="E66" s="2015"/>
      <c r="F66" s="2015"/>
      <c r="G66" s="2015"/>
      <c r="H66" s="2015"/>
      <c r="I66" s="2015"/>
      <c r="J66" s="2041"/>
      <c r="K66" s="2041"/>
    </row>
    <row r="67" spans="1:11" x14ac:dyDescent="0.3">
      <c r="A67" s="3" t="str">
        <f>IF(A65="Print","Print","Do Not Print")</f>
        <v>Do Not Print</v>
      </c>
      <c r="D67" s="1500"/>
      <c r="E67" s="1500"/>
      <c r="F67" s="1500"/>
      <c r="G67" s="1500"/>
      <c r="H67" s="1500"/>
      <c r="I67" s="1500"/>
      <c r="J67" s="1500"/>
      <c r="K67" s="1500"/>
    </row>
    <row r="68" spans="1:11" x14ac:dyDescent="0.3">
      <c r="A68" s="3" t="str">
        <f>IF(AND(K80=0,J80=0),"Do Not Print","Print")</f>
        <v>Do Not Print</v>
      </c>
      <c r="C68" s="585" t="str">
        <f>Checklist!E132</f>
        <v>d</v>
      </c>
      <c r="D68" s="474" t="s">
        <v>540</v>
      </c>
      <c r="E68" s="479"/>
      <c r="F68" s="479"/>
      <c r="G68" s="479"/>
      <c r="H68" s="604"/>
      <c r="I68" s="479"/>
      <c r="J68" s="586" t="str">
        <f>J13</f>
        <v>2025/26</v>
      </c>
      <c r="K68" s="936" t="str">
        <f>'Standing Data'!D52</f>
        <v>2024/25</v>
      </c>
    </row>
    <row r="69" spans="1:11" x14ac:dyDescent="0.3">
      <c r="A69" s="3" t="str">
        <f>IF(A68="Print","Print","Do Not Print")</f>
        <v>Do Not Print</v>
      </c>
      <c r="D69" s="2012"/>
      <c r="E69" s="2012"/>
      <c r="F69" s="2012"/>
      <c r="G69" s="2012"/>
      <c r="H69" s="2012"/>
      <c r="I69" s="2012"/>
      <c r="J69" s="648" t="s">
        <v>450</v>
      </c>
      <c r="K69" s="648" t="s">
        <v>450</v>
      </c>
    </row>
    <row r="70" spans="1:11" x14ac:dyDescent="0.3">
      <c r="A70" s="3" t="str">
        <f>IF(AND(K70=0,J70=0),"Do Not Print","Print")</f>
        <v>Do Not Print</v>
      </c>
      <c r="D70" s="2033" t="s">
        <v>541</v>
      </c>
      <c r="E70" s="2033"/>
      <c r="F70" s="2033"/>
      <c r="G70" s="2033"/>
      <c r="H70" s="2033"/>
      <c r="I70" s="610"/>
      <c r="J70" s="601">
        <f>'Non TB - Note 25 to end'!H18</f>
        <v>0</v>
      </c>
      <c r="K70" s="601">
        <f>'Non TB - Note 25 to end'!I18</f>
        <v>0</v>
      </c>
    </row>
    <row r="71" spans="1:11" ht="26.25" customHeight="1" x14ac:dyDescent="0.3">
      <c r="A71" s="3" t="str">
        <f t="shared" ref="A71:A77" si="2">IF(AND(K71=0,J71=0),"Do Not Print","Print")</f>
        <v>Do Not Print</v>
      </c>
      <c r="D71" s="2033" t="s">
        <v>542</v>
      </c>
      <c r="E71" s="2033"/>
      <c r="F71" s="2033"/>
      <c r="G71" s="2033"/>
      <c r="H71" s="2033"/>
      <c r="I71" s="610"/>
      <c r="J71" s="601">
        <f>'Non TB - Note 25 to end'!H19</f>
        <v>0</v>
      </c>
      <c r="K71" s="601">
        <f>'Non TB - Note 25 to end'!I19</f>
        <v>0</v>
      </c>
    </row>
    <row r="72" spans="1:11" x14ac:dyDescent="0.3">
      <c r="A72" s="3" t="str">
        <f t="shared" si="2"/>
        <v>Do Not Print</v>
      </c>
      <c r="D72" s="2033" t="s">
        <v>543</v>
      </c>
      <c r="E72" s="2033"/>
      <c r="F72" s="2033"/>
      <c r="G72" s="2033"/>
      <c r="H72" s="2033"/>
      <c r="I72" s="610"/>
      <c r="J72" s="601">
        <f>'Non TB - Note 25 to end'!H20</f>
        <v>0</v>
      </c>
      <c r="K72" s="601">
        <f>'Non TB - Note 25 to end'!I20</f>
        <v>0</v>
      </c>
    </row>
    <row r="73" spans="1:11" x14ac:dyDescent="0.3">
      <c r="A73" s="3" t="str">
        <f t="shared" si="2"/>
        <v>Do Not Print</v>
      </c>
      <c r="D73" s="2033" t="s">
        <v>544</v>
      </c>
      <c r="E73" s="2033"/>
      <c r="F73" s="2033"/>
      <c r="G73" s="2033"/>
      <c r="H73" s="2033"/>
      <c r="I73" s="610"/>
      <c r="J73" s="601">
        <f>'Non TB - Note 25 to end'!H21</f>
        <v>0</v>
      </c>
      <c r="K73" s="601">
        <f>'Non TB - Note 25 to end'!I21</f>
        <v>0</v>
      </c>
    </row>
    <row r="74" spans="1:11" ht="25.5" customHeight="1" x14ac:dyDescent="0.3">
      <c r="A74" s="3" t="str">
        <f t="shared" si="2"/>
        <v>Do Not Print</v>
      </c>
      <c r="D74" s="2033" t="s">
        <v>567</v>
      </c>
      <c r="E74" s="2033"/>
      <c r="F74" s="2033"/>
      <c r="G74" s="2033"/>
      <c r="H74" s="2033"/>
      <c r="I74" s="610"/>
      <c r="J74" s="601">
        <f>-J40</f>
        <v>0</v>
      </c>
      <c r="K74" s="601">
        <f>-K40</f>
        <v>0</v>
      </c>
    </row>
    <row r="75" spans="1:11" ht="26.55" customHeight="1" x14ac:dyDescent="0.3">
      <c r="A75" s="3" t="str">
        <f t="shared" si="2"/>
        <v>Do Not Print</v>
      </c>
      <c r="D75" s="2033" t="s">
        <v>545</v>
      </c>
      <c r="E75" s="2033"/>
      <c r="F75" s="2033"/>
      <c r="G75" s="2033"/>
      <c r="H75" s="2033"/>
      <c r="I75" s="610"/>
      <c r="J75" s="601">
        <f>'Non TB - Note 25 to end'!H22</f>
        <v>0</v>
      </c>
      <c r="K75" s="601">
        <f>'Non TB - Note 25 to end'!I22</f>
        <v>0</v>
      </c>
    </row>
    <row r="76" spans="1:11" x14ac:dyDescent="0.3">
      <c r="A76" s="3" t="str">
        <f t="shared" si="2"/>
        <v>Do Not Print</v>
      </c>
      <c r="D76" s="2033" t="s">
        <v>546</v>
      </c>
      <c r="E76" s="2033"/>
      <c r="F76" s="2033"/>
      <c r="G76" s="2033"/>
      <c r="H76" s="2033"/>
      <c r="I76" s="610"/>
      <c r="J76" s="601">
        <f>'Non TB - Note 25 to end'!H23</f>
        <v>0</v>
      </c>
      <c r="K76" s="601">
        <f>'Non TB - Note 25 to end'!I23</f>
        <v>0</v>
      </c>
    </row>
    <row r="77" spans="1:11" x14ac:dyDescent="0.3">
      <c r="A77" s="3" t="str">
        <f t="shared" si="2"/>
        <v>Do Not Print</v>
      </c>
      <c r="D77" s="2033" t="s">
        <v>547</v>
      </c>
      <c r="E77" s="2033"/>
      <c r="F77" s="2033"/>
      <c r="G77" s="2033"/>
      <c r="H77" s="2033"/>
      <c r="I77" s="610"/>
      <c r="J77" s="601">
        <f>'Non TB - Note 25 to end'!H24</f>
        <v>0</v>
      </c>
      <c r="K77" s="601">
        <f>'Non TB - Note 25 to end'!I24</f>
        <v>0</v>
      </c>
    </row>
    <row r="78" spans="1:11" x14ac:dyDescent="0.3">
      <c r="A78" s="3" t="str">
        <f>IF(AND(K78=0,J78=0),"Do Not Print","Print")</f>
        <v>Do Not Print</v>
      </c>
      <c r="D78" s="2033" t="s">
        <v>548</v>
      </c>
      <c r="E78" s="2033"/>
      <c r="F78" s="2033"/>
      <c r="G78" s="2033"/>
      <c r="H78" s="2033"/>
      <c r="I78" s="610"/>
      <c r="J78" s="601">
        <f>'Non TB - Note 25 to end'!H25</f>
        <v>0</v>
      </c>
      <c r="K78" s="601">
        <f>'Non TB - Note 25 to end'!I25</f>
        <v>0</v>
      </c>
    </row>
    <row r="79" spans="1:11" x14ac:dyDescent="0.3">
      <c r="A79" s="3" t="str">
        <f>IF(A78="Print","Print","Do Not Print")</f>
        <v>Do Not Print</v>
      </c>
      <c r="D79" s="1787"/>
      <c r="E79" s="1788"/>
      <c r="F79" s="1788"/>
      <c r="G79" s="1788"/>
      <c r="H79" s="1788"/>
      <c r="I79" s="1788"/>
      <c r="J79" s="1788"/>
      <c r="K79" s="1789"/>
    </row>
    <row r="80" spans="1:11" x14ac:dyDescent="0.3">
      <c r="A80" s="3" t="str">
        <f>IF(AND(K80=0,J80=0),"Do Not Print","Print")</f>
        <v>Do Not Print</v>
      </c>
      <c r="D80" s="474" t="s">
        <v>549</v>
      </c>
      <c r="E80" s="474"/>
      <c r="F80" s="474"/>
      <c r="G80" s="474"/>
      <c r="H80" s="604"/>
      <c r="I80" s="474"/>
      <c r="J80" s="606">
        <f>SUM(J70:J78)</f>
        <v>0</v>
      </c>
      <c r="K80" s="606">
        <f>SUM(K70:K78)</f>
        <v>0</v>
      </c>
    </row>
    <row r="81" spans="1:15" x14ac:dyDescent="0.3">
      <c r="A81" s="3" t="str">
        <f>IF(A80="Print","Print","Do Not Print")</f>
        <v>Do Not Print</v>
      </c>
      <c r="D81" s="401"/>
    </row>
    <row r="82" spans="1:15" x14ac:dyDescent="0.3">
      <c r="A82" s="3" t="str">
        <f>IF(A80="Print","Print","Do Not Print")</f>
        <v>Do Not Print</v>
      </c>
      <c r="D82" s="401"/>
      <c r="G82" s="421"/>
      <c r="H82" s="421"/>
      <c r="I82" s="421"/>
    </row>
    <row r="83" spans="1:15" x14ac:dyDescent="0.3">
      <c r="A83" s="3" t="str">
        <f>IF(AND(K91=0,J91=0),"Do Not Print","Print")</f>
        <v>Do Not Print</v>
      </c>
      <c r="C83" s="585" t="str">
        <f>Checklist!E133</f>
        <v>e</v>
      </c>
      <c r="D83" s="474" t="s">
        <v>550</v>
      </c>
      <c r="E83" s="474"/>
      <c r="F83" s="474"/>
      <c r="G83" s="474"/>
      <c r="H83" s="604"/>
      <c r="I83" s="474"/>
      <c r="J83" s="586" t="str">
        <f>J13</f>
        <v>2025/26</v>
      </c>
      <c r="K83" s="936" t="str">
        <f>'Standing Data'!D52</f>
        <v>2024/25</v>
      </c>
    </row>
    <row r="84" spans="1:15" x14ac:dyDescent="0.3">
      <c r="A84" s="3" t="str">
        <f>IF(A83="Print","Print","Do Not Print")</f>
        <v>Do Not Print</v>
      </c>
      <c r="D84" s="2012"/>
      <c r="E84" s="2012"/>
      <c r="F84" s="2012"/>
      <c r="G84" s="2012"/>
      <c r="H84" s="2012"/>
      <c r="I84" s="2012"/>
      <c r="J84" s="648" t="s">
        <v>450</v>
      </c>
      <c r="K84" s="648" t="s">
        <v>450</v>
      </c>
    </row>
    <row r="85" spans="1:15" x14ac:dyDescent="0.3">
      <c r="A85" s="3" t="str">
        <f>IF(AND(K85=0,J85=0),"Do Not Print","Print")</f>
        <v>Do Not Print</v>
      </c>
      <c r="D85" s="2059" t="s">
        <v>551</v>
      </c>
      <c r="E85" s="2060"/>
      <c r="F85" s="2060"/>
      <c r="G85" s="2060"/>
      <c r="H85" s="2060"/>
      <c r="I85" s="1943"/>
      <c r="J85" s="601">
        <f>'Non TB - Note 25 to end'!H28</f>
        <v>0</v>
      </c>
      <c r="K85" s="601">
        <f>'Non TB - Note 25 to end'!I28</f>
        <v>0</v>
      </c>
    </row>
    <row r="86" spans="1:15" ht="13.5" customHeight="1" x14ac:dyDescent="0.3">
      <c r="A86" s="3" t="str">
        <f>IF(AND(K86=0,J86=0),"Do Not Print","Print")</f>
        <v>Do Not Print</v>
      </c>
      <c r="D86" s="2059" t="s">
        <v>552</v>
      </c>
      <c r="E86" s="2060"/>
      <c r="F86" s="2060"/>
      <c r="G86" s="2060"/>
      <c r="H86" s="2060"/>
      <c r="I86" s="1943"/>
      <c r="J86" s="601">
        <f>'Non TB - Note 25 to end'!H29</f>
        <v>0</v>
      </c>
      <c r="K86" s="601">
        <f>'Non TB - Note 25 to end'!I29</f>
        <v>0</v>
      </c>
    </row>
    <row r="87" spans="1:15" ht="29.1" customHeight="1" x14ac:dyDescent="0.3">
      <c r="A87" s="3" t="str">
        <f>IF(AND(K87=0,J87=0),"Do Not Print","Print")</f>
        <v>Do Not Print</v>
      </c>
      <c r="D87" s="2061" t="s">
        <v>2843</v>
      </c>
      <c r="E87" s="2062"/>
      <c r="F87" s="2062"/>
      <c r="G87" s="2062"/>
      <c r="H87" s="2062"/>
      <c r="I87" s="1916"/>
      <c r="J87" s="601">
        <f>'Non TB - Note 25 to end'!H30</f>
        <v>0</v>
      </c>
      <c r="K87" s="601">
        <f>'Non TB - Note 25 to end'!I30</f>
        <v>0</v>
      </c>
    </row>
    <row r="88" spans="1:15" x14ac:dyDescent="0.3">
      <c r="A88" s="3" t="str">
        <f>IF(AND(K88=0,J88=0),"Do Not Print","Print")</f>
        <v>Do Not Print</v>
      </c>
      <c r="D88" s="2059" t="s">
        <v>553</v>
      </c>
      <c r="E88" s="2060"/>
      <c r="F88" s="2060"/>
      <c r="G88" s="2060"/>
      <c r="H88" s="2060"/>
      <c r="I88" s="1943"/>
      <c r="J88" s="601">
        <f>'Non TB - Note 25 to end'!H31</f>
        <v>0</v>
      </c>
      <c r="K88" s="601">
        <f>'Non TB - Note 25 to end'!I31</f>
        <v>0</v>
      </c>
    </row>
    <row r="89" spans="1:15" x14ac:dyDescent="0.3">
      <c r="A89" s="3" t="str">
        <f>IF(AND(K89=0,J89=0),"Do Not Print","Print")</f>
        <v>Do Not Print</v>
      </c>
      <c r="D89" s="1738" t="s">
        <v>554</v>
      </c>
      <c r="E89" s="1803"/>
      <c r="F89" s="1803"/>
      <c r="G89" s="1803"/>
      <c r="H89" s="1803"/>
      <c r="I89" s="1739"/>
      <c r="J89" s="601">
        <f>'Non TB - Note 25 to end'!H32</f>
        <v>0</v>
      </c>
      <c r="K89" s="601">
        <f>'Non TB - Note 25 to end'!I32</f>
        <v>0</v>
      </c>
    </row>
    <row r="90" spans="1:15" x14ac:dyDescent="0.3">
      <c r="A90" s="3" t="str">
        <f>IF(A89="Print","Print","Do Not Print")</f>
        <v>Do Not Print</v>
      </c>
      <c r="D90" s="2012"/>
      <c r="E90" s="2012"/>
      <c r="F90" s="2012"/>
      <c r="G90" s="2012"/>
      <c r="H90" s="2012"/>
      <c r="I90" s="2012"/>
      <c r="J90" s="2012"/>
      <c r="K90" s="2012"/>
    </row>
    <row r="91" spans="1:15" x14ac:dyDescent="0.3">
      <c r="A91" s="3" t="str">
        <f>IF(AND(K91=0,J91=0),"Do Not Print","Print")</f>
        <v>Do Not Print</v>
      </c>
      <c r="D91" s="474" t="s">
        <v>555</v>
      </c>
      <c r="E91" s="474"/>
      <c r="F91" s="474"/>
      <c r="G91" s="474"/>
      <c r="H91" s="604"/>
      <c r="I91" s="474"/>
      <c r="J91" s="606">
        <f>SUM(J85:J89)</f>
        <v>0</v>
      </c>
      <c r="K91" s="606">
        <f>SUM(K85:K89)</f>
        <v>0</v>
      </c>
    </row>
    <row r="92" spans="1:15" x14ac:dyDescent="0.3">
      <c r="A92" s="3" t="str">
        <f>IF(A91="Print","Print","Do Not Print")</f>
        <v>Do Not Print</v>
      </c>
      <c r="D92" s="401"/>
    </row>
    <row r="93" spans="1:15" x14ac:dyDescent="0.3">
      <c r="A93" s="3" t="str">
        <f>IF(A91="Print","Print","Do Not Print")</f>
        <v>Do Not Print</v>
      </c>
      <c r="D93" s="401"/>
      <c r="M93" s="206">
        <f>'Standing Data'!D44</f>
        <v>46112</v>
      </c>
      <c r="N93" s="206">
        <f>'Standing Data'!D72</f>
        <v>45747</v>
      </c>
    </row>
    <row r="94" spans="1:15" x14ac:dyDescent="0.3">
      <c r="A94" s="3" t="s">
        <v>448</v>
      </c>
      <c r="B94" s="585">
        <f>Checklist!E134</f>
        <v>26</v>
      </c>
      <c r="D94" s="474" t="s">
        <v>420</v>
      </c>
      <c r="E94" s="474"/>
      <c r="F94" s="474"/>
      <c r="G94" s="474"/>
      <c r="H94" s="604"/>
      <c r="I94" s="604"/>
      <c r="J94" s="604"/>
      <c r="K94" s="604"/>
      <c r="L94" s="6"/>
    </row>
    <row r="95" spans="1:15" ht="14.4" x14ac:dyDescent="0.3">
      <c r="A95" s="3" t="str">
        <f>IF(OR(A97="Print",A99="Print",A101="Print"),"Print","Do Not Print")</f>
        <v>Print</v>
      </c>
      <c r="B95" s="401"/>
      <c r="C95" s="585" t="str">
        <f>Checklist!E135</f>
        <v>a</v>
      </c>
      <c r="D95" s="474" t="s">
        <v>421</v>
      </c>
      <c r="E95" s="474"/>
      <c r="F95" s="474"/>
      <c r="G95" s="474"/>
      <c r="H95" s="604"/>
      <c r="I95" s="604"/>
      <c r="J95" s="604"/>
      <c r="K95" s="604"/>
      <c r="L95" s="104" t="s">
        <v>968</v>
      </c>
      <c r="M95" s="204">
        <f>(J111+J125+J137+J156+J173+J198)-'GROUP Prime'!G142</f>
        <v>0</v>
      </c>
      <c r="N95" s="204">
        <f>(K111+K125+K137+K156+K173+K198)-'GROUP Prime'!H142</f>
        <v>0</v>
      </c>
      <c r="O95" s="3" t="s">
        <v>1610</v>
      </c>
    </row>
    <row r="96" spans="1:15" ht="14.4" x14ac:dyDescent="0.3">
      <c r="A96" s="3" t="s">
        <v>448</v>
      </c>
      <c r="B96" s="401"/>
      <c r="D96" s="476"/>
      <c r="E96" s="476"/>
      <c r="F96" s="476"/>
      <c r="G96" s="476"/>
      <c r="L96" s="104"/>
      <c r="M96" s="204"/>
      <c r="N96" s="204"/>
      <c r="O96" s="3"/>
    </row>
    <row r="97" spans="1:15" ht="28.05" customHeight="1" x14ac:dyDescent="0.3">
      <c r="A97" s="3" t="str">
        <f>IF('Non TB - Note 25 to end'!F33=1,"Print","Do Not Print")</f>
        <v>Print</v>
      </c>
      <c r="D97" s="1512" t="str">
        <f>IF('Non TB - Note 25 to end'!F33=1,'Non TB - Note 25 to end'!H33,"")</f>
        <v>These are capital receipts which have originated primarily from the sale of assets which have not yet been used to finance capital expenditure.</v>
      </c>
      <c r="E97" s="1504"/>
      <c r="F97" s="1504"/>
      <c r="G97" s="1504"/>
      <c r="H97" s="1504"/>
      <c r="I97" s="1504"/>
      <c r="J97" s="1504"/>
      <c r="K97" s="1504"/>
    </row>
    <row r="98" spans="1:15" ht="12.75" customHeight="1" x14ac:dyDescent="0.3">
      <c r="A98" s="3" t="str">
        <f>IF(A97="Print","Print","Do Not Print")</f>
        <v>Print</v>
      </c>
      <c r="D98" s="408"/>
      <c r="E98" s="478"/>
      <c r="F98" s="478"/>
      <c r="G98" s="478"/>
      <c r="H98" s="478"/>
      <c r="I98" s="478"/>
      <c r="J98" s="478"/>
      <c r="K98" s="478"/>
    </row>
    <row r="99" spans="1:15" ht="69.75" customHeight="1" x14ac:dyDescent="0.3">
      <c r="A99" s="3" t="str">
        <f>IF('Non TB - Note 25 to end'!F34=1,"Print","Do Not Print")</f>
        <v>Print</v>
      </c>
      <c r="D99" s="1512" t="str">
        <f>IF('Non TB - Note 25 to end'!F34=1,'Non TB - Note 25 to end'!H34,"")</f>
        <v>The Capital Receipts Reserve is credited with the proceeds from fixed asset sales and other monies defined by statute as capital receipts. These are originally credited to the Comprehensive Income and Expenditure Statement as part of the gain/loss on disposal and posted out via the Movement in Reserves Statement to the Capital Receipts Reserve. The reserve is written down when resources are applied to finance new capital expenditure or set aside to reduce an authority’s capital financing requirement (or used for other purposes permitted by statute).</v>
      </c>
      <c r="E99" s="1504"/>
      <c r="F99" s="1504"/>
      <c r="G99" s="1504"/>
      <c r="H99" s="1504"/>
      <c r="I99" s="1504"/>
      <c r="J99" s="1504"/>
      <c r="K99" s="1504"/>
    </row>
    <row r="100" spans="1:15" x14ac:dyDescent="0.3">
      <c r="A100" s="3" t="str">
        <f>IF(A99="Print","Print","Do Not Print")</f>
        <v>Print</v>
      </c>
      <c r="D100" s="401"/>
    </row>
    <row r="101" spans="1:15" x14ac:dyDescent="0.3">
      <c r="A101" s="3" t="str">
        <f>IF(AND(J111=0,K111=0),"Do Not Print","Print")</f>
        <v>Do Not Print</v>
      </c>
      <c r="D101" s="474" t="s">
        <v>421</v>
      </c>
      <c r="E101" s="474"/>
      <c r="F101" s="474"/>
      <c r="G101" s="474"/>
      <c r="H101" s="604"/>
      <c r="I101" s="486" t="s">
        <v>343</v>
      </c>
      <c r="J101" s="586">
        <f>'Standing Data'!D44</f>
        <v>46112</v>
      </c>
      <c r="K101" s="586">
        <f>'Standing Data'!D72</f>
        <v>45747</v>
      </c>
    </row>
    <row r="102" spans="1:15" x14ac:dyDescent="0.3">
      <c r="A102" s="3" t="str">
        <f>IF(A101="Print","Print","Do Not Print")</f>
        <v>Do Not Print</v>
      </c>
      <c r="D102" s="2012"/>
      <c r="E102" s="2012"/>
      <c r="F102" s="2012"/>
      <c r="G102" s="2012"/>
      <c r="H102" s="2012"/>
      <c r="I102" s="2012"/>
      <c r="J102" s="648" t="s">
        <v>450</v>
      </c>
      <c r="K102" s="648" t="s">
        <v>450</v>
      </c>
    </row>
    <row r="103" spans="1:15" ht="12.75" customHeight="1" x14ac:dyDescent="0.3">
      <c r="A103" s="3" t="str">
        <f>IF(AND(K103=0,J103=0),"Do Not Print","Print")</f>
        <v>Do Not Print</v>
      </c>
      <c r="D103" s="2043" t="s">
        <v>530</v>
      </c>
      <c r="E103" s="2043"/>
      <c r="F103" s="2043"/>
      <c r="G103" s="2043"/>
      <c r="H103" s="2043"/>
      <c r="I103" s="610"/>
      <c r="J103" s="601">
        <f>K111</f>
        <v>0</v>
      </c>
      <c r="K103" s="601">
        <f>'Det BS '!K534</f>
        <v>0</v>
      </c>
    </row>
    <row r="104" spans="1:15" ht="12.75" customHeight="1" x14ac:dyDescent="0.3">
      <c r="A104" s="3" t="str">
        <f>IF(OR(A106="Print",A107="Print",A108="Print"),"Print","Do Not Print")</f>
        <v>Do Not Print</v>
      </c>
      <c r="D104" s="2043" t="s">
        <v>209</v>
      </c>
      <c r="E104" s="2043"/>
      <c r="F104" s="2043"/>
      <c r="G104" s="2043"/>
      <c r="H104" s="2043"/>
      <c r="I104" s="610"/>
      <c r="J104" s="600"/>
      <c r="K104" s="600"/>
    </row>
    <row r="105" spans="1:15" ht="16.5" customHeight="1" x14ac:dyDescent="0.3">
      <c r="A105" s="3" t="str">
        <f>IF(AND(K105=0,J105=0),"Do Not Print","Print")</f>
        <v>Do Not Print</v>
      </c>
      <c r="D105" s="2013"/>
      <c r="E105" s="2013"/>
      <c r="F105" s="2013"/>
      <c r="G105" s="2013"/>
      <c r="H105" s="2013"/>
      <c r="I105" s="610"/>
      <c r="J105" s="601">
        <f>-'Notes 3 to 10'!G127</f>
        <v>0</v>
      </c>
      <c r="K105" s="601">
        <f>-'Notes 3 to 10'!I127</f>
        <v>0</v>
      </c>
    </row>
    <row r="106" spans="1:15" ht="12.75" customHeight="1" x14ac:dyDescent="0.3">
      <c r="A106" s="3" t="str">
        <f>IF(AND(K106=0,J106=0),"Do Not Print","Print")</f>
        <v>Do Not Print</v>
      </c>
      <c r="D106" s="2013"/>
      <c r="E106" s="2013"/>
      <c r="F106" s="2013"/>
      <c r="G106" s="2013"/>
      <c r="H106" s="2013"/>
      <c r="I106" s="850"/>
      <c r="J106" s="600">
        <f>-'Notes 3 to 10'!G99</f>
        <v>0</v>
      </c>
      <c r="K106" s="600">
        <f>-'Notes 3 to 10'!I99</f>
        <v>0</v>
      </c>
    </row>
    <row r="107" spans="1:15" ht="12.75" customHeight="1" x14ac:dyDescent="0.3">
      <c r="A107" s="3" t="str">
        <f>IF(AND(K107=0,J107=0),"Do Not Print","Print")</f>
        <v>Do Not Print</v>
      </c>
      <c r="D107" s="2013" t="s">
        <v>196</v>
      </c>
      <c r="E107" s="2013"/>
      <c r="F107" s="2013"/>
      <c r="G107" s="2013"/>
      <c r="H107" s="2013"/>
      <c r="I107" s="850" t="s">
        <v>1331</v>
      </c>
      <c r="J107" s="601">
        <f>'Notes 11c to 24'!I392</f>
        <v>0</v>
      </c>
      <c r="K107" s="601">
        <f>'Notes 11c to 24'!J392</f>
        <v>0</v>
      </c>
    </row>
    <row r="108" spans="1:15" ht="43.5" customHeight="1" x14ac:dyDescent="0.3">
      <c r="A108" s="3" t="str">
        <f>IF(AND(K108=0,J108=0),"Do Not Print","Print")</f>
        <v>Do Not Print</v>
      </c>
      <c r="D108" s="2013" t="s">
        <v>1314</v>
      </c>
      <c r="E108" s="2013"/>
      <c r="F108" s="2013"/>
      <c r="G108" s="2013"/>
      <c r="H108" s="2013"/>
      <c r="I108" s="850"/>
      <c r="J108" s="601">
        <f>-'Notes 3 to 10'!H107</f>
        <v>0</v>
      </c>
      <c r="K108" s="601">
        <f>-'Notes 3 to 10'!J107</f>
        <v>0</v>
      </c>
      <c r="O108" s="3"/>
    </row>
    <row r="109" spans="1:15" ht="12" customHeight="1" x14ac:dyDescent="0.3">
      <c r="A109" s="3" t="str">
        <f>IF(AND(K109=0,J109=0),"Do Not Print","Print")</f>
        <v>Do Not Print</v>
      </c>
      <c r="D109" s="2044" t="s">
        <v>1315</v>
      </c>
      <c r="E109" s="2044"/>
      <c r="F109" s="2044"/>
      <c r="G109" s="2044"/>
      <c r="H109" s="2044"/>
      <c r="I109" s="610"/>
      <c r="J109" s="601">
        <f>-J330</f>
        <v>0</v>
      </c>
      <c r="K109" s="601">
        <f>-K330</f>
        <v>0</v>
      </c>
    </row>
    <row r="110" spans="1:15" ht="12" customHeight="1" x14ac:dyDescent="0.3">
      <c r="A110" s="3" t="str">
        <f>IF(A109="Print","Print","Do Not Print")</f>
        <v>Do Not Print</v>
      </c>
      <c r="D110" s="2012"/>
      <c r="E110" s="2012"/>
      <c r="F110" s="2012"/>
      <c r="G110" s="2012"/>
      <c r="H110" s="2012"/>
      <c r="I110" s="2012"/>
      <c r="J110" s="2012"/>
      <c r="K110" s="2012"/>
    </row>
    <row r="111" spans="1:15" x14ac:dyDescent="0.3">
      <c r="A111" s="3" t="str">
        <f>IF(AND(K111=0,J111=0),"Do Not Print","Print")</f>
        <v>Do Not Print</v>
      </c>
      <c r="D111" s="474" t="s">
        <v>532</v>
      </c>
      <c r="E111" s="474"/>
      <c r="F111" s="474"/>
      <c r="G111" s="474"/>
      <c r="H111" s="604"/>
      <c r="I111" s="474"/>
      <c r="J111" s="606">
        <f>SUM(J103:J109)</f>
        <v>0</v>
      </c>
      <c r="K111" s="606">
        <f>SUM(K103:K109)</f>
        <v>0</v>
      </c>
    </row>
    <row r="112" spans="1:15" x14ac:dyDescent="0.3">
      <c r="A112" s="3" t="str">
        <f>IF(A111="Print","Print","Do Not Print")</f>
        <v>Do Not Print</v>
      </c>
      <c r="D112" s="401"/>
      <c r="J112" s="525"/>
    </row>
    <row r="113" spans="1:11" x14ac:dyDescent="0.3">
      <c r="A113" s="3" t="str">
        <f>IF(OR(A114="Print",A116="Print",A118="Print"),"Print","Do Not Print")</f>
        <v>Print</v>
      </c>
      <c r="C113" s="585" t="str">
        <f>Checklist!E136</f>
        <v>b</v>
      </c>
      <c r="D113" s="474" t="s">
        <v>422</v>
      </c>
      <c r="E113" s="474"/>
      <c r="F113" s="474"/>
      <c r="G113" s="474"/>
      <c r="H113" s="604"/>
      <c r="I113" s="604"/>
      <c r="J113" s="604"/>
      <c r="K113" s="604"/>
    </row>
    <row r="114" spans="1:11" ht="67.5" customHeight="1" x14ac:dyDescent="0.3">
      <c r="A114" s="3" t="str">
        <f>IF('Non TB - Note 25 to end'!F35=1,"Print","Do Not Print")</f>
        <v>Print</v>
      </c>
      <c r="D114" s="1504" t="str">
        <f>IF('Non TB - Note 25 to end'!F35=1,'Non TB - Note 25 to end'!H35,"")</f>
        <v xml:space="preserve">Where a capital grant or contribution (or part thereof) has been recognised as income in the Comprehensive Income and Expenditure Statement, but the expenditure to be financed from that grant or contribution has not been incurred at the Balance Sheet date, the grant or contribution shall be transferred to the Capital Grants Unapplied Account (within the usable reserves section of the balance sheet), reflecting its status as a capital resource available to finance expenditure. This transfer is reported in the Movement in Reserves Statement. </v>
      </c>
      <c r="E114" s="1504"/>
      <c r="F114" s="1504"/>
      <c r="G114" s="1504"/>
      <c r="H114" s="1504"/>
      <c r="I114" s="1504"/>
      <c r="J114" s="1504"/>
      <c r="K114" s="1504"/>
    </row>
    <row r="115" spans="1:11" x14ac:dyDescent="0.3">
      <c r="A115" s="3" t="str">
        <f>IF(A114="Print","Print","Do Not Print")</f>
        <v>Print</v>
      </c>
      <c r="D115" s="401" t="s">
        <v>345</v>
      </c>
    </row>
    <row r="116" spans="1:11" ht="53.55" customHeight="1" x14ac:dyDescent="0.3">
      <c r="A116" s="3" t="str">
        <f>IF('Non TB - Note 25 to end'!F36=1,"Print","Do Not Print")</f>
        <v>Print</v>
      </c>
      <c r="D116" s="1512" t="str">
        <f>IF('Non TB - Note 25 to end'!F36=1,'Non TB - Note 25 to end'!H36,"")</f>
        <v>When, at a future date, the expenditure to be financed from the grant or contribution is incurred, the grant or contribution (or part thereof) shall be transferred from the Capital Grants Unapplied Account to the Capital Adjustment Account, reflecting the application of capital resources to finance expenditure. This transfer is also reported in the Movement in Reserves Statement or in the notes to the accounts.</v>
      </c>
      <c r="E116" s="1504"/>
      <c r="F116" s="1504"/>
      <c r="G116" s="1504"/>
      <c r="H116" s="1504"/>
      <c r="I116" s="1504"/>
      <c r="J116" s="1504"/>
      <c r="K116" s="1504"/>
    </row>
    <row r="117" spans="1:11" x14ac:dyDescent="0.3">
      <c r="A117" s="3" t="str">
        <f>IF(A116="Print","Print","Do Not Print")</f>
        <v>Print</v>
      </c>
      <c r="D117" s="401"/>
    </row>
    <row r="118" spans="1:11" x14ac:dyDescent="0.3">
      <c r="A118" s="3" t="str">
        <f>IF(AND(J125=0,K125=0),"Do Not Print","Print")</f>
        <v>Do Not Print</v>
      </c>
      <c r="D118" s="474" t="s">
        <v>320</v>
      </c>
      <c r="E118" s="474"/>
      <c r="F118" s="474"/>
      <c r="G118" s="474"/>
      <c r="H118" s="604"/>
      <c r="I118" s="633" t="s">
        <v>343</v>
      </c>
      <c r="J118" s="586">
        <f>'Standing Data'!D44</f>
        <v>46112</v>
      </c>
      <c r="K118" s="586">
        <f>K101</f>
        <v>45747</v>
      </c>
    </row>
    <row r="119" spans="1:11" x14ac:dyDescent="0.3">
      <c r="A119" s="3" t="str">
        <f>IF(A118="Print","Print","Do Not Print")</f>
        <v>Do Not Print</v>
      </c>
      <c r="D119" s="2012"/>
      <c r="E119" s="2012"/>
      <c r="F119" s="2012"/>
      <c r="G119" s="2012"/>
      <c r="H119" s="2012"/>
      <c r="I119" s="2012"/>
      <c r="J119" s="648" t="s">
        <v>450</v>
      </c>
      <c r="K119" s="648" t="s">
        <v>450</v>
      </c>
    </row>
    <row r="120" spans="1:11" ht="12.75" customHeight="1" x14ac:dyDescent="0.3">
      <c r="A120" s="3" t="str">
        <f>IF(AND(J120=0,K120=0),"Do Not Print","Print")</f>
        <v>Do Not Print</v>
      </c>
      <c r="D120" s="2043" t="s">
        <v>530</v>
      </c>
      <c r="E120" s="2043"/>
      <c r="F120" s="2043"/>
      <c r="G120" s="2043"/>
      <c r="H120" s="2043"/>
      <c r="I120" s="610"/>
      <c r="J120" s="601">
        <f>K125</f>
        <v>0</v>
      </c>
      <c r="K120" s="601">
        <f>'Det BS '!K535</f>
        <v>0</v>
      </c>
    </row>
    <row r="121" spans="1:11" ht="12.75" customHeight="1" x14ac:dyDescent="0.3">
      <c r="A121" s="3" t="str">
        <f>IF(OR(A122="Print",A123="Print"),"Print","Do Not Print")</f>
        <v>Do Not Print</v>
      </c>
      <c r="D121" s="2043" t="s">
        <v>209</v>
      </c>
      <c r="E121" s="2043"/>
      <c r="F121" s="2043"/>
      <c r="G121" s="2043"/>
      <c r="H121" s="2043"/>
      <c r="I121" s="610"/>
      <c r="J121" s="600"/>
      <c r="K121" s="600"/>
    </row>
    <row r="122" spans="1:11" ht="12.75" customHeight="1" x14ac:dyDescent="0.3">
      <c r="A122" s="3" t="str">
        <f>IF(AND(J122=0,K122=0),"Do Not Print","Print")</f>
        <v>Do Not Print</v>
      </c>
      <c r="D122" s="2013" t="s">
        <v>1316</v>
      </c>
      <c r="E122" s="2013"/>
      <c r="F122" s="2013"/>
      <c r="G122" s="2013"/>
      <c r="H122" s="2013"/>
      <c r="I122" s="610"/>
      <c r="J122" s="600">
        <f>-'Notes 3 to 10'!E532</f>
        <v>0</v>
      </c>
      <c r="K122" s="600">
        <f>-'Notes 3 to 10'!F532</f>
        <v>0</v>
      </c>
    </row>
    <row r="123" spans="1:11" ht="12.75" customHeight="1" x14ac:dyDescent="0.3">
      <c r="A123" s="3" t="str">
        <f>IF(AND(J123=0,K123=0),"Do Not Print","Print")</f>
        <v>Do Not Print</v>
      </c>
      <c r="D123" s="2013" t="s">
        <v>1317</v>
      </c>
      <c r="E123" s="2013"/>
      <c r="F123" s="2013"/>
      <c r="G123" s="2013"/>
      <c r="H123" s="2013"/>
      <c r="I123" s="610"/>
      <c r="J123" s="600">
        <f>'Non TB - Note 25 to end'!H37</f>
        <v>0</v>
      </c>
      <c r="K123" s="600">
        <f>'Non TB - Note 25 to end'!I37</f>
        <v>0</v>
      </c>
    </row>
    <row r="124" spans="1:11" x14ac:dyDescent="0.3">
      <c r="A124" s="3" t="str">
        <f>IF(A123="Print","Print","Do Not Print")</f>
        <v>Do Not Print</v>
      </c>
      <c r="D124" s="2012"/>
      <c r="E124" s="2012"/>
      <c r="F124" s="2012"/>
      <c r="G124" s="2012"/>
      <c r="H124" s="2012"/>
      <c r="I124" s="2012"/>
      <c r="J124" s="2012"/>
      <c r="K124" s="2012"/>
    </row>
    <row r="125" spans="1:11" x14ac:dyDescent="0.3">
      <c r="A125" s="3" t="str">
        <f>IF(AND(J125=0,K125=0),"Do Not Print","Print")</f>
        <v>Do Not Print</v>
      </c>
      <c r="D125" s="474" t="s">
        <v>532</v>
      </c>
      <c r="E125" s="474"/>
      <c r="F125" s="474"/>
      <c r="G125" s="474"/>
      <c r="H125" s="604"/>
      <c r="I125" s="474"/>
      <c r="J125" s="606">
        <f>SUM(J120:J123)</f>
        <v>0</v>
      </c>
      <c r="K125" s="606">
        <f>SUM(K120:K123)</f>
        <v>0</v>
      </c>
    </row>
    <row r="126" spans="1:11" x14ac:dyDescent="0.3">
      <c r="A126" s="3" t="str">
        <f>IF(A125="Print","Print","Do Not Print")</f>
        <v>Do Not Print</v>
      </c>
      <c r="D126" s="1500"/>
      <c r="E126" s="1500"/>
      <c r="F126" s="1500"/>
      <c r="G126" s="1500"/>
      <c r="H126" s="1500"/>
      <c r="I126" s="1500"/>
      <c r="J126" s="1500"/>
      <c r="K126" s="1500"/>
    </row>
    <row r="127" spans="1:11" ht="18" customHeight="1" x14ac:dyDescent="0.3">
      <c r="A127" s="3" t="str">
        <f>IF(OR(A129="Print",A131="Print",A139="Print"),"Print","Do Not Print")</f>
        <v>Print</v>
      </c>
      <c r="C127" s="585" t="str">
        <f>Checklist!E137</f>
        <v>c</v>
      </c>
      <c r="D127" s="1168" t="s">
        <v>423</v>
      </c>
      <c r="E127" s="474"/>
      <c r="F127" s="474"/>
      <c r="G127" s="474"/>
      <c r="H127" s="604"/>
      <c r="I127" s="604"/>
      <c r="J127" s="604"/>
      <c r="K127" s="604"/>
    </row>
    <row r="128" spans="1:11" ht="18" customHeight="1" x14ac:dyDescent="0.3">
      <c r="A128" s="3" t="s">
        <v>448</v>
      </c>
      <c r="D128" s="476"/>
      <c r="E128" s="476"/>
      <c r="F128" s="476"/>
      <c r="G128" s="476"/>
    </row>
    <row r="129" spans="1:15" ht="42.6" customHeight="1" x14ac:dyDescent="0.3">
      <c r="A129" s="3" t="str">
        <f>IF('Non TB - Note 25 to end'!F38=1,"Print","Do Not Print")</f>
        <v>Print</v>
      </c>
      <c r="D129" s="1512" t="str">
        <f>IF('Non TB - Note 25 to end'!F38=1,'Non TB - Note 25 to end'!H38,"")</f>
        <v>This fund was established under section 56 of the Local Government Act (NI) 1972, however this section of the act was repealed under the Local Government Finance Act (Nothern Ireland) 2011. Councils should disclose details where any of these reserves are earmarked for specific purposes.</v>
      </c>
      <c r="E129" s="1504"/>
      <c r="F129" s="1504"/>
      <c r="G129" s="1504"/>
      <c r="H129" s="1504"/>
      <c r="I129" s="1504"/>
      <c r="J129" s="1504"/>
      <c r="K129" s="1504"/>
    </row>
    <row r="130" spans="1:15" ht="12.75" customHeight="1" x14ac:dyDescent="0.3">
      <c r="A130" s="3" t="str">
        <f>IF(A129="Print","Print","Do Not Print")</f>
        <v>Print</v>
      </c>
      <c r="D130" s="478"/>
      <c r="E130" s="478"/>
      <c r="F130" s="478"/>
      <c r="G130" s="478"/>
      <c r="I130" s="478"/>
      <c r="J130" s="478"/>
      <c r="K130" s="478"/>
    </row>
    <row r="131" spans="1:15" ht="12.75" customHeight="1" x14ac:dyDescent="0.3">
      <c r="A131" s="3" t="str">
        <f>IF(AND(J137=0,K137=0),"Do Not Print","Print")</f>
        <v>Do Not Print</v>
      </c>
      <c r="D131" s="474" t="s">
        <v>423</v>
      </c>
      <c r="E131" s="474"/>
      <c r="F131" s="474"/>
      <c r="G131" s="474"/>
      <c r="H131" s="604"/>
      <c r="I131" s="486" t="s">
        <v>343</v>
      </c>
      <c r="J131" s="586">
        <f>'Standing Data'!D44</f>
        <v>46112</v>
      </c>
      <c r="K131" s="586">
        <f>'Standing Data'!D72</f>
        <v>45747</v>
      </c>
    </row>
    <row r="132" spans="1:15" ht="12.75" customHeight="1" x14ac:dyDescent="0.3">
      <c r="A132" s="3" t="str">
        <f>IF(A131="Print","Print","Do Not Print")</f>
        <v>Do Not Print</v>
      </c>
      <c r="D132" s="2012"/>
      <c r="E132" s="2012"/>
      <c r="F132" s="2012"/>
      <c r="G132" s="2012"/>
      <c r="H132" s="2012"/>
      <c r="I132" s="2012"/>
      <c r="J132" s="648" t="s">
        <v>450</v>
      </c>
      <c r="K132" s="648" t="s">
        <v>450</v>
      </c>
    </row>
    <row r="133" spans="1:15" ht="12.75" customHeight="1" x14ac:dyDescent="0.3">
      <c r="A133" s="3" t="str">
        <f>IF(AND(K133=0,J133=0),"Do Not Print","Print")</f>
        <v>Do Not Print</v>
      </c>
      <c r="D133" s="2012" t="s">
        <v>530</v>
      </c>
      <c r="E133" s="2012"/>
      <c r="F133" s="2012"/>
      <c r="G133" s="2012"/>
      <c r="H133" s="2012"/>
      <c r="I133" s="610"/>
      <c r="J133" s="601">
        <f>K137</f>
        <v>0</v>
      </c>
      <c r="K133" s="601">
        <f>'Det BS '!K536</f>
        <v>0</v>
      </c>
    </row>
    <row r="134" spans="1:15" ht="27" customHeight="1" x14ac:dyDescent="0.3">
      <c r="A134" s="3" t="str">
        <f>IF(AND(K134=0,J134=0),"Do Not Print","Print")</f>
        <v>Do Not Print</v>
      </c>
      <c r="D134" s="2033" t="s">
        <v>1318</v>
      </c>
      <c r="E134" s="2033"/>
      <c r="F134" s="2033"/>
      <c r="G134" s="2033"/>
      <c r="H134" s="2033"/>
      <c r="I134" s="610"/>
      <c r="J134" s="601">
        <f>-'Notes 3 to 10'!H121</f>
        <v>0</v>
      </c>
      <c r="K134" s="601">
        <f>-'Notes 3 to 10'!J121</f>
        <v>0</v>
      </c>
      <c r="O134" s="3"/>
    </row>
    <row r="135" spans="1:15" ht="27.75" customHeight="1" x14ac:dyDescent="0.3">
      <c r="A135" s="3" t="str">
        <f>IF(AND(K135=0,J135=0),"Do Not Print","Print")</f>
        <v>Do Not Print</v>
      </c>
      <c r="D135" s="2033" t="s">
        <v>1321</v>
      </c>
      <c r="E135" s="2033"/>
      <c r="F135" s="2033"/>
      <c r="G135" s="2033"/>
      <c r="H135" s="2033"/>
      <c r="I135" s="599">
        <v>12</v>
      </c>
      <c r="J135" s="601">
        <f>'Non TB - Note 25 to end'!H42</f>
        <v>0</v>
      </c>
      <c r="K135" s="601">
        <f>'Non TB - Note 25 to end'!I42</f>
        <v>0</v>
      </c>
      <c r="L135" s="3"/>
      <c r="O135" s="3"/>
    </row>
    <row r="136" spans="1:15" ht="12.75" customHeight="1" x14ac:dyDescent="0.3">
      <c r="A136" s="3" t="str">
        <f>IF(A135="Print","Print","Do Not Print")</f>
        <v>Do Not Print</v>
      </c>
      <c r="D136" s="2012"/>
      <c r="E136" s="2012"/>
      <c r="F136" s="2012"/>
      <c r="G136" s="2012"/>
      <c r="H136" s="2012"/>
      <c r="I136" s="2012"/>
      <c r="J136" s="2012"/>
      <c r="K136" s="2012"/>
    </row>
    <row r="137" spans="1:15" ht="12.75" customHeight="1" x14ac:dyDescent="0.3">
      <c r="A137" s="3" t="str">
        <f>IF(AND(K137=0,J137=0),"Do Not Print","Print")</f>
        <v>Do Not Print</v>
      </c>
      <c r="D137" s="474" t="s">
        <v>532</v>
      </c>
      <c r="E137" s="474"/>
      <c r="F137" s="474"/>
      <c r="G137" s="474"/>
      <c r="H137" s="604"/>
      <c r="I137" s="474"/>
      <c r="J137" s="606">
        <f>SUM(J133:J136)</f>
        <v>0</v>
      </c>
      <c r="K137" s="606">
        <f>SUM(K133:K136)</f>
        <v>0</v>
      </c>
    </row>
    <row r="138" spans="1:15" x14ac:dyDescent="0.3">
      <c r="A138" s="3" t="str">
        <f>IF(A137="Print","Print","Do Not Print")</f>
        <v>Do Not Print</v>
      </c>
      <c r="D138" s="1500"/>
      <c r="E138" s="1500"/>
      <c r="F138" s="1500"/>
      <c r="G138" s="1500"/>
      <c r="H138" s="1500"/>
      <c r="I138" s="1500"/>
      <c r="J138" s="1500"/>
      <c r="K138" s="1500"/>
    </row>
    <row r="139" spans="1:15" x14ac:dyDescent="0.3">
      <c r="A139" s="3" t="str">
        <f>IF(OR(A140="Print",A141="Print",A142="Print"),"Print","Do Not Print")</f>
        <v>Do Not Print</v>
      </c>
      <c r="D139" s="2012"/>
      <c r="E139" s="2012"/>
      <c r="F139" s="2012"/>
      <c r="G139" s="2012"/>
      <c r="H139" s="2012"/>
      <c r="I139" s="2012"/>
      <c r="J139" s="2012"/>
      <c r="K139" s="610" t="s">
        <v>450</v>
      </c>
    </row>
    <row r="140" spans="1:15" x14ac:dyDescent="0.3">
      <c r="A140" s="3" t="str">
        <f>IF(K140=0,"Do Not Print","Print")</f>
        <v>Do Not Print</v>
      </c>
      <c r="D140" s="2012" t="s">
        <v>872</v>
      </c>
      <c r="E140" s="2012"/>
      <c r="F140" s="2012"/>
      <c r="G140" s="2012"/>
      <c r="H140" s="2012"/>
      <c r="I140" s="2012"/>
      <c r="J140" s="2012"/>
      <c r="K140" s="598">
        <f>'Non TB - Note 25 to end'!H39</f>
        <v>0</v>
      </c>
    </row>
    <row r="141" spans="1:15" x14ac:dyDescent="0.3">
      <c r="A141" s="3" t="str">
        <f>IF(K141=0,"Do Not Print","Print")</f>
        <v>Do Not Print</v>
      </c>
      <c r="D141" s="2012" t="s">
        <v>873</v>
      </c>
      <c r="E141" s="2012"/>
      <c r="F141" s="2012"/>
      <c r="G141" s="2012"/>
      <c r="H141" s="2012"/>
      <c r="I141" s="2012"/>
      <c r="J141" s="2012"/>
      <c r="K141" s="598">
        <f>'Non TB - Note 25 to end'!H40</f>
        <v>0</v>
      </c>
    </row>
    <row r="142" spans="1:15" x14ac:dyDescent="0.3">
      <c r="A142" s="3" t="str">
        <f>IF(K142=0,"Do Not Print","Print")</f>
        <v>Do Not Print</v>
      </c>
      <c r="D142" s="2012" t="s">
        <v>874</v>
      </c>
      <c r="E142" s="2012"/>
      <c r="F142" s="2012"/>
      <c r="G142" s="2012"/>
      <c r="H142" s="2012"/>
      <c r="I142" s="2012"/>
      <c r="J142" s="2012"/>
      <c r="K142" s="598">
        <f>'Non TB - Note 25 to end'!H41</f>
        <v>0</v>
      </c>
    </row>
    <row r="143" spans="1:15" x14ac:dyDescent="0.3">
      <c r="A143" s="3" t="str">
        <f>IF(K143=0,"Do Not Print","Print")</f>
        <v>Do Not Print</v>
      </c>
      <c r="D143" s="2012" t="s">
        <v>74</v>
      </c>
      <c r="E143" s="2012"/>
      <c r="F143" s="2012"/>
      <c r="G143" s="2012"/>
      <c r="H143" s="2012"/>
      <c r="I143" s="2012"/>
      <c r="J143" s="2012"/>
      <c r="K143" s="600">
        <f>SUM(K140:K142)</f>
        <v>0</v>
      </c>
    </row>
    <row r="144" spans="1:15" x14ac:dyDescent="0.3">
      <c r="A144" s="3" t="str">
        <f>IF(A143="Print","Print","Do Not Print")</f>
        <v>Do Not Print</v>
      </c>
      <c r="D144" s="2012"/>
      <c r="E144" s="2012"/>
      <c r="F144" s="2012"/>
      <c r="G144" s="2012"/>
      <c r="H144" s="2012"/>
      <c r="I144" s="2012"/>
      <c r="J144" s="2012"/>
      <c r="K144" s="2012"/>
    </row>
    <row r="145" spans="1:11" x14ac:dyDescent="0.3">
      <c r="A145" s="3" t="str">
        <f>IF(A144="Print","Print","Do Not Print")</f>
        <v>Do Not Print</v>
      </c>
      <c r="D145" s="1500"/>
      <c r="E145" s="1500"/>
      <c r="F145" s="1500"/>
      <c r="G145" s="1500"/>
      <c r="H145" s="1500"/>
      <c r="I145" s="1500"/>
      <c r="J145" s="1500"/>
      <c r="K145" s="1500"/>
    </row>
    <row r="146" spans="1:11" x14ac:dyDescent="0.3">
      <c r="A146" s="3" t="str">
        <f>IF(OR(A148="Print",A150="Print",A162="Print"),"Print","Do Not Print")</f>
        <v>Print</v>
      </c>
      <c r="C146" s="585" t="str">
        <f>Checklist!E138</f>
        <v>d</v>
      </c>
      <c r="D146" s="474" t="s">
        <v>321</v>
      </c>
      <c r="E146" s="474"/>
      <c r="F146" s="474"/>
      <c r="G146" s="474"/>
      <c r="H146" s="604"/>
      <c r="I146" s="604"/>
      <c r="J146" s="604"/>
      <c r="K146" s="604"/>
    </row>
    <row r="147" spans="1:11" x14ac:dyDescent="0.3">
      <c r="A147" s="3" t="s">
        <v>448</v>
      </c>
      <c r="D147" s="476"/>
      <c r="E147" s="476"/>
      <c r="F147" s="476"/>
      <c r="G147" s="476"/>
    </row>
    <row r="148" spans="1:11" ht="42" customHeight="1" x14ac:dyDescent="0.3">
      <c r="A148" s="3" t="str">
        <f>IF('Non TB - Note 25 to end'!F43=1,"Print","Do Not Print")</f>
        <v>Print</v>
      </c>
      <c r="D148" s="1512" t="str">
        <f>IF('Non TB - Note 25 to end'!F43=1,'Non TB - Note 25 to end'!H43,"")</f>
        <v>This fund was established under section 56 of the Local Government Act (NI) 1972, however this section of the act was repealed under the Local Government Finance Act (Nothern Ireland) 2011. Councils should disclose details where any of these reserves are earmarked for specific purposes.</v>
      </c>
      <c r="E148" s="1504"/>
      <c r="F148" s="1504"/>
      <c r="G148" s="1504"/>
      <c r="H148" s="1504"/>
      <c r="I148" s="1504"/>
      <c r="J148" s="1504"/>
      <c r="K148" s="1504"/>
    </row>
    <row r="149" spans="1:11" x14ac:dyDescent="0.3">
      <c r="A149" s="3" t="str">
        <f>IF(A148="Print","Print","Do Not Print")</f>
        <v>Print</v>
      </c>
      <c r="D149" s="1500"/>
      <c r="E149" s="1500"/>
      <c r="F149" s="1500"/>
      <c r="G149" s="1500"/>
      <c r="H149" s="1500"/>
      <c r="I149" s="1500"/>
      <c r="J149" s="1500"/>
      <c r="K149" s="1500"/>
    </row>
    <row r="150" spans="1:11" x14ac:dyDescent="0.3">
      <c r="A150" s="3" t="str">
        <f>IF(AND(J156=0,K156=0),"Do Not Print","Print")</f>
        <v>Do Not Print</v>
      </c>
      <c r="D150" s="474" t="s">
        <v>321</v>
      </c>
      <c r="E150" s="474"/>
      <c r="F150" s="474"/>
      <c r="G150" s="486"/>
      <c r="H150" s="940"/>
      <c r="I150" s="486" t="s">
        <v>343</v>
      </c>
      <c r="J150" s="586">
        <f>'Standing Data'!D44</f>
        <v>46112</v>
      </c>
      <c r="K150" s="586">
        <f>K101</f>
        <v>45747</v>
      </c>
    </row>
    <row r="151" spans="1:11" x14ac:dyDescent="0.3">
      <c r="A151" s="3" t="str">
        <f>IF(A150="Print","Print","Do Not Print")</f>
        <v>Do Not Print</v>
      </c>
      <c r="D151" s="2012"/>
      <c r="E151" s="2012"/>
      <c r="F151" s="2012"/>
      <c r="G151" s="2012"/>
      <c r="H151" s="2012"/>
      <c r="I151" s="2012"/>
      <c r="J151" s="648" t="s">
        <v>450</v>
      </c>
      <c r="K151" s="648" t="s">
        <v>450</v>
      </c>
    </row>
    <row r="152" spans="1:11" x14ac:dyDescent="0.3">
      <c r="A152" s="3" t="str">
        <f>IF(AND(J152=0,K152=0),"Do Not Print","Print")</f>
        <v>Do Not Print</v>
      </c>
      <c r="D152" s="2012" t="s">
        <v>530</v>
      </c>
      <c r="E152" s="2012"/>
      <c r="F152" s="2012"/>
      <c r="G152" s="2012"/>
      <c r="H152" s="2012"/>
      <c r="I152" s="610"/>
      <c r="J152" s="601">
        <f>K156</f>
        <v>0</v>
      </c>
      <c r="K152" s="601">
        <f>'Det BS '!K537</f>
        <v>0</v>
      </c>
    </row>
    <row r="153" spans="1:11" ht="27" customHeight="1" x14ac:dyDescent="0.3">
      <c r="A153" s="3" t="s">
        <v>448</v>
      </c>
      <c r="D153" s="2033" t="s">
        <v>1318</v>
      </c>
      <c r="E153" s="2033"/>
      <c r="F153" s="2033"/>
      <c r="G153" s="2033"/>
      <c r="H153" s="2033"/>
      <c r="I153" s="610"/>
      <c r="J153" s="601">
        <f>-'Notes 3 to 10'!H124</f>
        <v>0</v>
      </c>
      <c r="K153" s="601">
        <f>-'Notes 3 to 10'!J124</f>
        <v>0</v>
      </c>
    </row>
    <row r="154" spans="1:11" ht="30" customHeight="1" x14ac:dyDescent="0.3">
      <c r="A154" s="3" t="s">
        <v>448</v>
      </c>
      <c r="D154" s="2033" t="s">
        <v>1320</v>
      </c>
      <c r="E154" s="2033"/>
      <c r="F154" s="2033"/>
      <c r="G154" s="2033"/>
      <c r="H154" s="2033"/>
      <c r="I154" s="599">
        <v>12</v>
      </c>
      <c r="J154" s="601">
        <f>'Non TB - Note 25 to end'!H44</f>
        <v>0</v>
      </c>
      <c r="K154" s="601">
        <f>'Non TB - Note 25 to end'!I44</f>
        <v>0</v>
      </c>
    </row>
    <row r="155" spans="1:11" x14ac:dyDescent="0.3">
      <c r="A155" s="3" t="str">
        <f>IF(A154="Print","Print","Do Not Print")</f>
        <v>Print</v>
      </c>
      <c r="D155" s="2012"/>
      <c r="E155" s="2012"/>
      <c r="F155" s="2012"/>
      <c r="G155" s="2012"/>
      <c r="H155" s="2012"/>
      <c r="I155" s="2012"/>
      <c r="J155" s="2012"/>
      <c r="K155" s="2012"/>
    </row>
    <row r="156" spans="1:11" x14ac:dyDescent="0.3">
      <c r="A156" s="3" t="str">
        <f>IF(AND(J156=0,K156=0),"Do Not Print","Print")</f>
        <v>Do Not Print</v>
      </c>
      <c r="D156" s="474" t="s">
        <v>532</v>
      </c>
      <c r="E156" s="474"/>
      <c r="F156" s="474"/>
      <c r="G156" s="474"/>
      <c r="H156" s="604"/>
      <c r="I156" s="474"/>
      <c r="J156" s="606">
        <f>SUM(J152:J155)</f>
        <v>0</v>
      </c>
      <c r="K156" s="606">
        <f>SUM(K152:K155)</f>
        <v>0</v>
      </c>
    </row>
    <row r="157" spans="1:11" x14ac:dyDescent="0.3">
      <c r="A157" s="3" t="str">
        <f>IF(A156="Print","Print","Do Not Print")</f>
        <v>Do Not Print</v>
      </c>
      <c r="D157" s="1500"/>
      <c r="E157" s="1500"/>
      <c r="F157" s="1500"/>
      <c r="G157" s="1500"/>
      <c r="H157" s="1500"/>
      <c r="I157" s="1500"/>
      <c r="J157" s="1500"/>
      <c r="K157" s="1500"/>
    </row>
    <row r="158" spans="1:11" x14ac:dyDescent="0.3">
      <c r="A158" s="3" t="str">
        <f>IF(A162="Print","Print","Do Not Print")</f>
        <v>Do Not Print</v>
      </c>
      <c r="D158" s="2012"/>
      <c r="E158" s="2012"/>
      <c r="F158" s="2012"/>
      <c r="G158" s="2012"/>
      <c r="H158" s="2012"/>
      <c r="I158" s="2012"/>
      <c r="J158" s="2012"/>
      <c r="K158" s="648" t="s">
        <v>450</v>
      </c>
    </row>
    <row r="159" spans="1:11" x14ac:dyDescent="0.3">
      <c r="A159" s="3" t="str">
        <f>IF(K159=0,"Do Not Print","Print")</f>
        <v>Do Not Print</v>
      </c>
      <c r="D159" s="2012" t="s">
        <v>872</v>
      </c>
      <c r="E159" s="2012"/>
      <c r="F159" s="2012"/>
      <c r="G159" s="2012"/>
      <c r="H159" s="2012"/>
      <c r="I159" s="2012"/>
      <c r="J159" s="2012"/>
      <c r="K159" s="598">
        <f>'Non TB - Note 25 to end'!H45</f>
        <v>0</v>
      </c>
    </row>
    <row r="160" spans="1:11" x14ac:dyDescent="0.3">
      <c r="A160" s="3" t="str">
        <f>IF(K160=0,"Do Not Print","Print")</f>
        <v>Do Not Print</v>
      </c>
      <c r="D160" s="2012" t="s">
        <v>873</v>
      </c>
      <c r="E160" s="2012"/>
      <c r="F160" s="2012"/>
      <c r="G160" s="2012"/>
      <c r="H160" s="2012"/>
      <c r="I160" s="2012"/>
      <c r="J160" s="2012"/>
      <c r="K160" s="598">
        <f>'Non TB - Note 25 to end'!H46</f>
        <v>0</v>
      </c>
    </row>
    <row r="161" spans="1:15" x14ac:dyDescent="0.3">
      <c r="A161" s="3" t="str">
        <f>IF(K161=0,"Do Not Print","Print")</f>
        <v>Do Not Print</v>
      </c>
      <c r="D161" s="2012" t="s">
        <v>874</v>
      </c>
      <c r="E161" s="2012"/>
      <c r="F161" s="2012"/>
      <c r="G161" s="2012"/>
      <c r="H161" s="2012"/>
      <c r="I161" s="2012"/>
      <c r="J161" s="2012"/>
      <c r="K161" s="598">
        <f>'Non TB - Note 25 to end'!H47</f>
        <v>0</v>
      </c>
    </row>
    <row r="162" spans="1:15" x14ac:dyDescent="0.3">
      <c r="A162" s="3" t="str">
        <f>IF(K162=0,"Do Not Print","Print")</f>
        <v>Do Not Print</v>
      </c>
      <c r="D162" s="2012" t="s">
        <v>74</v>
      </c>
      <c r="E162" s="2012"/>
      <c r="F162" s="2012"/>
      <c r="G162" s="2012"/>
      <c r="H162" s="2012"/>
      <c r="I162" s="2012"/>
      <c r="J162" s="2012"/>
      <c r="K162" s="600">
        <f>SUM(K159:K161)</f>
        <v>0</v>
      </c>
    </row>
    <row r="163" spans="1:15" x14ac:dyDescent="0.3">
      <c r="A163" s="3" t="str">
        <f>IF(A162="Print","Print","Do Not Print")</f>
        <v>Do Not Print</v>
      </c>
      <c r="D163" s="2012"/>
      <c r="E163" s="2012"/>
      <c r="F163" s="2012"/>
      <c r="G163" s="2012"/>
      <c r="H163" s="2012"/>
      <c r="I163" s="2012"/>
      <c r="J163" s="2012"/>
      <c r="K163" s="2012"/>
    </row>
    <row r="164" spans="1:15" x14ac:dyDescent="0.3">
      <c r="A164" s="3" t="str">
        <f>IF(A163="Print","Print","Do Not Print")</f>
        <v>Do Not Print</v>
      </c>
      <c r="D164" s="1500"/>
      <c r="E164" s="1500"/>
      <c r="F164" s="1500"/>
      <c r="G164" s="1500"/>
      <c r="H164" s="1500"/>
      <c r="I164" s="1500"/>
      <c r="J164" s="1500"/>
      <c r="K164" s="1500"/>
    </row>
    <row r="165" spans="1:15" x14ac:dyDescent="0.3">
      <c r="A165" s="3" t="str">
        <f>IF(A173="Print","Print","Do Not Print")</f>
        <v>Do Not Print</v>
      </c>
      <c r="C165" s="585" t="str">
        <f>Checklist!E139</f>
        <v>e</v>
      </c>
      <c r="D165" s="474" t="s">
        <v>322</v>
      </c>
      <c r="E165" s="474"/>
      <c r="F165" s="474"/>
      <c r="G165" s="474"/>
      <c r="H165" s="604"/>
      <c r="I165" s="604"/>
      <c r="J165" s="604"/>
      <c r="K165" s="604"/>
    </row>
    <row r="166" spans="1:15" x14ac:dyDescent="0.3">
      <c r="A166" s="3" t="str">
        <f>IF(A165="Print","Print","Do Not Print")</f>
        <v>Do Not Print</v>
      </c>
      <c r="D166" s="1500"/>
      <c r="E166" s="1500"/>
      <c r="F166" s="1500"/>
      <c r="G166" s="1500"/>
      <c r="H166" s="1500"/>
      <c r="I166" s="1500"/>
      <c r="J166" s="1500"/>
      <c r="K166" s="1500"/>
    </row>
    <row r="167" spans="1:15" x14ac:dyDescent="0.3">
      <c r="A167" s="3" t="str">
        <f>IF(A173="Print","Print","Do Not Print")</f>
        <v>Do Not Print</v>
      </c>
      <c r="D167" s="474" t="s">
        <v>1550</v>
      </c>
      <c r="E167" s="474"/>
      <c r="F167" s="474"/>
      <c r="G167" s="474"/>
      <c r="H167" s="604"/>
      <c r="I167" s="486" t="s">
        <v>343</v>
      </c>
      <c r="J167" s="586">
        <f>'Standing Data'!D44</f>
        <v>46112</v>
      </c>
      <c r="K167" s="586">
        <f>K101</f>
        <v>45747</v>
      </c>
    </row>
    <row r="168" spans="1:15" x14ac:dyDescent="0.3">
      <c r="A168" s="3" t="str">
        <f>IF(A167="Print","Print","Do Not Print")</f>
        <v>Do Not Print</v>
      </c>
      <c r="D168" s="2012"/>
      <c r="E168" s="2012"/>
      <c r="F168" s="2012"/>
      <c r="G168" s="2012"/>
      <c r="H168" s="2012"/>
      <c r="I168" s="2012"/>
      <c r="J168" s="648" t="s">
        <v>450</v>
      </c>
      <c r="K168" s="648" t="s">
        <v>450</v>
      </c>
    </row>
    <row r="169" spans="1:15" x14ac:dyDescent="0.3">
      <c r="A169" s="3" t="str">
        <f>IF(AND(J169=0,K169=0),"Do Not Print","Print")</f>
        <v>Do Not Print</v>
      </c>
      <c r="D169" s="2012" t="s">
        <v>530</v>
      </c>
      <c r="E169" s="2012"/>
      <c r="F169" s="2012"/>
      <c r="G169" s="2012"/>
      <c r="H169" s="2012"/>
      <c r="I169" s="599"/>
      <c r="J169" s="600">
        <f>K173</f>
        <v>0</v>
      </c>
      <c r="K169" s="600">
        <f>'Det BS '!K538</f>
        <v>0</v>
      </c>
    </row>
    <row r="170" spans="1:15" ht="27" customHeight="1" x14ac:dyDescent="0.3">
      <c r="A170" s="3" t="str">
        <f>IF(AND(J170=0,K170=0),"Do Not Print","Print")</f>
        <v>Do Not Print</v>
      </c>
      <c r="D170" s="2033" t="s">
        <v>1318</v>
      </c>
      <c r="E170" s="2033"/>
      <c r="F170" s="2033"/>
      <c r="G170" s="2033"/>
      <c r="H170" s="2033"/>
      <c r="I170" s="599">
        <v>4</v>
      </c>
      <c r="J170" s="600">
        <f>-'Notes 3 to 10'!H131</f>
        <v>0</v>
      </c>
      <c r="K170" s="600">
        <f>-'Notes 3 to 10'!J131</f>
        <v>0</v>
      </c>
      <c r="L170" s="3"/>
      <c r="O170" s="3"/>
    </row>
    <row r="171" spans="1:15" ht="28.05" customHeight="1" x14ac:dyDescent="0.3">
      <c r="A171" s="3" t="str">
        <f>IF(AND(J171=0,K171=0),"Do Not Print","Print")</f>
        <v>Do Not Print</v>
      </c>
      <c r="D171" s="2033" t="s">
        <v>1330</v>
      </c>
      <c r="E171" s="2033"/>
      <c r="F171" s="2033"/>
      <c r="G171" s="2033"/>
      <c r="H171" s="2033"/>
      <c r="I171" s="599">
        <v>11</v>
      </c>
      <c r="J171" s="598">
        <f>'Non TB - Note 25 to end'!H48</f>
        <v>0</v>
      </c>
      <c r="K171" s="598">
        <f>'Non TB - Note 25 to end'!I48</f>
        <v>0</v>
      </c>
      <c r="O171" s="3"/>
    </row>
    <row r="172" spans="1:15" x14ac:dyDescent="0.3">
      <c r="A172" s="3" t="str">
        <f>IF(A170="Print","Print","Do Not Print")</f>
        <v>Do Not Print</v>
      </c>
      <c r="D172" s="2012"/>
      <c r="E172" s="2012"/>
      <c r="F172" s="2012"/>
      <c r="G172" s="2012"/>
      <c r="H172" s="2012"/>
      <c r="I172" s="2012"/>
      <c r="J172" s="2012"/>
      <c r="K172" s="2012"/>
    </row>
    <row r="173" spans="1:15" x14ac:dyDescent="0.3">
      <c r="A173" s="3" t="str">
        <f>IF(AND(J173=0,K173=0),"Do Not Print","Print")</f>
        <v>Do Not Print</v>
      </c>
      <c r="D173" s="474" t="s">
        <v>532</v>
      </c>
      <c r="E173" s="474"/>
      <c r="F173" s="474"/>
      <c r="G173" s="474"/>
      <c r="H173" s="604"/>
      <c r="I173" s="474"/>
      <c r="J173" s="606">
        <f>SUM(J169:J171)</f>
        <v>0</v>
      </c>
      <c r="K173" s="606">
        <f>SUM(K169:K171)</f>
        <v>0</v>
      </c>
    </row>
    <row r="174" spans="1:15" x14ac:dyDescent="0.3">
      <c r="A174" s="3" t="str">
        <f>IF(A173="Print","Print","Do Not Print")</f>
        <v>Do Not Print</v>
      </c>
      <c r="D174" s="1500"/>
      <c r="E174" s="1500"/>
      <c r="F174" s="1500"/>
      <c r="G174" s="1500"/>
      <c r="H174" s="1500"/>
      <c r="I174" s="1500"/>
      <c r="J174" s="1500"/>
      <c r="K174" s="1500"/>
    </row>
    <row r="175" spans="1:15" ht="30.6" customHeight="1" x14ac:dyDescent="0.3">
      <c r="A175" s="3" t="s">
        <v>593</v>
      </c>
      <c r="D175" s="1512" t="str">
        <f>IF('Non TB - Note 25 to end'!F49=1,'Non TB - Note 25 to end'!H49,"")</f>
        <v>This reserve is used to equalise (smooth) the cost of elections by building up a fund to cover the costs of future elections by making contributions, as and when required, to the reserve.</v>
      </c>
      <c r="E175" s="1504"/>
      <c r="F175" s="1504"/>
      <c r="G175" s="1504"/>
      <c r="H175" s="1504"/>
      <c r="I175" s="1504"/>
      <c r="J175" s="1504"/>
      <c r="K175" s="1504"/>
    </row>
    <row r="176" spans="1:15" ht="12.75" customHeight="1" x14ac:dyDescent="0.3">
      <c r="A176" s="3" t="str">
        <f>IF(A175="Print","Print","Do Not Print")</f>
        <v>Do Not Print</v>
      </c>
      <c r="D176" s="1501"/>
      <c r="E176" s="1501"/>
      <c r="F176" s="1501"/>
      <c r="G176" s="1501"/>
      <c r="H176" s="1501"/>
      <c r="I176" s="1501"/>
      <c r="J176" s="1501"/>
      <c r="K176" s="1501"/>
    </row>
    <row r="177" spans="1:15" ht="12.75" customHeight="1" x14ac:dyDescent="0.3">
      <c r="A177" s="3" t="str">
        <f>IF(A176="Print","Print","Do Not Print")</f>
        <v>Do Not Print</v>
      </c>
      <c r="D177" s="1501"/>
      <c r="E177" s="1501"/>
      <c r="F177" s="1501"/>
      <c r="G177" s="1501"/>
      <c r="H177" s="1501"/>
      <c r="I177" s="1501"/>
      <c r="J177" s="1501"/>
      <c r="K177" s="1501"/>
    </row>
    <row r="178" spans="1:15" x14ac:dyDescent="0.3">
      <c r="A178" s="3" t="str">
        <f>IF(OR(A180="Print",A198="Print"),"Print","Do Not Print")</f>
        <v>Print</v>
      </c>
      <c r="C178" s="585" t="str">
        <f>Checklist!E140</f>
        <v>f</v>
      </c>
      <c r="D178" s="474" t="s">
        <v>426</v>
      </c>
      <c r="E178" s="474"/>
      <c r="F178" s="474"/>
      <c r="G178" s="474"/>
      <c r="H178" s="604"/>
      <c r="I178" s="604"/>
      <c r="J178" s="604"/>
      <c r="K178" s="604"/>
    </row>
    <row r="179" spans="1:15" x14ac:dyDescent="0.3">
      <c r="A179" s="3" t="s">
        <v>448</v>
      </c>
      <c r="D179" s="476"/>
      <c r="E179" s="476"/>
      <c r="F179" s="476"/>
      <c r="G179" s="476"/>
    </row>
    <row r="180" spans="1:15" ht="56.55" customHeight="1" x14ac:dyDescent="0.3">
      <c r="A180" s="3" t="str">
        <f>IF('Non TB - Note 25 to end'!F50=1,"Print","Do Not Print")</f>
        <v>Print</v>
      </c>
      <c r="D180" s="1512" t="str">
        <f>IF('Non TB - Note 25 to end'!F50=1,'Non TB - Note 25 to end'!H50,"")</f>
        <v>This reserve shows the accounting cost in the year of providing services in accordance with generally accepted accounting practices, rather than the amount to be funded from District Rates. Councils raise rates to cover expenditure in accordance with regulations; this may be different from the accounting cost. The taxation position is shown in the Movement in Reserves Statement.</v>
      </c>
      <c r="E180" s="1504"/>
      <c r="F180" s="1504"/>
      <c r="G180" s="1504"/>
      <c r="H180" s="1504"/>
      <c r="I180" s="1504"/>
      <c r="J180" s="1504"/>
      <c r="K180" s="1504"/>
    </row>
    <row r="181" spans="1:15" ht="12.75" customHeight="1" x14ac:dyDescent="0.3">
      <c r="A181" s="3" t="str">
        <f>IF(A180="Print","Print","Do Not Print")</f>
        <v>Print</v>
      </c>
      <c r="D181" s="1501"/>
      <c r="E181" s="1501"/>
      <c r="F181" s="1501"/>
      <c r="G181" s="1501"/>
      <c r="H181" s="1501"/>
      <c r="I181" s="1501"/>
      <c r="J181" s="1501"/>
      <c r="K181" s="1501"/>
    </row>
    <row r="182" spans="1:15" ht="25.2" customHeight="1" x14ac:dyDescent="0.3">
      <c r="A182" s="3" t="str">
        <f>IF(AND(J198=0,K198=0),"Do Not Print","Print")</f>
        <v>Do Not Print</v>
      </c>
      <c r="D182" s="474" t="s">
        <v>426</v>
      </c>
      <c r="E182" s="474"/>
      <c r="F182" s="474"/>
      <c r="G182" s="474"/>
      <c r="H182" s="604"/>
      <c r="I182" s="486" t="s">
        <v>343</v>
      </c>
      <c r="J182" s="586">
        <f>J101</f>
        <v>46112</v>
      </c>
      <c r="K182" s="936">
        <f>K101</f>
        <v>45747</v>
      </c>
    </row>
    <row r="183" spans="1:15" ht="12.75" customHeight="1" x14ac:dyDescent="0.3">
      <c r="A183" s="3" t="str">
        <f>IF(A182="Print","Print","Do Not Print")</f>
        <v>Do Not Print</v>
      </c>
      <c r="D183" s="2012"/>
      <c r="E183" s="2012"/>
      <c r="F183" s="2012"/>
      <c r="G183" s="2012"/>
      <c r="H183" s="2012"/>
      <c r="I183" s="2012"/>
      <c r="J183" s="648" t="s">
        <v>450</v>
      </c>
      <c r="K183" s="648" t="s">
        <v>450</v>
      </c>
    </row>
    <row r="184" spans="1:15" ht="12.75" customHeight="1" x14ac:dyDescent="0.3">
      <c r="A184" s="3" t="str">
        <f>IF(AND(K184=0,J184=0),"Do Not Print","Print")</f>
        <v>Do Not Print</v>
      </c>
      <c r="D184" s="2013" t="s">
        <v>530</v>
      </c>
      <c r="E184" s="2013"/>
      <c r="F184" s="2013"/>
      <c r="G184" s="2013"/>
      <c r="H184" s="2013"/>
      <c r="I184" s="599"/>
      <c r="J184" s="600">
        <f>K198</f>
        <v>0</v>
      </c>
      <c r="K184" s="601">
        <f>'Det BS '!K539</f>
        <v>0</v>
      </c>
    </row>
    <row r="185" spans="1:15" ht="12.75" customHeight="1" x14ac:dyDescent="0.3">
      <c r="A185" s="3" t="str">
        <f t="shared" ref="A185:A195" si="3">IF(AND(K185=0,J185=0),"Do Not Print","Print")</f>
        <v>Do Not Print</v>
      </c>
      <c r="D185" s="2013" t="s">
        <v>207</v>
      </c>
      <c r="E185" s="2013"/>
      <c r="F185" s="2013"/>
      <c r="G185" s="2013"/>
      <c r="H185" s="2013"/>
      <c r="I185" s="599" t="s">
        <v>2222</v>
      </c>
      <c r="J185" s="601">
        <f>SUM('Det CIES'!P125:P129)</f>
        <v>0</v>
      </c>
      <c r="K185" s="600">
        <f>SUM('Det CIES'!S125:S129)</f>
        <v>0</v>
      </c>
    </row>
    <row r="186" spans="1:15" ht="12.75" customHeight="1" x14ac:dyDescent="0.3">
      <c r="A186" s="3" t="str">
        <f t="shared" si="3"/>
        <v>Do Not Print</v>
      </c>
      <c r="D186" s="2013" t="s">
        <v>1316</v>
      </c>
      <c r="E186" s="2013"/>
      <c r="F186" s="2013"/>
      <c r="G186" s="2013"/>
      <c r="H186" s="2013"/>
      <c r="I186" s="599"/>
      <c r="J186" s="600">
        <f>SUM('Det CIES'!P130+'Det CIES'!P131)</f>
        <v>0</v>
      </c>
      <c r="K186" s="600">
        <f>SUM('Det CIES'!S130+'Det CIES'!S131)</f>
        <v>0</v>
      </c>
    </row>
    <row r="187" spans="1:15" ht="12.75" customHeight="1" x14ac:dyDescent="0.3">
      <c r="A187" s="3" t="str">
        <f t="shared" si="3"/>
        <v>Do Not Print</v>
      </c>
      <c r="D187" s="2013" t="s">
        <v>208</v>
      </c>
      <c r="E187" s="2013"/>
      <c r="F187" s="2013"/>
      <c r="G187" s="2013"/>
      <c r="H187" s="2013"/>
      <c r="I187" s="599" t="s">
        <v>2220</v>
      </c>
      <c r="J187" s="600">
        <f>-J247</f>
        <v>0</v>
      </c>
      <c r="K187" s="600">
        <f>-K247</f>
        <v>0</v>
      </c>
    </row>
    <row r="188" spans="1:15" ht="12.75" customHeight="1" x14ac:dyDescent="0.3">
      <c r="A188" s="3" t="str">
        <f t="shared" si="3"/>
        <v>Do Not Print</v>
      </c>
      <c r="D188" s="2013" t="s">
        <v>1322</v>
      </c>
      <c r="E188" s="2013"/>
      <c r="F188" s="2013"/>
      <c r="G188" s="2013"/>
      <c r="H188" s="2013"/>
      <c r="I188" s="599">
        <v>4</v>
      </c>
      <c r="J188" s="600">
        <f>'Notes 3 to 10'!H96</f>
        <v>0</v>
      </c>
      <c r="K188" s="601">
        <f>'Notes 3 to 10'!J96</f>
        <v>0</v>
      </c>
      <c r="L188" s="3"/>
      <c r="O188" s="3"/>
    </row>
    <row r="189" spans="1:15" ht="12.75" customHeight="1" x14ac:dyDescent="0.3">
      <c r="A189" s="3" t="str">
        <f t="shared" si="3"/>
        <v>Do Not Print</v>
      </c>
      <c r="D189" s="2013" t="s">
        <v>1323</v>
      </c>
      <c r="E189" s="2013"/>
      <c r="F189" s="2013"/>
      <c r="G189" s="2013"/>
      <c r="H189" s="2013"/>
      <c r="I189" s="599">
        <v>4</v>
      </c>
      <c r="J189" s="600">
        <f>'Notes 3 to 10'!H111</f>
        <v>0</v>
      </c>
      <c r="K189" s="601">
        <f>'Notes 3 to 10'!J111</f>
        <v>0</v>
      </c>
      <c r="L189" s="3"/>
    </row>
    <row r="190" spans="1:15" x14ac:dyDescent="0.3">
      <c r="A190" s="3" t="str">
        <f t="shared" si="3"/>
        <v>Do Not Print</v>
      </c>
      <c r="D190" s="2013" t="s">
        <v>566</v>
      </c>
      <c r="E190" s="2013"/>
      <c r="F190" s="2013"/>
      <c r="G190" s="2013"/>
      <c r="H190" s="2013"/>
      <c r="I190" s="599" t="s">
        <v>2220</v>
      </c>
      <c r="J190" s="600">
        <f>-J250</f>
        <v>0</v>
      </c>
      <c r="K190" s="600">
        <f>-K250</f>
        <v>0</v>
      </c>
    </row>
    <row r="191" spans="1:15" ht="12.75" customHeight="1" x14ac:dyDescent="0.3">
      <c r="A191" s="3" t="str">
        <f t="shared" si="3"/>
        <v>Do Not Print</v>
      </c>
      <c r="D191" s="2013" t="s">
        <v>347</v>
      </c>
      <c r="E191" s="2013"/>
      <c r="F191" s="2013"/>
      <c r="G191" s="2013"/>
      <c r="H191" s="2013"/>
      <c r="I191" s="599" t="s">
        <v>154</v>
      </c>
      <c r="J191" s="600">
        <f>-'Det CIES'!P136</f>
        <v>0</v>
      </c>
      <c r="K191" s="600">
        <f>-'Det CIES'!S136</f>
        <v>0</v>
      </c>
      <c r="M191" s="3"/>
    </row>
    <row r="192" spans="1:15" ht="27.75" customHeight="1" x14ac:dyDescent="0.3">
      <c r="A192" s="3" t="str">
        <f t="shared" si="3"/>
        <v>Do Not Print</v>
      </c>
      <c r="D192" s="2013" t="s">
        <v>1324</v>
      </c>
      <c r="E192" s="2013"/>
      <c r="F192" s="2013"/>
      <c r="G192" s="2013"/>
      <c r="H192" s="2013"/>
      <c r="I192" s="599">
        <v>4</v>
      </c>
      <c r="J192" s="600">
        <f>'Notes 3 to 10'!H135</f>
        <v>0</v>
      </c>
      <c r="K192" s="600">
        <f>'Notes 3 to 10'!J135</f>
        <v>0</v>
      </c>
      <c r="O192" s="3"/>
    </row>
    <row r="193" spans="1:12" ht="12.75" customHeight="1" x14ac:dyDescent="0.3">
      <c r="A193" s="3" t="str">
        <f t="shared" si="3"/>
        <v>Do Not Print</v>
      </c>
      <c r="D193" s="2013" t="s">
        <v>1325</v>
      </c>
      <c r="E193" s="2013"/>
      <c r="F193" s="2013"/>
      <c r="G193" s="2013"/>
      <c r="H193" s="2013"/>
      <c r="I193" s="599" t="s">
        <v>2223</v>
      </c>
      <c r="J193" s="600">
        <f>-J314</f>
        <v>0</v>
      </c>
      <c r="K193" s="600">
        <f>-K314</f>
        <v>0</v>
      </c>
    </row>
    <row r="194" spans="1:12" ht="12.75" customHeight="1" x14ac:dyDescent="0.3">
      <c r="A194" s="3" t="str">
        <f t="shared" si="3"/>
        <v>Do Not Print</v>
      </c>
      <c r="D194" s="2013" t="s">
        <v>1326</v>
      </c>
      <c r="E194" s="2013"/>
      <c r="F194" s="2013"/>
      <c r="G194" s="2013"/>
      <c r="H194" s="2013"/>
      <c r="I194" s="599" t="s">
        <v>2227</v>
      </c>
      <c r="J194" s="600">
        <f>'Notes 3 to 10'!G99-('Note 11'!P17-'Note 11'!P32)-'Notes 11c to 24'!K208-'Notes 11c to 24'!K209</f>
        <v>0</v>
      </c>
      <c r="K194" s="601">
        <f>('Notes 3 to 10'!I99)-(('Note 11'!P50-'Note 11'!P66))-'Notes 11c to 24'!K239-'Notes 11c to 24'!K240</f>
        <v>0</v>
      </c>
      <c r="L194" s="3"/>
    </row>
    <row r="195" spans="1:12" ht="44.25" customHeight="1" x14ac:dyDescent="0.3">
      <c r="A195" s="3" t="str">
        <f t="shared" si="3"/>
        <v>Do Not Print</v>
      </c>
      <c r="D195" s="2013" t="s">
        <v>1314</v>
      </c>
      <c r="E195" s="2013"/>
      <c r="F195" s="2013"/>
      <c r="G195" s="2013"/>
      <c r="H195" s="2013"/>
      <c r="I195" s="599"/>
      <c r="J195" s="600">
        <f>-('Notes 3 to 10'!H100-'Notes 3 to 10'!H106)</f>
        <v>0</v>
      </c>
      <c r="K195" s="601">
        <f>-('Notes 3 to 10'!J100-'Notes 3 to 10'!J106)</f>
        <v>0</v>
      </c>
      <c r="L195" s="3"/>
    </row>
    <row r="196" spans="1:12" ht="12.75" customHeight="1" x14ac:dyDescent="0.3">
      <c r="A196" s="3" t="str">
        <f>IF(AND(K196=0,J196=0),"Do Not Print","Print")</f>
        <v>Do Not Print</v>
      </c>
      <c r="D196" s="2013" t="s">
        <v>1315</v>
      </c>
      <c r="E196" s="2013"/>
      <c r="F196" s="2013"/>
      <c r="G196" s="2013"/>
      <c r="H196" s="2013"/>
      <c r="I196" s="599"/>
      <c r="J196" s="601">
        <f>-('Notes 3 to 10'!H108-'Notes 3 to 10'!H109)</f>
        <v>0</v>
      </c>
      <c r="K196" s="600">
        <f>-'Notes 3 to 10'!J108-'Notes 3 to 10'!J109</f>
        <v>0</v>
      </c>
    </row>
    <row r="197" spans="1:12" x14ac:dyDescent="0.3">
      <c r="A197" s="3" t="str">
        <f>IF(A196="Print","Print","Do Not Print")</f>
        <v>Do Not Print</v>
      </c>
      <c r="D197" s="2012"/>
      <c r="E197" s="2012"/>
      <c r="F197" s="2012"/>
      <c r="G197" s="2012"/>
      <c r="H197" s="2012"/>
      <c r="I197" s="2012"/>
      <c r="J197" s="2012"/>
      <c r="K197" s="2012"/>
    </row>
    <row r="198" spans="1:12" x14ac:dyDescent="0.3">
      <c r="A198" s="3" t="str">
        <f>IF(AND(K198=0,J198=0),"Do Not Print","Print")</f>
        <v>Do Not Print</v>
      </c>
      <c r="D198" s="474" t="s">
        <v>532</v>
      </c>
      <c r="E198" s="474"/>
      <c r="F198" s="474"/>
      <c r="G198" s="474"/>
      <c r="H198" s="604"/>
      <c r="I198" s="486"/>
      <c r="J198" s="606">
        <f>SUM(J184:J196)</f>
        <v>0</v>
      </c>
      <c r="K198" s="606">
        <f>SUM(K184:K196)</f>
        <v>0</v>
      </c>
      <c r="L198" s="3"/>
    </row>
    <row r="199" spans="1:12" x14ac:dyDescent="0.3">
      <c r="A199" s="3" t="str">
        <f>IF(A198="Print","Print","Do Not Print")</f>
        <v>Do Not Print</v>
      </c>
      <c r="D199" s="1500"/>
      <c r="E199" s="1500"/>
      <c r="F199" s="1500"/>
      <c r="G199" s="1500"/>
      <c r="H199" s="1500"/>
      <c r="I199" s="1500"/>
      <c r="J199" s="1500"/>
      <c r="K199" s="1500"/>
    </row>
    <row r="200" spans="1:12" x14ac:dyDescent="0.3">
      <c r="A200" s="3" t="str">
        <f>IF(A199="Print","Print","Do Not Print")</f>
        <v>Do Not Print</v>
      </c>
      <c r="D200" s="1500"/>
      <c r="E200" s="1500"/>
      <c r="F200" s="1500"/>
      <c r="G200" s="1500"/>
      <c r="H200" s="1500"/>
      <c r="I200" s="1500"/>
      <c r="J200" s="1500"/>
      <c r="K200" s="1500"/>
    </row>
    <row r="201" spans="1:12" x14ac:dyDescent="0.3">
      <c r="A201" s="3" t="str">
        <f>IF(OR(A203="Print",A225="Print",A227="Print"),"Print","Do Not Print")</f>
        <v>Print</v>
      </c>
      <c r="C201" s="585" t="str">
        <f>Checklist!E141</f>
        <v>g</v>
      </c>
      <c r="D201" s="474" t="s">
        <v>1613</v>
      </c>
      <c r="E201" s="474"/>
      <c r="F201" s="474"/>
      <c r="G201" s="474"/>
      <c r="H201" s="604"/>
      <c r="I201" s="604"/>
      <c r="J201" s="604"/>
      <c r="K201" s="604"/>
    </row>
    <row r="202" spans="1:12" x14ac:dyDescent="0.3">
      <c r="A202" s="3" t="str">
        <f>IF(A201="Print","Print","Do Not Print")</f>
        <v>Print</v>
      </c>
      <c r="D202" s="1500"/>
      <c r="E202" s="1500"/>
      <c r="F202" s="1500"/>
      <c r="G202" s="1500"/>
      <c r="H202" s="1500"/>
      <c r="I202" s="1500"/>
      <c r="J202" s="1500"/>
      <c r="K202" s="1500"/>
    </row>
    <row r="203" spans="1:12" x14ac:dyDescent="0.3">
      <c r="A203" s="3" t="str">
        <f>IF('Non TB - Note 25 to end'!F51=1,"Print","Do Not Print")</f>
        <v>Print</v>
      </c>
      <c r="D203" s="1500" t="s">
        <v>3181</v>
      </c>
      <c r="E203" s="1500"/>
      <c r="F203" s="1500"/>
      <c r="G203" s="1500"/>
      <c r="H203" s="1500"/>
      <c r="I203" s="1500"/>
      <c r="J203" s="1500"/>
      <c r="K203" s="1500"/>
    </row>
    <row r="204" spans="1:12" x14ac:dyDescent="0.3">
      <c r="A204" s="3" t="str">
        <f>IF(A203="Print","Print","Do Not Print")</f>
        <v>Print</v>
      </c>
      <c r="D204" s="1500"/>
      <c r="E204" s="1500"/>
      <c r="F204" s="1500"/>
      <c r="G204" s="1500"/>
      <c r="H204" s="1500"/>
      <c r="I204" s="1500"/>
      <c r="J204" s="1500"/>
      <c r="K204" s="1500"/>
    </row>
    <row r="205" spans="1:12" x14ac:dyDescent="0.3">
      <c r="A205" s="3" t="str">
        <f>IF(A225="Print","Print","Do Not Print")</f>
        <v>Do Not Print</v>
      </c>
      <c r="D205" s="474" t="s">
        <v>1613</v>
      </c>
      <c r="E205" s="474"/>
      <c r="F205" s="474"/>
      <c r="G205" s="474"/>
      <c r="H205" s="604"/>
      <c r="I205" s="486" t="s">
        <v>343</v>
      </c>
      <c r="J205" s="586">
        <f>J182</f>
        <v>46112</v>
      </c>
      <c r="K205" s="586">
        <f>'Standing Data'!D72</f>
        <v>45747</v>
      </c>
    </row>
    <row r="206" spans="1:12" x14ac:dyDescent="0.3">
      <c r="A206" s="3" t="str">
        <f>IF(A205="Print","Print","Do Not Print")</f>
        <v>Do Not Print</v>
      </c>
      <c r="D206" s="2012"/>
      <c r="E206" s="2012"/>
      <c r="F206" s="2012"/>
      <c r="G206" s="2012"/>
      <c r="H206" s="2012"/>
      <c r="I206" s="2012"/>
      <c r="J206" s="648" t="s">
        <v>450</v>
      </c>
      <c r="K206" s="648" t="s">
        <v>450</v>
      </c>
    </row>
    <row r="207" spans="1:12" x14ac:dyDescent="0.3">
      <c r="A207" s="3" t="str">
        <f>IF(AND(K207=0,J207=0),"Do Not Print","Print")</f>
        <v>Do Not Print</v>
      </c>
      <c r="D207" s="2013" t="s">
        <v>530</v>
      </c>
      <c r="E207" s="2013"/>
      <c r="F207" s="2013"/>
      <c r="G207" s="2013"/>
      <c r="H207" s="2013"/>
      <c r="I207" s="599"/>
      <c r="J207" s="600">
        <f>'Non TB - Note 25 to end'!H52</f>
        <v>0</v>
      </c>
      <c r="K207" s="600">
        <f>'Non TB - Note 25 to end'!I52</f>
        <v>0</v>
      </c>
    </row>
    <row r="208" spans="1:12" x14ac:dyDescent="0.3">
      <c r="A208" s="3" t="str">
        <f t="shared" ref="A208:A223" si="4">IF(AND(K208=0,J208=0),"Do Not Print","Print")</f>
        <v>Do Not Print</v>
      </c>
      <c r="D208" s="2013" t="s">
        <v>207</v>
      </c>
      <c r="E208" s="2013"/>
      <c r="F208" s="2013"/>
      <c r="G208" s="2013"/>
      <c r="H208" s="2013"/>
      <c r="I208" s="599" t="s">
        <v>1695</v>
      </c>
      <c r="J208" s="600">
        <f>'Non TB - Note 25 to end'!H53</f>
        <v>0</v>
      </c>
      <c r="K208" s="600">
        <f>'Non TB - Note 25 to end'!I53</f>
        <v>0</v>
      </c>
    </row>
    <row r="209" spans="1:11" x14ac:dyDescent="0.3">
      <c r="A209" s="3" t="str">
        <f t="shared" si="4"/>
        <v>Do Not Print</v>
      </c>
      <c r="D209" s="2013" t="s">
        <v>1316</v>
      </c>
      <c r="E209" s="2013"/>
      <c r="F209" s="2013"/>
      <c r="G209" s="2013"/>
      <c r="H209" s="2013"/>
      <c r="I209" s="599"/>
      <c r="J209" s="600">
        <f>'Non TB - Note 25 to end'!H54</f>
        <v>0</v>
      </c>
      <c r="K209" s="600">
        <f>'Non TB - Note 25 to end'!I54</f>
        <v>0</v>
      </c>
    </row>
    <row r="210" spans="1:11" x14ac:dyDescent="0.3">
      <c r="A210" s="3" t="str">
        <f t="shared" si="4"/>
        <v>Do Not Print</v>
      </c>
      <c r="D210" s="2053" t="s">
        <v>1317</v>
      </c>
      <c r="E210" s="2054"/>
      <c r="F210" s="2054"/>
      <c r="G210" s="2054"/>
      <c r="H210" s="2055"/>
      <c r="I210" s="599"/>
      <c r="J210" s="600">
        <f>'Non TB - Note 25 to end'!H55</f>
        <v>0</v>
      </c>
      <c r="K210" s="600">
        <f>'Non TB - Note 25 to end'!I55</f>
        <v>0</v>
      </c>
    </row>
    <row r="211" spans="1:11" x14ac:dyDescent="0.3">
      <c r="A211" s="3" t="str">
        <f t="shared" si="4"/>
        <v>Do Not Print</v>
      </c>
      <c r="D211" s="2013" t="s">
        <v>208</v>
      </c>
      <c r="E211" s="2013"/>
      <c r="F211" s="2013"/>
      <c r="G211" s="2013"/>
      <c r="H211" s="2013"/>
      <c r="I211" s="599" t="s">
        <v>1331</v>
      </c>
      <c r="J211" s="600">
        <f>'Non TB - Note 25 to end'!H56</f>
        <v>0</v>
      </c>
      <c r="K211" s="600">
        <f>'Non TB - Note 25 to end'!I56</f>
        <v>0</v>
      </c>
    </row>
    <row r="212" spans="1:11" x14ac:dyDescent="0.3">
      <c r="A212" s="3" t="str">
        <f t="shared" si="4"/>
        <v>Do Not Print</v>
      </c>
      <c r="D212" s="2013" t="s">
        <v>1322</v>
      </c>
      <c r="E212" s="2013"/>
      <c r="F212" s="2013"/>
      <c r="G212" s="2013"/>
      <c r="H212" s="2013"/>
      <c r="I212" s="599">
        <v>3</v>
      </c>
      <c r="J212" s="600">
        <f>'Non TB - Note 25 to end'!H57</f>
        <v>0</v>
      </c>
      <c r="K212" s="600">
        <f>'Non TB - Note 25 to end'!I57</f>
        <v>0</v>
      </c>
    </row>
    <row r="213" spans="1:11" x14ac:dyDescent="0.3">
      <c r="A213" s="3" t="str">
        <f t="shared" si="4"/>
        <v>Do Not Print</v>
      </c>
      <c r="D213" s="2013" t="s">
        <v>1323</v>
      </c>
      <c r="E213" s="2013"/>
      <c r="F213" s="2013"/>
      <c r="G213" s="2013"/>
      <c r="H213" s="2013"/>
      <c r="I213" s="599">
        <v>3</v>
      </c>
      <c r="J213" s="600">
        <f>'Non TB - Note 25 to end'!H58</f>
        <v>0</v>
      </c>
      <c r="K213" s="600">
        <f>'Non TB - Note 25 to end'!I58</f>
        <v>0</v>
      </c>
    </row>
    <row r="214" spans="1:11" x14ac:dyDescent="0.3">
      <c r="A214" s="3" t="str">
        <f t="shared" si="4"/>
        <v>Do Not Print</v>
      </c>
      <c r="D214" s="2013" t="s">
        <v>566</v>
      </c>
      <c r="E214" s="2013"/>
      <c r="F214" s="2013"/>
      <c r="G214" s="2013"/>
      <c r="H214" s="2013"/>
      <c r="I214" s="599" t="s">
        <v>1331</v>
      </c>
      <c r="J214" s="600">
        <f>'Non TB - Note 25 to end'!H59</f>
        <v>0</v>
      </c>
      <c r="K214" s="600">
        <f>'Non TB - Note 25 to end'!I59</f>
        <v>0</v>
      </c>
    </row>
    <row r="215" spans="1:11" x14ac:dyDescent="0.3">
      <c r="A215" s="3" t="str">
        <f t="shared" si="4"/>
        <v>Do Not Print</v>
      </c>
      <c r="D215" s="2013" t="s">
        <v>347</v>
      </c>
      <c r="E215" s="2013"/>
      <c r="F215" s="2013"/>
      <c r="G215" s="2013"/>
      <c r="H215" s="2013"/>
      <c r="I215" s="599"/>
      <c r="J215" s="600">
        <f>'Non TB - Note 25 to end'!H60</f>
        <v>0</v>
      </c>
      <c r="K215" s="600">
        <f>'Non TB - Note 25 to end'!I60</f>
        <v>0</v>
      </c>
    </row>
    <row r="216" spans="1:11" x14ac:dyDescent="0.3">
      <c r="A216" s="3" t="str">
        <f t="shared" si="4"/>
        <v>Do Not Print</v>
      </c>
      <c r="D216" s="2013" t="s">
        <v>1324</v>
      </c>
      <c r="E216" s="2013"/>
      <c r="F216" s="2013"/>
      <c r="G216" s="2013"/>
      <c r="H216" s="2013"/>
      <c r="I216" s="599"/>
      <c r="J216" s="600">
        <f>'Non TB - Note 25 to end'!H61</f>
        <v>0</v>
      </c>
      <c r="K216" s="600">
        <f>'Non TB - Note 25 to end'!I61</f>
        <v>0</v>
      </c>
    </row>
    <row r="217" spans="1:11" x14ac:dyDescent="0.3">
      <c r="A217" s="3" t="str">
        <f t="shared" si="4"/>
        <v>Do Not Print</v>
      </c>
      <c r="D217" s="2013" t="s">
        <v>1325</v>
      </c>
      <c r="E217" s="2013"/>
      <c r="F217" s="2013"/>
      <c r="G217" s="2013"/>
      <c r="H217" s="2013"/>
      <c r="I217" s="599" t="s">
        <v>1696</v>
      </c>
      <c r="J217" s="600">
        <f>'Non TB - Note 25 to end'!H62</f>
        <v>0</v>
      </c>
      <c r="K217" s="600">
        <f>'Non TB - Note 25 to end'!I62</f>
        <v>0</v>
      </c>
    </row>
    <row r="218" spans="1:11" x14ac:dyDescent="0.3">
      <c r="A218" s="3" t="str">
        <f t="shared" si="4"/>
        <v>Do Not Print</v>
      </c>
      <c r="D218" s="2013" t="s">
        <v>1326</v>
      </c>
      <c r="E218" s="2013"/>
      <c r="F218" s="2013"/>
      <c r="G218" s="2013"/>
      <c r="H218" s="2013"/>
      <c r="I218" s="599" t="s">
        <v>1697</v>
      </c>
      <c r="J218" s="600">
        <f>'Non TB - Note 25 to end'!H63</f>
        <v>0</v>
      </c>
      <c r="K218" s="600">
        <f>'Non TB - Note 25 to end'!I63</f>
        <v>0</v>
      </c>
    </row>
    <row r="219" spans="1:11" x14ac:dyDescent="0.3">
      <c r="A219" s="3" t="str">
        <f t="shared" si="4"/>
        <v>Do Not Print</v>
      </c>
      <c r="D219" s="2053" t="s">
        <v>196</v>
      </c>
      <c r="E219" s="2054"/>
      <c r="F219" s="2054"/>
      <c r="G219" s="2054"/>
      <c r="H219" s="2055"/>
      <c r="I219" s="599" t="s">
        <v>1331</v>
      </c>
      <c r="J219" s="600">
        <f>'Non TB - Note 25 to end'!H64</f>
        <v>0</v>
      </c>
      <c r="K219" s="600">
        <f>'Non TB - Note 25 to end'!I64</f>
        <v>0</v>
      </c>
    </row>
    <row r="220" spans="1:11" ht="41.25" customHeight="1" x14ac:dyDescent="0.3">
      <c r="A220" s="3" t="str">
        <f t="shared" si="4"/>
        <v>Do Not Print</v>
      </c>
      <c r="D220" s="2013" t="s">
        <v>1314</v>
      </c>
      <c r="E220" s="2013"/>
      <c r="F220" s="2013"/>
      <c r="G220" s="2013"/>
      <c r="H220" s="2013"/>
      <c r="I220" s="599"/>
      <c r="J220" s="600">
        <f>'Non TB - Note 25 to end'!H65</f>
        <v>0</v>
      </c>
      <c r="K220" s="600">
        <f>'Non TB - Note 25 to end'!I65</f>
        <v>0</v>
      </c>
    </row>
    <row r="221" spans="1:11" ht="12.75" customHeight="1" x14ac:dyDescent="0.3">
      <c r="A221" s="3" t="str">
        <f t="shared" si="4"/>
        <v>Do Not Print</v>
      </c>
      <c r="D221" s="2053" t="s">
        <v>1335</v>
      </c>
      <c r="E221" s="2054"/>
      <c r="F221" s="2054"/>
      <c r="G221" s="2054"/>
      <c r="H221" s="2055"/>
      <c r="I221" s="599" t="s">
        <v>1698</v>
      </c>
      <c r="J221" s="600">
        <f>'Non TB - Note 25 to end'!H66</f>
        <v>0</v>
      </c>
      <c r="K221" s="600">
        <f>'Non TB - Note 25 to end'!I66</f>
        <v>0</v>
      </c>
    </row>
    <row r="222" spans="1:11" x14ac:dyDescent="0.3">
      <c r="A222" s="3" t="str">
        <f t="shared" si="4"/>
        <v>Do Not Print</v>
      </c>
      <c r="D222" s="2013" t="s">
        <v>1315</v>
      </c>
      <c r="E222" s="2013"/>
      <c r="F222" s="2013"/>
      <c r="G222" s="2013"/>
      <c r="H222" s="2013"/>
      <c r="I222" s="599"/>
      <c r="J222" s="600">
        <f>'Non TB - Note 25 to end'!H67</f>
        <v>0</v>
      </c>
      <c r="K222" s="600">
        <f>'Non TB - Note 25 to end'!I67</f>
        <v>0</v>
      </c>
    </row>
    <row r="223" spans="1:11" ht="30.75" customHeight="1" x14ac:dyDescent="0.3">
      <c r="A223" s="3" t="str">
        <f t="shared" si="4"/>
        <v>Do Not Print</v>
      </c>
      <c r="D223" s="2053" t="s">
        <v>2996</v>
      </c>
      <c r="E223" s="2054"/>
      <c r="F223" s="2054"/>
      <c r="G223" s="2054"/>
      <c r="H223" s="2055"/>
      <c r="I223" s="599">
        <v>11</v>
      </c>
      <c r="J223" s="600">
        <f>'Non TB - Note 25 to end'!H68</f>
        <v>0</v>
      </c>
      <c r="K223" s="600">
        <f>'Non TB - Note 25 to end'!I68</f>
        <v>0</v>
      </c>
    </row>
    <row r="224" spans="1:11" x14ac:dyDescent="0.3">
      <c r="A224" s="3" t="str">
        <f>IF(A225="Print","Print","Do Not Print")</f>
        <v>Do Not Print</v>
      </c>
      <c r="D224" s="2012"/>
      <c r="E224" s="2012"/>
      <c r="F224" s="2012"/>
      <c r="G224" s="2012"/>
      <c r="H224" s="2012"/>
      <c r="I224" s="2012"/>
      <c r="J224" s="2012"/>
      <c r="K224" s="2012"/>
    </row>
    <row r="225" spans="1:15" x14ac:dyDescent="0.3">
      <c r="A225" s="3" t="str">
        <f>IF(AND(K225=0,J225=0),"Do Not Print","Print")</f>
        <v>Do Not Print</v>
      </c>
      <c r="D225" s="474" t="s">
        <v>532</v>
      </c>
      <c r="E225" s="474"/>
      <c r="F225" s="474"/>
      <c r="G225" s="474"/>
      <c r="H225" s="604"/>
      <c r="I225" s="486"/>
      <c r="J225" s="606">
        <f>SUM(J207:J223)</f>
        <v>0</v>
      </c>
      <c r="K225" s="606">
        <f>SUM(K207:K223)</f>
        <v>0</v>
      </c>
    </row>
    <row r="226" spans="1:15" x14ac:dyDescent="0.3">
      <c r="A226" s="3" t="str">
        <f>IF(A225="Print","Print","Do Not Print")</f>
        <v>Do Not Print</v>
      </c>
      <c r="D226" s="1500"/>
      <c r="E226" s="1500"/>
      <c r="F226" s="1500"/>
      <c r="G226" s="1500"/>
      <c r="H226" s="1500"/>
      <c r="I226" s="1500"/>
      <c r="J226" s="1500"/>
      <c r="K226" s="1500"/>
    </row>
    <row r="227" spans="1:15" x14ac:dyDescent="0.3">
      <c r="A227" s="3" t="str">
        <f>IF('Non TB - Note 25 to end'!F69=1,"Print","Do Not Print")</f>
        <v>Print</v>
      </c>
      <c r="D227" s="1500" t="str">
        <f>IF('Non TB - Note 25 to end'!F69=1,'Non TB - Note 25 to end'!H69,"")</f>
        <v>Council specific narrative</v>
      </c>
      <c r="E227" s="1500"/>
      <c r="F227" s="1500"/>
      <c r="G227" s="1500"/>
      <c r="H227" s="1500"/>
      <c r="I227" s="1500"/>
      <c r="J227" s="1500"/>
      <c r="K227" s="1500"/>
    </row>
    <row r="228" spans="1:15" x14ac:dyDescent="0.3">
      <c r="A228" s="3" t="str">
        <f>IF(A227="Print","Print","Do Not Print")</f>
        <v>Print</v>
      </c>
      <c r="D228" s="1500"/>
      <c r="E228" s="1500"/>
      <c r="F228" s="1500"/>
      <c r="G228" s="1500"/>
      <c r="H228" s="1500"/>
      <c r="I228" s="1500"/>
      <c r="J228" s="1500"/>
      <c r="K228" s="1500"/>
    </row>
    <row r="229" spans="1:15" x14ac:dyDescent="0.3">
      <c r="A229" s="3" t="str">
        <f>IF(OR(A230="Print",A258="Print",A270="Print",A289="Print",A309="Print",A323="Print",A334="Print",A345="Print",A359="Print"),"Print","Do Not Print")</f>
        <v>Print</v>
      </c>
      <c r="B229" s="468">
        <f>Checklist!E142</f>
        <v>27</v>
      </c>
      <c r="C229" s="632"/>
      <c r="D229" s="474" t="s">
        <v>1327</v>
      </c>
      <c r="E229" s="474"/>
      <c r="F229" s="474"/>
      <c r="G229" s="474"/>
      <c r="H229" s="604"/>
      <c r="I229" s="604"/>
      <c r="J229" s="604"/>
      <c r="K229" s="604"/>
      <c r="M229" s="206"/>
      <c r="N229" s="206"/>
    </row>
    <row r="230" spans="1:15" x14ac:dyDescent="0.3">
      <c r="A230" s="3" t="str">
        <f>IF(OR(A232="Print",A234="Print",A236="Print",A238="Print",A240="Print",A242="Print"),"Print","Do Not Print")</f>
        <v>Print</v>
      </c>
      <c r="C230" s="585" t="str">
        <f>Checklist!E143</f>
        <v>a</v>
      </c>
      <c r="D230" s="474" t="s">
        <v>323</v>
      </c>
      <c r="E230" s="474"/>
      <c r="F230" s="474"/>
      <c r="G230" s="474"/>
      <c r="H230" s="604"/>
      <c r="I230" s="604"/>
      <c r="J230" s="604"/>
      <c r="K230" s="604"/>
      <c r="L230" s="6"/>
      <c r="M230" s="3"/>
      <c r="N230" s="3"/>
    </row>
    <row r="231" spans="1:15" ht="14.4" x14ac:dyDescent="0.3">
      <c r="A231" s="3" t="str">
        <f>IF(A230="Print","Print","Do Not Print")</f>
        <v>Print</v>
      </c>
      <c r="D231" s="1726"/>
      <c r="E231" s="1726"/>
      <c r="F231" s="1726"/>
      <c r="G231" s="1726"/>
      <c r="H231" s="1726"/>
      <c r="I231" s="1726"/>
      <c r="J231" s="1726"/>
      <c r="K231" s="1726"/>
      <c r="L231" s="104"/>
      <c r="M231" s="204"/>
      <c r="N231" s="204"/>
      <c r="O231" s="3"/>
    </row>
    <row r="232" spans="1:15" ht="43.5" customHeight="1" x14ac:dyDescent="0.3">
      <c r="A232" s="3" t="str">
        <f>IF('Non TB - Note 25 to end'!F70=1,"Print","Do Not Print")</f>
        <v>Print</v>
      </c>
      <c r="D232" s="1512" t="str">
        <f>IF('Non TB - Note 25 to end'!F70=1,'Non TB - Note 25 to end'!H70,"")</f>
        <v>The Capital Adjustment Account absorbs the timing differences arising from the different arrangements for accounting for the consumption of non-current assets and for the acquisition, construction or enhancement of those assets under statutory provisions.</v>
      </c>
      <c r="E232" s="1512"/>
      <c r="F232" s="1512"/>
      <c r="G232" s="1512"/>
      <c r="H232" s="1512"/>
      <c r="I232" s="1512"/>
      <c r="J232" s="1512"/>
      <c r="K232" s="1512"/>
    </row>
    <row r="233" spans="1:15" ht="12.75" customHeight="1" x14ac:dyDescent="0.3">
      <c r="A233" s="3" t="str">
        <f>IF(A232="Print","Print","Do Not Print")</f>
        <v>Print</v>
      </c>
      <c r="D233" s="1512"/>
      <c r="E233" s="1512"/>
      <c r="F233" s="1512"/>
      <c r="G233" s="1512"/>
      <c r="H233" s="1512"/>
      <c r="I233" s="1512"/>
      <c r="J233" s="1512"/>
      <c r="K233" s="1512"/>
    </row>
    <row r="234" spans="1:15" ht="81.75" customHeight="1" x14ac:dyDescent="0.3">
      <c r="A234" s="3" t="str">
        <f>IF('Non TB - Note 25 to end'!F71=1,"Print","Do Not Print")</f>
        <v>Print</v>
      </c>
      <c r="D234" s="1512" t="str">
        <f>IF('Non TB - Note 25 to end'!F71=1,'Non TB - Note 25 to end'!H71,"")</f>
        <v>The Account is debited with the cost of acquisition, construction or enhancement as depreciation, impairment losses and amortisations are charged to the Comprehensive Income and Expenditure Statement, with reconciling postings from the Revaluation Reserve to convert fair value figures to an historic cost basis.
The account is credited with the amounts set aside by the Council as finance for the costs of acquisition, construction and subsequent costs.</v>
      </c>
      <c r="E234" s="1512"/>
      <c r="F234" s="1512"/>
      <c r="G234" s="1512"/>
      <c r="H234" s="1512"/>
      <c r="I234" s="1512"/>
      <c r="J234" s="1512"/>
      <c r="K234" s="1512"/>
    </row>
    <row r="235" spans="1:15" ht="12.75" customHeight="1" x14ac:dyDescent="0.3">
      <c r="A235" s="3" t="str">
        <f>IF(A234="Print","Print","Do Not Print")</f>
        <v>Print</v>
      </c>
      <c r="D235" s="1512"/>
      <c r="E235" s="1512"/>
      <c r="F235" s="1512"/>
      <c r="G235" s="1512"/>
      <c r="H235" s="1512"/>
      <c r="I235" s="1512"/>
      <c r="J235" s="1512"/>
      <c r="K235" s="1512"/>
    </row>
    <row r="236" spans="1:15" ht="30" customHeight="1" x14ac:dyDescent="0.3">
      <c r="A236" s="3" t="str">
        <f>IF('Non TB - Note 25 to end'!F72=1,"Print","Do Not Print")</f>
        <v>Print</v>
      </c>
      <c r="D236" s="1512" t="str">
        <f>IF('Non TB - Note 25 to end'!F72=1,'Non TB - Note 25 to end'!H72,"")</f>
        <v>The Account contains accumulated gains and losses on Investment Properties and gains recognised on donated assets that have yet to be consumed by the Council.</v>
      </c>
      <c r="E236" s="1512"/>
      <c r="F236" s="1512"/>
      <c r="G236" s="1512"/>
      <c r="H236" s="1512"/>
      <c r="I236" s="1512"/>
      <c r="J236" s="1512"/>
      <c r="K236" s="1512"/>
    </row>
    <row r="237" spans="1:15" ht="12.75" customHeight="1" x14ac:dyDescent="0.3">
      <c r="A237" s="3" t="str">
        <f>IF(A236="Print","Print","Do Not Print")</f>
        <v>Print</v>
      </c>
      <c r="D237" s="1512"/>
      <c r="E237" s="1512"/>
      <c r="F237" s="1512"/>
      <c r="G237" s="1512"/>
      <c r="H237" s="1512"/>
      <c r="I237" s="1512"/>
      <c r="J237" s="1512"/>
      <c r="K237" s="1512"/>
    </row>
    <row r="238" spans="1:15" ht="28.05" customHeight="1" x14ac:dyDescent="0.3">
      <c r="A238" s="3" t="str">
        <f>IF('Non TB - Note 25 to end'!F73=1,"Print","Do Not Print")</f>
        <v>Print</v>
      </c>
      <c r="D238" s="1512" t="str">
        <f>IF('Non TB - Note 25 to end'!F73=1,'Non TB - Note 25 to end'!H73,"")</f>
        <v>The Account also contains revaluation gains accumulated on Property, Plant and Equipment before 1 April 2008, the date that the Revaluation Reserve was created to hold such gains.</v>
      </c>
      <c r="E238" s="1512"/>
      <c r="F238" s="1512"/>
      <c r="G238" s="1512"/>
      <c r="H238" s="1512"/>
      <c r="I238" s="1512"/>
      <c r="J238" s="1512"/>
      <c r="K238" s="1512"/>
    </row>
    <row r="239" spans="1:15" x14ac:dyDescent="0.3">
      <c r="A239" s="3" t="str">
        <f>IF(A238="Print","Print","Do Not Print")</f>
        <v>Print</v>
      </c>
      <c r="D239" s="1500"/>
      <c r="E239" s="1500"/>
      <c r="F239" s="1500"/>
      <c r="G239" s="1500"/>
      <c r="H239" s="1500"/>
      <c r="I239" s="1500"/>
      <c r="J239" s="1500"/>
      <c r="K239" s="1500"/>
    </row>
    <row r="240" spans="1:15" ht="56.25" customHeight="1" x14ac:dyDescent="0.3">
      <c r="A240" s="3" t="str">
        <f>IF('Non TB - Note 25 to end'!F74=1,"Print","Do Not Print")</f>
        <v>Print</v>
      </c>
      <c r="D240" s="1510" t="str">
        <f>IF('Non TB - Note 25 to end'!F74=1,'Non TB - Note 25 to end'!H74,"")</f>
        <v>Additional narrative</v>
      </c>
      <c r="E240" s="1510"/>
      <c r="F240" s="1510"/>
      <c r="G240" s="1510"/>
      <c r="H240" s="1510"/>
      <c r="I240" s="1510"/>
      <c r="J240" s="1510"/>
      <c r="K240" s="1510"/>
    </row>
    <row r="241" spans="1:15" x14ac:dyDescent="0.3">
      <c r="A241" s="3" t="str">
        <f>IF(A240="Print","Print","Do Not Print")</f>
        <v>Print</v>
      </c>
      <c r="D241" s="1500"/>
      <c r="E241" s="1500"/>
      <c r="F241" s="1500"/>
      <c r="G241" s="1500"/>
      <c r="H241" s="1500"/>
      <c r="I241" s="1500"/>
      <c r="J241" s="1500"/>
      <c r="K241" s="1500"/>
    </row>
    <row r="242" spans="1:15" x14ac:dyDescent="0.3">
      <c r="A242" s="3" t="str">
        <f>IF(AND(J256=0,K256=0),"Do Not Print","Print")</f>
        <v>Do Not Print</v>
      </c>
      <c r="D242" s="474" t="s">
        <v>323</v>
      </c>
      <c r="E242" s="474"/>
      <c r="F242" s="474"/>
      <c r="G242" s="474"/>
      <c r="H242" s="604"/>
      <c r="I242" s="486" t="s">
        <v>343</v>
      </c>
      <c r="J242" s="586">
        <f>J101</f>
        <v>46112</v>
      </c>
      <c r="K242" s="936">
        <f>'Standing Data'!D72</f>
        <v>45747</v>
      </c>
    </row>
    <row r="243" spans="1:15" x14ac:dyDescent="0.3">
      <c r="A243" s="3" t="str">
        <f>IF(A242="Print","Print","Do Not Print")</f>
        <v>Do Not Print</v>
      </c>
      <c r="D243" s="2012"/>
      <c r="E243" s="2012"/>
      <c r="F243" s="2012"/>
      <c r="G243" s="2012"/>
      <c r="H243" s="2012"/>
      <c r="I243" s="2012"/>
      <c r="J243" s="648" t="s">
        <v>450</v>
      </c>
      <c r="K243" s="648" t="s">
        <v>450</v>
      </c>
    </row>
    <row r="244" spans="1:15" x14ac:dyDescent="0.3">
      <c r="A244" s="3" t="str">
        <f>IF(AND(K244=0,J244=0),"Do Not Print","Print")</f>
        <v>Do Not Print</v>
      </c>
      <c r="D244" s="2033" t="s">
        <v>530</v>
      </c>
      <c r="E244" s="2033"/>
      <c r="F244" s="2033"/>
      <c r="G244" s="2033"/>
      <c r="H244" s="2033"/>
      <c r="I244" s="599"/>
      <c r="J244" s="600">
        <f>K256</f>
        <v>0</v>
      </c>
      <c r="K244" s="601">
        <f>'Det BS '!K545</f>
        <v>0</v>
      </c>
    </row>
    <row r="245" spans="1:15" x14ac:dyDescent="0.3">
      <c r="A245" s="3" t="str">
        <f t="shared" ref="A245:A253" si="5">IF(AND(K245=0,J245=0),"Do Not Print","Print")</f>
        <v>Do Not Print</v>
      </c>
      <c r="D245" s="2033" t="s">
        <v>207</v>
      </c>
      <c r="E245" s="2033"/>
      <c r="F245" s="2033"/>
      <c r="G245" s="2033"/>
      <c r="H245" s="2033"/>
      <c r="I245" s="599" t="s">
        <v>2222</v>
      </c>
      <c r="J245" s="600">
        <f>-SUM('Det CIES'!P125:P129)</f>
        <v>0</v>
      </c>
      <c r="K245" s="600">
        <f>-SUM('Det CIES'!S125:S129)</f>
        <v>0</v>
      </c>
    </row>
    <row r="246" spans="1:15" x14ac:dyDescent="0.3">
      <c r="A246" s="3" t="str">
        <f t="shared" si="5"/>
        <v>Do Not Print</v>
      </c>
      <c r="D246" s="2033" t="s">
        <v>1317</v>
      </c>
      <c r="E246" s="2033"/>
      <c r="F246" s="2033"/>
      <c r="G246" s="2033"/>
      <c r="H246" s="2033"/>
      <c r="I246" s="599"/>
      <c r="J246" s="601">
        <f>'Notes 3 to 10'!H129</f>
        <v>0</v>
      </c>
      <c r="K246" s="601">
        <f>'Notes 3 to 10'!J129</f>
        <v>0</v>
      </c>
    </row>
    <row r="247" spans="1:15" x14ac:dyDescent="0.3">
      <c r="A247" s="3" t="str">
        <f t="shared" si="5"/>
        <v>Do Not Print</v>
      </c>
      <c r="D247" s="2033" t="s">
        <v>208</v>
      </c>
      <c r="E247" s="2033"/>
      <c r="F247" s="2033"/>
      <c r="G247" s="2033"/>
      <c r="H247" s="2033"/>
      <c r="I247" s="599" t="s">
        <v>2220</v>
      </c>
      <c r="J247" s="601">
        <f>-'Notes 3 to 10'!H112</f>
        <v>0</v>
      </c>
      <c r="K247" s="601">
        <f>-'Notes 3 to 10'!J112</f>
        <v>0</v>
      </c>
      <c r="O247" s="3"/>
    </row>
    <row r="248" spans="1:15" x14ac:dyDescent="0.3">
      <c r="A248" s="3" t="str">
        <f t="shared" si="5"/>
        <v>Do Not Print</v>
      </c>
      <c r="D248" s="2033" t="s">
        <v>1328</v>
      </c>
      <c r="E248" s="2033"/>
      <c r="F248" s="2033"/>
      <c r="G248" s="2033"/>
      <c r="H248" s="2033"/>
      <c r="I248" s="599">
        <v>11</v>
      </c>
      <c r="J248" s="601">
        <f>-'Notes 3 to 10'!H96</f>
        <v>0</v>
      </c>
      <c r="K248" s="601">
        <f>-'Notes 3 to 10'!J96</f>
        <v>0</v>
      </c>
      <c r="L248" s="3"/>
      <c r="O248" s="3"/>
    </row>
    <row r="249" spans="1:15" x14ac:dyDescent="0.3">
      <c r="A249" s="3" t="str">
        <f t="shared" si="5"/>
        <v>Do Not Print</v>
      </c>
      <c r="D249" s="2033" t="s">
        <v>1323</v>
      </c>
      <c r="E249" s="2033"/>
      <c r="F249" s="2033"/>
      <c r="G249" s="2033"/>
      <c r="H249" s="2033"/>
      <c r="I249" s="599" t="s">
        <v>2220</v>
      </c>
      <c r="J249" s="600">
        <f>-'Notes 3 to 10'!H111</f>
        <v>0</v>
      </c>
      <c r="K249" s="601">
        <f>-'Notes 3 to 10'!J111</f>
        <v>0</v>
      </c>
      <c r="L249" s="3"/>
      <c r="O249" s="3"/>
    </row>
    <row r="250" spans="1:15" x14ac:dyDescent="0.3">
      <c r="A250" s="3" t="str">
        <f t="shared" si="5"/>
        <v>Do Not Print</v>
      </c>
      <c r="D250" s="2033" t="s">
        <v>1329</v>
      </c>
      <c r="E250" s="2033"/>
      <c r="F250" s="2033"/>
      <c r="G250" s="2033"/>
      <c r="H250" s="2033"/>
      <c r="I250" s="599" t="s">
        <v>2220</v>
      </c>
      <c r="J250" s="600">
        <f>-'Notes 3 to 10'!H97</f>
        <v>0</v>
      </c>
      <c r="K250" s="600">
        <f>-'Notes 3 to 10'!J97</f>
        <v>0</v>
      </c>
      <c r="O250" s="3"/>
    </row>
    <row r="251" spans="1:15" x14ac:dyDescent="0.3">
      <c r="A251" s="3" t="str">
        <f t="shared" si="5"/>
        <v>Do Not Print</v>
      </c>
      <c r="D251" s="2033" t="s">
        <v>1326</v>
      </c>
      <c r="E251" s="2033"/>
      <c r="F251" s="2033"/>
      <c r="G251" s="2033"/>
      <c r="H251" s="2033"/>
      <c r="I251" s="599" t="s">
        <v>2221</v>
      </c>
      <c r="J251" s="601">
        <f>+'Note 11'!P17-'Note 11'!P32+('Notes 11c to 24'!I208-'Notes 11c to 24'!I218)</f>
        <v>0</v>
      </c>
      <c r="K251" s="600">
        <f>+'Note 11'!P50-'Note 11'!P66+('Notes 11c to 24'!I239-'Notes 11c to 24'!I249)</f>
        <v>0</v>
      </c>
    </row>
    <row r="252" spans="1:15" x14ac:dyDescent="0.3">
      <c r="A252" s="3" t="str">
        <f t="shared" si="5"/>
        <v>Do Not Print</v>
      </c>
      <c r="D252" s="2033" t="s">
        <v>196</v>
      </c>
      <c r="E252" s="2033"/>
      <c r="F252" s="2033"/>
      <c r="G252" s="2033"/>
      <c r="H252" s="2033"/>
      <c r="I252" s="599" t="s">
        <v>2220</v>
      </c>
      <c r="J252" s="600">
        <f>-'Notes 11c to 24'!I392</f>
        <v>0</v>
      </c>
      <c r="K252" s="600">
        <f>-'Notes 11c to 24'!J392</f>
        <v>0</v>
      </c>
      <c r="O252" s="3"/>
    </row>
    <row r="253" spans="1:15" x14ac:dyDescent="0.3">
      <c r="A253" s="3" t="str">
        <f t="shared" si="5"/>
        <v>Do Not Print</v>
      </c>
      <c r="D253" s="2033" t="s">
        <v>1315</v>
      </c>
      <c r="E253" s="2033"/>
      <c r="F253" s="2033"/>
      <c r="G253" s="2033"/>
      <c r="H253" s="2033"/>
      <c r="I253" s="599"/>
      <c r="J253" s="601">
        <f>'Non TB - Note 25 to end'!H75</f>
        <v>0</v>
      </c>
      <c r="K253" s="601">
        <f>'Non TB - Note 25 to end'!I75</f>
        <v>0</v>
      </c>
    </row>
    <row r="254" spans="1:15" ht="26.25" customHeight="1" x14ac:dyDescent="0.3">
      <c r="A254" s="3" t="str">
        <f>IF(AND(K254=0,J254=0),"Do Not Print","Print")</f>
        <v>Do Not Print</v>
      </c>
      <c r="D254" s="2033" t="s">
        <v>1330</v>
      </c>
      <c r="E254" s="2033"/>
      <c r="F254" s="2033"/>
      <c r="G254" s="2033"/>
      <c r="H254" s="2033"/>
      <c r="I254" s="599">
        <v>12</v>
      </c>
      <c r="J254" s="601">
        <f>-J135-J154-J171</f>
        <v>0</v>
      </c>
      <c r="K254" s="601">
        <f>-K135-K154-K171</f>
        <v>0</v>
      </c>
      <c r="L254" s="3"/>
      <c r="O254" s="3"/>
    </row>
    <row r="255" spans="1:15" x14ac:dyDescent="0.3">
      <c r="A255" s="3" t="str">
        <f>IF(A254="Print","Print","Do Not Print")</f>
        <v>Do Not Print</v>
      </c>
      <c r="D255" s="2034"/>
      <c r="E255" s="2034"/>
      <c r="F255" s="2034"/>
      <c r="G255" s="2034"/>
      <c r="H255" s="2034"/>
      <c r="I255" s="2034"/>
      <c r="J255" s="2034"/>
      <c r="K255" s="2034"/>
    </row>
    <row r="256" spans="1:15" x14ac:dyDescent="0.3">
      <c r="A256" s="3" t="str">
        <f>IF(AND(K256=0,J254=0),"Do Not Print","Print")</f>
        <v>Do Not Print</v>
      </c>
      <c r="D256" s="474" t="s">
        <v>532</v>
      </c>
      <c r="E256" s="474"/>
      <c r="F256" s="474"/>
      <c r="G256" s="474"/>
      <c r="H256" s="950"/>
      <c r="I256" s="486"/>
      <c r="J256" s="606">
        <f>SUM(J244:J254)</f>
        <v>0</v>
      </c>
      <c r="K256" s="606">
        <f>SUM(K244:K254)</f>
        <v>0</v>
      </c>
    </row>
    <row r="257" spans="1:14" ht="16.95" customHeight="1" x14ac:dyDescent="0.3">
      <c r="A257" s="3" t="str">
        <f>IF(A256="Print","Print","Do Not Print")</f>
        <v>Do Not Print</v>
      </c>
      <c r="D257" s="1500"/>
      <c r="E257" s="1500"/>
      <c r="F257" s="1500"/>
      <c r="G257" s="1500"/>
      <c r="H257" s="1500"/>
      <c r="I257" s="1500"/>
      <c r="J257" s="1500"/>
      <c r="K257" s="1500"/>
    </row>
    <row r="258" spans="1:14" x14ac:dyDescent="0.3">
      <c r="A258" s="3" t="str">
        <f>IF(OR(A260="Print",A268="Print"),"Print","Do Not Print")</f>
        <v>Print</v>
      </c>
      <c r="C258" s="585" t="str">
        <f>Checklist!E144</f>
        <v>b</v>
      </c>
      <c r="D258" s="474" t="s">
        <v>429</v>
      </c>
      <c r="E258" s="474"/>
      <c r="F258" s="474"/>
      <c r="G258" s="474"/>
      <c r="H258" s="604"/>
      <c r="I258" s="604"/>
      <c r="J258" s="604"/>
      <c r="K258" s="604"/>
    </row>
    <row r="259" spans="1:14" x14ac:dyDescent="0.3">
      <c r="A259" s="3" t="str">
        <f>IF(A258="Print","Print","Do Not Print")</f>
        <v>Print</v>
      </c>
      <c r="D259" s="1500"/>
      <c r="E259" s="1500"/>
      <c r="F259" s="1500"/>
      <c r="G259" s="1500"/>
      <c r="H259" s="1500"/>
      <c r="I259" s="1500"/>
      <c r="J259" s="1500"/>
      <c r="K259" s="1500"/>
    </row>
    <row r="260" spans="1:14" x14ac:dyDescent="0.3">
      <c r="A260" s="3" t="str">
        <f>IF(AND(J266=0,K266=0),"Do Not Print","Print")</f>
        <v>Do Not Print</v>
      </c>
      <c r="D260" s="474" t="s">
        <v>429</v>
      </c>
      <c r="E260" s="474"/>
      <c r="F260" s="474"/>
      <c r="G260" s="474"/>
      <c r="H260" s="604"/>
      <c r="I260" s="486" t="s">
        <v>343</v>
      </c>
      <c r="J260" s="586">
        <f>J101</f>
        <v>46112</v>
      </c>
      <c r="K260" s="586">
        <f>K101</f>
        <v>45747</v>
      </c>
    </row>
    <row r="261" spans="1:14" x14ac:dyDescent="0.3">
      <c r="A261" s="3" t="str">
        <f>IF(A260="Print","Print","Do Not Print")</f>
        <v>Do Not Print</v>
      </c>
      <c r="D261" s="2012"/>
      <c r="E261" s="2012"/>
      <c r="F261" s="2012"/>
      <c r="G261" s="2012"/>
      <c r="H261" s="2012"/>
      <c r="I261" s="2012"/>
      <c r="J261" s="648" t="s">
        <v>450</v>
      </c>
      <c r="K261" s="648" t="s">
        <v>450</v>
      </c>
    </row>
    <row r="262" spans="1:14" x14ac:dyDescent="0.3">
      <c r="A262" s="3" t="str">
        <f>IF(AND(J262=0,K262=0),"Do Not Print","Print")</f>
        <v>Do Not Print</v>
      </c>
      <c r="D262" s="2033" t="s">
        <v>530</v>
      </c>
      <c r="E262" s="2033"/>
      <c r="F262" s="2033"/>
      <c r="G262" s="2033"/>
      <c r="H262" s="2033"/>
      <c r="I262" s="599"/>
      <c r="J262" s="656">
        <f>K266</f>
        <v>0</v>
      </c>
      <c r="K262" s="657">
        <f>'Det BS '!K546</f>
        <v>0</v>
      </c>
    </row>
    <row r="263" spans="1:14" x14ac:dyDescent="0.3">
      <c r="A263" s="3"/>
      <c r="D263" s="2013" t="s">
        <v>2927</v>
      </c>
      <c r="E263" s="2013"/>
      <c r="F263" s="2013"/>
      <c r="G263" s="2013"/>
      <c r="H263" s="2013"/>
      <c r="I263" s="1225"/>
      <c r="J263" s="1242">
        <f>'Non TB - Note 25 to end'!H77</f>
        <v>0</v>
      </c>
      <c r="K263" s="1243">
        <v>0</v>
      </c>
    </row>
    <row r="264" spans="1:14" s="78" customFormat="1" ht="14.25" customHeight="1" x14ac:dyDescent="0.3">
      <c r="A264" s="3" t="str">
        <f>IF(AND(J264=0,K264=0),"Do Not Print","Print")</f>
        <v>Do Not Print</v>
      </c>
      <c r="B264" s="597"/>
      <c r="C264" s="597"/>
      <c r="D264" s="2013" t="s">
        <v>1314</v>
      </c>
      <c r="E264" s="2013"/>
      <c r="F264" s="2013"/>
      <c r="G264" s="2013"/>
      <c r="H264" s="2013"/>
      <c r="I264" s="658">
        <v>3</v>
      </c>
      <c r="J264" s="659">
        <f>'Notes 3 to 10'!H100</f>
        <v>0</v>
      </c>
      <c r="K264" s="659">
        <f>'Notes 3 to 10'!J100</f>
        <v>0</v>
      </c>
      <c r="L264" s="23"/>
      <c r="M264" s="23"/>
      <c r="N264" s="23"/>
    </row>
    <row r="265" spans="1:14" ht="16.2" customHeight="1" x14ac:dyDescent="0.3">
      <c r="A265" s="3" t="str">
        <f>IF(A264="Print","Print","Do Not Print")</f>
        <v>Do Not Print</v>
      </c>
      <c r="D265" s="2012"/>
      <c r="E265" s="2012"/>
      <c r="F265" s="2012"/>
      <c r="G265" s="2012"/>
      <c r="H265" s="2012"/>
      <c r="I265" s="2012"/>
      <c r="J265" s="2012"/>
      <c r="K265" s="2012"/>
    </row>
    <row r="266" spans="1:14" ht="12.75" customHeight="1" x14ac:dyDescent="0.3">
      <c r="A266" s="3" t="str">
        <f>IF(AND(J264=0,K264=0),"Do Not Print","Print")</f>
        <v>Do Not Print</v>
      </c>
      <c r="D266" s="474" t="s">
        <v>532</v>
      </c>
      <c r="E266" s="479"/>
      <c r="F266" s="479"/>
      <c r="G266" s="479"/>
      <c r="H266" s="604"/>
      <c r="I266" s="633"/>
      <c r="J266" s="660">
        <f>SUM(J262:J264)</f>
        <v>0</v>
      </c>
      <c r="K266" s="660">
        <f>SUM(K262:K264)</f>
        <v>0</v>
      </c>
    </row>
    <row r="267" spans="1:14" ht="13.5" customHeight="1" x14ac:dyDescent="0.3">
      <c r="A267" s="3" t="str">
        <f>IF(A266="Print","Print","Do Not Print")</f>
        <v>Do Not Print</v>
      </c>
      <c r="D267" s="1500"/>
      <c r="E267" s="1500"/>
      <c r="F267" s="1500"/>
      <c r="G267" s="1500"/>
      <c r="H267" s="1500"/>
      <c r="I267" s="1500"/>
      <c r="J267" s="1500"/>
      <c r="K267" s="1500"/>
    </row>
    <row r="268" spans="1:14" ht="113.25" customHeight="1" x14ac:dyDescent="0.3">
      <c r="A268" s="3" t="str">
        <f>IF('Non TB - Note 25 to end'!F76=1,"Print","Do Not Print")</f>
        <v>Print</v>
      </c>
      <c r="D268" s="1504" t="str">
        <f>IF('Non TB - Note 25 to end'!F76=1,'Non TB - Note 25 to end'!H76,"")</f>
        <v>The Financial Instruments Adjustment Account absorbs the timing differences arising from the different arrangements for accounting for income and expenses relating to certain financial instruments and for bearing losses or benefiting from gains per statutory provisions.  The council uses the account to manage premiums paid on the early redemption of loans.  Premiums are debited to the Comprehensive Income and Expenditure Statement when they are incurred, but reversed out of the General Fund Balance to the account in the Movement in Reserves Statement.  Over time, the expense is posted back to the General Fund Balance in accordance with statutory arrangements for spreading burden on rates.  In the Council's case, this period is the unexpired term that was outstanding on the loans when they were redeemed.  As a result, the balance on the account at 31st March 20YY will be charged to the General Fund over the next YY years.</v>
      </c>
      <c r="E268" s="1504"/>
      <c r="F268" s="1504"/>
      <c r="G268" s="1504"/>
      <c r="H268" s="1504"/>
      <c r="I268" s="1504"/>
      <c r="J268" s="1504"/>
      <c r="K268" s="1504"/>
    </row>
    <row r="269" spans="1:14" ht="14.25" customHeight="1" x14ac:dyDescent="0.3">
      <c r="A269" s="3" t="str">
        <f>IF(A268="Print","Print","Do Not Print")</f>
        <v>Print</v>
      </c>
      <c r="D269" s="1500"/>
      <c r="E269" s="1500"/>
      <c r="F269" s="1500"/>
      <c r="G269" s="1500"/>
      <c r="H269" s="1500"/>
      <c r="I269" s="1500"/>
      <c r="J269" s="1500"/>
      <c r="K269" s="1500"/>
    </row>
    <row r="270" spans="1:14" x14ac:dyDescent="0.3">
      <c r="A270" s="3" t="str">
        <f>IF(OR(A272="Print",A274="Print",A276="Print",A278="Print",A280="Print"),"Print","Do Not Print")</f>
        <v>Print</v>
      </c>
      <c r="C270" s="585" t="str">
        <f>Checklist!E145</f>
        <v>c</v>
      </c>
      <c r="D270" s="474" t="s">
        <v>210</v>
      </c>
      <c r="E270" s="474"/>
      <c r="F270" s="474"/>
      <c r="G270" s="474"/>
      <c r="H270" s="604"/>
      <c r="I270" s="604"/>
      <c r="J270" s="604"/>
      <c r="K270" s="604"/>
    </row>
    <row r="271" spans="1:14" x14ac:dyDescent="0.3">
      <c r="A271" s="3" t="str">
        <f>IF(A270="Print","Print","Do Not Print")</f>
        <v>Print</v>
      </c>
      <c r="D271" s="1726"/>
      <c r="E271" s="1726"/>
      <c r="F271" s="1726"/>
      <c r="G271" s="1726"/>
      <c r="H271" s="1726"/>
      <c r="I271" s="1726"/>
      <c r="J271" s="1726"/>
      <c r="K271" s="1726"/>
    </row>
    <row r="272" spans="1:14" ht="33" customHeight="1" x14ac:dyDescent="0.3">
      <c r="A272" s="3" t="str">
        <f>IF('Non TB - Note 25 to end'!F78=1,"Print","Do Not Print")</f>
        <v>Print</v>
      </c>
      <c r="D272" s="1512" t="str">
        <f>IF('Non TB - Note 25 to end'!F78=1,'Non TB - Note 25 to end'!H78,"")</f>
        <v>The Revaluation Reserve contains the gains made by the Council arising from increases in the value of its Property, Plant and Equipment and Intangible Assets. The reserve is reduced when assets with accumulated gains are:</v>
      </c>
      <c r="E272" s="1512"/>
      <c r="F272" s="1512"/>
      <c r="G272" s="1512"/>
      <c r="H272" s="1512"/>
      <c r="I272" s="1512"/>
      <c r="J272" s="1512"/>
      <c r="K272" s="1512"/>
    </row>
    <row r="273" spans="1:15" ht="12.75" customHeight="1" x14ac:dyDescent="0.3">
      <c r="A273" s="3" t="str">
        <f>IF(A272="Print","Print","Do Not Print")</f>
        <v>Print</v>
      </c>
      <c r="D273" s="1512"/>
      <c r="E273" s="1512"/>
      <c r="F273" s="1512"/>
      <c r="G273" s="1512"/>
      <c r="H273" s="1512"/>
      <c r="I273" s="1512"/>
      <c r="J273" s="1512"/>
      <c r="K273" s="1512"/>
    </row>
    <row r="274" spans="1:15" s="83" customFormat="1" ht="47.25" customHeight="1" x14ac:dyDescent="0.3">
      <c r="A274" s="80" t="str">
        <f>IF('Non TB - Note 25 to end'!F79=1,"Print","Do Not Print")</f>
        <v>Print</v>
      </c>
      <c r="B274" s="645"/>
      <c r="C274" s="645"/>
      <c r="D274" s="1506" t="str">
        <f>IF('Non TB - Note 25 to end'!F79=1,'Non TB - Note 25 to end'!H79,"")</f>
        <v xml:space="preserve"> - revalued downwards or impaired and the gains are lost
 - used in the provision of services and the gains are consumed through depreciation, or
 - disposed of and the gains are realised.</v>
      </c>
      <c r="E274" s="1506"/>
      <c r="F274" s="1506"/>
      <c r="G274" s="1506"/>
      <c r="H274" s="1506"/>
      <c r="I274" s="1506"/>
      <c r="J274" s="1506"/>
      <c r="K274" s="1506"/>
    </row>
    <row r="275" spans="1:15" ht="12.75" customHeight="1" x14ac:dyDescent="0.3">
      <c r="A275" s="3" t="str">
        <f>IF(A274="Print","Print","Do Not Print")</f>
        <v>Print</v>
      </c>
      <c r="D275" s="2014"/>
      <c r="E275" s="2014"/>
      <c r="F275" s="2014"/>
      <c r="G275" s="2014"/>
      <c r="H275" s="2014"/>
      <c r="I275" s="2014"/>
      <c r="J275" s="2014"/>
      <c r="K275" s="2014"/>
    </row>
    <row r="276" spans="1:15" ht="29.25" customHeight="1" x14ac:dyDescent="0.3">
      <c r="A276" s="3" t="str">
        <f>IF('Non TB - Note 25 to end'!F80=1,"Print","Do Not Print")</f>
        <v>Print</v>
      </c>
      <c r="D276" s="1506" t="str">
        <f>IF('Non TB - Note 25 to end'!F80=1,'Non TB - Note 25 to end'!H80,"")</f>
        <v>The reserve contains only revaluation gains accumulated since 1 April 2008, the date the reserve was created. Accumulated gains arising before that date are consolidated into the balance on the Capital Adjustment Account.</v>
      </c>
      <c r="E276" s="1506"/>
      <c r="F276" s="1506"/>
      <c r="G276" s="1506"/>
      <c r="H276" s="1506"/>
      <c r="I276" s="1506"/>
      <c r="J276" s="1506"/>
      <c r="K276" s="1506"/>
    </row>
    <row r="277" spans="1:15" ht="12.75" customHeight="1" x14ac:dyDescent="0.3">
      <c r="A277" s="3" t="str">
        <f>IF(A276="Print","Print","Do Not Print")</f>
        <v>Print</v>
      </c>
      <c r="D277" s="1506"/>
      <c r="E277" s="1506"/>
      <c r="F277" s="1506"/>
      <c r="G277" s="1506"/>
      <c r="H277" s="1506"/>
      <c r="I277" s="1506"/>
      <c r="J277" s="1506"/>
      <c r="K277" s="1506"/>
    </row>
    <row r="278" spans="1:15" ht="75.75" customHeight="1" x14ac:dyDescent="0.3">
      <c r="A278" s="3" t="str">
        <f>IF('Non TB - Note 25 to end'!F81=1,"Print","Do Not Print")</f>
        <v>Print</v>
      </c>
      <c r="D278" s="1506" t="str">
        <f>IF('Non TB - Note 25 to end'!F81=1,'Non TB - Note 25 to end'!H81,"")</f>
        <v>The purpose of this account is to build up a balance based on the revaluation (upwards or downwards) of individual assets.  All such revaluations (excluding impairment losses that have been debited to Surplus/(Deficit) on the Provision of Services are mirrored in Other Comprehensive Income and Expenditure.  It is a fundamental principle of this account that it never becomes negative.  If an asset was held at current value when derecognised, the balance held on the Revaluation Reserve is written off to the Capital Adjustment Account.</v>
      </c>
      <c r="E278" s="1506"/>
      <c r="F278" s="1506"/>
      <c r="G278" s="1506"/>
      <c r="H278" s="1506"/>
      <c r="I278" s="1506"/>
      <c r="J278" s="1506"/>
      <c r="K278" s="1506"/>
    </row>
    <row r="279" spans="1:15" x14ac:dyDescent="0.3">
      <c r="A279" s="3" t="str">
        <f>IF(A278="Print","Print","Do Not Print")</f>
        <v>Print</v>
      </c>
      <c r="D279" s="1500"/>
      <c r="E279" s="1500"/>
      <c r="F279" s="1500"/>
      <c r="G279" s="1500"/>
      <c r="H279" s="1500"/>
      <c r="I279" s="1500"/>
      <c r="J279" s="1500"/>
      <c r="K279" s="1500"/>
    </row>
    <row r="280" spans="1:15" x14ac:dyDescent="0.3">
      <c r="A280" s="3" t="str">
        <f>IF(AND(J287=0,K287=0),"Do Not Print","Print")</f>
        <v>Do Not Print</v>
      </c>
      <c r="D280" s="474" t="s">
        <v>210</v>
      </c>
      <c r="E280" s="474"/>
      <c r="F280" s="474"/>
      <c r="G280" s="474"/>
      <c r="H280" s="604"/>
      <c r="I280" s="486" t="s">
        <v>343</v>
      </c>
      <c r="J280" s="586">
        <f>J101</f>
        <v>46112</v>
      </c>
      <c r="K280" s="936">
        <f>'Standing Data'!D72</f>
        <v>45747</v>
      </c>
    </row>
    <row r="281" spans="1:15" x14ac:dyDescent="0.3">
      <c r="A281" s="3" t="str">
        <f>IF(A280="Print","Print","Do Not Print")</f>
        <v>Do Not Print</v>
      </c>
      <c r="D281" s="2012"/>
      <c r="E281" s="2012"/>
      <c r="F281" s="2012"/>
      <c r="G281" s="2012"/>
      <c r="H281" s="2012"/>
      <c r="I281" s="2012"/>
      <c r="J281" s="648" t="s">
        <v>450</v>
      </c>
      <c r="K281" s="648" t="s">
        <v>450</v>
      </c>
    </row>
    <row r="282" spans="1:15" x14ac:dyDescent="0.3">
      <c r="A282" s="3" t="str">
        <f>IF(AND(K282=0,J282=0),"Do Not Print","Print")</f>
        <v>Do Not Print</v>
      </c>
      <c r="D282" s="2012" t="s">
        <v>530</v>
      </c>
      <c r="E282" s="2012"/>
      <c r="F282" s="2012"/>
      <c r="G282" s="2012"/>
      <c r="H282" s="2012"/>
      <c r="I282" s="610"/>
      <c r="J282" s="600">
        <f>K287</f>
        <v>0</v>
      </c>
      <c r="K282" s="601">
        <f>'Det BS '!K547</f>
        <v>0</v>
      </c>
    </row>
    <row r="283" spans="1:15" x14ac:dyDescent="0.3">
      <c r="A283" s="3" t="str">
        <f>IF(AND(K283=0,J283=0),"Do Not Print","Print")</f>
        <v>Do Not Print</v>
      </c>
      <c r="D283" s="2012" t="s">
        <v>1335</v>
      </c>
      <c r="E283" s="2012"/>
      <c r="F283" s="2012"/>
      <c r="G283" s="2012"/>
      <c r="H283" s="2012"/>
      <c r="I283" s="599">
        <v>11</v>
      </c>
      <c r="J283" s="600">
        <f>'Note 11'!P14-'Note 11'!P28-'Note 11'!P30</f>
        <v>0</v>
      </c>
      <c r="K283" s="600">
        <f>'Note 11'!P47-'Note 11'!P62-'Note 11'!P64</f>
        <v>0</v>
      </c>
    </row>
    <row r="284" spans="1:15" x14ac:dyDescent="0.3">
      <c r="A284" s="3" t="str">
        <f>IF(AND(K284=0,J284=0),"Do Not Print","Print")</f>
        <v>Do Not Print</v>
      </c>
      <c r="D284" s="2030" t="s">
        <v>1651</v>
      </c>
      <c r="E284" s="2031"/>
      <c r="F284" s="2031"/>
      <c r="G284" s="2031"/>
      <c r="H284" s="2032"/>
      <c r="I284" s="652"/>
      <c r="J284" s="872"/>
      <c r="K284" s="872">
        <v>0</v>
      </c>
      <c r="L284" s="873"/>
    </row>
    <row r="285" spans="1:15" x14ac:dyDescent="0.3">
      <c r="A285" s="3" t="str">
        <f>IF(AND(K285=0,J285=0),"Do Not Print","Print")</f>
        <v>Do Not Print</v>
      </c>
      <c r="D285" s="2012" t="s">
        <v>1315</v>
      </c>
      <c r="E285" s="2012"/>
      <c r="F285" s="2012"/>
      <c r="G285" s="2012"/>
      <c r="H285" s="2012"/>
      <c r="I285" s="610"/>
      <c r="J285" s="601">
        <f>'Non TB - Note 25 to end'!H82</f>
        <v>0</v>
      </c>
      <c r="K285" s="601">
        <f>'Non TB - Note 25 to end'!I82</f>
        <v>0</v>
      </c>
      <c r="O285" s="3"/>
    </row>
    <row r="286" spans="1:15" x14ac:dyDescent="0.3">
      <c r="A286" s="3" t="str">
        <f>IF(A285="Print","Print","Do Not Print")</f>
        <v>Do Not Print</v>
      </c>
      <c r="D286" s="2012"/>
      <c r="E286" s="2012"/>
      <c r="F286" s="2012"/>
      <c r="G286" s="2012"/>
      <c r="H286" s="2012"/>
      <c r="I286" s="2012"/>
      <c r="J286" s="2012"/>
      <c r="K286" s="2012"/>
    </row>
    <row r="287" spans="1:15" x14ac:dyDescent="0.3">
      <c r="A287" s="3" t="str">
        <f>IF(AND(K287=0,J287=0),"Do Not Print","Print")</f>
        <v>Do Not Print</v>
      </c>
      <c r="D287" s="474" t="s">
        <v>532</v>
      </c>
      <c r="E287" s="474"/>
      <c r="F287" s="474"/>
      <c r="G287" s="474"/>
      <c r="H287" s="604"/>
      <c r="I287" s="474"/>
      <c r="J287" s="606">
        <f>SUM(J282:J286)</f>
        <v>0</v>
      </c>
      <c r="K287" s="606">
        <f>SUM(K282:K286)</f>
        <v>0</v>
      </c>
    </row>
    <row r="288" spans="1:15" x14ac:dyDescent="0.3">
      <c r="A288" s="3" t="str">
        <f>IF(A287="Print","Print","Do Not Print")</f>
        <v>Do Not Print</v>
      </c>
      <c r="D288" s="1500"/>
      <c r="E288" s="1500"/>
      <c r="F288" s="1500"/>
      <c r="G288" s="1500"/>
      <c r="H288" s="1500"/>
      <c r="I288" s="1500"/>
      <c r="J288" s="1500"/>
      <c r="K288" s="1500"/>
    </row>
    <row r="289" spans="1:11" x14ac:dyDescent="0.3">
      <c r="A289" s="3" t="str">
        <f>IF(OR(A291="Print",A293="Print"),"Print","Do Not Print")</f>
        <v>Print</v>
      </c>
      <c r="C289" s="585" t="str">
        <f>Checklist!E146</f>
        <v>d</v>
      </c>
      <c r="D289" s="474" t="s">
        <v>2771</v>
      </c>
      <c r="E289" s="474"/>
      <c r="F289" s="474"/>
      <c r="G289" s="474"/>
      <c r="H289" s="604"/>
      <c r="I289" s="604"/>
      <c r="J289" s="604"/>
      <c r="K289" s="604"/>
    </row>
    <row r="290" spans="1:11" x14ac:dyDescent="0.3">
      <c r="A290" s="3" t="str">
        <f>IF(A289="Print","Print","Do Not Print")</f>
        <v>Print</v>
      </c>
      <c r="D290" s="1500"/>
      <c r="E290" s="1500"/>
      <c r="F290" s="1500"/>
      <c r="G290" s="1500"/>
      <c r="H290" s="1500"/>
      <c r="I290" s="1500"/>
      <c r="J290" s="1500"/>
      <c r="K290" s="1500"/>
    </row>
    <row r="291" spans="1:11" x14ac:dyDescent="0.3">
      <c r="A291" s="3" t="str">
        <f>IF('Non TB - Note 25 to end'!F83=1,"Print","Do Not Print")</f>
        <v>Print</v>
      </c>
      <c r="D291" s="1500" t="str">
        <f>IF('Non TB - Note 25 to end'!F83=1,'Non TB - Note 25 to end'!H83,"")</f>
        <v>Councils need to include a note if relevant or state not applicable.</v>
      </c>
      <c r="E291" s="1500"/>
      <c r="F291" s="1500"/>
      <c r="G291" s="1500"/>
      <c r="H291" s="1500"/>
      <c r="I291" s="1500"/>
      <c r="J291" s="1500"/>
      <c r="K291" s="1500"/>
    </row>
    <row r="292" spans="1:11" x14ac:dyDescent="0.3">
      <c r="A292" s="3" t="str">
        <f>IF(A291="Print","Print","Do Not Print")</f>
        <v>Print</v>
      </c>
      <c r="D292" s="1500"/>
      <c r="E292" s="1500"/>
      <c r="F292" s="1500"/>
      <c r="G292" s="1500"/>
      <c r="H292" s="1500"/>
      <c r="I292" s="1500"/>
      <c r="J292" s="1500"/>
      <c r="K292" s="1500"/>
    </row>
    <row r="293" spans="1:11" x14ac:dyDescent="0.3">
      <c r="A293" s="3" t="str">
        <f>IF(AND(J307=0,K307=0,K299=0,J299=0),"Do Not Print","Print")</f>
        <v>Do Not Print</v>
      </c>
      <c r="D293" s="474" t="s">
        <v>2680</v>
      </c>
      <c r="E293" s="474"/>
      <c r="F293" s="474"/>
      <c r="G293" s="474"/>
      <c r="H293" s="604"/>
      <c r="I293" s="486" t="s">
        <v>343</v>
      </c>
      <c r="J293" s="586">
        <f>J101</f>
        <v>46112</v>
      </c>
      <c r="K293" s="586">
        <f>K101</f>
        <v>45747</v>
      </c>
    </row>
    <row r="294" spans="1:11" x14ac:dyDescent="0.3">
      <c r="A294" s="3" t="str">
        <f>IF(A293="Print","Print","Do Not Print")</f>
        <v>Do Not Print</v>
      </c>
      <c r="D294" s="2012"/>
      <c r="E294" s="2012"/>
      <c r="F294" s="2012"/>
      <c r="G294" s="2012"/>
      <c r="H294" s="2012"/>
      <c r="I294" s="2012"/>
      <c r="J294" s="648" t="s">
        <v>450</v>
      </c>
      <c r="K294" s="648" t="s">
        <v>450</v>
      </c>
    </row>
    <row r="295" spans="1:11" x14ac:dyDescent="0.3">
      <c r="A295" s="3" t="str">
        <f>IF(AND(J295=0,K295=0),"Do Not Print","Print")</f>
        <v>Do Not Print</v>
      </c>
      <c r="D295" s="2012" t="s">
        <v>530</v>
      </c>
      <c r="E295" s="2012"/>
      <c r="F295" s="2012"/>
      <c r="G295" s="2012"/>
      <c r="H295" s="2012"/>
      <c r="I295" s="599"/>
      <c r="J295" s="601">
        <f>K299</f>
        <v>0</v>
      </c>
      <c r="K295" s="601">
        <f>'Det BS '!K548</f>
        <v>0</v>
      </c>
    </row>
    <row r="296" spans="1:11" x14ac:dyDescent="0.3">
      <c r="A296" s="3" t="str">
        <f>IF(AND(J296=0,K296=0),"Do Not Print","Print")</f>
        <v>Do Not Print</v>
      </c>
      <c r="D296" s="2012" t="s">
        <v>2768</v>
      </c>
      <c r="E296" s="2012"/>
      <c r="F296" s="2012"/>
      <c r="G296" s="2012"/>
      <c r="H296" s="2012"/>
      <c r="I296" s="599"/>
      <c r="J296" s="601">
        <f>-J295</f>
        <v>0</v>
      </c>
      <c r="K296" s="601">
        <v>0</v>
      </c>
    </row>
    <row r="297" spans="1:11" x14ac:dyDescent="0.3">
      <c r="A297" s="3" t="str">
        <f>IF(AND(J297=0,K297=0),"Do Not Print","Print")</f>
        <v>Do Not Print</v>
      </c>
      <c r="D297" s="2012" t="s">
        <v>1335</v>
      </c>
      <c r="E297" s="2012"/>
      <c r="F297" s="2012"/>
      <c r="G297" s="2012"/>
      <c r="H297" s="2012"/>
      <c r="I297" s="599" t="s">
        <v>1700</v>
      </c>
      <c r="J297" s="601">
        <v>0</v>
      </c>
      <c r="K297" s="601">
        <f>'Non TB - Note 25 to end'!I84</f>
        <v>0</v>
      </c>
    </row>
    <row r="298" spans="1:11" x14ac:dyDescent="0.3">
      <c r="A298" s="3" t="str">
        <f>IF(A297="Print","Print","Do Not Print")</f>
        <v>Do Not Print</v>
      </c>
      <c r="D298" s="2012"/>
      <c r="E298" s="2012"/>
      <c r="F298" s="2012"/>
      <c r="G298" s="2012"/>
      <c r="H298" s="2012"/>
      <c r="I298" s="2012"/>
      <c r="J298" s="2012"/>
      <c r="K298" s="2012"/>
    </row>
    <row r="299" spans="1:11" x14ac:dyDescent="0.3">
      <c r="A299" s="3" t="str">
        <f>IF(AND(J299=0,K299=0),"Do Not Print","Print")</f>
        <v>Do Not Print</v>
      </c>
      <c r="D299" s="474" t="s">
        <v>532</v>
      </c>
      <c r="E299" s="474"/>
      <c r="F299" s="474"/>
      <c r="G299" s="474"/>
      <c r="H299" s="604"/>
      <c r="I299" s="474"/>
      <c r="J299" s="606">
        <f>SUM(J294:J298)</f>
        <v>0</v>
      </c>
      <c r="K299" s="606">
        <f>SUM(K294:K298)</f>
        <v>0</v>
      </c>
    </row>
    <row r="300" spans="1:11" x14ac:dyDescent="0.3">
      <c r="A300" s="3" t="str">
        <f>IF(A299="Print","Print","Do Not Print")</f>
        <v>Do Not Print</v>
      </c>
      <c r="D300" s="401"/>
    </row>
    <row r="301" spans="1:11" x14ac:dyDescent="0.3">
      <c r="A301" s="3" t="str">
        <f>IF(AND(J303=0,K303=0),"Do Not Print","Print")</f>
        <v>Do Not Print</v>
      </c>
      <c r="D301" s="474" t="s">
        <v>2769</v>
      </c>
      <c r="E301" s="474"/>
      <c r="F301" s="474"/>
      <c r="G301" s="474"/>
      <c r="H301" s="604"/>
      <c r="I301" s="486" t="s">
        <v>343</v>
      </c>
      <c r="J301" s="586">
        <f>J101</f>
        <v>46112</v>
      </c>
      <c r="K301" s="586">
        <f>K101</f>
        <v>45747</v>
      </c>
    </row>
    <row r="302" spans="1:11" x14ac:dyDescent="0.3">
      <c r="A302" s="3" t="str">
        <f>IF(A301="Print","Print","Do Not Print")</f>
        <v>Do Not Print</v>
      </c>
      <c r="D302" s="2012"/>
      <c r="E302" s="2012"/>
      <c r="F302" s="2012"/>
      <c r="G302" s="2012"/>
      <c r="H302" s="2012"/>
      <c r="I302" s="2012"/>
      <c r="J302" s="648" t="s">
        <v>450</v>
      </c>
      <c r="K302" s="648" t="s">
        <v>450</v>
      </c>
    </row>
    <row r="303" spans="1:11" x14ac:dyDescent="0.3">
      <c r="A303" s="3" t="str">
        <f>IF(AND(J303=0,K303=0),"Do Not Print","Print")</f>
        <v>Do Not Print</v>
      </c>
      <c r="D303" s="2012" t="s">
        <v>530</v>
      </c>
      <c r="E303" s="2012"/>
      <c r="F303" s="2012"/>
      <c r="G303" s="2012"/>
      <c r="H303" s="2012"/>
      <c r="I303" s="599"/>
      <c r="J303" s="601">
        <v>0</v>
      </c>
      <c r="K303" s="601">
        <v>0</v>
      </c>
    </row>
    <row r="304" spans="1:11" x14ac:dyDescent="0.3">
      <c r="A304" s="3" t="str">
        <f>IF(AND(J304=0,K304=0),"Do Not Print","Print")</f>
        <v>Do Not Print</v>
      </c>
      <c r="D304" s="2012" t="s">
        <v>2772</v>
      </c>
      <c r="E304" s="2012"/>
      <c r="F304" s="2012"/>
      <c r="G304" s="2012"/>
      <c r="H304" s="2012"/>
      <c r="I304" s="599"/>
      <c r="J304" s="601">
        <f>'Non TB - Note 25 to end'!H86</f>
        <v>0</v>
      </c>
      <c r="K304" s="601">
        <v>0</v>
      </c>
    </row>
    <row r="305" spans="1:15" x14ac:dyDescent="0.3">
      <c r="A305" s="3" t="str">
        <f>IF(AND(J305=0,K305=0),"Do Not Print","Print")</f>
        <v>Do Not Print</v>
      </c>
      <c r="D305" s="2012" t="s">
        <v>1335</v>
      </c>
      <c r="E305" s="2012"/>
      <c r="F305" s="2012"/>
      <c r="G305" s="2012"/>
      <c r="H305" s="2012"/>
      <c r="I305" s="599" t="s">
        <v>1700</v>
      </c>
      <c r="J305" s="601">
        <f>'Non TB - Note 25 to end'!H87</f>
        <v>0</v>
      </c>
      <c r="K305" s="601">
        <v>0</v>
      </c>
    </row>
    <row r="306" spans="1:15" x14ac:dyDescent="0.3">
      <c r="A306" s="3" t="str">
        <f>IF(A305="Print","Print","Do Not Print")</f>
        <v>Do Not Print</v>
      </c>
      <c r="D306" s="2012"/>
      <c r="E306" s="2012"/>
      <c r="F306" s="2012"/>
      <c r="G306" s="2012"/>
      <c r="H306" s="2012"/>
      <c r="I306" s="2012"/>
      <c r="J306" s="2012"/>
      <c r="K306" s="2012"/>
    </row>
    <row r="307" spans="1:15" x14ac:dyDescent="0.3">
      <c r="A307" s="3" t="str">
        <f>IF(AND(J303=0,K303=0),"Do Not Print","Print")</f>
        <v>Do Not Print</v>
      </c>
      <c r="D307" s="474" t="s">
        <v>532</v>
      </c>
      <c r="E307" s="474"/>
      <c r="F307" s="474"/>
      <c r="G307" s="474"/>
      <c r="H307" s="604"/>
      <c r="I307" s="474"/>
      <c r="J307" s="606">
        <f>SUM(J302:J306)</f>
        <v>0</v>
      </c>
      <c r="K307" s="606">
        <f>SUM(K302:K306)</f>
        <v>0</v>
      </c>
    </row>
    <row r="308" spans="1:15" x14ac:dyDescent="0.3">
      <c r="A308" s="3" t="str">
        <f>IF(A307="Print","Print","Do Not Print")</f>
        <v>Do Not Print</v>
      </c>
      <c r="D308" s="1500"/>
      <c r="E308" s="1500"/>
      <c r="F308" s="1500"/>
      <c r="G308" s="1500"/>
      <c r="H308" s="1500"/>
      <c r="I308" s="1500"/>
      <c r="J308" s="1500"/>
      <c r="K308" s="1500"/>
    </row>
    <row r="309" spans="1:15" x14ac:dyDescent="0.3">
      <c r="A309" s="3" t="str">
        <f>IF(AND(J317=0,K317=0),"Do Not Print","Print")</f>
        <v>Do Not Print</v>
      </c>
      <c r="C309" s="585" t="str">
        <f>Checklist!E147</f>
        <v>e</v>
      </c>
      <c r="D309" s="474" t="s">
        <v>432</v>
      </c>
      <c r="E309" s="474"/>
      <c r="F309" s="474"/>
      <c r="G309" s="474"/>
      <c r="H309" s="604"/>
      <c r="I309" s="604"/>
      <c r="J309" s="604"/>
      <c r="K309" s="604"/>
    </row>
    <row r="310" spans="1:15" x14ac:dyDescent="0.3">
      <c r="A310" s="3" t="str">
        <f>IF(A309="Print","Print","Do Not Print")</f>
        <v>Do Not Print</v>
      </c>
      <c r="D310" s="1500"/>
      <c r="E310" s="1500"/>
      <c r="F310" s="1500"/>
      <c r="G310" s="1500"/>
      <c r="H310" s="1500"/>
      <c r="I310" s="1500"/>
      <c r="J310" s="1500"/>
      <c r="K310" s="1500"/>
    </row>
    <row r="311" spans="1:15" x14ac:dyDescent="0.3">
      <c r="A311" s="3" t="str">
        <f>IF(AND(J317=0,K317=0),"Do Not Print","Print")</f>
        <v>Do Not Print</v>
      </c>
      <c r="D311" s="474" t="s">
        <v>432</v>
      </c>
      <c r="E311" s="474"/>
      <c r="F311" s="474"/>
      <c r="G311" s="474"/>
      <c r="H311" s="604"/>
      <c r="I311" s="486" t="s">
        <v>343</v>
      </c>
      <c r="J311" s="586">
        <f>J101</f>
        <v>46112</v>
      </c>
      <c r="K311" s="586">
        <f>K101</f>
        <v>45747</v>
      </c>
    </row>
    <row r="312" spans="1:15" x14ac:dyDescent="0.3">
      <c r="A312" s="3" t="str">
        <f>IF(A311="Print","Print","Do Not Print")</f>
        <v>Do Not Print</v>
      </c>
      <c r="D312" s="2012"/>
      <c r="E312" s="2012"/>
      <c r="F312" s="2012"/>
      <c r="G312" s="2012"/>
      <c r="H312" s="2012"/>
      <c r="I312" s="2012"/>
      <c r="J312" s="648" t="s">
        <v>450</v>
      </c>
      <c r="K312" s="648" t="s">
        <v>450</v>
      </c>
    </row>
    <row r="313" spans="1:15" x14ac:dyDescent="0.3">
      <c r="A313" s="3" t="str">
        <f>IF(AND(K313=0,J313=0),"Do Not Print","Print")</f>
        <v>Do Not Print</v>
      </c>
      <c r="D313" s="2012" t="s">
        <v>530</v>
      </c>
      <c r="E313" s="2012"/>
      <c r="F313" s="2012"/>
      <c r="G313" s="2012"/>
      <c r="H313" s="2012"/>
      <c r="I313" s="599"/>
      <c r="J313" s="600">
        <f>K317</f>
        <v>0</v>
      </c>
      <c r="K313" s="601">
        <f>'Det BS '!K550</f>
        <v>0</v>
      </c>
    </row>
    <row r="314" spans="1:15" x14ac:dyDescent="0.3">
      <c r="A314" s="3" t="str">
        <f>IF(AND(K314=0,J314=0),"Do Not Print","Print")</f>
        <v>Do Not Print</v>
      </c>
      <c r="D314" s="2012" t="s">
        <v>1334</v>
      </c>
      <c r="E314" s="2012"/>
      <c r="F314" s="2012"/>
      <c r="G314" s="2012"/>
      <c r="H314" s="2012"/>
      <c r="I314" s="599" t="s">
        <v>2223</v>
      </c>
      <c r="J314" s="600">
        <f>'Notes 11c to 24'!J1041</f>
        <v>0</v>
      </c>
      <c r="K314" s="600">
        <f>'Notes 11c to 24'!K1041</f>
        <v>0</v>
      </c>
      <c r="O314" s="3"/>
    </row>
    <row r="315" spans="1:15" x14ac:dyDescent="0.3">
      <c r="A315" s="3" t="str">
        <f>IF(AND(K315=0,J315=0),"Do Not Print","Print")</f>
        <v>Do Not Print</v>
      </c>
      <c r="D315" s="2012" t="s">
        <v>1335</v>
      </c>
      <c r="E315" s="2012"/>
      <c r="F315" s="2012"/>
      <c r="G315" s="2012"/>
      <c r="H315" s="2012"/>
      <c r="I315" s="599">
        <v>20</v>
      </c>
      <c r="J315" s="600">
        <f>'Notes 11c to 24'!I1138</f>
        <v>0</v>
      </c>
      <c r="K315" s="600">
        <f>'Notes 11c to 24'!J1138</f>
        <v>0</v>
      </c>
      <c r="O315" s="3"/>
    </row>
    <row r="316" spans="1:15" x14ac:dyDescent="0.3">
      <c r="A316" s="3" t="str">
        <f>IF(A315="Print","Print","Do Not Print")</f>
        <v>Do Not Print</v>
      </c>
      <c r="D316" s="2012"/>
      <c r="E316" s="2012"/>
      <c r="F316" s="2012"/>
      <c r="G316" s="2012"/>
      <c r="H316" s="2012"/>
      <c r="I316" s="2012"/>
      <c r="J316" s="2012"/>
      <c r="K316" s="2012"/>
    </row>
    <row r="317" spans="1:15" x14ac:dyDescent="0.3">
      <c r="A317" s="3" t="str">
        <f>IF(AND(K315=0,J315=0),"Do Not Print","Print")</f>
        <v>Do Not Print</v>
      </c>
      <c r="D317" s="474" t="s">
        <v>532</v>
      </c>
      <c r="E317" s="474"/>
      <c r="F317" s="474"/>
      <c r="G317" s="474"/>
      <c r="H317" s="604"/>
      <c r="I317" s="474"/>
      <c r="J317" s="606">
        <f>SUM(J313:J316)</f>
        <v>0</v>
      </c>
      <c r="K317" s="606">
        <f>SUM(K313:K316)</f>
        <v>0</v>
      </c>
    </row>
    <row r="318" spans="1:15" x14ac:dyDescent="0.3">
      <c r="A318" s="3" t="str">
        <f>IF(A317="Print","Print","Do Not Print")</f>
        <v>Do Not Print</v>
      </c>
      <c r="D318" s="1500"/>
      <c r="E318" s="1500"/>
      <c r="F318" s="1500"/>
      <c r="G318" s="1500"/>
      <c r="H318" s="1500"/>
      <c r="I318" s="1500"/>
      <c r="J318" s="1500"/>
      <c r="K318" s="1500"/>
    </row>
    <row r="319" spans="1:15" ht="71.25" customHeight="1" x14ac:dyDescent="0.3">
      <c r="A319" s="3" t="str">
        <f>IF('Non TB - Note 25 to end'!F88=1,"Print","Do Not Print")</f>
        <v>Print</v>
      </c>
      <c r="D319" s="1504" t="str">
        <f>IF('Non TB - Note 25 to end'!F88=1,'Non TB - Note 25 to end'!H88,"")</f>
        <v>The Pensions Reserve absorbs the timing differences arising from the different arrangements for accounting for post-employment benefits and for funding benefits in accordance with statutory provisions.  The Council accouns for post-employment benefits in the Comprehensive Income and Expenditure Statement as benefits are earned by employees accruing years of service, updating the liabilities recognised to reflect inflation, changing assumptions and investment returns on any resources set aside to meet the costs</v>
      </c>
      <c r="E319" s="1504"/>
      <c r="F319" s="1504"/>
      <c r="G319" s="1504"/>
      <c r="H319" s="1504"/>
      <c r="I319" s="1504"/>
      <c r="J319" s="1504"/>
      <c r="K319" s="1504"/>
    </row>
    <row r="320" spans="1:15" x14ac:dyDescent="0.3">
      <c r="A320" s="3" t="str">
        <f>IF(A319="Print","Print","Do Not Print")</f>
        <v>Print</v>
      </c>
      <c r="D320" s="1500"/>
      <c r="E320" s="1500"/>
      <c r="F320" s="1500"/>
      <c r="G320" s="1500"/>
      <c r="H320" s="1500"/>
      <c r="I320" s="1500"/>
      <c r="J320" s="1500"/>
      <c r="K320" s="1500"/>
    </row>
    <row r="321" spans="1:15" ht="68.25" customHeight="1" x14ac:dyDescent="0.3">
      <c r="A321" s="3" t="str">
        <f>IF('Non TB - Note 25 to end'!F89=1,"Print","Do Not Print")</f>
        <v>Print</v>
      </c>
      <c r="D321" s="1504" t="str">
        <f>IF('Non TB - Note 25 to end'!F89=1,'Non TB - Note 25 to end'!H89,"")</f>
        <v>However, statutory arrangements require benefits earned to be financed as the Council makes employer's contributions to pension funds or eventually pays any pensions for which it is directly responsible.  The debit balance on the Pensions Reserve therefore shows a substantial shortfall in the benefits earned by past and current employees and the resources the Council has set aside to meet them.  The statutory arrangements will ensure that funding will have been set aside by the time the benefits come to be paid.</v>
      </c>
      <c r="E321" s="1504"/>
      <c r="F321" s="1504"/>
      <c r="G321" s="1504"/>
      <c r="H321" s="1504"/>
      <c r="I321" s="1504"/>
      <c r="J321" s="1504"/>
      <c r="K321" s="1504"/>
    </row>
    <row r="322" spans="1:15" x14ac:dyDescent="0.3">
      <c r="A322" s="3" t="str">
        <f>IF(A321="Print","Print","Do Not Print")</f>
        <v>Print</v>
      </c>
      <c r="D322" s="1500"/>
      <c r="E322" s="1500"/>
      <c r="F322" s="1500"/>
      <c r="G322" s="1500"/>
      <c r="H322" s="1500"/>
      <c r="I322" s="1500"/>
      <c r="J322" s="1500"/>
      <c r="K322" s="1500"/>
    </row>
    <row r="323" spans="1:15" x14ac:dyDescent="0.3">
      <c r="A323" s="3" t="str">
        <f>IF(OR(A325="Print",A327="Print"),"Print","Do Not Print")</f>
        <v>Print</v>
      </c>
      <c r="C323" s="585" t="str">
        <f>Checklist!E148</f>
        <v>f</v>
      </c>
      <c r="D323" s="474" t="s">
        <v>326</v>
      </c>
      <c r="E323" s="474"/>
      <c r="F323" s="474"/>
      <c r="G323" s="474"/>
      <c r="H323" s="604"/>
      <c r="I323" s="604"/>
      <c r="J323" s="604"/>
      <c r="K323" s="604"/>
    </row>
    <row r="324" spans="1:15" x14ac:dyDescent="0.3">
      <c r="A324" s="3" t="str">
        <f>IF(A323="Print","Print","Do Not Print")</f>
        <v>Print</v>
      </c>
      <c r="D324" s="1726"/>
      <c r="E324" s="1726"/>
      <c r="F324" s="1726"/>
      <c r="G324" s="1726"/>
      <c r="H324" s="1726"/>
      <c r="I324" s="1726"/>
      <c r="J324" s="1726"/>
      <c r="K324" s="1726"/>
    </row>
    <row r="325" spans="1:15" ht="57.75" customHeight="1" x14ac:dyDescent="0.3">
      <c r="A325" s="3" t="str">
        <f>IF('Non TB - Note 25 to end'!F90=1,"Print","Do Not Print")</f>
        <v>Print</v>
      </c>
      <c r="D325" s="1512" t="str">
        <f>IF('Non TB - Note 25 to end'!F90=1,'Non TB - Note 25 to end'!H90,"")</f>
        <v>The Deferred Capital Receipts Account holds the gains recognised on the disposal of non-current assets but for which cash settlement has yet to take place.  Under statutory arrangements, the Council does not treat these gains as usable for financing new capital expenditure until they are backed by cash receipts.  When the deferred cash settlement eventually takes place, amounts are transferred to the Capital Receipts Reserve.</v>
      </c>
      <c r="E325" s="1512"/>
      <c r="F325" s="1512"/>
      <c r="G325" s="1512"/>
      <c r="H325" s="1512"/>
      <c r="I325" s="1512"/>
      <c r="J325" s="1512"/>
      <c r="K325" s="1512"/>
    </row>
    <row r="326" spans="1:15" x14ac:dyDescent="0.3">
      <c r="A326" s="3" t="str">
        <f>IF(A325="Print","Print","Do Not Print")</f>
        <v>Print</v>
      </c>
      <c r="D326" s="1500"/>
      <c r="E326" s="1500"/>
      <c r="F326" s="1500"/>
      <c r="G326" s="1500"/>
      <c r="H326" s="1500"/>
      <c r="I326" s="1500"/>
      <c r="J326" s="1500"/>
      <c r="K326" s="1500"/>
    </row>
    <row r="327" spans="1:15" x14ac:dyDescent="0.3">
      <c r="A327" s="3" t="str">
        <f>IF(AND(J332=0,K332=0),"Do Not Print","Print")</f>
        <v>Do Not Print</v>
      </c>
      <c r="D327" s="474" t="s">
        <v>433</v>
      </c>
      <c r="E327" s="474"/>
      <c r="F327" s="474"/>
      <c r="G327" s="474"/>
      <c r="H327" s="604"/>
      <c r="I327" s="486" t="s">
        <v>343</v>
      </c>
      <c r="J327" s="586">
        <f>J101</f>
        <v>46112</v>
      </c>
      <c r="K327" s="586">
        <f>K101</f>
        <v>45747</v>
      </c>
    </row>
    <row r="328" spans="1:15" x14ac:dyDescent="0.3">
      <c r="A328" s="3" t="str">
        <f>IF(A327="Print","Print","Do Not Print")</f>
        <v>Do Not Print</v>
      </c>
      <c r="D328" s="2063"/>
      <c r="E328" s="2063"/>
      <c r="F328" s="2063"/>
      <c r="G328" s="2063"/>
      <c r="H328" s="2063"/>
      <c r="I328" s="2063"/>
      <c r="J328" s="661" t="s">
        <v>450</v>
      </c>
      <c r="K328" s="661" t="s">
        <v>450</v>
      </c>
    </row>
    <row r="329" spans="1:15" x14ac:dyDescent="0.3">
      <c r="A329" s="3" t="str">
        <f>IF(AND(J329=0,K329=0),"Do Not Print","Print")</f>
        <v>Do Not Print</v>
      </c>
      <c r="D329" s="2063" t="s">
        <v>530</v>
      </c>
      <c r="E329" s="2063"/>
      <c r="F329" s="2063"/>
      <c r="G329" s="2063"/>
      <c r="H329" s="2063"/>
      <c r="I329" s="602"/>
      <c r="J329" s="600">
        <f>K332</f>
        <v>0</v>
      </c>
      <c r="K329" s="601">
        <f>'Det BS '!K551</f>
        <v>0</v>
      </c>
    </row>
    <row r="330" spans="1:15" x14ac:dyDescent="0.3">
      <c r="A330" s="3" t="str">
        <f>IF(AND(J330=0,K330=0),"Do Not Print","Print")</f>
        <v>Do Not Print</v>
      </c>
      <c r="D330" s="2063" t="s">
        <v>1315</v>
      </c>
      <c r="E330" s="2063"/>
      <c r="F330" s="2063"/>
      <c r="G330" s="2063"/>
      <c r="H330" s="2063"/>
      <c r="I330" s="602"/>
      <c r="J330" s="598">
        <f>'Non TB - Note 25 to end'!H91</f>
        <v>0</v>
      </c>
      <c r="K330" s="598">
        <f>'Non TB - Note 25 to end'!I91</f>
        <v>0</v>
      </c>
      <c r="O330" s="3"/>
    </row>
    <row r="331" spans="1:15" x14ac:dyDescent="0.3">
      <c r="A331" s="3" t="str">
        <f>IF(A330="Print","Print","Do Not Print")</f>
        <v>Do Not Print</v>
      </c>
      <c r="D331" s="2063"/>
      <c r="E331" s="2063"/>
      <c r="F331" s="2063"/>
      <c r="G331" s="2063"/>
      <c r="H331" s="2063"/>
      <c r="I331" s="2063"/>
      <c r="J331" s="2063"/>
      <c r="K331" s="2063"/>
    </row>
    <row r="332" spans="1:15" x14ac:dyDescent="0.3">
      <c r="A332" s="3" t="str">
        <f>IF(AND(J332=0,K332=0),"Do Not Print","Print")</f>
        <v>Do Not Print</v>
      </c>
      <c r="D332" s="474" t="s">
        <v>532</v>
      </c>
      <c r="E332" s="474"/>
      <c r="F332" s="474"/>
      <c r="G332" s="474"/>
      <c r="H332" s="604"/>
      <c r="I332" s="474"/>
      <c r="J332" s="606">
        <f>SUM(J328:J331)</f>
        <v>0</v>
      </c>
      <c r="K332" s="606">
        <f>SUM(K328:K331)</f>
        <v>0</v>
      </c>
    </row>
    <row r="333" spans="1:15" x14ac:dyDescent="0.3">
      <c r="A333" s="3" t="str">
        <f>IF(A332="Print","Print","Do Not Print")</f>
        <v>Do Not Print</v>
      </c>
      <c r="D333" s="1500"/>
      <c r="E333" s="1500"/>
      <c r="F333" s="1500"/>
      <c r="G333" s="1500"/>
      <c r="H333" s="1500"/>
      <c r="I333" s="1500"/>
      <c r="J333" s="1500"/>
      <c r="K333" s="1500"/>
    </row>
    <row r="334" spans="1:15" x14ac:dyDescent="0.3">
      <c r="A334" s="3" t="str">
        <f>IF(AND(A336="Print",A338="Print"),"Print","Do Not Print")</f>
        <v>Do Not Print</v>
      </c>
      <c r="C334" s="585" t="str">
        <f>Checklist!E149</f>
        <v>g</v>
      </c>
      <c r="D334" s="474" t="s">
        <v>434</v>
      </c>
      <c r="E334" s="474"/>
      <c r="F334" s="474"/>
      <c r="G334" s="474"/>
      <c r="H334" s="604"/>
      <c r="I334" s="604"/>
      <c r="J334" s="604"/>
      <c r="K334" s="604"/>
    </row>
    <row r="335" spans="1:15" x14ac:dyDescent="0.3">
      <c r="A335" s="3" t="str">
        <f>IF(A334="Print","Print","Do Not Print")</f>
        <v>Do Not Print</v>
      </c>
      <c r="D335" s="1726"/>
      <c r="E335" s="1726"/>
      <c r="F335" s="1726"/>
      <c r="G335" s="1726"/>
      <c r="H335" s="1726"/>
      <c r="I335" s="1726"/>
      <c r="J335" s="1726"/>
      <c r="K335" s="1726"/>
    </row>
    <row r="336" spans="1:15" ht="58.05" customHeight="1" x14ac:dyDescent="0.3">
      <c r="A336" s="3" t="str">
        <f>IF('Non TB - Note 25 to end'!F92=1,"Print","Do Not Print")</f>
        <v>Print</v>
      </c>
      <c r="D336" s="1512" t="str">
        <f>IF('Non TB - Note 25 to end'!F92=1,'Non TB - Note 25 to end'!H92,"")</f>
        <v>The Accumulated Absences Account absorbs the differences that would otherwise arise on the General Fund balance from accruing for compensated absences earned but not taken in the year e.g. staff annual leave entitlement carried forward at the end of the financial year. Statutory arrangements are expected to require that the impact on the General Fund is neutralised by transfers to or from this Accumulated Absences Account</v>
      </c>
      <c r="E336" s="1512"/>
      <c r="F336" s="1512"/>
      <c r="G336" s="1512"/>
      <c r="H336" s="1512"/>
      <c r="I336" s="1512"/>
      <c r="J336" s="1512"/>
      <c r="K336" s="1512"/>
    </row>
    <row r="337" spans="1:12" x14ac:dyDescent="0.3">
      <c r="A337" s="3" t="str">
        <f>IF(A336="Print","Print","Do Not Print")</f>
        <v>Print</v>
      </c>
      <c r="D337" s="1500"/>
      <c r="E337" s="1500"/>
      <c r="F337" s="1500"/>
      <c r="G337" s="1500"/>
      <c r="H337" s="1500"/>
      <c r="I337" s="1500"/>
      <c r="J337" s="1500"/>
      <c r="K337" s="1500"/>
    </row>
    <row r="338" spans="1:12" x14ac:dyDescent="0.3">
      <c r="A338" s="3" t="str">
        <f>IF(AND(J343=0,K343=0),"Do Not Print","Print")</f>
        <v>Do Not Print</v>
      </c>
      <c r="D338" s="474" t="s">
        <v>434</v>
      </c>
      <c r="E338" s="474"/>
      <c r="F338" s="474"/>
      <c r="G338" s="474"/>
      <c r="H338" s="604"/>
      <c r="I338" s="486" t="s">
        <v>343</v>
      </c>
      <c r="J338" s="586">
        <f>J101</f>
        <v>46112</v>
      </c>
      <c r="K338" s="586">
        <f>K101</f>
        <v>45747</v>
      </c>
    </row>
    <row r="339" spans="1:12" x14ac:dyDescent="0.3">
      <c r="A339" s="3" t="str">
        <f>IF(A338="Print","Print","Do Not Print")</f>
        <v>Do Not Print</v>
      </c>
      <c r="D339" s="2012"/>
      <c r="E339" s="2012"/>
      <c r="F339" s="2012"/>
      <c r="G339" s="2012"/>
      <c r="H339" s="2012"/>
      <c r="I339" s="2012"/>
      <c r="J339" s="648" t="s">
        <v>450</v>
      </c>
      <c r="K339" s="648" t="s">
        <v>450</v>
      </c>
    </row>
    <row r="340" spans="1:12" x14ac:dyDescent="0.3">
      <c r="A340" s="3" t="str">
        <f>IF(AND(K340=0,J340=0),"Do Not Print","Print")</f>
        <v>Do Not Print</v>
      </c>
      <c r="D340" s="2013" t="s">
        <v>530</v>
      </c>
      <c r="E340" s="2013"/>
      <c r="F340" s="2013"/>
      <c r="G340" s="2013"/>
      <c r="H340" s="2013"/>
      <c r="I340" s="610"/>
      <c r="J340" s="601">
        <f>K343</f>
        <v>0</v>
      </c>
      <c r="K340" s="601">
        <f>'Det BS '!K552</f>
        <v>0</v>
      </c>
    </row>
    <row r="341" spans="1:12" ht="42" customHeight="1" x14ac:dyDescent="0.3">
      <c r="A341" s="3" t="str">
        <f>IF(AND(K341=0,J341=0),"Do Not Print","Print")</f>
        <v>Do Not Print</v>
      </c>
      <c r="D341" s="2013" t="s">
        <v>1314</v>
      </c>
      <c r="E341" s="2013"/>
      <c r="F341" s="2013"/>
      <c r="G341" s="2013"/>
      <c r="H341" s="2013"/>
      <c r="I341" s="599"/>
      <c r="J341" s="601">
        <f>-'Notes 3 to 10'!H106</f>
        <v>0</v>
      </c>
      <c r="K341" s="601">
        <f>-'Notes 3 to 10'!J106</f>
        <v>0</v>
      </c>
      <c r="L341" s="3"/>
    </row>
    <row r="342" spans="1:12" x14ac:dyDescent="0.3">
      <c r="A342" s="3" t="str">
        <f>IF(A341="Print","Print","Do Not Print")</f>
        <v>Do Not Print</v>
      </c>
      <c r="D342" s="2012"/>
      <c r="E342" s="2012"/>
      <c r="F342" s="2012"/>
      <c r="G342" s="2012"/>
      <c r="H342" s="2012"/>
      <c r="I342" s="2012"/>
      <c r="J342" s="2012"/>
      <c r="K342" s="2012"/>
    </row>
    <row r="343" spans="1:12" x14ac:dyDescent="0.3">
      <c r="A343" s="3" t="str">
        <f>IF(AND(K343=0,J343=0),"Do Not Print","Print")</f>
        <v>Do Not Print</v>
      </c>
      <c r="D343" s="474" t="s">
        <v>532</v>
      </c>
      <c r="E343" s="474"/>
      <c r="F343" s="474"/>
      <c r="G343" s="474"/>
      <c r="H343" s="604"/>
      <c r="I343" s="474"/>
      <c r="J343" s="606">
        <f>SUM(J340:J342)</f>
        <v>0</v>
      </c>
      <c r="K343" s="606">
        <f>SUM(K340:K342)</f>
        <v>0</v>
      </c>
    </row>
    <row r="344" spans="1:12" x14ac:dyDescent="0.3">
      <c r="A344" s="3" t="str">
        <f>IF(A343="Print","Print","Do Not Print")</f>
        <v>Do Not Print</v>
      </c>
      <c r="D344" s="401"/>
    </row>
    <row r="345" spans="1:12" ht="13.5" customHeight="1" x14ac:dyDescent="0.3">
      <c r="A345" s="3" t="str">
        <f>IF(OR(A347="Print",A349="Print",A351="Print"),"Print","Do Not Print")</f>
        <v>Print</v>
      </c>
      <c r="C345" s="585" t="str">
        <f>Checklist!E150</f>
        <v>h</v>
      </c>
      <c r="D345" s="1793" t="s">
        <v>327</v>
      </c>
      <c r="E345" s="1793"/>
      <c r="F345" s="1793"/>
      <c r="G345" s="1793"/>
      <c r="H345" s="1793"/>
      <c r="I345" s="1793"/>
      <c r="J345" s="1793"/>
      <c r="K345" s="1793"/>
    </row>
    <row r="346" spans="1:12" x14ac:dyDescent="0.3">
      <c r="A346" s="3" t="str">
        <f>IF(A345="Print","Print","Do Not Print")</f>
        <v>Print</v>
      </c>
      <c r="D346" s="1726"/>
      <c r="E346" s="1726"/>
      <c r="F346" s="1726"/>
      <c r="G346" s="1726"/>
      <c r="H346" s="1726"/>
      <c r="I346" s="1726"/>
      <c r="J346" s="1726"/>
      <c r="K346" s="1726"/>
    </row>
    <row r="347" spans="1:12" ht="55.95" customHeight="1" x14ac:dyDescent="0.3">
      <c r="A347" s="3" t="str">
        <f>IF('Non TB - Note 25 to end'!F93=1,"Print","Do Not Print")</f>
        <v>Print</v>
      </c>
      <c r="D347" s="1512" t="str">
        <f>IF('Non TB - Note 25 to end'!F93=1,'Non TB - Note 25 to end'!H93,"")</f>
        <v>The Provisions Discount Rate Reserve covers the arrangement, put in place by the Department under its amendment to the 2018/19 accounts direction (see DfC circular 18/19), to allow for mitigation of the costs not allowed for by Councils who had adopted the HM Treasury Central Government discount rate for long-term provisions such as Landfill costs.</v>
      </c>
      <c r="E347" s="1504"/>
      <c r="F347" s="1504"/>
      <c r="G347" s="1504"/>
      <c r="H347" s="1504"/>
      <c r="I347" s="1504"/>
      <c r="J347" s="1504"/>
      <c r="K347" s="1504"/>
    </row>
    <row r="348" spans="1:12" ht="12.75" customHeight="1" x14ac:dyDescent="0.3">
      <c r="A348" s="3" t="str">
        <f>IF(A347="Print","Print","Do Not Print")</f>
        <v>Print</v>
      </c>
      <c r="D348" s="1513"/>
      <c r="E348" s="1513"/>
      <c r="F348" s="1513"/>
      <c r="G348" s="1513"/>
      <c r="H348" s="1513"/>
      <c r="I348" s="1513"/>
      <c r="J348" s="1513"/>
      <c r="K348" s="1513"/>
    </row>
    <row r="349" spans="1:12" ht="25.5" customHeight="1" x14ac:dyDescent="0.3">
      <c r="A349" s="3" t="str">
        <f>IF('Non TB - Note 25 to end'!F94=1,"Print","Do Not Print")</f>
        <v>Print</v>
      </c>
      <c r="D349" s="1513" t="str">
        <f>IF('Non TB - Note 25 to end'!F94=1,'Non TB - Note 25 to end'!H94,"")</f>
        <v>Subject to agreement with the Department, this arrangement allows a council to spread the cost of the impact of discount rate changes over a period of not more than 6 years.</v>
      </c>
      <c r="E349" s="1501"/>
      <c r="F349" s="1501"/>
      <c r="G349" s="1501"/>
      <c r="H349" s="1501"/>
      <c r="I349" s="1501"/>
      <c r="J349" s="1501"/>
      <c r="K349" s="1501"/>
    </row>
    <row r="350" spans="1:12" x14ac:dyDescent="0.3">
      <c r="A350" s="3" t="str">
        <f>IF(A349="Print","Print","Do Not Print")</f>
        <v>Print</v>
      </c>
      <c r="D350" s="1718"/>
      <c r="E350" s="1718"/>
      <c r="F350" s="1718"/>
      <c r="G350" s="1718"/>
      <c r="H350" s="1718"/>
      <c r="I350" s="1718"/>
      <c r="J350" s="1718"/>
      <c r="K350" s="1718"/>
    </row>
    <row r="351" spans="1:12" x14ac:dyDescent="0.3">
      <c r="A351" s="3" t="str">
        <f>IF(AND(J357=0,K357=0),"Do Not Print","Print")</f>
        <v>Do Not Print</v>
      </c>
      <c r="D351" s="474" t="s">
        <v>327</v>
      </c>
      <c r="E351" s="474"/>
      <c r="F351" s="474"/>
      <c r="G351" s="474"/>
      <c r="H351" s="604"/>
      <c r="I351" s="486" t="s">
        <v>343</v>
      </c>
      <c r="J351" s="586">
        <f>J101</f>
        <v>46112</v>
      </c>
      <c r="K351" s="586">
        <f>K101</f>
        <v>45747</v>
      </c>
    </row>
    <row r="352" spans="1:12" x14ac:dyDescent="0.3">
      <c r="A352" s="3" t="str">
        <f>IF(A351="Print","Print","Do Not Print")</f>
        <v>Do Not Print</v>
      </c>
      <c r="D352" s="2012"/>
      <c r="E352" s="2012"/>
      <c r="F352" s="2012"/>
      <c r="G352" s="2012"/>
      <c r="H352" s="2012"/>
      <c r="I352" s="2012"/>
      <c r="J352" s="648" t="s">
        <v>450</v>
      </c>
      <c r="K352" s="648" t="s">
        <v>450</v>
      </c>
    </row>
    <row r="353" spans="1:11" x14ac:dyDescent="0.3">
      <c r="A353" s="3" t="s">
        <v>448</v>
      </c>
      <c r="D353" s="2013" t="s">
        <v>530</v>
      </c>
      <c r="E353" s="2013"/>
      <c r="F353" s="2013"/>
      <c r="G353" s="2013"/>
      <c r="H353" s="2013"/>
      <c r="I353" s="610"/>
      <c r="J353" s="600">
        <f>K357</f>
        <v>0</v>
      </c>
      <c r="K353" s="601">
        <f>'Det BS '!K554</f>
        <v>0</v>
      </c>
    </row>
    <row r="354" spans="1:11" ht="41.25" customHeight="1" x14ac:dyDescent="0.3">
      <c r="A354" s="3" t="str">
        <f>IF(AND(J354=0,K354=0),"Do Not Print","Print")</f>
        <v>Do Not Print</v>
      </c>
      <c r="D354" s="2013" t="s">
        <v>1314</v>
      </c>
      <c r="E354" s="2013"/>
      <c r="F354" s="2013"/>
      <c r="G354" s="2013"/>
      <c r="H354" s="2013"/>
      <c r="I354" s="599"/>
      <c r="J354" s="600">
        <f>-'Notes 3 to 10'!H109</f>
        <v>0</v>
      </c>
      <c r="K354" s="600">
        <f>-'Notes 3 to 10'!J109</f>
        <v>0</v>
      </c>
    </row>
    <row r="355" spans="1:11" x14ac:dyDescent="0.3">
      <c r="A355" s="3" t="str">
        <f>IF(AND(J355=0,K355=0),"Do Not Print","Print")</f>
        <v>Do Not Print</v>
      </c>
      <c r="D355" s="2012" t="s">
        <v>1315</v>
      </c>
      <c r="E355" s="2012"/>
      <c r="F355" s="2012"/>
      <c r="G355" s="2012"/>
      <c r="H355" s="2012"/>
      <c r="I355" s="610"/>
      <c r="J355" s="600">
        <f>'Non TB - Note 25 to end'!H95</f>
        <v>0</v>
      </c>
      <c r="K355" s="600">
        <f>'Non TB - Note 25 to end'!I95</f>
        <v>0</v>
      </c>
    </row>
    <row r="356" spans="1:11" ht="19.2" customHeight="1" x14ac:dyDescent="0.3">
      <c r="A356" s="3" t="s">
        <v>448</v>
      </c>
      <c r="D356" s="2012"/>
      <c r="E356" s="2012"/>
      <c r="F356" s="2012"/>
      <c r="G356" s="2012"/>
      <c r="H356" s="2012"/>
      <c r="I356" s="2012"/>
      <c r="J356" s="2012"/>
      <c r="K356" s="2012"/>
    </row>
    <row r="357" spans="1:11" ht="18" customHeight="1" x14ac:dyDescent="0.3">
      <c r="A357" s="3" t="str">
        <f>IF(AND(J357=0,K357=0),"Do Not Print","Print")</f>
        <v>Do Not Print</v>
      </c>
      <c r="D357" s="474" t="s">
        <v>532</v>
      </c>
      <c r="E357" s="474"/>
      <c r="F357" s="474"/>
      <c r="G357" s="474"/>
      <c r="H357" s="604"/>
      <c r="I357" s="474"/>
      <c r="J357" s="606">
        <f>SUM(J353:J355)</f>
        <v>0</v>
      </c>
      <c r="K357" s="606">
        <f>SUM(K353:K355)</f>
        <v>0</v>
      </c>
    </row>
    <row r="358" spans="1:11" ht="16.2" customHeight="1" x14ac:dyDescent="0.3">
      <c r="A358" s="3" t="str">
        <f>IF(A357="Print","Print","Do Not Print")</f>
        <v>Do Not Print</v>
      </c>
      <c r="D358" s="1718"/>
      <c r="E358" s="1718"/>
      <c r="F358" s="1718"/>
      <c r="G358" s="1718"/>
      <c r="H358" s="1718"/>
      <c r="I358" s="1718"/>
      <c r="J358" s="1718"/>
      <c r="K358" s="1718"/>
    </row>
    <row r="359" spans="1:11" ht="12.75" customHeight="1" x14ac:dyDescent="0.3">
      <c r="A359" s="3" t="str">
        <f>IF(OR(A361="Print",A363="Print",A365="Print",A367="Print"),"Print","Do Not Print")</f>
        <v>Print</v>
      </c>
      <c r="C359" s="585" t="str">
        <f>Checklist!E151</f>
        <v>i</v>
      </c>
      <c r="D359" s="474" t="s">
        <v>328</v>
      </c>
      <c r="E359" s="474"/>
      <c r="F359" s="474"/>
      <c r="G359" s="474"/>
      <c r="H359" s="604"/>
      <c r="I359" s="604"/>
      <c r="J359" s="604"/>
      <c r="K359" s="604"/>
    </row>
    <row r="360" spans="1:11" ht="12.75" customHeight="1" x14ac:dyDescent="0.3">
      <c r="A360" s="3" t="str">
        <f>IF(A359="Print","Print","Do Not Print")</f>
        <v>Print</v>
      </c>
      <c r="D360" s="2046"/>
      <c r="E360" s="2046"/>
      <c r="F360" s="2046"/>
      <c r="G360" s="2046"/>
      <c r="H360" s="2046"/>
      <c r="I360" s="2046"/>
      <c r="J360" s="2046"/>
      <c r="K360" s="2046"/>
    </row>
    <row r="361" spans="1:11" ht="42" customHeight="1" x14ac:dyDescent="0.3">
      <c r="A361" s="3" t="str">
        <f>IF('Non TB - Note 25 to end'!F96=1,"Print","Do Not Print")</f>
        <v>Print</v>
      </c>
      <c r="D361" s="1512" t="str">
        <f>IF('Non TB - Note 25 to end'!F96=1,'Non TB - Note 25 to end'!H96,"")</f>
        <v>Additional Landfill costs that were not allowed for by councils arose from the amendment of the Landfill Regulations (NI) 2003 by the Landfill (Amendment) Regulations (NI) 2011, affecting all sites that closed after the target transposition date for the Landfill Directive (1999/31/EC).</v>
      </c>
      <c r="E361" s="1512"/>
      <c r="F361" s="1512"/>
      <c r="G361" s="1512"/>
      <c r="H361" s="1512"/>
      <c r="I361" s="1512"/>
      <c r="J361" s="1512"/>
      <c r="K361" s="1512"/>
    </row>
    <row r="362" spans="1:11" ht="12.75" customHeight="1" x14ac:dyDescent="0.3">
      <c r="A362" s="3" t="str">
        <f>IF(A361="Print","Print","Do Not Print")</f>
        <v>Print</v>
      </c>
      <c r="D362" s="1512"/>
      <c r="E362" s="1512"/>
      <c r="F362" s="1512"/>
      <c r="G362" s="1512"/>
      <c r="H362" s="1512"/>
      <c r="I362" s="1512"/>
      <c r="J362" s="1512"/>
      <c r="K362" s="1512"/>
    </row>
    <row r="363" spans="1:11" ht="32.1" customHeight="1" x14ac:dyDescent="0.3">
      <c r="A363" s="3" t="str">
        <f>IF('Non TB - Note 25 to end'!F97=1,"Print","Do Not Print")</f>
        <v>Print</v>
      </c>
      <c r="D363" s="1512" t="str">
        <f>IF('Non TB - Note 25 to end'!F97=1,'Non TB - Note 25 to end'!H97,"")</f>
        <v>The Department for Communities' accounts direction provides an option to spread costs for the affected landfill sites, creating a negative reserve within the financial statements of the particular council.</v>
      </c>
      <c r="E363" s="1512"/>
      <c r="F363" s="1512"/>
      <c r="G363" s="1512"/>
      <c r="H363" s="1512"/>
      <c r="I363" s="1512"/>
      <c r="J363" s="1512"/>
      <c r="K363" s="1512"/>
    </row>
    <row r="364" spans="1:11" ht="12.75" customHeight="1" x14ac:dyDescent="0.3">
      <c r="A364" s="3" t="str">
        <f>IF(A363="Print","Print","Do Not Print")</f>
        <v>Print</v>
      </c>
      <c r="D364" s="1512"/>
      <c r="E364" s="1512"/>
      <c r="F364" s="1512"/>
      <c r="G364" s="1512"/>
      <c r="H364" s="1512"/>
      <c r="I364" s="1512"/>
      <c r="J364" s="1512"/>
      <c r="K364" s="1512"/>
    </row>
    <row r="365" spans="1:11" ht="32.25" customHeight="1" x14ac:dyDescent="0.3">
      <c r="A365" s="3" t="str">
        <f>IF('Non TB - Note 25 to end'!F98=1,"Print","Do Not Print")</f>
        <v>Print</v>
      </c>
      <c r="D365" s="1512" t="str">
        <f>IF('Non TB - Note 25 to end'!F98=1,'Non TB - Note 25 to end'!H98,"")</f>
        <v>The approved costs and period of time are those agreed between the council and the Department's Environment Policy Division in conjunction with the Northern Ireland Environment Agency.</v>
      </c>
      <c r="E365" s="1512"/>
      <c r="F365" s="1512"/>
      <c r="G365" s="1512"/>
      <c r="H365" s="1512"/>
      <c r="I365" s="1512"/>
      <c r="J365" s="1512"/>
      <c r="K365" s="1512"/>
    </row>
    <row r="366" spans="1:11" x14ac:dyDescent="0.3">
      <c r="A366" s="3" t="str">
        <f>IF(A365="Print","Print","Do Not Print")</f>
        <v>Print</v>
      </c>
      <c r="D366" s="1525"/>
      <c r="E366" s="1525"/>
      <c r="F366" s="1525"/>
      <c r="G366" s="1525"/>
      <c r="H366" s="1525"/>
      <c r="I366" s="1525"/>
      <c r="J366" s="1525"/>
      <c r="K366" s="1525"/>
    </row>
    <row r="367" spans="1:11" x14ac:dyDescent="0.3">
      <c r="A367" s="3" t="str">
        <f>IF(AND(J372=0,K372=0),"Do Not Print","Print")</f>
        <v>Do Not Print</v>
      </c>
      <c r="D367" s="474" t="s">
        <v>328</v>
      </c>
      <c r="E367" s="474"/>
      <c r="F367" s="474"/>
      <c r="G367" s="474"/>
      <c r="H367" s="604"/>
      <c r="I367" s="486" t="s">
        <v>343</v>
      </c>
      <c r="J367" s="586">
        <f>J101</f>
        <v>46112</v>
      </c>
      <c r="K367" s="586">
        <f>K101</f>
        <v>45747</v>
      </c>
    </row>
    <row r="368" spans="1:11" x14ac:dyDescent="0.3">
      <c r="A368" s="3" t="str">
        <f>IF(A367="Print","Print","Do Not Print")</f>
        <v>Do Not Print</v>
      </c>
      <c r="D368" s="2012"/>
      <c r="E368" s="2012"/>
      <c r="F368" s="2012"/>
      <c r="G368" s="2012"/>
      <c r="H368" s="2012"/>
      <c r="I368" s="2012"/>
      <c r="J368" s="648" t="s">
        <v>450</v>
      </c>
      <c r="K368" s="648" t="s">
        <v>450</v>
      </c>
    </row>
    <row r="369" spans="1:14" x14ac:dyDescent="0.3">
      <c r="A369" s="3" t="str">
        <f>IF(AND(J369=0,K369=0),"Do Not Print","Print")</f>
        <v>Do Not Print</v>
      </c>
      <c r="D369" s="2013" t="s">
        <v>530</v>
      </c>
      <c r="E369" s="2013"/>
      <c r="F369" s="2013"/>
      <c r="G369" s="2013"/>
      <c r="H369" s="2013"/>
      <c r="I369" s="610"/>
      <c r="J369" s="600">
        <f>K372</f>
        <v>0</v>
      </c>
      <c r="K369" s="601">
        <f>'Det BS '!K553</f>
        <v>0</v>
      </c>
    </row>
    <row r="370" spans="1:14" ht="40.5" customHeight="1" x14ac:dyDescent="0.3">
      <c r="A370" s="3" t="str">
        <f>IF(AND(J370=0,K370=0),"Do Not Print","Print")</f>
        <v>Do Not Print</v>
      </c>
      <c r="D370" s="2013" t="s">
        <v>1314</v>
      </c>
      <c r="E370" s="2013"/>
      <c r="F370" s="2013"/>
      <c r="G370" s="2013"/>
      <c r="H370" s="2013"/>
      <c r="I370" s="599"/>
      <c r="J370" s="600">
        <f>-'Notes 3 to 10'!H108</f>
        <v>0</v>
      </c>
      <c r="K370" s="600">
        <f>-'Notes 3 to 10'!J108</f>
        <v>0</v>
      </c>
    </row>
    <row r="371" spans="1:14" x14ac:dyDescent="0.3">
      <c r="A371" s="3" t="str">
        <f>IF(A370="Print","Print","Do Not Print")</f>
        <v>Do Not Print</v>
      </c>
      <c r="D371" s="2047"/>
      <c r="E371" s="2047"/>
      <c r="F371" s="2047"/>
      <c r="G371" s="2047"/>
      <c r="H371" s="2047"/>
      <c r="I371" s="2047"/>
      <c r="J371" s="2047"/>
      <c r="K371" s="2047"/>
    </row>
    <row r="372" spans="1:14" x14ac:dyDescent="0.3">
      <c r="A372" s="3" t="str">
        <f>IF(AND(J372=0,K372=0),"Do Not Print","Print")</f>
        <v>Do Not Print</v>
      </c>
      <c r="D372" s="474" t="s">
        <v>532</v>
      </c>
      <c r="E372" s="474"/>
      <c r="F372" s="474"/>
      <c r="G372" s="474"/>
      <c r="H372" s="604"/>
      <c r="I372" s="474"/>
      <c r="J372" s="606">
        <f>SUM(J369:J370)</f>
        <v>0</v>
      </c>
      <c r="K372" s="606">
        <f>SUM(K369:K370)</f>
        <v>0</v>
      </c>
    </row>
    <row r="373" spans="1:14" s="3" customFormat="1" x14ac:dyDescent="0.3">
      <c r="A373" s="3" t="str">
        <f>IF(A372="Print","Print","Do Not Print")</f>
        <v>Do Not Print</v>
      </c>
      <c r="B373" s="404"/>
      <c r="C373" s="404"/>
      <c r="D373" s="1538"/>
      <c r="E373" s="1538"/>
      <c r="F373" s="1538"/>
      <c r="G373" s="1538"/>
      <c r="H373" s="1538"/>
      <c r="I373" s="1538"/>
      <c r="J373" s="1538"/>
      <c r="K373" s="1538"/>
      <c r="L373" s="23"/>
      <c r="M373" s="23"/>
      <c r="N373" s="23"/>
    </row>
    <row r="374" spans="1:14" s="3" customFormat="1" x14ac:dyDescent="0.3">
      <c r="A374" s="3" t="str">
        <f>IF(A376="Print","Print","Do Not Print")</f>
        <v>Print</v>
      </c>
      <c r="B374" s="585">
        <f>Checklist!E152</f>
        <v>28</v>
      </c>
      <c r="C374" s="585"/>
      <c r="D374" s="474" t="s">
        <v>2695</v>
      </c>
      <c r="E374" s="474"/>
      <c r="F374" s="474"/>
      <c r="G374" s="474"/>
      <c r="H374" s="604"/>
      <c r="I374" s="604"/>
      <c r="J374" s="604"/>
      <c r="K374" s="604"/>
      <c r="L374" s="23"/>
      <c r="M374" s="23"/>
      <c r="N374" s="23"/>
    </row>
    <row r="375" spans="1:14" s="3" customFormat="1" x14ac:dyDescent="0.3">
      <c r="A375" s="3" t="str">
        <f>IF(A374="Print","Print","Do Not Print")</f>
        <v>Print</v>
      </c>
      <c r="B375" s="404"/>
      <c r="C375" s="404"/>
      <c r="D375" s="1538"/>
      <c r="E375" s="1538"/>
      <c r="F375" s="1538"/>
      <c r="G375" s="1538"/>
      <c r="H375" s="1538"/>
      <c r="I375" s="1538"/>
      <c r="J375" s="1538"/>
      <c r="K375" s="1538"/>
      <c r="L375" s="23"/>
      <c r="M375" s="23"/>
      <c r="N375" s="23"/>
    </row>
    <row r="376" spans="1:14" s="3" customFormat="1" x14ac:dyDescent="0.3">
      <c r="A376" s="3" t="str">
        <f>IF('Non TB - Note 25 to end'!F99=1,"Print","Do Not Print")</f>
        <v>Print</v>
      </c>
      <c r="B376" s="404"/>
      <c r="C376" s="404"/>
      <c r="D376" s="1500" t="str">
        <f>IF('Non TB - Note 25 to end'!F99=1,'Non TB - Note 25 to end'!H99,"")</f>
        <v>The following tables shows the impact of adopting IFRS 15 on the Council's accounts for the year</v>
      </c>
      <c r="E376" s="1500"/>
      <c r="F376" s="1500"/>
      <c r="G376" s="1500"/>
      <c r="H376" s="1500"/>
      <c r="I376" s="1500"/>
      <c r="J376" s="1500"/>
      <c r="K376" s="1500"/>
      <c r="L376" s="23"/>
      <c r="M376" s="23"/>
      <c r="N376" s="23"/>
    </row>
    <row r="377" spans="1:14" s="3" customFormat="1" x14ac:dyDescent="0.3">
      <c r="A377" s="3" t="str">
        <f>IF(A376="Print","Print","Do Not Print")</f>
        <v>Print</v>
      </c>
      <c r="B377" s="404"/>
      <c r="C377" s="404"/>
      <c r="D377" s="1538"/>
      <c r="E377" s="1538"/>
      <c r="F377" s="1538"/>
      <c r="G377" s="1538"/>
      <c r="H377" s="1538"/>
      <c r="I377" s="1538"/>
      <c r="J377" s="1538"/>
      <c r="K377" s="1538"/>
      <c r="L377" s="23"/>
      <c r="M377" s="23"/>
      <c r="N377" s="23"/>
    </row>
    <row r="378" spans="1:14" s="3" customFormat="1" x14ac:dyDescent="0.3">
      <c r="B378" s="404"/>
      <c r="C378" s="404"/>
      <c r="D378" s="474" t="s">
        <v>3006</v>
      </c>
      <c r="E378" s="474"/>
      <c r="F378" s="474"/>
      <c r="G378" s="474"/>
      <c r="H378" s="604"/>
      <c r="I378" s="486"/>
      <c r="J378" s="586"/>
      <c r="K378" s="586"/>
      <c r="L378" s="23"/>
      <c r="M378" s="23"/>
      <c r="N378" s="23"/>
    </row>
    <row r="379" spans="1:14" s="3" customFormat="1" x14ac:dyDescent="0.3">
      <c r="B379" s="404"/>
      <c r="C379" s="404"/>
      <c r="D379" s="474"/>
      <c r="E379" s="474"/>
      <c r="F379" s="474"/>
      <c r="G379" s="474"/>
      <c r="H379" s="604"/>
      <c r="I379" s="1763" t="s">
        <v>2697</v>
      </c>
      <c r="J379" s="1763"/>
      <c r="K379" s="1763"/>
      <c r="L379" s="23"/>
      <c r="M379" s="23"/>
      <c r="N379" s="23"/>
    </row>
    <row r="380" spans="1:14" s="3" customFormat="1" ht="51.6" x14ac:dyDescent="0.3">
      <c r="B380" s="404"/>
      <c r="C380" s="404"/>
      <c r="D380" s="474"/>
      <c r="E380" s="474"/>
      <c r="F380" s="474"/>
      <c r="G380" s="474"/>
      <c r="H380" s="604"/>
      <c r="I380" s="948" t="s">
        <v>3031</v>
      </c>
      <c r="J380" s="717" t="s">
        <v>2250</v>
      </c>
      <c r="K380" s="1229" t="s">
        <v>2725</v>
      </c>
      <c r="L380" s="23"/>
      <c r="M380" s="23"/>
      <c r="N380" s="23"/>
    </row>
    <row r="381" spans="1:14" s="3" customFormat="1" x14ac:dyDescent="0.3">
      <c r="B381" s="404"/>
      <c r="C381" s="404"/>
      <c r="D381" s="1500" t="s">
        <v>2726</v>
      </c>
      <c r="E381" s="1500"/>
      <c r="F381" s="1500"/>
      <c r="G381" s="1500"/>
      <c r="H381" s="1500"/>
      <c r="I381" s="525">
        <f>'Non TB - Note 25 to end'!H100</f>
        <v>0</v>
      </c>
      <c r="J381" s="525">
        <f>'Non TB - Note 25 to end'!H101</f>
        <v>0</v>
      </c>
      <c r="K381" s="525">
        <f>I381+J381</f>
        <v>0</v>
      </c>
      <c r="L381" s="23"/>
      <c r="M381" s="23"/>
      <c r="N381" s="23"/>
    </row>
    <row r="382" spans="1:14" s="3" customFormat="1" x14ac:dyDescent="0.3">
      <c r="B382" s="404"/>
      <c r="C382" s="404"/>
      <c r="D382" s="1500" t="s">
        <v>2727</v>
      </c>
      <c r="E382" s="1500"/>
      <c r="F382" s="1500"/>
      <c r="G382" s="1500"/>
      <c r="H382" s="1500"/>
      <c r="I382" s="525">
        <f>'Non TB - Note 25 to end'!H102</f>
        <v>0</v>
      </c>
      <c r="J382" s="525">
        <f>'Non TB - Note 25 to end'!H103</f>
        <v>0</v>
      </c>
      <c r="K382" s="525">
        <f>I382+J382</f>
        <v>0</v>
      </c>
      <c r="L382" s="23"/>
      <c r="M382" s="23"/>
      <c r="N382" s="23"/>
    </row>
    <row r="383" spans="1:14" s="3" customFormat="1" x14ac:dyDescent="0.3">
      <c r="B383" s="404"/>
      <c r="C383" s="404"/>
      <c r="D383" s="1500" t="s">
        <v>2728</v>
      </c>
      <c r="E383" s="1500"/>
      <c r="F383" s="1500"/>
      <c r="G383" s="1500"/>
      <c r="H383" s="1500"/>
      <c r="I383" s="525">
        <f>I381-I382</f>
        <v>0</v>
      </c>
      <c r="J383" s="525">
        <f t="shared" ref="J383:K383" si="6">J381-J382</f>
        <v>0</v>
      </c>
      <c r="K383" s="525">
        <f t="shared" si="6"/>
        <v>0</v>
      </c>
      <c r="L383" s="23"/>
      <c r="M383" s="23"/>
      <c r="N383" s="23"/>
    </row>
    <row r="384" spans="1:14" s="3" customFormat="1" x14ac:dyDescent="0.3">
      <c r="B384" s="404"/>
      <c r="C384" s="404"/>
      <c r="D384" s="1500" t="s">
        <v>2729</v>
      </c>
      <c r="E384" s="1500"/>
      <c r="F384" s="1500"/>
      <c r="G384" s="1500"/>
      <c r="H384" s="1500"/>
      <c r="I384" s="525">
        <f>Prime!F50</f>
        <v>0</v>
      </c>
      <c r="J384" s="525">
        <f>'Non TB - Note 25 to end'!H104</f>
        <v>0</v>
      </c>
      <c r="K384" s="525">
        <f>I384+J384</f>
        <v>0</v>
      </c>
      <c r="L384" s="23"/>
      <c r="M384" s="23"/>
      <c r="N384" s="23"/>
    </row>
    <row r="385" spans="2:14" s="3" customFormat="1" x14ac:dyDescent="0.3">
      <c r="B385" s="404"/>
      <c r="C385" s="404"/>
      <c r="D385" s="1500" t="s">
        <v>2730</v>
      </c>
      <c r="E385" s="1500"/>
      <c r="F385" s="1500"/>
      <c r="G385" s="1500"/>
      <c r="H385" s="1500"/>
      <c r="I385" s="525">
        <f>Prime!F52</f>
        <v>0</v>
      </c>
      <c r="J385" s="525">
        <f>'Non TB - Note 25 to end'!H105</f>
        <v>0</v>
      </c>
      <c r="K385" s="525">
        <f t="shared" ref="K385:K390" si="7">I385+J385</f>
        <v>0</v>
      </c>
      <c r="L385" s="23"/>
      <c r="M385" s="23"/>
      <c r="N385" s="23"/>
    </row>
    <row r="386" spans="2:14" s="3" customFormat="1" x14ac:dyDescent="0.3">
      <c r="B386" s="404"/>
      <c r="C386" s="404"/>
      <c r="D386" s="1500" t="s">
        <v>2731</v>
      </c>
      <c r="E386" s="1500"/>
      <c r="F386" s="1500"/>
      <c r="G386" s="1500"/>
      <c r="H386" s="1500"/>
      <c r="I386" s="525">
        <f>Prime!F54</f>
        <v>0</v>
      </c>
      <c r="J386" s="525">
        <f>'Non TB - Note 25 to end'!H106</f>
        <v>0</v>
      </c>
      <c r="K386" s="525">
        <f t="shared" si="7"/>
        <v>0</v>
      </c>
      <c r="L386" s="23"/>
      <c r="M386" s="23"/>
      <c r="N386" s="23"/>
    </row>
    <row r="387" spans="2:14" s="3" customFormat="1" x14ac:dyDescent="0.3">
      <c r="B387" s="404"/>
      <c r="C387" s="404"/>
      <c r="D387" s="1500" t="s">
        <v>2732</v>
      </c>
      <c r="E387" s="1500"/>
      <c r="F387" s="1500"/>
      <c r="G387" s="1500"/>
      <c r="H387" s="1500"/>
      <c r="I387" s="525">
        <f>Prime!F60</f>
        <v>0</v>
      </c>
      <c r="J387" s="525">
        <f>'Non TB - Note 25 to end'!H107</f>
        <v>0</v>
      </c>
      <c r="K387" s="525">
        <f t="shared" si="7"/>
        <v>0</v>
      </c>
      <c r="L387" s="23"/>
      <c r="M387" s="23"/>
      <c r="N387" s="23"/>
    </row>
    <row r="388" spans="2:14" s="3" customFormat="1" x14ac:dyDescent="0.3">
      <c r="B388" s="404"/>
      <c r="C388" s="404"/>
      <c r="D388" s="1500" t="s">
        <v>2733</v>
      </c>
      <c r="E388" s="1500"/>
      <c r="F388" s="1500"/>
      <c r="G388" s="1500"/>
      <c r="H388" s="1500"/>
      <c r="I388" s="525">
        <f>Prime!F62</f>
        <v>0</v>
      </c>
      <c r="J388" s="525">
        <f>SUM(J383:J387)</f>
        <v>0</v>
      </c>
      <c r="K388" s="525">
        <f t="shared" si="7"/>
        <v>0</v>
      </c>
      <c r="L388" s="23"/>
      <c r="M388" s="23"/>
      <c r="N388" s="23"/>
    </row>
    <row r="389" spans="2:14" s="3" customFormat="1" x14ac:dyDescent="0.3">
      <c r="B389" s="404"/>
      <c r="C389" s="404"/>
      <c r="D389" s="1500" t="s">
        <v>559</v>
      </c>
      <c r="E389" s="1500"/>
      <c r="F389" s="1500"/>
      <c r="G389" s="1500"/>
      <c r="H389" s="1500"/>
      <c r="I389" s="525">
        <f>Prime!F74</f>
        <v>0</v>
      </c>
      <c r="J389" s="525">
        <f>'Non TB - Note 25 to end'!H108</f>
        <v>0</v>
      </c>
      <c r="K389" s="525">
        <f t="shared" si="7"/>
        <v>0</v>
      </c>
      <c r="L389" s="23"/>
      <c r="M389" s="23"/>
      <c r="N389" s="23"/>
    </row>
    <row r="390" spans="2:14" s="6" customFormat="1" x14ac:dyDescent="0.3">
      <c r="B390" s="404"/>
      <c r="C390" s="404"/>
      <c r="D390" s="1538" t="s">
        <v>560</v>
      </c>
      <c r="E390" s="1538"/>
      <c r="F390" s="1538"/>
      <c r="G390" s="1538"/>
      <c r="H390" s="1538"/>
      <c r="I390" s="1230">
        <f>Prime!F76</f>
        <v>0</v>
      </c>
      <c r="J390" s="1230">
        <f>J388+J389</f>
        <v>0</v>
      </c>
      <c r="K390" s="1230">
        <f t="shared" si="7"/>
        <v>0</v>
      </c>
    </row>
    <row r="391" spans="2:14" s="3" customFormat="1" x14ac:dyDescent="0.3">
      <c r="B391" s="404"/>
      <c r="C391" s="404"/>
      <c r="D391" s="405"/>
      <c r="E391" s="405"/>
      <c r="F391" s="405"/>
      <c r="G391" s="405"/>
      <c r="H391" s="405"/>
      <c r="I391" s="1230"/>
      <c r="J391" s="1230"/>
      <c r="K391" s="1230"/>
      <c r="L391" s="23"/>
      <c r="M391" s="23"/>
      <c r="N391" s="23"/>
    </row>
    <row r="392" spans="2:14" s="3" customFormat="1" x14ac:dyDescent="0.3">
      <c r="B392" s="404"/>
      <c r="C392" s="404"/>
      <c r="D392" s="474" t="s">
        <v>3032</v>
      </c>
      <c r="E392" s="474"/>
      <c r="F392" s="474"/>
      <c r="G392" s="474"/>
      <c r="H392" s="604"/>
      <c r="I392" s="486"/>
      <c r="J392" s="586"/>
      <c r="K392" s="586"/>
      <c r="L392" s="23"/>
      <c r="M392" s="23"/>
      <c r="N392" s="23"/>
    </row>
    <row r="393" spans="2:14" s="3" customFormat="1" x14ac:dyDescent="0.3">
      <c r="B393" s="404"/>
      <c r="C393" s="404"/>
      <c r="D393" s="474"/>
      <c r="E393" s="474"/>
      <c r="F393" s="474"/>
      <c r="G393" s="474"/>
      <c r="H393" s="604"/>
      <c r="I393" s="1763" t="s">
        <v>2697</v>
      </c>
      <c r="J393" s="1763"/>
      <c r="K393" s="1763"/>
      <c r="L393" s="23"/>
      <c r="M393" s="23"/>
      <c r="N393" s="23"/>
    </row>
    <row r="394" spans="2:14" s="3" customFormat="1" ht="51.6" x14ac:dyDescent="0.3">
      <c r="B394" s="404"/>
      <c r="C394" s="404"/>
      <c r="D394" s="474"/>
      <c r="E394" s="474"/>
      <c r="F394" s="474"/>
      <c r="G394" s="474"/>
      <c r="H394" s="604"/>
      <c r="I394" s="948" t="s">
        <v>3031</v>
      </c>
      <c r="J394" s="717" t="s">
        <v>2250</v>
      </c>
      <c r="K394" s="1229" t="s">
        <v>2725</v>
      </c>
      <c r="L394" s="23"/>
      <c r="M394" s="23"/>
      <c r="N394" s="23"/>
    </row>
    <row r="395" spans="2:14" s="3" customFormat="1" x14ac:dyDescent="0.3">
      <c r="B395" s="404"/>
      <c r="C395" s="404"/>
      <c r="D395" s="1500" t="s">
        <v>560</v>
      </c>
      <c r="E395" s="1500"/>
      <c r="F395" s="1500"/>
      <c r="G395" s="1500"/>
      <c r="H395" s="1500"/>
      <c r="I395" s="525">
        <f>I390</f>
        <v>0</v>
      </c>
      <c r="J395" s="525">
        <f t="shared" ref="J395:K395" si="8">J390</f>
        <v>0</v>
      </c>
      <c r="K395" s="525">
        <f t="shared" si="8"/>
        <v>0</v>
      </c>
      <c r="L395" s="23"/>
      <c r="M395" s="23"/>
      <c r="N395" s="23"/>
    </row>
    <row r="396" spans="2:14" s="3" customFormat="1" ht="39" customHeight="1" x14ac:dyDescent="0.3">
      <c r="B396" s="404"/>
      <c r="C396" s="404"/>
      <c r="D396" s="1504" t="s">
        <v>2734</v>
      </c>
      <c r="E396" s="1504"/>
      <c r="F396" s="1504"/>
      <c r="G396" s="1504"/>
      <c r="H396" s="1504"/>
      <c r="I396" s="525">
        <f>Prime!I101</f>
        <v>0</v>
      </c>
      <c r="J396" s="525">
        <f>'Non TB - Note 25 to end'!H109</f>
        <v>0</v>
      </c>
      <c r="K396" s="525">
        <f>I396+J396</f>
        <v>0</v>
      </c>
      <c r="L396" s="23"/>
      <c r="M396" s="23"/>
      <c r="N396" s="23"/>
    </row>
    <row r="397" spans="2:14" s="3" customFormat="1" x14ac:dyDescent="0.3">
      <c r="B397" s="404"/>
      <c r="C397" s="404"/>
      <c r="D397" s="1500" t="s">
        <v>3033</v>
      </c>
      <c r="E397" s="1500"/>
      <c r="F397" s="1500"/>
      <c r="G397" s="1500"/>
      <c r="H397" s="1500"/>
      <c r="I397" s="525">
        <f>Prime!I104</f>
        <v>0</v>
      </c>
      <c r="J397" s="525">
        <f>J395+J396</f>
        <v>0</v>
      </c>
      <c r="K397" s="525">
        <f t="shared" ref="K397:K398" si="9">I397+J397</f>
        <v>0</v>
      </c>
      <c r="L397" s="23"/>
      <c r="M397" s="23"/>
      <c r="N397" s="23"/>
    </row>
    <row r="398" spans="2:14" s="3" customFormat="1" x14ac:dyDescent="0.3">
      <c r="B398" s="404"/>
      <c r="C398" s="404"/>
      <c r="D398" s="1538" t="s">
        <v>3020</v>
      </c>
      <c r="E398" s="1538"/>
      <c r="F398" s="1538"/>
      <c r="G398" s="1538"/>
      <c r="H398" s="1538"/>
      <c r="I398" s="1230">
        <f>Prime!I106</f>
        <v>0</v>
      </c>
      <c r="J398" s="1230">
        <f>J397</f>
        <v>0</v>
      </c>
      <c r="K398" s="1230">
        <f t="shared" si="9"/>
        <v>0</v>
      </c>
      <c r="L398" s="23"/>
      <c r="M398" s="23"/>
      <c r="N398" s="23"/>
    </row>
    <row r="399" spans="2:14" s="3" customFormat="1" x14ac:dyDescent="0.3">
      <c r="B399" s="404"/>
      <c r="C399" s="404"/>
      <c r="D399" s="401"/>
      <c r="E399" s="401"/>
      <c r="F399" s="401"/>
      <c r="G399" s="401"/>
      <c r="H399" s="401"/>
      <c r="I399" s="525"/>
      <c r="J399" s="525"/>
      <c r="K399" s="525"/>
      <c r="L399" s="23"/>
      <c r="M399" s="23"/>
      <c r="N399" s="23"/>
    </row>
    <row r="400" spans="2:14" s="3" customFormat="1" x14ac:dyDescent="0.3">
      <c r="B400" s="404"/>
      <c r="C400" s="404"/>
      <c r="D400" s="474" t="s">
        <v>3007</v>
      </c>
      <c r="E400" s="474"/>
      <c r="F400" s="474"/>
      <c r="G400" s="474"/>
      <c r="H400" s="604"/>
      <c r="I400" s="486"/>
      <c r="J400" s="586"/>
      <c r="K400" s="586"/>
      <c r="L400" s="23"/>
      <c r="M400" s="23"/>
      <c r="N400" s="23"/>
    </row>
    <row r="401" spans="2:14" s="3" customFormat="1" x14ac:dyDescent="0.3">
      <c r="B401" s="404"/>
      <c r="C401" s="404"/>
      <c r="D401" s="474"/>
      <c r="E401" s="474"/>
      <c r="F401" s="474"/>
      <c r="G401" s="474"/>
      <c r="H401" s="604"/>
      <c r="I401" s="1763" t="s">
        <v>2697</v>
      </c>
      <c r="J401" s="1763"/>
      <c r="K401" s="1763"/>
      <c r="L401" s="23"/>
      <c r="M401" s="23"/>
      <c r="N401" s="23"/>
    </row>
    <row r="402" spans="2:14" s="3" customFormat="1" ht="51.6" x14ac:dyDescent="0.3">
      <c r="B402" s="404"/>
      <c r="C402" s="404"/>
      <c r="D402" s="474"/>
      <c r="E402" s="474"/>
      <c r="F402" s="474"/>
      <c r="G402" s="474"/>
      <c r="H402" s="604"/>
      <c r="I402" s="948" t="s">
        <v>3031</v>
      </c>
      <c r="J402" s="717" t="s">
        <v>2250</v>
      </c>
      <c r="K402" s="1229" t="s">
        <v>2725</v>
      </c>
      <c r="L402" s="23"/>
      <c r="M402" s="23"/>
      <c r="N402" s="23"/>
    </row>
    <row r="403" spans="2:14" s="3" customFormat="1" x14ac:dyDescent="0.3">
      <c r="B403" s="404"/>
      <c r="C403" s="404"/>
      <c r="D403" s="1500" t="s">
        <v>2735</v>
      </c>
      <c r="E403" s="1500"/>
      <c r="F403" s="1500"/>
      <c r="G403" s="1500"/>
      <c r="H403" s="1500"/>
      <c r="I403" s="525">
        <f>Prime!G123</f>
        <v>0</v>
      </c>
      <c r="J403" s="525">
        <f>'Non TB - Note 25 to end'!H110</f>
        <v>0</v>
      </c>
      <c r="K403" s="525">
        <f>I403+J403</f>
        <v>0</v>
      </c>
      <c r="L403" s="23"/>
      <c r="M403" s="23"/>
      <c r="N403" s="23"/>
    </row>
    <row r="404" spans="2:14" s="3" customFormat="1" x14ac:dyDescent="0.3">
      <c r="B404" s="404"/>
      <c r="C404" s="404"/>
      <c r="D404" s="1500" t="s">
        <v>2736</v>
      </c>
      <c r="E404" s="1500"/>
      <c r="F404" s="1500"/>
      <c r="G404" s="1500"/>
      <c r="H404" s="1500"/>
      <c r="I404" s="525">
        <f>Prime!G131</f>
        <v>0</v>
      </c>
      <c r="J404" s="525">
        <f>'Non TB - Note 25 to end'!H111</f>
        <v>0</v>
      </c>
      <c r="K404" s="525">
        <f t="shared" ref="K404:K417" si="10">I404+J404</f>
        <v>0</v>
      </c>
      <c r="L404" s="23"/>
      <c r="M404" s="23"/>
      <c r="N404" s="23"/>
    </row>
    <row r="405" spans="2:14" s="3" customFormat="1" x14ac:dyDescent="0.3">
      <c r="B405" s="404"/>
      <c r="C405" s="404"/>
      <c r="D405" s="1500" t="s">
        <v>2737</v>
      </c>
      <c r="E405" s="1500"/>
      <c r="F405" s="1500"/>
      <c r="G405" s="1500"/>
      <c r="H405" s="1500"/>
      <c r="I405" s="525">
        <f>'Notes 11c to 24'!I482</f>
        <v>0</v>
      </c>
      <c r="J405" s="525">
        <f>'Non TB - Note 25 to end'!H112</f>
        <v>0</v>
      </c>
      <c r="K405" s="525">
        <f t="shared" si="10"/>
        <v>0</v>
      </c>
      <c r="L405" s="23"/>
      <c r="M405" s="23"/>
      <c r="N405" s="23"/>
    </row>
    <row r="406" spans="2:14" s="3" customFormat="1" x14ac:dyDescent="0.3">
      <c r="B406" s="404"/>
      <c r="C406" s="404"/>
      <c r="D406" s="1500" t="s">
        <v>2738</v>
      </c>
      <c r="E406" s="1500"/>
      <c r="F406" s="1500"/>
      <c r="G406" s="1500"/>
      <c r="H406" s="1500"/>
      <c r="I406" s="525">
        <f>Prime!G130</f>
        <v>0</v>
      </c>
      <c r="J406" s="525">
        <f>'Non TB - Note 25 to end'!H113</f>
        <v>0</v>
      </c>
      <c r="K406" s="525">
        <f t="shared" si="10"/>
        <v>0</v>
      </c>
      <c r="L406" s="23"/>
      <c r="M406" s="23"/>
      <c r="N406" s="23"/>
    </row>
    <row r="407" spans="2:14" s="3" customFormat="1" x14ac:dyDescent="0.3">
      <c r="B407" s="404"/>
      <c r="C407" s="404"/>
      <c r="D407" s="1500" t="s">
        <v>373</v>
      </c>
      <c r="E407" s="1500"/>
      <c r="F407" s="1500"/>
      <c r="G407" s="1500"/>
      <c r="H407" s="1500"/>
      <c r="I407" s="1117">
        <f>'Non TB - Note 25 to end'!H114</f>
        <v>0</v>
      </c>
      <c r="J407" s="1117">
        <f>'Non TB - Note 25 to end'!H115</f>
        <v>0</v>
      </c>
      <c r="K407" s="1117">
        <f t="shared" si="10"/>
        <v>0</v>
      </c>
      <c r="L407" s="23"/>
      <c r="M407" s="23"/>
      <c r="N407" s="23"/>
    </row>
    <row r="408" spans="2:14" s="3" customFormat="1" x14ac:dyDescent="0.3">
      <c r="B408" s="404"/>
      <c r="C408" s="404"/>
      <c r="D408" s="1500" t="s">
        <v>1645</v>
      </c>
      <c r="E408" s="1500"/>
      <c r="F408" s="1500"/>
      <c r="G408" s="1500"/>
      <c r="H408" s="1500"/>
      <c r="I408" s="525">
        <f>SUM(I404:I407)</f>
        <v>0</v>
      </c>
      <c r="J408" s="525">
        <f>SUM(J404:J407)</f>
        <v>0</v>
      </c>
      <c r="K408" s="525">
        <f t="shared" si="10"/>
        <v>0</v>
      </c>
      <c r="L408" s="23"/>
      <c r="M408" s="23"/>
      <c r="N408" s="23"/>
    </row>
    <row r="409" spans="2:14" s="3" customFormat="1" x14ac:dyDescent="0.3">
      <c r="B409" s="404"/>
      <c r="C409" s="404"/>
      <c r="D409" s="1500" t="s">
        <v>2739</v>
      </c>
      <c r="E409" s="1500"/>
      <c r="F409" s="1500"/>
      <c r="G409" s="1500"/>
      <c r="H409" s="1500"/>
      <c r="I409" s="525">
        <f>'Notes 11c to 24'!I568</f>
        <v>0</v>
      </c>
      <c r="J409" s="525">
        <f>'Non TB - Note 25 to end'!H116</f>
        <v>0</v>
      </c>
      <c r="K409" s="525">
        <f t="shared" si="10"/>
        <v>0</v>
      </c>
      <c r="L409" s="23"/>
      <c r="M409" s="23"/>
      <c r="N409" s="23"/>
    </row>
    <row r="410" spans="2:14" s="3" customFormat="1" x14ac:dyDescent="0.3">
      <c r="B410" s="404"/>
      <c r="C410" s="404"/>
      <c r="D410" s="1500" t="s">
        <v>2364</v>
      </c>
      <c r="E410" s="1500"/>
      <c r="F410" s="1500"/>
      <c r="G410" s="1500"/>
      <c r="H410" s="1500"/>
      <c r="I410" s="525">
        <f>Prime!G139</f>
        <v>0</v>
      </c>
      <c r="J410" s="525">
        <f>'Non TB - Note 25 to end'!H117</f>
        <v>0</v>
      </c>
      <c r="K410" s="525">
        <f t="shared" si="10"/>
        <v>0</v>
      </c>
      <c r="L410" s="23"/>
      <c r="M410" s="23"/>
      <c r="N410" s="23"/>
    </row>
    <row r="411" spans="2:14" s="3" customFormat="1" x14ac:dyDescent="0.3">
      <c r="B411" s="404"/>
      <c r="C411" s="404"/>
      <c r="D411" s="1500" t="s">
        <v>373</v>
      </c>
      <c r="E411" s="1500"/>
      <c r="F411" s="1500"/>
      <c r="G411" s="1500"/>
      <c r="H411" s="1500"/>
      <c r="I411" s="1117">
        <f>'Non TB - Note 25 to end'!H118</f>
        <v>0</v>
      </c>
      <c r="J411" s="525">
        <f>'Non TB - Note 25 to end'!H119</f>
        <v>0</v>
      </c>
      <c r="K411" s="1117">
        <f t="shared" si="10"/>
        <v>0</v>
      </c>
      <c r="L411" s="23"/>
      <c r="M411" s="23"/>
      <c r="N411" s="23"/>
    </row>
    <row r="412" spans="2:14" s="3" customFormat="1" x14ac:dyDescent="0.3">
      <c r="B412" s="404"/>
      <c r="C412" s="404"/>
      <c r="D412" s="1500" t="s">
        <v>75</v>
      </c>
      <c r="E412" s="1500"/>
      <c r="F412" s="1500"/>
      <c r="G412" s="1500"/>
      <c r="H412" s="1500"/>
      <c r="I412" s="525">
        <f>Prime!G141</f>
        <v>0</v>
      </c>
      <c r="J412" s="525">
        <f>SUM(J409:J411)</f>
        <v>0</v>
      </c>
      <c r="K412" s="525">
        <f t="shared" si="10"/>
        <v>0</v>
      </c>
      <c r="L412" s="23"/>
      <c r="M412" s="23"/>
      <c r="N412" s="23"/>
    </row>
    <row r="413" spans="2:14" s="3" customFormat="1" x14ac:dyDescent="0.3">
      <c r="B413" s="404"/>
      <c r="C413" s="404"/>
      <c r="D413" s="1500" t="s">
        <v>2740</v>
      </c>
      <c r="E413" s="1500"/>
      <c r="F413" s="1500"/>
      <c r="G413" s="1500"/>
      <c r="H413" s="1500"/>
      <c r="I413" s="1117">
        <f>Prime!G151</f>
        <v>0</v>
      </c>
      <c r="J413" s="1117">
        <f>'Non TB - Note 25 to end'!H120</f>
        <v>0</v>
      </c>
      <c r="K413" s="1117">
        <f t="shared" si="10"/>
        <v>0</v>
      </c>
      <c r="L413" s="23"/>
      <c r="M413" s="23"/>
      <c r="N413" s="23"/>
    </row>
    <row r="414" spans="2:14" s="3" customFormat="1" x14ac:dyDescent="0.3">
      <c r="B414" s="404"/>
      <c r="C414" s="404"/>
      <c r="D414" s="1500" t="s">
        <v>1646</v>
      </c>
      <c r="E414" s="1500"/>
      <c r="F414" s="1500"/>
      <c r="G414" s="1500"/>
      <c r="H414" s="1500"/>
      <c r="I414" s="525">
        <f>Prime!G153</f>
        <v>0</v>
      </c>
      <c r="J414" s="525">
        <f>SUM(J403:J413)</f>
        <v>0</v>
      </c>
      <c r="K414" s="525">
        <f t="shared" si="10"/>
        <v>0</v>
      </c>
      <c r="L414" s="23"/>
      <c r="M414" s="23"/>
      <c r="N414" s="23"/>
    </row>
    <row r="415" spans="2:14" s="3" customFormat="1" x14ac:dyDescent="0.3">
      <c r="B415" s="404"/>
      <c r="C415" s="404"/>
      <c r="D415" s="1500" t="s">
        <v>420</v>
      </c>
      <c r="E415" s="1500"/>
      <c r="F415" s="1500"/>
      <c r="G415" s="1500"/>
      <c r="H415" s="1500"/>
      <c r="I415" s="525">
        <f>Prime!G163</f>
        <v>0</v>
      </c>
      <c r="J415" s="525">
        <f>'Non TB - Note 25 to end'!H121</f>
        <v>0</v>
      </c>
      <c r="K415" s="525">
        <f t="shared" si="10"/>
        <v>0</v>
      </c>
      <c r="L415" s="23"/>
      <c r="M415" s="23"/>
      <c r="N415" s="23"/>
    </row>
    <row r="416" spans="2:14" s="3" customFormat="1" x14ac:dyDescent="0.3">
      <c r="B416" s="404"/>
      <c r="C416" s="404"/>
      <c r="D416" s="1500" t="s">
        <v>427</v>
      </c>
      <c r="E416" s="1500"/>
      <c r="F416" s="1500"/>
      <c r="G416" s="1500"/>
      <c r="H416" s="1500"/>
      <c r="I416" s="1117">
        <f>Prime!G178</f>
        <v>0</v>
      </c>
      <c r="J416" s="1117">
        <f>'Non TB - Note 25 to end'!H122</f>
        <v>0</v>
      </c>
      <c r="K416" s="1117">
        <f t="shared" si="10"/>
        <v>0</v>
      </c>
      <c r="L416" s="23"/>
      <c r="M416" s="23"/>
      <c r="N416" s="23"/>
    </row>
    <row r="417" spans="2:14" s="3" customFormat="1" x14ac:dyDescent="0.3">
      <c r="B417" s="404"/>
      <c r="C417" s="404"/>
      <c r="D417" s="1500" t="s">
        <v>2741</v>
      </c>
      <c r="E417" s="1500"/>
      <c r="F417" s="1500"/>
      <c r="G417" s="1500"/>
      <c r="H417" s="1500"/>
      <c r="I417" s="525">
        <f>Prime!G180</f>
        <v>0</v>
      </c>
      <c r="J417" s="525">
        <f>J415+J416</f>
        <v>0</v>
      </c>
      <c r="K417" s="525">
        <f t="shared" si="10"/>
        <v>0</v>
      </c>
      <c r="L417" s="23"/>
      <c r="M417" s="23"/>
      <c r="N417" s="23"/>
    </row>
    <row r="418" spans="2:14" s="3" customFormat="1" x14ac:dyDescent="0.3">
      <c r="B418" s="404"/>
      <c r="C418" s="404"/>
      <c r="D418" s="1500"/>
      <c r="E418" s="1500"/>
      <c r="F418" s="1500"/>
      <c r="G418" s="1500"/>
      <c r="H418" s="1500"/>
      <c r="I418" s="525"/>
      <c r="J418" s="525"/>
      <c r="K418" s="525"/>
      <c r="L418" s="23"/>
      <c r="M418" s="23"/>
      <c r="N418" s="23"/>
    </row>
    <row r="419" spans="2:14" s="3" customFormat="1" x14ac:dyDescent="0.3">
      <c r="B419" s="404"/>
      <c r="C419" s="404"/>
      <c r="D419" s="474" t="s">
        <v>3015</v>
      </c>
      <c r="E419" s="474"/>
      <c r="F419" s="474"/>
      <c r="G419" s="474"/>
      <c r="H419" s="604"/>
      <c r="I419" s="486"/>
      <c r="J419" s="586"/>
      <c r="K419" s="586"/>
      <c r="L419" s="23"/>
      <c r="M419" s="23"/>
      <c r="N419" s="23"/>
    </row>
    <row r="420" spans="2:14" s="3" customFormat="1" x14ac:dyDescent="0.3">
      <c r="B420" s="404"/>
      <c r="C420" s="404"/>
      <c r="D420" s="474"/>
      <c r="E420" s="474"/>
      <c r="F420" s="474"/>
      <c r="G420" s="474"/>
      <c r="H420" s="604"/>
      <c r="I420" s="1763" t="s">
        <v>2697</v>
      </c>
      <c r="J420" s="1763"/>
      <c r="K420" s="1763"/>
      <c r="L420" s="23"/>
      <c r="M420" s="23"/>
      <c r="N420" s="23"/>
    </row>
    <row r="421" spans="2:14" s="3" customFormat="1" ht="51.6" x14ac:dyDescent="0.3">
      <c r="B421" s="404"/>
      <c r="C421" s="404"/>
      <c r="D421" s="474"/>
      <c r="E421" s="474"/>
      <c r="F421" s="474"/>
      <c r="G421" s="474"/>
      <c r="H421" s="604"/>
      <c r="I421" s="948" t="s">
        <v>3031</v>
      </c>
      <c r="J421" s="717" t="s">
        <v>2250</v>
      </c>
      <c r="K421" s="1229" t="s">
        <v>2725</v>
      </c>
      <c r="L421" s="23"/>
      <c r="M421" s="23"/>
      <c r="N421" s="23"/>
    </row>
    <row r="422" spans="2:14" s="3" customFormat="1" x14ac:dyDescent="0.3">
      <c r="B422" s="404"/>
      <c r="C422" s="404"/>
      <c r="D422" s="1500" t="s">
        <v>2742</v>
      </c>
      <c r="E422" s="1500"/>
      <c r="F422" s="1500"/>
      <c r="G422" s="1500"/>
      <c r="H422" s="1500"/>
      <c r="I422" s="525">
        <f>Prime!G190</f>
        <v>0</v>
      </c>
      <c r="J422" s="525">
        <f>'Non TB - Note 25 to end'!H123</f>
        <v>0</v>
      </c>
      <c r="K422" s="525">
        <f>I422+J422</f>
        <v>0</v>
      </c>
      <c r="L422" s="23"/>
      <c r="M422" s="23"/>
      <c r="N422" s="23"/>
    </row>
    <row r="423" spans="2:14" s="3" customFormat="1" ht="27" customHeight="1" x14ac:dyDescent="0.3">
      <c r="B423" s="404"/>
      <c r="C423" s="404"/>
      <c r="D423" s="1504" t="s">
        <v>2743</v>
      </c>
      <c r="E423" s="1504"/>
      <c r="F423" s="1504"/>
      <c r="G423" s="1504"/>
      <c r="H423" s="1504"/>
      <c r="I423" s="525">
        <f>Prime!G192</f>
        <v>0</v>
      </c>
      <c r="J423" s="525">
        <f>'Non TB - Note 25 to end'!H124</f>
        <v>0</v>
      </c>
      <c r="K423" s="525">
        <f t="shared" ref="K423:K439" si="11">I423+J423</f>
        <v>0</v>
      </c>
      <c r="L423" s="23"/>
      <c r="M423" s="23"/>
      <c r="N423" s="23"/>
    </row>
    <row r="424" spans="2:14" s="3" customFormat="1" x14ac:dyDescent="0.3">
      <c r="B424" s="404"/>
      <c r="C424" s="404"/>
      <c r="D424" s="1500" t="s">
        <v>2997</v>
      </c>
      <c r="E424" s="1500"/>
      <c r="F424" s="1500"/>
      <c r="G424" s="1500"/>
      <c r="H424" s="1500"/>
      <c r="I424" s="525"/>
      <c r="J424" s="525"/>
      <c r="K424" s="525"/>
      <c r="L424" s="23"/>
      <c r="M424" s="23"/>
      <c r="N424" s="23"/>
    </row>
    <row r="425" spans="2:14" s="3" customFormat="1" x14ac:dyDescent="0.3">
      <c r="B425" s="404"/>
      <c r="C425" s="404"/>
      <c r="D425" s="1500" t="s">
        <v>296</v>
      </c>
      <c r="E425" s="1500"/>
      <c r="F425" s="1500"/>
      <c r="G425" s="1500"/>
      <c r="H425" s="1500"/>
      <c r="I425" s="525">
        <f>J18</f>
        <v>0</v>
      </c>
      <c r="J425" s="525">
        <f>'Non TB - Note 25 to end'!H125</f>
        <v>0</v>
      </c>
      <c r="K425" s="525">
        <f t="shared" si="11"/>
        <v>0</v>
      </c>
      <c r="L425" s="23"/>
      <c r="M425" s="23"/>
      <c r="N425" s="23"/>
    </row>
    <row r="426" spans="2:14" s="3" customFormat="1" x14ac:dyDescent="0.3">
      <c r="B426" s="404"/>
      <c r="C426" s="404"/>
      <c r="D426" s="1500" t="s">
        <v>2692</v>
      </c>
      <c r="E426" s="1500"/>
      <c r="F426" s="1500"/>
      <c r="G426" s="1500"/>
      <c r="H426" s="1500"/>
      <c r="I426" s="525">
        <f>J29</f>
        <v>0</v>
      </c>
      <c r="J426" s="525">
        <f>'Non TB - Note 25 to end'!H126</f>
        <v>0</v>
      </c>
      <c r="K426" s="525">
        <f t="shared" si="11"/>
        <v>0</v>
      </c>
      <c r="L426" s="23"/>
      <c r="M426" s="23"/>
      <c r="N426" s="23"/>
    </row>
    <row r="427" spans="2:14" s="3" customFormat="1" x14ac:dyDescent="0.3">
      <c r="B427" s="404"/>
      <c r="C427" s="404"/>
      <c r="D427" s="1500" t="s">
        <v>2738</v>
      </c>
      <c r="E427" s="1500"/>
      <c r="F427" s="1500"/>
      <c r="G427" s="1500"/>
      <c r="H427" s="1500"/>
      <c r="I427" s="525">
        <f>J30</f>
        <v>0</v>
      </c>
      <c r="J427" s="525">
        <f>'Non TB - Note 25 to end'!H127</f>
        <v>0</v>
      </c>
      <c r="K427" s="525">
        <f t="shared" si="11"/>
        <v>0</v>
      </c>
      <c r="L427" s="23"/>
      <c r="M427" s="23"/>
      <c r="N427" s="23"/>
    </row>
    <row r="428" spans="2:14" s="3" customFormat="1" x14ac:dyDescent="0.3">
      <c r="B428" s="404"/>
      <c r="C428" s="404"/>
      <c r="D428" s="1500" t="s">
        <v>2737</v>
      </c>
      <c r="E428" s="1500"/>
      <c r="F428" s="1500"/>
      <c r="G428" s="1500"/>
      <c r="H428" s="1500"/>
      <c r="I428" s="525">
        <f>J19</f>
        <v>0</v>
      </c>
      <c r="J428" s="525">
        <f>'Non TB - Note 25 to end'!H128</f>
        <v>0</v>
      </c>
      <c r="K428" s="525">
        <f t="shared" si="11"/>
        <v>0</v>
      </c>
      <c r="L428" s="23"/>
      <c r="M428" s="23"/>
      <c r="N428" s="23"/>
    </row>
    <row r="429" spans="2:14" s="3" customFormat="1" x14ac:dyDescent="0.3">
      <c r="B429" s="404"/>
      <c r="C429" s="404"/>
      <c r="D429" s="1500" t="s">
        <v>2739</v>
      </c>
      <c r="E429" s="1500"/>
      <c r="F429" s="1500"/>
      <c r="G429" s="1500"/>
      <c r="H429" s="1500"/>
      <c r="I429" s="525">
        <f>J21</f>
        <v>0</v>
      </c>
      <c r="J429" s="525">
        <f>'Non TB - Note 25 to end'!H129</f>
        <v>0</v>
      </c>
      <c r="K429" s="525">
        <f t="shared" si="11"/>
        <v>0</v>
      </c>
      <c r="L429" s="23"/>
      <c r="M429" s="23"/>
      <c r="N429" s="23"/>
    </row>
    <row r="430" spans="2:14" s="3" customFormat="1" x14ac:dyDescent="0.3">
      <c r="B430" s="404"/>
      <c r="C430" s="404"/>
      <c r="D430" s="1500" t="s">
        <v>2364</v>
      </c>
      <c r="E430" s="1500"/>
      <c r="F430" s="1500"/>
      <c r="G430" s="1500"/>
      <c r="H430" s="1500"/>
      <c r="I430" s="525">
        <f>J31</f>
        <v>0</v>
      </c>
      <c r="J430" s="525">
        <f>'Non TB - Note 25 to end'!H131</f>
        <v>0</v>
      </c>
      <c r="K430" s="525">
        <f t="shared" si="11"/>
        <v>0</v>
      </c>
      <c r="L430" s="23"/>
      <c r="M430" s="23"/>
      <c r="N430" s="23"/>
    </row>
    <row r="431" spans="2:14" s="3" customFormat="1" x14ac:dyDescent="0.3">
      <c r="B431" s="404"/>
      <c r="C431" s="404"/>
      <c r="D431" s="1500" t="s">
        <v>2744</v>
      </c>
      <c r="E431" s="1500"/>
      <c r="F431" s="1500"/>
      <c r="G431" s="1500"/>
      <c r="H431" s="1500"/>
      <c r="I431" s="525">
        <f>J32</f>
        <v>0</v>
      </c>
      <c r="J431" s="525">
        <f>'Non TB - Note 25 to end'!H132</f>
        <v>0</v>
      </c>
      <c r="K431" s="525">
        <f t="shared" si="11"/>
        <v>0</v>
      </c>
      <c r="L431" s="23"/>
      <c r="M431" s="23"/>
      <c r="N431" s="23"/>
    </row>
    <row r="432" spans="2:14" s="3" customFormat="1" x14ac:dyDescent="0.3">
      <c r="B432" s="404"/>
      <c r="C432" s="404"/>
      <c r="D432" s="1500" t="s">
        <v>373</v>
      </c>
      <c r="E432" s="1500"/>
      <c r="F432" s="1500"/>
      <c r="G432" s="1500"/>
      <c r="H432" s="1500"/>
      <c r="I432" s="525">
        <f>J15+J16+J17+J20+J23+J24+J25+J26+J27+J28</f>
        <v>0</v>
      </c>
      <c r="J432" s="525">
        <f>'Non TB - Note 25 to end'!H133</f>
        <v>0</v>
      </c>
      <c r="K432" s="525">
        <f t="shared" si="11"/>
        <v>0</v>
      </c>
      <c r="L432" s="23"/>
      <c r="M432" s="23"/>
      <c r="N432" s="23"/>
    </row>
    <row r="433" spans="1:23" s="3" customFormat="1" ht="48" customHeight="1" x14ac:dyDescent="0.3">
      <c r="B433" s="404"/>
      <c r="C433" s="404"/>
      <c r="D433" s="1504" t="s">
        <v>2745</v>
      </c>
      <c r="E433" s="1504"/>
      <c r="F433" s="1504"/>
      <c r="G433" s="1504"/>
      <c r="H433" s="1504"/>
      <c r="I433" s="1117">
        <f>J43</f>
        <v>0</v>
      </c>
      <c r="J433" s="1117">
        <f>'Non TB - Note 25 to end'!H134</f>
        <v>0</v>
      </c>
      <c r="K433" s="1117">
        <f t="shared" si="11"/>
        <v>0</v>
      </c>
      <c r="L433" s="23"/>
      <c r="M433" s="23"/>
      <c r="N433" s="23"/>
    </row>
    <row r="434" spans="1:23" s="3" customFormat="1" x14ac:dyDescent="0.3">
      <c r="B434" s="404"/>
      <c r="C434" s="404"/>
      <c r="D434" s="1500" t="s">
        <v>2746</v>
      </c>
      <c r="E434" s="1500"/>
      <c r="F434" s="1500"/>
      <c r="G434" s="1500"/>
      <c r="H434" s="1500"/>
      <c r="I434" s="525">
        <f>Prime!G196</f>
        <v>0</v>
      </c>
      <c r="J434" s="525">
        <f>SUM(J422:J433)</f>
        <v>0</v>
      </c>
      <c r="K434" s="525">
        <f t="shared" si="11"/>
        <v>0</v>
      </c>
      <c r="L434" s="23"/>
      <c r="M434" s="23"/>
      <c r="N434" s="23"/>
    </row>
    <row r="435" spans="1:23" s="3" customFormat="1" x14ac:dyDescent="0.3">
      <c r="B435" s="404"/>
      <c r="C435" s="404"/>
      <c r="D435" s="1500" t="s">
        <v>1308</v>
      </c>
      <c r="E435" s="1500"/>
      <c r="F435" s="1500"/>
      <c r="G435" s="1500"/>
      <c r="H435" s="1500"/>
      <c r="I435" s="525">
        <f>Prime!G198</f>
        <v>0</v>
      </c>
      <c r="J435" s="525">
        <f>'Non TB - Note 25 to end'!H135</f>
        <v>0</v>
      </c>
      <c r="K435" s="525">
        <f t="shared" si="11"/>
        <v>0</v>
      </c>
      <c r="L435" s="23"/>
      <c r="M435" s="23"/>
      <c r="N435" s="23"/>
    </row>
    <row r="436" spans="1:23" s="3" customFormat="1" x14ac:dyDescent="0.3">
      <c r="B436" s="404"/>
      <c r="C436" s="404"/>
      <c r="D436" s="1500" t="s">
        <v>1311</v>
      </c>
      <c r="E436" s="1500"/>
      <c r="F436" s="1500"/>
      <c r="G436" s="1500"/>
      <c r="H436" s="1500"/>
      <c r="I436" s="1117">
        <f>Prime!G200</f>
        <v>0</v>
      </c>
      <c r="J436" s="1117">
        <f>'Non TB - Note 25 to end'!H136</f>
        <v>0</v>
      </c>
      <c r="K436" s="1117">
        <f t="shared" si="11"/>
        <v>0</v>
      </c>
      <c r="L436" s="23"/>
      <c r="M436" s="23"/>
      <c r="N436" s="23"/>
    </row>
    <row r="437" spans="1:23" s="3" customFormat="1" x14ac:dyDescent="0.3">
      <c r="B437" s="404"/>
      <c r="C437" s="404"/>
      <c r="D437" s="1500" t="s">
        <v>47</v>
      </c>
      <c r="E437" s="1500"/>
      <c r="F437" s="1500"/>
      <c r="G437" s="1500"/>
      <c r="H437" s="1500"/>
      <c r="I437" s="525">
        <f>Prime!G202</f>
        <v>0</v>
      </c>
      <c r="J437" s="525">
        <f>SUM(J434:J436)</f>
        <v>0</v>
      </c>
      <c r="K437" s="525">
        <f t="shared" si="11"/>
        <v>0</v>
      </c>
      <c r="L437" s="23"/>
      <c r="M437" s="23"/>
      <c r="N437" s="23"/>
    </row>
    <row r="438" spans="1:23" s="3" customFormat="1" ht="39" customHeight="1" x14ac:dyDescent="0.3">
      <c r="B438" s="404"/>
      <c r="C438" s="404"/>
      <c r="D438" s="1501" t="s">
        <v>48</v>
      </c>
      <c r="E438" s="1501"/>
      <c r="F438" s="1501"/>
      <c r="G438" s="1501"/>
      <c r="H438" s="1501"/>
      <c r="I438" s="1117">
        <f>Prime!G204</f>
        <v>0</v>
      </c>
      <c r="J438" s="1117">
        <f>'Non TB - Note 25 to end'!H137</f>
        <v>0</v>
      </c>
      <c r="K438" s="1117">
        <f t="shared" si="11"/>
        <v>0</v>
      </c>
      <c r="L438" s="23"/>
      <c r="M438" s="23"/>
      <c r="N438" s="23"/>
    </row>
    <row r="439" spans="1:23" s="3" customFormat="1" ht="19.5" customHeight="1" thickBot="1" x14ac:dyDescent="0.35">
      <c r="B439" s="404"/>
      <c r="C439" s="404"/>
      <c r="D439" s="1500" t="s">
        <v>49</v>
      </c>
      <c r="E439" s="1500"/>
      <c r="F439" s="1500"/>
      <c r="G439" s="1500"/>
      <c r="H439" s="1500"/>
      <c r="I439" s="1231">
        <f>Prime!G206</f>
        <v>0</v>
      </c>
      <c r="J439" s="1231">
        <f>'Non TB - Note 25 to end'!H138</f>
        <v>0</v>
      </c>
      <c r="K439" s="1231">
        <f t="shared" si="11"/>
        <v>0</v>
      </c>
      <c r="L439" s="23"/>
      <c r="M439" s="23"/>
      <c r="N439" s="23"/>
    </row>
    <row r="440" spans="1:23" s="3" customFormat="1" x14ac:dyDescent="0.3">
      <c r="B440" s="404"/>
      <c r="C440" s="404"/>
      <c r="D440" s="401"/>
      <c r="E440" s="401"/>
      <c r="F440" s="401"/>
      <c r="G440" s="401"/>
      <c r="H440" s="401"/>
      <c r="I440" s="525"/>
      <c r="J440" s="525"/>
      <c r="K440" s="525"/>
      <c r="L440" s="23"/>
      <c r="M440" s="23"/>
      <c r="N440" s="23"/>
    </row>
    <row r="441" spans="1:23" s="3" customFormat="1" ht="52.5" customHeight="1" x14ac:dyDescent="0.3">
      <c r="A441" s="3" t="str">
        <f>IF('Non TB - Note 25 to end'!F139=1,"Print","Do Not Print")</f>
        <v>Print</v>
      </c>
      <c r="B441" s="404"/>
      <c r="C441" s="404"/>
      <c r="D441" s="1504" t="str">
        <f>IF('Non TB - Note 25 to end'!F139=1,'Non TB - Note 25 to end'!H139,"")</f>
        <v>The objective of this note is to ensure that the Council discloses sufficient information to enable users of its financial statements to understand the nature, amount, timing and uncertainty of revenue and cash flows arising from contracts with service recipients.</v>
      </c>
      <c r="E441" s="1504"/>
      <c r="F441" s="1504"/>
      <c r="G441" s="1504"/>
      <c r="H441" s="1504"/>
      <c r="I441" s="1504"/>
      <c r="J441" s="1504"/>
      <c r="K441" s="1504"/>
      <c r="L441" s="23"/>
      <c r="M441" s="23"/>
      <c r="N441" s="23"/>
    </row>
    <row r="442" spans="1:23" s="3" customFormat="1" x14ac:dyDescent="0.3">
      <c r="A442" s="3" t="str">
        <f>IF(A441="Print","Do Not Print")</f>
        <v>Do Not Print</v>
      </c>
      <c r="B442" s="404"/>
      <c r="C442" s="404"/>
      <c r="D442" s="1500"/>
      <c r="E442" s="1500"/>
      <c r="F442" s="1500"/>
      <c r="G442" s="1500"/>
      <c r="H442" s="1500"/>
      <c r="I442" s="1500"/>
      <c r="J442" s="1500"/>
      <c r="K442" s="1500"/>
      <c r="L442" s="23"/>
      <c r="M442" s="23"/>
      <c r="N442" s="23"/>
    </row>
    <row r="443" spans="1:23" ht="12.75" customHeight="1" x14ac:dyDescent="0.3">
      <c r="A443" s="3" t="str">
        <f>IF(OR(A445="Print",A447="Print",A449="Print",A451="Print",A453="Print",A455="Print",A457="Print",A459="Print",A461="Print",A463="Print",A465="Print",A467="Print",A469="Print",A471="Print"),"Print","Do Not Print")</f>
        <v>Print</v>
      </c>
      <c r="B443" s="585">
        <f>Checklist!E153</f>
        <v>29</v>
      </c>
      <c r="D443" s="474" t="s">
        <v>329</v>
      </c>
      <c r="E443" s="474"/>
      <c r="F443" s="474"/>
      <c r="G443" s="474"/>
      <c r="H443" s="604"/>
      <c r="I443" s="604"/>
      <c r="J443" s="604"/>
      <c r="K443" s="604"/>
    </row>
    <row r="444" spans="1:23" ht="12.75" customHeight="1" x14ac:dyDescent="0.3">
      <c r="A444" s="3" t="str">
        <f>IF(A443="Print","Print","Do Not Print")</f>
        <v>Print</v>
      </c>
      <c r="D444" s="2046"/>
      <c r="E444" s="2046"/>
      <c r="F444" s="2046"/>
      <c r="G444" s="2046"/>
      <c r="H444" s="2046"/>
      <c r="I444" s="2046"/>
      <c r="J444" s="2046"/>
      <c r="K444" s="2046"/>
    </row>
    <row r="445" spans="1:23" ht="28.5" customHeight="1" x14ac:dyDescent="0.3">
      <c r="A445" s="3" t="str">
        <f>IF('Non TB - Note 25 to end'!F140=1,"Print","Do Not Print")</f>
        <v>Print</v>
      </c>
      <c r="D445" s="1512" t="str">
        <f>IF('Non TB - Note 25 to end'!F140=1,'Non TB - Note 25 to end'!H140,"")</f>
        <v>The Council considers its only significant trading operation to be the provision of car parking facilities. The results for this are disclosed in Note 2, namely Income of £xx and costs of £xx.</v>
      </c>
      <c r="E445" s="1512"/>
      <c r="F445" s="1512"/>
      <c r="G445" s="1512"/>
      <c r="H445" s="1512"/>
      <c r="I445" s="1512"/>
      <c r="J445" s="1512"/>
      <c r="K445" s="1512"/>
      <c r="Q445" s="2045"/>
      <c r="R445" s="2045"/>
      <c r="S445" s="2045"/>
      <c r="T445" s="2045"/>
      <c r="U445" s="2045"/>
      <c r="V445" s="2045"/>
      <c r="W445" s="2045"/>
    </row>
    <row r="446" spans="1:23" ht="12.75" customHeight="1" x14ac:dyDescent="0.3">
      <c r="A446" s="3" t="str">
        <f>IF(A445="Print","Print","Do Not Print")</f>
        <v>Print</v>
      </c>
      <c r="D446" s="1513"/>
      <c r="E446" s="1513"/>
      <c r="F446" s="1513"/>
      <c r="G446" s="1513"/>
      <c r="H446" s="1513"/>
      <c r="I446" s="1513"/>
      <c r="J446" s="1513"/>
      <c r="K446" s="1513"/>
    </row>
    <row r="447" spans="1:23" ht="28.05" customHeight="1" x14ac:dyDescent="0.3">
      <c r="A447" s="3" t="str">
        <f>IF('Non TB - Note 25 to end'!F141=1,"Print","Do Not Print")</f>
        <v>Print</v>
      </c>
      <c r="D447" s="1512" t="str">
        <f>IF('Non TB - Note 25 to end'!F141=1,'Non TB - Note 25 to end'!H141,"")</f>
        <v>In deciding whether a trading operation is significant the Council takes both financial and non-financial criteria into account.</v>
      </c>
      <c r="E447" s="1512"/>
      <c r="F447" s="1512"/>
      <c r="G447" s="1512"/>
      <c r="H447" s="1512"/>
      <c r="I447" s="1512"/>
      <c r="J447" s="1512"/>
      <c r="K447" s="1512"/>
    </row>
    <row r="448" spans="1:23" ht="12.75" customHeight="1" x14ac:dyDescent="0.3">
      <c r="A448" s="3" t="str">
        <f>IF(A447="Print","Print","Do Not Print")</f>
        <v>Print</v>
      </c>
      <c r="D448" s="1513"/>
      <c r="E448" s="1513"/>
      <c r="F448" s="1513"/>
      <c r="G448" s="1513"/>
      <c r="H448" s="1513"/>
      <c r="I448" s="1513"/>
      <c r="J448" s="1513"/>
      <c r="K448" s="1513"/>
    </row>
    <row r="449" spans="1:11" ht="19.05" customHeight="1" x14ac:dyDescent="0.3">
      <c r="A449" s="3" t="str">
        <f>IF('Non TB - Note 25 to end'!F142=1,"Print","Do Not Print")</f>
        <v>Print</v>
      </c>
      <c r="D449" s="1512" t="str">
        <f>IF('Non TB - Note 25 to end'!F142=1,'Non TB - Note 25 to end'!H142,"")</f>
        <v>Financial criteria taken into account in deciding whether trading operations are significant to the Council are:</v>
      </c>
      <c r="E449" s="1512"/>
      <c r="F449" s="1512"/>
      <c r="G449" s="1512"/>
      <c r="H449" s="1512"/>
      <c r="I449" s="1512"/>
      <c r="J449" s="1512"/>
      <c r="K449" s="1512"/>
    </row>
    <row r="450" spans="1:11" ht="12.75" customHeight="1" x14ac:dyDescent="0.3">
      <c r="A450" s="3" t="str">
        <f>IF(A449="Print","Print","Do Not Print")</f>
        <v>Print</v>
      </c>
      <c r="D450" s="1513"/>
      <c r="E450" s="1513"/>
      <c r="F450" s="1513"/>
      <c r="G450" s="1513"/>
      <c r="H450" s="1513"/>
      <c r="I450" s="1513"/>
      <c r="J450" s="1513"/>
      <c r="K450" s="1513"/>
    </row>
    <row r="451" spans="1:11" ht="31.5" customHeight="1" x14ac:dyDescent="0.3">
      <c r="A451" s="3" t="str">
        <f>IF('Non TB - Note 25 to end'!F143=1,"Print","Do Not Print")</f>
        <v>Print</v>
      </c>
      <c r="D451" s="1513" t="str">
        <f>IF('Non TB - Note 25 to end'!F143=1,'Non TB - Note 25 to end'!H143,"")</f>
        <v xml:space="preserve"> - the magnitude of each individual trading operation's turnover when greater than X% of the Council's net revenue budget</v>
      </c>
      <c r="E451" s="1513"/>
      <c r="F451" s="1513"/>
      <c r="G451" s="1513"/>
      <c r="H451" s="1513"/>
      <c r="I451" s="1513"/>
      <c r="J451" s="1513"/>
      <c r="K451" s="1513"/>
    </row>
    <row r="452" spans="1:11" ht="12.75" customHeight="1" x14ac:dyDescent="0.3">
      <c r="A452" s="3" t="str">
        <f>IF(A451="Print","Print","Do Not Print")</f>
        <v>Print</v>
      </c>
      <c r="D452" s="1513"/>
      <c r="E452" s="1513"/>
      <c r="F452" s="1513"/>
      <c r="G452" s="1513"/>
      <c r="H452" s="1513"/>
      <c r="I452" s="1513"/>
      <c r="J452" s="1513"/>
      <c r="K452" s="1513"/>
    </row>
    <row r="453" spans="1:11" ht="18.75" customHeight="1" x14ac:dyDescent="0.3">
      <c r="A453" s="3" t="str">
        <f>IF('Non TB - Note 25 to end'!F144=1,"Print","Do Not Print")</f>
        <v>Print</v>
      </c>
      <c r="D453" s="1513" t="str">
        <f>IF('Non TB - Note 25 to end'!F144=1,'Non TB - Note 25 to end'!H144,"")</f>
        <v xml:space="preserve">- the risk of financial loss the Council may be exposed to in providing the service to the user. </v>
      </c>
      <c r="E453" s="1513"/>
      <c r="F453" s="1513"/>
      <c r="G453" s="1513"/>
      <c r="H453" s="1513"/>
      <c r="I453" s="1513"/>
      <c r="J453" s="1513"/>
      <c r="K453" s="1513"/>
    </row>
    <row r="454" spans="1:11" x14ac:dyDescent="0.3">
      <c r="A454" s="3" t="str">
        <f>IF(A453="Print","Print","Do Not Print")</f>
        <v>Print</v>
      </c>
      <c r="D454" s="1718"/>
      <c r="E454" s="1718"/>
      <c r="F454" s="1718"/>
      <c r="G454" s="1718"/>
      <c r="H454" s="1718"/>
      <c r="I454" s="1718"/>
      <c r="J454" s="1718"/>
      <c r="K454" s="1718"/>
    </row>
    <row r="455" spans="1:11" ht="12.75" customHeight="1" x14ac:dyDescent="0.3">
      <c r="A455" s="3" t="str">
        <f>IF('Non TB - Note 25 to end'!F145=1,"Print","Do Not Print")</f>
        <v>Print</v>
      </c>
      <c r="D455" s="1513" t="str">
        <f>IF('Non TB - Note 25 to end'!F145=1,'Non TB - Note 25 to end'!H145,"")</f>
        <v>Additional narrative</v>
      </c>
      <c r="E455" s="1513"/>
      <c r="F455" s="1513"/>
      <c r="G455" s="1513"/>
      <c r="H455" s="1513"/>
      <c r="I455" s="1513"/>
      <c r="J455" s="1513"/>
      <c r="K455" s="1513"/>
    </row>
    <row r="456" spans="1:11" ht="14.25" customHeight="1" x14ac:dyDescent="0.3">
      <c r="A456" s="3" t="str">
        <f>IF(A455="Print","Print","Do Not Print")</f>
        <v>Print</v>
      </c>
      <c r="D456" s="1513"/>
      <c r="E456" s="1513"/>
      <c r="F456" s="1513"/>
      <c r="G456" s="1513"/>
      <c r="H456" s="1513"/>
      <c r="I456" s="1513"/>
      <c r="J456" s="1513"/>
      <c r="K456" s="1513"/>
    </row>
    <row r="457" spans="1:11" x14ac:dyDescent="0.3">
      <c r="A457" s="3" t="str">
        <f>IF('Non TB - Note 25 to end'!F146=1,"Print","Do Not Print")</f>
        <v>Print</v>
      </c>
      <c r="D457" s="1513" t="str">
        <f>IF('Non TB - Note 25 to end'!F146=1,'Non TB - Note 25 to end'!H146,"")</f>
        <v>Non-financial criteria taken into account in deciding whether trading operations are significant to the Council are:</v>
      </c>
      <c r="E457" s="1513"/>
      <c r="F457" s="1513"/>
      <c r="G457" s="1513"/>
      <c r="H457" s="1513"/>
      <c r="I457" s="1513"/>
      <c r="J457" s="1513"/>
      <c r="K457" s="1513"/>
    </row>
    <row r="458" spans="1:11" ht="12.75" customHeight="1" x14ac:dyDescent="0.3">
      <c r="A458" s="3" t="str">
        <f>IF(A457="Print","Print","Do Not Print")</f>
        <v>Print</v>
      </c>
      <c r="D458" s="1513"/>
      <c r="E458" s="1513"/>
      <c r="F458" s="1513"/>
      <c r="G458" s="1513"/>
      <c r="H458" s="1513"/>
      <c r="I458" s="1513"/>
      <c r="J458" s="1513"/>
      <c r="K458" s="1513"/>
    </row>
    <row r="459" spans="1:11" ht="27.75" customHeight="1" x14ac:dyDescent="0.3">
      <c r="A459" s="3" t="str">
        <f>IF('Non TB - Note 25 to end'!F147=1,"Print","Do Not Print")</f>
        <v>Print</v>
      </c>
      <c r="D459" s="1504" t="str">
        <f>IF('Non TB - Note 25 to end'!F147=1,'Non TB - Note 25 to end'!H147,"")</f>
        <v xml:space="preserve"> - the importance of each individual trading operation to demonstrating the achievement of Council targets and improving performance. </v>
      </c>
      <c r="E459" s="1504"/>
      <c r="F459" s="1504"/>
      <c r="G459" s="1504"/>
      <c r="H459" s="1504"/>
      <c r="I459" s="1504"/>
      <c r="J459" s="1504"/>
      <c r="K459" s="1504"/>
    </row>
    <row r="460" spans="1:11" ht="12.75" customHeight="1" x14ac:dyDescent="0.3">
      <c r="A460" s="3" t="str">
        <f>IF(A459="Print","Print","Do Not Print")</f>
        <v>Print</v>
      </c>
      <c r="D460" s="1513"/>
      <c r="E460" s="1513"/>
      <c r="F460" s="1513"/>
      <c r="G460" s="1513"/>
      <c r="H460" s="1513"/>
      <c r="I460" s="1513"/>
      <c r="J460" s="1513"/>
      <c r="K460" s="1513"/>
    </row>
    <row r="461" spans="1:11" ht="12.75" customHeight="1" x14ac:dyDescent="0.3">
      <c r="A461" s="3" t="str">
        <f>IF('Non TB - Note 25 to end'!F148=1,"Print","Do Not Print")</f>
        <v>Print</v>
      </c>
      <c r="D461" s="1513" t="str">
        <f>IF('Non TB - Note 25 to end'!F148=1,'Non TB - Note 25 to end'!H148,"")</f>
        <v xml:space="preserve"> - the exposure of the Council to service reputational loss risk by providing the service</v>
      </c>
      <c r="E461" s="1513"/>
      <c r="F461" s="1513"/>
      <c r="G461" s="1513"/>
      <c r="H461" s="1513"/>
      <c r="I461" s="1513"/>
      <c r="J461" s="1513"/>
      <c r="K461" s="1513"/>
    </row>
    <row r="462" spans="1:11" ht="12.75" customHeight="1" x14ac:dyDescent="0.3">
      <c r="A462" s="3" t="str">
        <f>IF(A461="Print","Print","Do Not Print")</f>
        <v>Print</v>
      </c>
      <c r="D462" s="1513"/>
      <c r="E462" s="1513"/>
      <c r="F462" s="1513"/>
      <c r="G462" s="1513"/>
      <c r="H462" s="1513"/>
      <c r="I462" s="1513"/>
      <c r="J462" s="1513"/>
      <c r="K462" s="1513"/>
    </row>
    <row r="463" spans="1:11" ht="17.55" customHeight="1" x14ac:dyDescent="0.3">
      <c r="A463" s="3" t="str">
        <f>IF('Non TB - Note 25 to end'!F149=1,"Print","Do Not Print")</f>
        <v>Print</v>
      </c>
      <c r="D463" s="1513" t="str">
        <f>IF('Non TB - Note 25 to end'!F149=1,'Non TB - Note 25 to end'!H149,"")</f>
        <v xml:space="preserve"> - whether the provision of the service is likely to be of interest to the Council's key stakeholders and their needs.</v>
      </c>
      <c r="E463" s="1513"/>
      <c r="F463" s="1513"/>
      <c r="G463" s="1513"/>
      <c r="H463" s="1513"/>
      <c r="I463" s="1513"/>
      <c r="J463" s="1513"/>
      <c r="K463" s="1513"/>
    </row>
    <row r="464" spans="1:11" ht="12.75" customHeight="1" x14ac:dyDescent="0.3">
      <c r="A464" s="3" t="str">
        <f>IF(A463="Print","Print","Do Not Print")</f>
        <v>Print</v>
      </c>
      <c r="D464" s="1513"/>
      <c r="E464" s="1513"/>
      <c r="F464" s="1513"/>
      <c r="G464" s="1513"/>
      <c r="H464" s="1513"/>
      <c r="I464" s="1513"/>
      <c r="J464" s="1513"/>
      <c r="K464" s="1513"/>
    </row>
    <row r="465" spans="1:11" ht="12.75" customHeight="1" x14ac:dyDescent="0.3">
      <c r="A465" s="3" t="str">
        <f>IF('Non TB - Note 25 to end'!F150=1,"Print","Do Not Print")</f>
        <v>Print</v>
      </c>
      <c r="D465" s="1513" t="str">
        <f>IF('Non TB - Note 25 to end'!F150=1,'Non TB - Note 25 to end'!H150,"")</f>
        <v>Additional narrative</v>
      </c>
      <c r="E465" s="1513"/>
      <c r="F465" s="1513"/>
      <c r="G465" s="1513"/>
      <c r="H465" s="1513"/>
      <c r="I465" s="1513"/>
      <c r="J465" s="1513"/>
      <c r="K465" s="1513"/>
    </row>
    <row r="466" spans="1:11" ht="12.75" customHeight="1" x14ac:dyDescent="0.3">
      <c r="A466" s="3" t="str">
        <f>IF(A465="Print","Print","Do Not Print")</f>
        <v>Print</v>
      </c>
      <c r="D466" s="1513"/>
      <c r="E466" s="1513"/>
      <c r="F466" s="1513"/>
      <c r="G466" s="1513"/>
      <c r="H466" s="1513"/>
      <c r="I466" s="1513"/>
      <c r="J466" s="1513"/>
      <c r="K466" s="1513"/>
    </row>
    <row r="467" spans="1:11" ht="28.05" customHeight="1" x14ac:dyDescent="0.3">
      <c r="A467" s="3" t="str">
        <f>IF('Non TB - Note 25 to end'!F151=1,"Print","Do Not Print")</f>
        <v>Print</v>
      </c>
      <c r="D467" s="1513" t="str">
        <f>IF('Non TB - Note 25 to end'!F151=1,'Non TB - Note 25 to end'!H151,"")</f>
        <v>In applying the aforementioned criteria, the Council considers that it is engaging in the following significant trading operations:</v>
      </c>
      <c r="E467" s="1513"/>
      <c r="F467" s="1513"/>
      <c r="G467" s="1513"/>
      <c r="H467" s="1513"/>
      <c r="I467" s="1513"/>
      <c r="J467" s="1513"/>
      <c r="K467" s="1513"/>
    </row>
    <row r="468" spans="1:11" ht="12.75" customHeight="1" x14ac:dyDescent="0.3">
      <c r="A468" s="3" t="str">
        <f>IF(A467="Print","Print","Do Not Print")</f>
        <v>Print</v>
      </c>
      <c r="D468" s="1513"/>
      <c r="E468" s="1513"/>
      <c r="F468" s="1513"/>
      <c r="G468" s="1513"/>
      <c r="H468" s="1513"/>
      <c r="I468" s="1513"/>
      <c r="J468" s="1513"/>
      <c r="K468" s="1513"/>
    </row>
    <row r="469" spans="1:11" ht="18.75" customHeight="1" x14ac:dyDescent="0.3">
      <c r="A469" s="3" t="str">
        <f>IF('Non TB - Note 25 to end'!F152=1,"Print","Do Not Print")</f>
        <v>Print</v>
      </c>
      <c r="D469" s="1513" t="str">
        <f>IF('Non TB - Note 25 to end'!F152=1,'Non TB - Note 25 to end'!H152,"")</f>
        <v>Additional narrative</v>
      </c>
      <c r="E469" s="1513"/>
      <c r="F469" s="1513"/>
      <c r="G469" s="1513"/>
      <c r="H469" s="1513"/>
      <c r="I469" s="1513"/>
      <c r="J469" s="1513"/>
      <c r="K469" s="1513"/>
    </row>
    <row r="470" spans="1:11" x14ac:dyDescent="0.3">
      <c r="A470" s="3" t="str">
        <f>IF(A469="Print","Print","Do Not Print")</f>
        <v>Print</v>
      </c>
      <c r="D470" s="1500"/>
      <c r="E470" s="1500"/>
      <c r="F470" s="1500"/>
      <c r="G470" s="1500"/>
      <c r="H470" s="1500"/>
      <c r="I470" s="1500"/>
      <c r="J470" s="1500"/>
      <c r="K470" s="1500"/>
    </row>
    <row r="471" spans="1:11" x14ac:dyDescent="0.3">
      <c r="A471" s="2048" t="str">
        <f>IF(AND(H480=0,I480=0,J480=0,K480=0),"Do Not Print","Print")</f>
        <v>Do Not Print</v>
      </c>
      <c r="D471" s="662" t="s">
        <v>329</v>
      </c>
      <c r="E471" s="604"/>
      <c r="F471" s="604"/>
      <c r="G471" s="604"/>
      <c r="H471" s="2049" t="str">
        <f>J13</f>
        <v>2025/26</v>
      </c>
      <c r="I471" s="1763"/>
      <c r="J471" s="2049" t="str">
        <f>'Standing Data'!D52</f>
        <v>2024/25</v>
      </c>
      <c r="K471" s="1763"/>
    </row>
    <row r="472" spans="1:11" x14ac:dyDescent="0.3">
      <c r="A472" s="2048"/>
      <c r="D472" s="604"/>
      <c r="E472" s="604"/>
      <c r="F472" s="604"/>
      <c r="G472" s="604"/>
      <c r="H472" s="481" t="s">
        <v>937</v>
      </c>
      <c r="I472" s="481" t="s">
        <v>938</v>
      </c>
      <c r="J472" s="481" t="s">
        <v>937</v>
      </c>
      <c r="K472" s="481" t="s">
        <v>938</v>
      </c>
    </row>
    <row r="473" spans="1:11" x14ac:dyDescent="0.3">
      <c r="A473" s="3" t="str">
        <f>IF(A472="Print","Print","Do Not Print")</f>
        <v>Do Not Print</v>
      </c>
      <c r="D473" s="604"/>
      <c r="E473" s="604"/>
      <c r="F473" s="604"/>
      <c r="G473" s="604"/>
      <c r="H473" s="1763" t="s">
        <v>450</v>
      </c>
      <c r="I473" s="1763"/>
      <c r="J473" s="1763" t="s">
        <v>450</v>
      </c>
      <c r="K473" s="1763"/>
    </row>
    <row r="474" spans="1:11" x14ac:dyDescent="0.3">
      <c r="A474" s="3" t="str">
        <f>IF(A473="Print","Print","Do Not Print")</f>
        <v>Do Not Print</v>
      </c>
      <c r="D474" s="2012"/>
      <c r="E474" s="2012"/>
      <c r="F474" s="2012"/>
      <c r="G474" s="2012"/>
      <c r="H474" s="2012"/>
      <c r="I474" s="2012"/>
      <c r="J474" s="2012"/>
      <c r="K474" s="2012"/>
    </row>
    <row r="475" spans="1:11" x14ac:dyDescent="0.3">
      <c r="A475" s="3" t="str">
        <f>IF(AND(K475=0,H475=0,I475=0,J475=0),"Do Not Print","Print")</f>
        <v>Do Not Print</v>
      </c>
      <c r="D475" s="1787" t="str">
        <f>IF('Non TB - Note 25 to end'!F153=1,'Non TB - Note 25 to end'!D153,"")</f>
        <v>Letting of Industrial Estates</v>
      </c>
      <c r="E475" s="1788"/>
      <c r="F475" s="1788"/>
      <c r="G475" s="1789"/>
      <c r="H475" s="618">
        <f>'Non TB - Note 25 to end'!H153</f>
        <v>0</v>
      </c>
      <c r="I475" s="618">
        <f>'Non TB - Note 25 to end'!H154</f>
        <v>0</v>
      </c>
      <c r="J475" s="618">
        <f>'Non TB - Note 25 to end'!I153</f>
        <v>0</v>
      </c>
      <c r="K475" s="618">
        <f>'Non TB - Note 25 to end'!I154</f>
        <v>0</v>
      </c>
    </row>
    <row r="476" spans="1:11" x14ac:dyDescent="0.3">
      <c r="A476" s="3" t="str">
        <f>IF(AND(K476=0,H476=0,I476=0,J476=0),"Do Not Print","Print")</f>
        <v>Do Not Print</v>
      </c>
      <c r="D476" s="1787" t="str">
        <f>IF('Non TB - Note 25 to end'!F155=1,'Non TB - Note 25 to end'!D155,"")</f>
        <v>Printing Services</v>
      </c>
      <c r="E476" s="1788"/>
      <c r="F476" s="1788"/>
      <c r="G476" s="1789"/>
      <c r="H476" s="618">
        <f>'Non TB - Note 25 to end'!H155</f>
        <v>0</v>
      </c>
      <c r="I476" s="618">
        <f>'Non TB - Note 25 to end'!H156</f>
        <v>0</v>
      </c>
      <c r="J476" s="618">
        <f>'Non TB - Note 25 to end'!I155</f>
        <v>0</v>
      </c>
      <c r="K476" s="618">
        <f>'Non TB - Note 25 to end'!I156</f>
        <v>0</v>
      </c>
    </row>
    <row r="477" spans="1:11" x14ac:dyDescent="0.3">
      <c r="A477" s="3" t="str">
        <f>IF(AND(K477=0,H477=0,I477=0,J477=0),"Do Not Print","Print")</f>
        <v>Do Not Print</v>
      </c>
      <c r="D477" s="1787" t="str">
        <f>IF('Non TB - Note 25 to end'!F157=1,'Non TB - Note 25 to end'!D157,"")</f>
        <v>Professional and Support Services</v>
      </c>
      <c r="E477" s="1788"/>
      <c r="F477" s="1788"/>
      <c r="G477" s="1789"/>
      <c r="H477" s="618">
        <f>'Non TB - Note 25 to end'!H157</f>
        <v>0</v>
      </c>
      <c r="I477" s="618">
        <f>'Non TB - Note 25 to end'!H158</f>
        <v>0</v>
      </c>
      <c r="J477" s="618">
        <f>'Non TB - Note 25 to end'!I157</f>
        <v>0</v>
      </c>
      <c r="K477" s="618">
        <f>'Non TB - Note 25 to end'!I158</f>
        <v>0</v>
      </c>
    </row>
    <row r="478" spans="1:11" x14ac:dyDescent="0.3">
      <c r="A478" s="3" t="str">
        <f>IF(AND(K478=0,H478=0,I478=0,J478=0),"Do Not Print","Print")</f>
        <v>Do Not Print</v>
      </c>
      <c r="D478" s="1787" t="str">
        <f>IF('Non TB - Note 25 to end'!F159=1,'Non TB - Note 25 to end'!D159,"")</f>
        <v>Provision of Car Parking Facilities</v>
      </c>
      <c r="E478" s="1788"/>
      <c r="F478" s="1788"/>
      <c r="G478" s="1789"/>
      <c r="H478" s="618">
        <f>'Non TB - Note 25 to end'!H160</f>
        <v>0</v>
      </c>
      <c r="I478" s="618">
        <f>'Non TB - Note 25 to end'!H160</f>
        <v>0</v>
      </c>
      <c r="J478" s="618">
        <f>'Non TB - Note 25 to end'!I159</f>
        <v>0</v>
      </c>
      <c r="K478" s="618">
        <f>'Non TB - Note 25 to end'!I160</f>
        <v>0</v>
      </c>
    </row>
    <row r="479" spans="1:11" x14ac:dyDescent="0.3">
      <c r="A479" s="3" t="str">
        <f>IF(A478="Print","Print","Do Not Print")</f>
        <v>Do Not Print</v>
      </c>
      <c r="D479" s="2012"/>
      <c r="E479" s="2012"/>
      <c r="F479" s="2012"/>
      <c r="G479" s="2012"/>
      <c r="H479" s="2012"/>
      <c r="I479" s="2012"/>
      <c r="J479" s="2012"/>
      <c r="K479" s="2012"/>
    </row>
    <row r="480" spans="1:11" x14ac:dyDescent="0.3">
      <c r="A480" s="3" t="str">
        <f>IF(AND(H480=0,I480=0,J480=0,K480=0),"Do Not Print","Print")</f>
        <v>Do Not Print</v>
      </c>
      <c r="D480" s="1787" t="s">
        <v>74</v>
      </c>
      <c r="E480" s="1788"/>
      <c r="F480" s="1788"/>
      <c r="G480" s="1789"/>
      <c r="H480" s="620">
        <f>SUM(H475:H478)</f>
        <v>0</v>
      </c>
      <c r="I480" s="620">
        <f>SUM(I475:I478)</f>
        <v>0</v>
      </c>
      <c r="J480" s="620">
        <f>SUM(J475:J478)</f>
        <v>0</v>
      </c>
      <c r="K480" s="620">
        <f>SUM(K475:K478)</f>
        <v>0</v>
      </c>
    </row>
    <row r="481" spans="1:19" x14ac:dyDescent="0.3">
      <c r="A481" s="3" t="str">
        <f>IF(A480="Print","Print","Do Not Print")</f>
        <v>Do Not Print</v>
      </c>
      <c r="D481" s="1787"/>
      <c r="E481" s="1788"/>
      <c r="F481" s="1788"/>
      <c r="G481" s="1788"/>
      <c r="H481" s="1788"/>
      <c r="I481" s="1788"/>
      <c r="J481" s="1788"/>
      <c r="K481" s="1789"/>
      <c r="M481" s="2050" t="str">
        <f>J13</f>
        <v>2025/26</v>
      </c>
      <c r="N481" s="2050"/>
      <c r="O481" s="2051" t="str">
        <f>K13</f>
        <v>2024/25</v>
      </c>
      <c r="P481" s="2051"/>
    </row>
    <row r="482" spans="1:19" x14ac:dyDescent="0.3">
      <c r="A482" s="3" t="str">
        <f>IF(A481="Print","Print","Do Not Print")</f>
        <v>Do Not Print</v>
      </c>
      <c r="D482" s="1769"/>
      <c r="E482" s="1769"/>
      <c r="F482" s="1769"/>
      <c r="G482" s="1769"/>
      <c r="H482" s="1769"/>
      <c r="I482" s="1769"/>
      <c r="J482" s="1769"/>
      <c r="K482" s="1769"/>
      <c r="L482" s="6"/>
      <c r="M482" s="3" t="s">
        <v>937</v>
      </c>
      <c r="N482" s="3" t="s">
        <v>1611</v>
      </c>
      <c r="O482" s="3" t="s">
        <v>937</v>
      </c>
      <c r="P482" s="3" t="s">
        <v>1611</v>
      </c>
    </row>
    <row r="483" spans="1:19" ht="14.4" x14ac:dyDescent="0.3">
      <c r="A483" s="3" t="str">
        <f>IF(OR(A485="Print",A487="Print",A489="Print",A491="Print"),"Print","Do Not Print")</f>
        <v>Print</v>
      </c>
      <c r="B483" s="585">
        <f>Checklist!E154</f>
        <v>30</v>
      </c>
      <c r="D483" s="474" t="s">
        <v>330</v>
      </c>
      <c r="E483" s="474"/>
      <c r="F483" s="474"/>
      <c r="G483" s="474"/>
      <c r="H483" s="604"/>
      <c r="I483" s="604"/>
      <c r="J483" s="604"/>
      <c r="K483" s="604"/>
      <c r="L483" s="104" t="s">
        <v>968</v>
      </c>
      <c r="M483" s="204">
        <f>SUM(H475:H478)+'Notes 3 to 10'!E458</f>
        <v>0</v>
      </c>
      <c r="N483" s="204">
        <f>SUM(I475:I478)+'Notes 3 to 10'!E459</f>
        <v>0</v>
      </c>
      <c r="O483" s="204">
        <f>SUM(J475:J478)+'Notes 3 to 10'!F458</f>
        <v>0</v>
      </c>
      <c r="P483" s="204">
        <f>SUM(K475:K478)+'Notes 3 to 10'!F459</f>
        <v>0</v>
      </c>
      <c r="Q483" s="3" t="s">
        <v>1610</v>
      </c>
    </row>
    <row r="484" spans="1:19" x14ac:dyDescent="0.3">
      <c r="A484" s="3" t="str">
        <f>IF(A483="Print","Print","Do Not Print")</f>
        <v>Print</v>
      </c>
      <c r="D484" s="401"/>
    </row>
    <row r="485" spans="1:19" ht="73.5" customHeight="1" x14ac:dyDescent="0.3">
      <c r="A485" s="3" t="str">
        <f>IF('Non TB - Note 25 to end'!F161=1,"Print","Do Not Print")</f>
        <v>Print</v>
      </c>
      <c r="D485" s="1504" t="str">
        <f>IF('Non TB - Note 25 to end'!F161=1,'Non TB - Note 25 to end'!H161,"")</f>
        <v xml:space="preserve">The Council provides specialist payroll services to the local Museum and Arts Centre. The Museum and Arts Centre pay a management fee of approximately x% of payroll payments made to their employees, to the Council. This management fee less expenditure incurred by the Council in providing these payroll services amounted to £x (2024/25 £y). £X was outstanding at 31 March 2026. Transactions relating to Agency Services are included within (e.g.) other services in Cost of Services on Continuing Operations in the Comprehensive Income and Expenditure Statement. </v>
      </c>
      <c r="E485" s="1504"/>
      <c r="F485" s="1504"/>
      <c r="G485" s="1504"/>
      <c r="H485" s="1504"/>
      <c r="I485" s="1504"/>
      <c r="J485" s="1504"/>
      <c r="K485" s="1504"/>
      <c r="L485" s="2052" t="s">
        <v>943</v>
      </c>
      <c r="M485" s="2052"/>
      <c r="N485" s="2052"/>
      <c r="O485" s="2052"/>
      <c r="P485" s="2052"/>
      <c r="Q485" s="2052"/>
      <c r="R485" s="2052"/>
      <c r="S485" s="2052"/>
    </row>
    <row r="486" spans="1:19" x14ac:dyDescent="0.3">
      <c r="A486" s="3" t="str">
        <f>IF(A485="Print","Print","Do Not Print")</f>
        <v>Print</v>
      </c>
      <c r="D486" s="1500"/>
      <c r="E486" s="1500"/>
      <c r="F486" s="1500"/>
      <c r="G486" s="1500"/>
      <c r="H486" s="1500"/>
      <c r="I486" s="1500"/>
      <c r="J486" s="1500"/>
      <c r="K486" s="1500"/>
    </row>
    <row r="487" spans="1:19" x14ac:dyDescent="0.3">
      <c r="A487" s="3" t="str">
        <f>IF('Non TB - Note 25 to end'!F162=1,"Print","Do Not Print")</f>
        <v>Print</v>
      </c>
      <c r="D487" s="1500" t="str">
        <f>IF('Non TB - Note 25 to end'!F162=1,'Non TB - Note 25 to end'!H162,"")</f>
        <v>Additional narrative</v>
      </c>
      <c r="E487" s="1500"/>
      <c r="F487" s="1500"/>
      <c r="G487" s="1500"/>
      <c r="H487" s="1500"/>
      <c r="I487" s="1500"/>
      <c r="J487" s="1500"/>
      <c r="K487" s="1500"/>
    </row>
    <row r="488" spans="1:19" x14ac:dyDescent="0.3">
      <c r="A488" s="3" t="str">
        <f>IF(A487="Print","Print","Do Not Print")</f>
        <v>Print</v>
      </c>
      <c r="D488" s="1500"/>
      <c r="E488" s="1500"/>
      <c r="F488" s="1500"/>
      <c r="G488" s="1500"/>
      <c r="H488" s="1500"/>
      <c r="I488" s="1500"/>
      <c r="J488" s="1500"/>
      <c r="K488" s="1500"/>
    </row>
    <row r="489" spans="1:19" x14ac:dyDescent="0.3">
      <c r="A489" s="3" t="str">
        <f>IF('Non TB - Note 25 to end'!F163=1,"Print","Do Not Print")</f>
        <v>Print</v>
      </c>
      <c r="D489" s="1500" t="str">
        <f>IF('Non TB - Note 25 to end'!F163=1,'Non TB - Note 25 to end'!H163,"")</f>
        <v>Additional narrative</v>
      </c>
      <c r="E489" s="1500"/>
      <c r="F489" s="1500"/>
      <c r="G489" s="1500"/>
      <c r="H489" s="1500"/>
      <c r="I489" s="1500"/>
      <c r="J489" s="1500"/>
      <c r="K489" s="1500"/>
    </row>
    <row r="490" spans="1:19" x14ac:dyDescent="0.3">
      <c r="A490" s="3" t="str">
        <f>IF(A489="Print","Print","Do Not Print")</f>
        <v>Print</v>
      </c>
      <c r="D490" s="1500"/>
      <c r="E490" s="1500"/>
      <c r="F490" s="1500"/>
      <c r="G490" s="1500"/>
      <c r="H490" s="1500"/>
      <c r="I490" s="1500"/>
      <c r="J490" s="1500"/>
      <c r="K490" s="1500"/>
    </row>
    <row r="491" spans="1:19" x14ac:dyDescent="0.3">
      <c r="A491" s="3" t="str">
        <f>IF('Non TB - Note 25 to end'!F164=1,"Print","Do Not Print")</f>
        <v>Print</v>
      </c>
      <c r="D491" s="1500" t="str">
        <f>IF('Non TB - Note 25 to end'!F164=1,'Non TB - Note 25 to end'!H164,"")</f>
        <v>Additional narrative</v>
      </c>
      <c r="E491" s="1500"/>
      <c r="F491" s="1500"/>
      <c r="G491" s="1500"/>
      <c r="H491" s="1500"/>
      <c r="I491" s="1500"/>
      <c r="J491" s="1500"/>
      <c r="K491" s="1500"/>
    </row>
    <row r="492" spans="1:19" x14ac:dyDescent="0.3">
      <c r="A492" s="3" t="str">
        <f>IF(A491="Print","Print","Do Not Print")</f>
        <v>Print</v>
      </c>
      <c r="D492" s="1500"/>
      <c r="E492" s="1500"/>
      <c r="F492" s="1500"/>
      <c r="G492" s="1500"/>
      <c r="H492" s="1500"/>
      <c r="I492" s="1500"/>
      <c r="J492" s="1500"/>
      <c r="K492" s="1500"/>
    </row>
    <row r="493" spans="1:19" x14ac:dyDescent="0.3">
      <c r="A493" s="3" t="str">
        <f>IF(A494="Print","Print","Do Not Print")</f>
        <v>Print</v>
      </c>
      <c r="D493" s="1542"/>
      <c r="E493" s="1542"/>
      <c r="F493" s="1542"/>
      <c r="G493" s="1542"/>
      <c r="H493" s="1542"/>
      <c r="I493" s="1542"/>
      <c r="J493" s="1542"/>
      <c r="K493" s="1542"/>
    </row>
    <row r="494" spans="1:19" x14ac:dyDescent="0.3">
      <c r="A494" s="3" t="str">
        <f>IF(OR(A496="Print",A498="Print",A500="Print",A502="Print",A510="Print",A512="Print",A528="Print"),"Print","Do Not Print")</f>
        <v>Print</v>
      </c>
      <c r="B494" s="585">
        <f>Checklist!E155</f>
        <v>31</v>
      </c>
      <c r="D494" s="474" t="str">
        <f>Checklist!C155</f>
        <v>Joint Arrangements</v>
      </c>
      <c r="E494" s="474"/>
      <c r="F494" s="474"/>
      <c r="G494" s="474"/>
      <c r="H494" s="604"/>
      <c r="I494" s="604"/>
      <c r="J494" s="604"/>
      <c r="K494" s="604"/>
    </row>
    <row r="495" spans="1:19" x14ac:dyDescent="0.3">
      <c r="A495" s="3" t="str">
        <f>IF(A494="Print","Print","Do Not Print")</f>
        <v>Print</v>
      </c>
      <c r="D495" s="1542"/>
      <c r="E495" s="1542"/>
      <c r="F495" s="1542"/>
      <c r="G495" s="1542"/>
      <c r="H495" s="1542"/>
      <c r="I495" s="1542"/>
      <c r="J495" s="1542"/>
      <c r="K495" s="1542"/>
    </row>
    <row r="496" spans="1:19" ht="29.25" customHeight="1" x14ac:dyDescent="0.3">
      <c r="A496" s="3" t="str">
        <f>IF('Non TB - Note 25 to end'!F165=1,"Print","Do Not Print")</f>
        <v>Print</v>
      </c>
      <c r="D496" s="1504" t="str">
        <f>IF('Non TB - Note 25 to end'!F165=1,'Non TB - Note 25 to end'!H165,"")</f>
        <v xml:space="preserve">Tullyvar Joint Committee is a landfill site jointly owned and managed by Mid Ulster District Council and Fermanagh and Omagh District Council. </v>
      </c>
      <c r="E496" s="1504"/>
      <c r="F496" s="1504"/>
      <c r="G496" s="1504"/>
      <c r="H496" s="1504"/>
      <c r="I496" s="1504"/>
      <c r="J496" s="1504"/>
      <c r="K496" s="1504"/>
    </row>
    <row r="497" spans="1:12" x14ac:dyDescent="0.3">
      <c r="A497" s="3" t="str">
        <f>IF(A496="Print","Print","Do Not Print")</f>
        <v>Print</v>
      </c>
      <c r="D497" s="1500"/>
      <c r="E497" s="1500"/>
      <c r="F497" s="1500"/>
      <c r="G497" s="1500"/>
      <c r="H497" s="1500"/>
      <c r="I497" s="1500"/>
      <c r="J497" s="1500"/>
      <c r="K497" s="1500"/>
    </row>
    <row r="498" spans="1:12" ht="107.55" customHeight="1" x14ac:dyDescent="0.3">
      <c r="A498" s="3" t="str">
        <f>IF('Non TB - Note 25 to end'!F166=1,"Print","Do Not Print")</f>
        <v>Print</v>
      </c>
      <c r="D498" s="1504" t="str">
        <f>IF('Non TB - Note 25 to end'!F166=1,'Non TB - Note 25 to end'!H166,"")</f>
        <v>The financial provision for landfill capping and aftercare costs was reviewed in the year and discounted in accordance with IAS 37, this resulted in a total discounted provision of £xx (2024/25 £xx). Also, in accordance with IAS 37, the provision is based on the percentage utilisation of the site which has been changed from xx% in the previous year to xx% currently and calculated to be £xx (2024/25 £xx). This is to bring the assumptions into line with the current management position that the site is to be "mothballed" for a number of years with the potential for re-opening to fill cell 4. The Northern Ireland Environment Agency have reviewed Tullyvar's financial provision for landfill capping and aftercare costs in line with its paper "Financial Provision for waste management activities in NI" and have confirmed they are comfortable with the current provision.</v>
      </c>
      <c r="E498" s="1504"/>
      <c r="F498" s="1504"/>
      <c r="G498" s="1504"/>
      <c r="H498" s="1504"/>
      <c r="I498" s="1504"/>
      <c r="J498" s="1504"/>
      <c r="K498" s="1504"/>
    </row>
    <row r="499" spans="1:12" x14ac:dyDescent="0.3">
      <c r="A499" s="3" t="str">
        <f>IF(A498="Print","Print","Do Not Print")</f>
        <v>Print</v>
      </c>
      <c r="D499" s="1500"/>
      <c r="E499" s="1500"/>
      <c r="F499" s="1500"/>
      <c r="G499" s="1500"/>
      <c r="H499" s="1500"/>
      <c r="I499" s="1500"/>
      <c r="J499" s="1500"/>
      <c r="K499" s="1500"/>
    </row>
    <row r="500" spans="1:12" ht="47.25" customHeight="1" x14ac:dyDescent="0.3">
      <c r="A500" s="3" t="str">
        <f>IF('Non TB - Note 25 to end'!F167=1,"Print","Do Not Print")</f>
        <v>Print</v>
      </c>
      <c r="D500" s="1504" t="str">
        <f>IF('Non TB - Note 25 to end'!F167=1,'Non TB - Note 25 to end'!H167,"")</f>
        <v>Golder Associates previously reviewed the site gas generation potential and modelled the income projection.  Their model has been reviewed by management to reflect more recent actual gas generation and income figures.  The future projected discounted gas income is £xx over the next 9 years (2024/25 £xx)</v>
      </c>
      <c r="E500" s="1504"/>
      <c r="F500" s="1504"/>
      <c r="G500" s="1504"/>
      <c r="H500" s="1504"/>
      <c r="I500" s="1504"/>
      <c r="J500" s="1504"/>
      <c r="K500" s="1504"/>
    </row>
    <row r="501" spans="1:12" x14ac:dyDescent="0.3">
      <c r="A501" s="3" t="str">
        <f>IF(A500="Print","Print","Do Not Print")</f>
        <v>Print</v>
      </c>
      <c r="D501" s="1500"/>
      <c r="E501" s="1500"/>
      <c r="F501" s="1500"/>
      <c r="G501" s="1500"/>
      <c r="H501" s="1500"/>
      <c r="I501" s="1500"/>
      <c r="J501" s="1500"/>
      <c r="K501" s="1500"/>
    </row>
    <row r="502" spans="1:12" ht="31.5" customHeight="1" x14ac:dyDescent="0.3">
      <c r="A502" s="3" t="str">
        <f>IF('Non TB - Note 25 to end'!F168=1,"Print","Do Not Print")</f>
        <v>Print</v>
      </c>
      <c r="D502" s="1504" t="str">
        <f>IF('Non TB - Note 25 to end'!F168=1,'Non TB - Note 25 to end'!H168,"")</f>
        <v>The value of Mid Ulster's investment in Tullyvar is £xx (2024/25 £xx) which represents half of Tullyvar's net assets employed and is broken down as follows:-</v>
      </c>
      <c r="E502" s="1504"/>
      <c r="F502" s="1504"/>
      <c r="G502" s="1504"/>
      <c r="H502" s="1504"/>
      <c r="I502" s="1504"/>
      <c r="J502" s="1504"/>
      <c r="K502" s="1504"/>
    </row>
    <row r="503" spans="1:12" x14ac:dyDescent="0.3">
      <c r="A503" s="3" t="str">
        <f>IF(A502="Print","Print","Do Not Print")</f>
        <v>Print</v>
      </c>
      <c r="D503" s="1500"/>
      <c r="E503" s="1500"/>
      <c r="F503" s="1500"/>
      <c r="G503" s="1500"/>
      <c r="H503" s="1500"/>
      <c r="I503" s="1500"/>
      <c r="J503" s="1500"/>
      <c r="K503" s="1500"/>
    </row>
    <row r="504" spans="1:12" x14ac:dyDescent="0.3">
      <c r="A504" s="3" t="str">
        <f>IF(A506="Print","Print","Do Not Print")</f>
        <v>Do Not Print</v>
      </c>
      <c r="D504" s="401"/>
      <c r="E504" s="2029"/>
      <c r="F504" s="2029"/>
      <c r="G504" s="2029"/>
      <c r="H504" s="2025" t="str">
        <f>J13</f>
        <v>2025/26</v>
      </c>
      <c r="I504" s="2026"/>
      <c r="J504" s="2025" t="s">
        <v>2856</v>
      </c>
      <c r="K504" s="2026"/>
    </row>
    <row r="505" spans="1:12" x14ac:dyDescent="0.3">
      <c r="A505" s="3" t="str">
        <f>IF(A506="Print","Print","Do Not Print")</f>
        <v>Do Not Print</v>
      </c>
      <c r="D505" s="401"/>
      <c r="E505" s="2029"/>
      <c r="F505" s="2029"/>
      <c r="G505" s="2029"/>
      <c r="H505" s="2027" t="s">
        <v>450</v>
      </c>
      <c r="I505" s="2027"/>
      <c r="J505" s="2027" t="s">
        <v>450</v>
      </c>
      <c r="K505" s="2027"/>
    </row>
    <row r="506" spans="1:12" x14ac:dyDescent="0.3">
      <c r="A506" s="3" t="str">
        <f>IF(AND(H506=0,J506=0),"Do Not Print","Print")</f>
        <v>Do Not Print</v>
      </c>
      <c r="D506" s="401"/>
      <c r="E506" s="2024" t="s">
        <v>1644</v>
      </c>
      <c r="F506" s="2024"/>
      <c r="G506" s="2024"/>
      <c r="H506" s="2028">
        <f>'Non TB - Note 25 to end'!H169</f>
        <v>0</v>
      </c>
      <c r="I506" s="2028"/>
      <c r="J506" s="2028">
        <f>'Non TB - Note 25 to end'!I169</f>
        <v>0</v>
      </c>
      <c r="K506" s="2028"/>
      <c r="L506" s="3"/>
    </row>
    <row r="507" spans="1:12" x14ac:dyDescent="0.3">
      <c r="A507" s="3" t="str">
        <f>IF(AND(H507=0,J507=0),"Do Not Print","Print")</f>
        <v>Do Not Print</v>
      </c>
      <c r="D507" s="401"/>
      <c r="E507" s="2024" t="s">
        <v>1645</v>
      </c>
      <c r="F507" s="2024"/>
      <c r="G507" s="2024"/>
      <c r="H507" s="2028">
        <f>'Non TB - Note 25 to end'!H170</f>
        <v>0</v>
      </c>
      <c r="I507" s="2028"/>
      <c r="J507" s="2028">
        <f>'Non TB - Note 25 to end'!I170</f>
        <v>0</v>
      </c>
      <c r="K507" s="2028"/>
    </row>
    <row r="508" spans="1:12" x14ac:dyDescent="0.3">
      <c r="A508" s="3" t="str">
        <f>IF(AND(H508=0,J508=0),"Do Not Print","Print")</f>
        <v>Do Not Print</v>
      </c>
      <c r="D508" s="401"/>
      <c r="E508" s="2024" t="s">
        <v>75</v>
      </c>
      <c r="F508" s="2024"/>
      <c r="G508" s="2024"/>
      <c r="H508" s="2028">
        <f>'Non TB - Note 25 to end'!H171</f>
        <v>0</v>
      </c>
      <c r="I508" s="2028"/>
      <c r="J508" s="2028">
        <f>'Non TB - Note 25 to end'!I171</f>
        <v>0</v>
      </c>
      <c r="K508" s="2028"/>
    </row>
    <row r="509" spans="1:12" x14ac:dyDescent="0.3">
      <c r="A509" s="3" t="str">
        <f>IF(AND(H509=0,J509=0),"Do Not Print","Print")</f>
        <v>Do Not Print</v>
      </c>
      <c r="D509" s="401"/>
      <c r="E509" s="2024" t="s">
        <v>76</v>
      </c>
      <c r="F509" s="2024"/>
      <c r="G509" s="2024"/>
      <c r="H509" s="2028">
        <f>'Non TB - Note 25 to end'!H172</f>
        <v>0</v>
      </c>
      <c r="I509" s="2028"/>
      <c r="J509" s="2028">
        <f>'Non TB - Note 25 to end'!I172</f>
        <v>0</v>
      </c>
      <c r="K509" s="2028"/>
    </row>
    <row r="510" spans="1:12" s="6" customFormat="1" x14ac:dyDescent="0.3">
      <c r="A510" s="3" t="str">
        <f>IF(AND(H510=0,J510=0),"Do Not Print","Print")</f>
        <v>Do Not Print</v>
      </c>
      <c r="B510" s="585"/>
      <c r="C510" s="585"/>
      <c r="D510" s="405"/>
      <c r="E510" s="2022" t="s">
        <v>1646</v>
      </c>
      <c r="F510" s="2022"/>
      <c r="G510" s="2022"/>
      <c r="H510" s="2023">
        <f>SUM(H506:I509)</f>
        <v>0</v>
      </c>
      <c r="I510" s="2023"/>
      <c r="J510" s="2023">
        <f>SUM(J506:K509)</f>
        <v>0</v>
      </c>
      <c r="K510" s="2023"/>
    </row>
    <row r="511" spans="1:12" x14ac:dyDescent="0.3">
      <c r="A511" s="3" t="str">
        <f>IF(A510="Print","Print","Do Not Print")</f>
        <v>Do Not Print</v>
      </c>
      <c r="D511" s="401"/>
    </row>
    <row r="512" spans="1:12" ht="31.5" customHeight="1" x14ac:dyDescent="0.3">
      <c r="A512" s="3" t="str">
        <f>IF('Non TB - Note 25 to end'!F173=1,"Print","Do Not Print")</f>
        <v>Print</v>
      </c>
      <c r="D512" s="1504" t="str">
        <f>IF('Non TB - Note 25 to end'!F173=1,'Non TB - Note 25 to end'!H173,"")</f>
        <v>The movement in Mid Ulster District Council's investment in Tullyvar is a decrease of £xx (2024/25£xx) which is broken down as follows:-</v>
      </c>
      <c r="E512" s="1504"/>
      <c r="F512" s="1504"/>
      <c r="G512" s="1504"/>
      <c r="H512" s="1504"/>
      <c r="I512" s="1504"/>
      <c r="J512" s="1504"/>
      <c r="K512" s="1504"/>
    </row>
    <row r="513" spans="1:13" x14ac:dyDescent="0.3">
      <c r="A513" s="3" t="str">
        <f>IF(A512="Print","Print","Do Not Print")</f>
        <v>Print</v>
      </c>
      <c r="D513" s="401"/>
    </row>
    <row r="514" spans="1:13" x14ac:dyDescent="0.3">
      <c r="A514" s="3" t="str">
        <f>IF(A528="Print","Print","Do Not Print")</f>
        <v>Do Not Print</v>
      </c>
      <c r="D514" s="401"/>
      <c r="E514" s="2029"/>
      <c r="F514" s="2029"/>
      <c r="G514" s="2029"/>
      <c r="H514" s="2025" t="str">
        <f>J13</f>
        <v>2025/26</v>
      </c>
      <c r="I514" s="2026"/>
      <c r="J514" s="2025" t="str">
        <f>J504</f>
        <v>2023/24</v>
      </c>
      <c r="K514" s="2026"/>
    </row>
    <row r="515" spans="1:13" x14ac:dyDescent="0.3">
      <c r="A515" s="3" t="str">
        <f>IF(A514="Print","Print","Do Not Print")</f>
        <v>Do Not Print</v>
      </c>
      <c r="D515" s="401"/>
      <c r="E515" s="2029"/>
      <c r="F515" s="2029"/>
      <c r="G515" s="2029"/>
      <c r="H515" s="2027" t="s">
        <v>450</v>
      </c>
      <c r="I515" s="2027"/>
      <c r="J515" s="2027" t="s">
        <v>450</v>
      </c>
      <c r="K515" s="2027"/>
    </row>
    <row r="516" spans="1:13" x14ac:dyDescent="0.3">
      <c r="A516" s="3" t="str">
        <f>IF(AND(H516=0,J516=0),"Do Not Print","Print")</f>
        <v>Do Not Print</v>
      </c>
      <c r="D516" s="401"/>
      <c r="E516" s="2024" t="str">
        <f>'Input -CIES'!H99</f>
        <v>Sales</v>
      </c>
      <c r="F516" s="2024"/>
      <c r="G516" s="2024"/>
      <c r="H516" s="2028">
        <f>'Non TB - Note 25 to end'!H174</f>
        <v>0</v>
      </c>
      <c r="I516" s="2028"/>
      <c r="J516" s="2028">
        <f>'Non TB - Note 25 to end'!I174</f>
        <v>0</v>
      </c>
      <c r="K516" s="2028"/>
    </row>
    <row r="517" spans="1:13" x14ac:dyDescent="0.3">
      <c r="A517" s="3" t="str">
        <f>IF(AND(H517=0,J517=0),"Do Not Print","Print")</f>
        <v>Do Not Print</v>
      </c>
      <c r="D517" s="401"/>
      <c r="E517" s="2024" t="str">
        <f>'Input -CIES'!H100</f>
        <v>Gas Income</v>
      </c>
      <c r="F517" s="2024"/>
      <c r="G517" s="2024"/>
      <c r="H517" s="2028">
        <f>'Non TB - Note 25 to end'!H175</f>
        <v>0</v>
      </c>
      <c r="I517" s="2028"/>
      <c r="J517" s="2028">
        <f>'Non TB - Note 25 to end'!I175</f>
        <v>0</v>
      </c>
      <c r="K517" s="2028"/>
    </row>
    <row r="518" spans="1:13" x14ac:dyDescent="0.3">
      <c r="A518" s="3" t="str">
        <f>IF(AND(H518=0,J518=0),"Do Not Print","Print")</f>
        <v>Do Not Print</v>
      </c>
      <c r="D518" s="401"/>
      <c r="E518" s="2024" t="str">
        <f>'Input -CIES'!H101</f>
        <v>Other</v>
      </c>
      <c r="F518" s="2024"/>
      <c r="G518" s="2024"/>
      <c r="H518" s="2028">
        <f>'Non TB - Note 25 to end'!H176</f>
        <v>0</v>
      </c>
      <c r="I518" s="2028"/>
      <c r="J518" s="2028">
        <f>'Non TB - Note 25 to end'!I176</f>
        <v>0</v>
      </c>
      <c r="K518" s="2028"/>
    </row>
    <row r="519" spans="1:13" s="6" customFormat="1" x14ac:dyDescent="0.3">
      <c r="A519" s="3" t="str">
        <f>IF(AND(H519=0,J519=0),"Do Not Print","Print")</f>
        <v>Do Not Print</v>
      </c>
      <c r="B519" s="585"/>
      <c r="C519" s="585"/>
      <c r="D519" s="405"/>
      <c r="E519" s="2022" t="s">
        <v>1654</v>
      </c>
      <c r="F519" s="2022"/>
      <c r="G519" s="2022"/>
      <c r="H519" s="2023">
        <f>SUM(H516:I518)</f>
        <v>0</v>
      </c>
      <c r="I519" s="2023"/>
      <c r="J519" s="2023">
        <f>SUM(J516:K518)</f>
        <v>0</v>
      </c>
      <c r="K519" s="2023"/>
    </row>
    <row r="520" spans="1:13" x14ac:dyDescent="0.3">
      <c r="A520" s="3" t="str">
        <f>IF(A521="Print","Print","Do Not Print")</f>
        <v>Print</v>
      </c>
      <c r="D520" s="401"/>
      <c r="E520" s="2024"/>
      <c r="F520" s="2024"/>
      <c r="G520" s="2024"/>
      <c r="H520" s="2028"/>
      <c r="I520" s="2028"/>
      <c r="J520" s="2028"/>
      <c r="K520" s="2028"/>
    </row>
    <row r="521" spans="1:13" x14ac:dyDescent="0.3">
      <c r="A521" s="3" t="str">
        <f>IF(AND(H521=0,J521=0,),"Do Not Print","Print")</f>
        <v>Print</v>
      </c>
      <c r="D521" s="401"/>
      <c r="E521" s="2015" t="str">
        <f>'Input -CIES'!H102</f>
        <v>Administration Costs</v>
      </c>
      <c r="F521" s="2015"/>
      <c r="G521" s="2015"/>
      <c r="H521" s="2017">
        <f>'Non TB - Note 25 to end'!H177</f>
        <v>0</v>
      </c>
      <c r="I521" s="2017"/>
      <c r="J521" s="2017">
        <f>'Non TB - Note 25 to end'!I177</f>
        <v>0</v>
      </c>
      <c r="K521" s="2017"/>
    </row>
    <row r="522" spans="1:13" x14ac:dyDescent="0.3">
      <c r="A522" s="3" t="str">
        <f>IF(AND(H522=0,J522=0,),"Do Not Print","Print")</f>
        <v>Print</v>
      </c>
      <c r="D522" s="401"/>
      <c r="E522" s="2015" t="str">
        <f>'Input -CIES'!H103</f>
        <v>Operating Costs</v>
      </c>
      <c r="F522" s="2015"/>
      <c r="G522" s="2015"/>
      <c r="H522" s="2017">
        <f>'Non TB - Note 25 to end'!H178</f>
        <v>0</v>
      </c>
      <c r="I522" s="2017"/>
      <c r="J522" s="2017">
        <f>'Non TB - Note 25 to end'!I178</f>
        <v>0</v>
      </c>
      <c r="K522" s="2017"/>
    </row>
    <row r="523" spans="1:13" s="6" customFormat="1" x14ac:dyDescent="0.3">
      <c r="A523" s="3" t="str">
        <f>IF(AND(H523=0,J523=0,),"Do Not Print","Print")</f>
        <v>Print</v>
      </c>
      <c r="B523" s="585"/>
      <c r="C523" s="585"/>
      <c r="D523" s="405"/>
      <c r="E523" s="2016" t="s">
        <v>1657</v>
      </c>
      <c r="F523" s="2016"/>
      <c r="G523" s="2016"/>
      <c r="H523" s="2018">
        <f>SUM(H521:I522)</f>
        <v>0</v>
      </c>
      <c r="I523" s="2018"/>
      <c r="J523" s="2018">
        <f>SUM(J521:K522)</f>
        <v>0</v>
      </c>
      <c r="K523" s="2018"/>
      <c r="L523" s="183"/>
      <c r="M523" s="183"/>
    </row>
    <row r="524" spans="1:13" x14ac:dyDescent="0.3">
      <c r="A524" s="3" t="str">
        <f>IF(A523="Print","Print","Do Not Print")</f>
        <v>Print</v>
      </c>
      <c r="D524" s="401"/>
      <c r="E524" s="2015"/>
      <c r="F524" s="2015"/>
      <c r="G524" s="2015"/>
      <c r="H524" s="2018"/>
      <c r="I524" s="2018"/>
      <c r="J524" s="2020"/>
      <c r="K524" s="2020"/>
    </row>
    <row r="525" spans="1:13" x14ac:dyDescent="0.3">
      <c r="A525" s="3" t="str">
        <f>IF(AND(H525=0,J525=0,),"Do Not Print","Print")</f>
        <v>Print</v>
      </c>
      <c r="D525" s="401"/>
      <c r="E525" s="2015" t="s">
        <v>1658</v>
      </c>
      <c r="F525" s="2015"/>
      <c r="G525" s="2015"/>
      <c r="H525" s="2019">
        <f>'Non TB - Note 25 to end'!H179</f>
        <v>0</v>
      </c>
      <c r="I525" s="2019"/>
      <c r="J525" s="2017">
        <f>'Non TB - Note 25 to end'!I179</f>
        <v>0</v>
      </c>
      <c r="K525" s="2017"/>
    </row>
    <row r="526" spans="1:13" x14ac:dyDescent="0.3">
      <c r="A526" s="3" t="str">
        <f>IF(AND(H526=0,J526=0,),"Do Not Print","Print")</f>
        <v>Print</v>
      </c>
      <c r="D526" s="401"/>
      <c r="E526" s="2015" t="s">
        <v>1659</v>
      </c>
      <c r="F526" s="2015"/>
      <c r="G526" s="2015"/>
      <c r="H526" s="2019">
        <f>'Non TB - Note 25 to end'!H180</f>
        <v>0</v>
      </c>
      <c r="I526" s="2019"/>
      <c r="J526" s="2017">
        <f>'Non TB - Note 25 to end'!I180</f>
        <v>0</v>
      </c>
      <c r="K526" s="2017"/>
    </row>
    <row r="527" spans="1:13" x14ac:dyDescent="0.3">
      <c r="A527" s="3" t="str">
        <f>IF(A526="Print","Print","Do Not Print")</f>
        <v>Print</v>
      </c>
      <c r="D527" s="401"/>
      <c r="E527" s="2015" t="s">
        <v>2219</v>
      </c>
      <c r="F527" s="2015"/>
      <c r="G527" s="2015"/>
      <c r="H527" s="2020">
        <v>0</v>
      </c>
      <c r="I527" s="2020"/>
      <c r="J527" s="2020">
        <v>0</v>
      </c>
      <c r="K527" s="2020"/>
    </row>
    <row r="528" spans="1:13" s="6" customFormat="1" x14ac:dyDescent="0.3">
      <c r="A528" s="3" t="str">
        <f>IF(AND(H528=0,J528=0),"Do Not Print","Print")</f>
        <v>Do Not Print</v>
      </c>
      <c r="B528" s="585"/>
      <c r="C528" s="585"/>
      <c r="D528" s="405"/>
      <c r="E528" s="2016" t="s">
        <v>1660</v>
      </c>
      <c r="F528" s="2016"/>
      <c r="G528" s="2016"/>
      <c r="H528" s="2021">
        <f>H519-H523-H525+H526+H527</f>
        <v>0</v>
      </c>
      <c r="I528" s="2021"/>
      <c r="J528" s="2021">
        <f>J519-J523-J525+J526+J527</f>
        <v>0</v>
      </c>
      <c r="K528" s="2021"/>
    </row>
    <row r="529" spans="1:19" x14ac:dyDescent="0.3">
      <c r="A529" s="3" t="str">
        <f>IF(A532="Print","Print","Do Not Print")</f>
        <v>Print</v>
      </c>
      <c r="D529" s="401"/>
    </row>
    <row r="530" spans="1:19" x14ac:dyDescent="0.3">
      <c r="A530" s="3" t="str">
        <f>IF('Non TB - Note 25 to end'!F181=1,"Print","Do Not Print")</f>
        <v>Print</v>
      </c>
      <c r="D530" s="1500" t="str">
        <f>IF('Non TB - Note 25 to end'!F181=1,'Non TB - Note 25 to end'!H181,"")</f>
        <v>Additional narrative</v>
      </c>
      <c r="E530" s="1500"/>
      <c r="F530" s="1500"/>
      <c r="G530" s="1500"/>
      <c r="H530" s="1500"/>
      <c r="I530" s="1500"/>
      <c r="J530" s="1500"/>
      <c r="K530" s="1500"/>
    </row>
    <row r="531" spans="1:19" x14ac:dyDescent="0.3">
      <c r="A531" s="3" t="str">
        <f>IF(A530="Print","Print","Do Not Print")</f>
        <v>Print</v>
      </c>
      <c r="D531" s="401"/>
    </row>
    <row r="532" spans="1:19" x14ac:dyDescent="0.3">
      <c r="A532" s="3" t="str">
        <f>IF(OR(A534="Print",A536="Print",A538="Print",A540="Print",A542="Print",A544="Print",A546="Print",A548="Print",A550="Print",A552="Print",A554="Print",A556="Print",A558="Print"),"Print","Do Not Print")</f>
        <v>Print</v>
      </c>
      <c r="B532" s="585">
        <f>Checklist!E156</f>
        <v>32</v>
      </c>
      <c r="D532" s="474" t="s">
        <v>331</v>
      </c>
      <c r="E532" s="474"/>
      <c r="F532" s="474"/>
      <c r="G532" s="474"/>
      <c r="H532" s="604"/>
      <c r="I532" s="604"/>
      <c r="J532" s="604"/>
      <c r="K532" s="604"/>
    </row>
    <row r="533" spans="1:19" x14ac:dyDescent="0.3">
      <c r="A533" s="3" t="str">
        <f>IF(A532="Print","Print","Do Not Print")</f>
        <v>Print</v>
      </c>
      <c r="D533" s="1726"/>
      <c r="E533" s="1726"/>
      <c r="F533" s="1726"/>
      <c r="G533" s="1726"/>
      <c r="H533" s="1726"/>
      <c r="I533" s="1726"/>
      <c r="J533" s="1726"/>
      <c r="K533" s="1726"/>
    </row>
    <row r="534" spans="1:19" ht="63" customHeight="1" x14ac:dyDescent="0.3">
      <c r="A534" s="3" t="str">
        <f>IF('Non TB - Note 25 to end'!F182=1,"Print","Do Not Print")</f>
        <v>Print</v>
      </c>
      <c r="D534" s="1504" t="str">
        <f>IF('Non TB - Note 25 to end'!F182=1,'Non TB - Note 25 to end'!H182,"")</f>
        <v>The Council is required to disclose material transactions with related parties - bodies or individuals that have the potential to control or influence the council or to be controlled or influenced by the council.  Disclosure of these transactions allows readers to assess the extent to which the council might have been constrained in its ability to operate independently or might have secured the ability to limit another party's ability to bargain freely with the council.</v>
      </c>
      <c r="E534" s="1504"/>
      <c r="F534" s="1504"/>
      <c r="G534" s="1504"/>
      <c r="H534" s="1504"/>
      <c r="I534" s="1504"/>
      <c r="J534" s="1504"/>
      <c r="K534" s="1504"/>
      <c r="L534" s="2052" t="s">
        <v>516</v>
      </c>
      <c r="M534" s="2052"/>
      <c r="N534" s="2052"/>
      <c r="O534" s="2052"/>
      <c r="P534" s="2052"/>
      <c r="Q534" s="2052"/>
      <c r="R534" s="2052"/>
      <c r="S534" s="2052"/>
    </row>
    <row r="535" spans="1:19" x14ac:dyDescent="0.3">
      <c r="A535" s="3" t="str">
        <f>IF(A534="Print","Print","Do Not Print")</f>
        <v>Print</v>
      </c>
      <c r="D535" s="1500"/>
      <c r="E535" s="1500"/>
      <c r="F535" s="1500"/>
      <c r="G535" s="1500"/>
      <c r="H535" s="1500"/>
      <c r="I535" s="1500"/>
      <c r="J535" s="1500"/>
      <c r="K535" s="1500"/>
    </row>
    <row r="536" spans="1:19" ht="56.1" customHeight="1" x14ac:dyDescent="0.3">
      <c r="A536" s="3" t="str">
        <f>IF('Non TB - Note 25 to end'!F183=1,"Print","Do Not Print")</f>
        <v>Print</v>
      </c>
      <c r="D536" s="1504" t="str">
        <f>IF('Non TB - Note 25 to end'!F183=1,'Non TB - Note 25 to end'!H183,"")</f>
        <v>Central government has significant influence over the general operations of the council - it is responsible for providing the statutory framework within which the council operates, provides the majority of its funding in the form of grants and prescribes the terms of many of the transactions that the council has with other parties.  Grant receipts outstanding at 31 March 2026 are shown in Note 4.</v>
      </c>
      <c r="E536" s="1504"/>
      <c r="F536" s="1504"/>
      <c r="G536" s="1504"/>
      <c r="H536" s="1504"/>
      <c r="I536" s="1504"/>
      <c r="J536" s="1504"/>
      <c r="K536" s="1504"/>
    </row>
    <row r="537" spans="1:19" x14ac:dyDescent="0.3">
      <c r="A537" s="3" t="str">
        <f>IF(A536="Print","Print","Do Not Print")</f>
        <v>Print</v>
      </c>
      <c r="D537" s="1500"/>
      <c r="E537" s="1500"/>
      <c r="F537" s="1500"/>
      <c r="G537" s="1500"/>
      <c r="H537" s="1500"/>
      <c r="I537" s="1500"/>
      <c r="J537" s="1500"/>
      <c r="K537" s="1500"/>
    </row>
    <row r="538" spans="1:19" ht="144.6" customHeight="1" x14ac:dyDescent="0.3">
      <c r="A538" s="3" t="str">
        <f>IF('Non TB - Note 25 to end'!F184=1,"Print","Do Not Print")</f>
        <v>Print</v>
      </c>
      <c r="D538" s="1504" t="str">
        <f>IF('Non TB - Note 25 to end'!F184=1,'Non TB - Note 25 to end'!H184,"")</f>
        <v>Members of the council have direct control over the council's financing and operating policies.  The total of members' allowances paid in 2025/26 is shown in Note xx. [Delete as appropriate]   During 2025/26, works and services to the value of £x were commissioned from companies in which x members had control or influence in a decision-making capacity.  These companies are :  (insert names of companies and value of the contracts received).  Contracts were entered into in full compliance with the council's standing orders.  In addition, the council paid grants totalling £x to voluntary organisations in which x members had positions on the governing body.  Grants totalling £x were also made to organisations whose senior management included close members of the families of members.  In all instances, the grants were made with proper consideration of declarations of interest.  The relevant members did not take part in any discussion or decision relating to the grants.  Details of all these transactions are recorded in the Register of Members' Interest, open to public inspection at the Civic Centre during office hours.</v>
      </c>
      <c r="E538" s="1504"/>
      <c r="F538" s="1504"/>
      <c r="G538" s="1504"/>
      <c r="H538" s="1504"/>
      <c r="I538" s="1504"/>
      <c r="J538" s="1504"/>
      <c r="K538" s="1504"/>
    </row>
    <row r="539" spans="1:19" ht="12.75" customHeight="1" x14ac:dyDescent="0.3">
      <c r="A539" s="3" t="str">
        <f>IF(A538="Print","Print","Do Not Print")</f>
        <v>Print</v>
      </c>
      <c r="D539" s="1504"/>
      <c r="E539" s="1504"/>
      <c r="F539" s="1504"/>
      <c r="G539" s="1504"/>
      <c r="H539" s="1504"/>
      <c r="I539" s="1504"/>
      <c r="J539" s="1504"/>
      <c r="K539" s="1504"/>
    </row>
    <row r="540" spans="1:19" ht="138" customHeight="1" x14ac:dyDescent="0.3">
      <c r="A540" s="3" t="str">
        <f>IF('Non TB - Note 25 to end'!F185=1,"Print","Do Not Print")</f>
        <v>Print</v>
      </c>
      <c r="D540" s="1504" t="str">
        <f>IF('Non TB - Note 25 to end'!F185=1,'Non TB - Note 25 to end'!H185,"")</f>
        <v>During 2025/26, works and services to the value of £X were commissioned from companies in which  key management personnel,  other than elected members,  had control or influence in a decision-making capacity. These key management personnel include all chief officers (or equivalent) chief executive and other persons having the authority and responsibility for planning, directing and controlling the activities of the council, including the oversight of these activities.   These companies are:  [insert name and value of contracts].   In addition, the council paid grants totalling £x to voluntary organisations in which x members had positions on the governing body.  Grants totalling £x were also made to organisations whose senior management included close members of the families of key management personnel (other than elected members).  In all instances, the grants were made with proper consideration of declarations of interest.  The relevant members did not take part in any discussion or decision relating to the grants.  Details of all these transactions are recorded in ........</v>
      </c>
      <c r="E540" s="1504"/>
      <c r="F540" s="1504"/>
      <c r="G540" s="1504"/>
      <c r="H540" s="1504"/>
      <c r="I540" s="1504"/>
      <c r="J540" s="1504"/>
      <c r="K540" s="1504"/>
    </row>
    <row r="541" spans="1:19" ht="15" customHeight="1" x14ac:dyDescent="0.3">
      <c r="A541" s="3"/>
      <c r="D541" s="639"/>
      <c r="E541" s="639"/>
      <c r="F541" s="639"/>
      <c r="G541" s="639"/>
      <c r="H541" s="639"/>
      <c r="I541" s="639"/>
      <c r="J541" s="639"/>
      <c r="K541" s="639"/>
    </row>
    <row r="542" spans="1:19" ht="45" customHeight="1" x14ac:dyDescent="0.3">
      <c r="A542" s="3" t="str">
        <f>IF(A540="Print","Print","Do Not Print")</f>
        <v>Print</v>
      </c>
      <c r="D542" s="1504" t="str">
        <f>IF('Non TB - Note 25 to end'!F186=1,'Non TB - Note 25 to end'!H186,"")</f>
        <v>Note that where key management personnel (KMP) services are provided to the authority by a separate management entity, disclosure of the fee paid to the management entity for the KMP services is required. [see paragraph 3.9.4.2 of the code]</v>
      </c>
      <c r="E542" s="1504"/>
      <c r="F542" s="1504"/>
      <c r="G542" s="1504"/>
      <c r="H542" s="1504"/>
      <c r="I542" s="1504"/>
      <c r="J542" s="1504"/>
      <c r="K542" s="1504"/>
    </row>
    <row r="543" spans="1:19" ht="12.75" customHeight="1" x14ac:dyDescent="0.3">
      <c r="A543" s="3" t="str">
        <f>IF(A542="Print","Print","Do Not Print")</f>
        <v>Print</v>
      </c>
      <c r="D543" s="2014"/>
      <c r="E543" s="2014"/>
      <c r="F543" s="2014"/>
      <c r="G543" s="2014"/>
      <c r="H543" s="2014"/>
      <c r="I543" s="2014"/>
      <c r="J543" s="2014"/>
      <c r="K543" s="2014"/>
    </row>
    <row r="544" spans="1:19" ht="66" customHeight="1" x14ac:dyDescent="0.3">
      <c r="A544" s="3" t="str">
        <f>IF('Non TB - Note 25 to end'!F187=1,"Print","Do Not Print")</f>
        <v>Print</v>
      </c>
      <c r="D544" s="1504" t="str">
        <f>IF('Non TB - Note 25 to end'!F187=1,'Non TB - Note 25 to end'!H187,"")</f>
        <v>Council specific narrative</v>
      </c>
      <c r="E544" s="1504"/>
      <c r="F544" s="1504"/>
      <c r="G544" s="1504"/>
      <c r="H544" s="1504"/>
      <c r="I544" s="1504"/>
      <c r="J544" s="1504"/>
      <c r="K544" s="1504"/>
    </row>
    <row r="545" spans="1:11" ht="21.75" customHeight="1" x14ac:dyDescent="0.3">
      <c r="A545" s="3" t="str">
        <f>IF(A544="Print","Print","Do Not Print")</f>
        <v>Print</v>
      </c>
      <c r="D545" s="639"/>
      <c r="E545" s="639"/>
      <c r="F545" s="639"/>
      <c r="G545" s="639"/>
      <c r="H545" s="639"/>
      <c r="I545" s="639"/>
      <c r="J545" s="639"/>
      <c r="K545" s="639"/>
    </row>
    <row r="546" spans="1:11" ht="89.25" customHeight="1" x14ac:dyDescent="0.3">
      <c r="A546" s="3" t="str">
        <f>IF('Non TB - Note 25 to end'!F188=1,"Print","Do Not Print")</f>
        <v>Print</v>
      </c>
      <c r="D546" s="1504" t="str">
        <f>IF('Non TB - Note 25 to end'!F188=1,'Non TB - Note 25 to end'!H188,"")</f>
        <v>Council specific narrative</v>
      </c>
      <c r="E546" s="1504"/>
      <c r="F546" s="1504"/>
      <c r="G546" s="1504"/>
      <c r="H546" s="1504"/>
      <c r="I546" s="1504"/>
      <c r="J546" s="1504"/>
      <c r="K546" s="1504"/>
    </row>
    <row r="547" spans="1:11" ht="15.75" customHeight="1" x14ac:dyDescent="0.3">
      <c r="A547" s="3" t="str">
        <f>IF(A546="Print","Print","Do Not Print")</f>
        <v>Print</v>
      </c>
      <c r="D547" s="639"/>
      <c r="E547" s="639"/>
      <c r="F547" s="639"/>
      <c r="G547" s="639"/>
      <c r="H547" s="639"/>
      <c r="I547" s="639"/>
      <c r="J547" s="639"/>
      <c r="K547" s="639"/>
    </row>
    <row r="548" spans="1:11" ht="51" customHeight="1" x14ac:dyDescent="0.3">
      <c r="A548" s="3" t="str">
        <f>IF('Non TB - Note 25 to end'!F189=1,"Print","Do Not Print")</f>
        <v>Print</v>
      </c>
      <c r="D548" s="1504" t="str">
        <f>IF('Non TB - Note 25 to end'!F189=1,'Non TB - Note 25 to end'!H186,"")</f>
        <v>Note that where key management personnel (KMP) services are provided to the authority by a separate management entity, disclosure of the fee paid to the management entity for the KMP services is required. [see paragraph 3.9.4.2 of the code]</v>
      </c>
      <c r="E548" s="1504"/>
      <c r="F548" s="1504"/>
      <c r="G548" s="1504"/>
      <c r="H548" s="1504"/>
      <c r="I548" s="1504"/>
      <c r="J548" s="1504"/>
      <c r="K548" s="1504"/>
    </row>
    <row r="549" spans="1:11" x14ac:dyDescent="0.3">
      <c r="A549" s="3" t="str">
        <f>IF(A548="Print","Print","Do Not Print")</f>
        <v>Print</v>
      </c>
      <c r="D549" s="1500"/>
      <c r="E549" s="1500"/>
      <c r="F549" s="1500"/>
      <c r="G549" s="1500"/>
      <c r="H549" s="1500"/>
      <c r="I549" s="1500"/>
      <c r="J549" s="1500"/>
      <c r="K549" s="1500"/>
    </row>
    <row r="550" spans="1:11" ht="63.75" customHeight="1" x14ac:dyDescent="0.3">
      <c r="A550" s="3" t="str">
        <f>IF('Non TB - Note 25 to end'!F190=1,"Print","Do Not Print")</f>
        <v>Print</v>
      </c>
      <c r="D550" s="1504" t="str">
        <f>IF('Non TB - Note 25 to end'!F190=1,'Non TB - Note 25 to end'!H190,"")</f>
        <v>Council specific narrative</v>
      </c>
      <c r="E550" s="1504"/>
      <c r="F550" s="1504"/>
      <c r="G550" s="1504"/>
      <c r="H550" s="1504"/>
      <c r="I550" s="1504"/>
      <c r="J550" s="1504"/>
      <c r="K550" s="1504"/>
    </row>
    <row r="551" spans="1:11" x14ac:dyDescent="0.3">
      <c r="A551" s="3" t="str">
        <f>IF(A550="Print","Print","Do Not Print")</f>
        <v>Print</v>
      </c>
      <c r="D551" s="1500"/>
      <c r="E551" s="1500"/>
      <c r="F551" s="1500"/>
      <c r="G551" s="1500"/>
      <c r="H551" s="1500"/>
      <c r="I551" s="1500"/>
      <c r="J551" s="1500"/>
      <c r="K551" s="1500"/>
    </row>
    <row r="552" spans="1:11" ht="38.25" customHeight="1" x14ac:dyDescent="0.3">
      <c r="A552" s="3" t="str">
        <f>IF('Non TB - Note 25 to end'!F191=1,"Print","Do Not Print")</f>
        <v>Print</v>
      </c>
      <c r="D552" s="1504" t="str">
        <f>IF('Non TB - Note 25 to end'!F191=1,'Non TB - Note 25 to end'!H191,"")</f>
        <v>Council specific narrative</v>
      </c>
      <c r="E552" s="1504"/>
      <c r="F552" s="1504"/>
      <c r="G552" s="1504"/>
      <c r="H552" s="1504"/>
      <c r="I552" s="1504"/>
      <c r="J552" s="1504"/>
      <c r="K552" s="1504"/>
    </row>
    <row r="553" spans="1:11" x14ac:dyDescent="0.3">
      <c r="A553" s="3" t="str">
        <f>IF(A552="Print","Print","Do Not Print")</f>
        <v>Print</v>
      </c>
      <c r="D553" s="1500"/>
      <c r="E553" s="1500"/>
      <c r="F553" s="1500"/>
      <c r="G553" s="1500"/>
      <c r="H553" s="1500"/>
      <c r="I553" s="1500"/>
      <c r="J553" s="1500"/>
      <c r="K553" s="1500"/>
    </row>
    <row r="554" spans="1:11" x14ac:dyDescent="0.3">
      <c r="A554" s="3" t="str">
        <f>IF('Non TB - Note 25 to end'!F192=1,"Print","Do Not Print")</f>
        <v>Print</v>
      </c>
      <c r="D554" s="1501" t="str">
        <f>IF('Non TB - Note 25 to end'!F192=1,'Non TB - Note 25 to end'!H192,"")</f>
        <v>Council specific narrative</v>
      </c>
      <c r="E554" s="1501"/>
      <c r="F554" s="1501"/>
      <c r="G554" s="1501"/>
      <c r="H554" s="1501"/>
      <c r="I554" s="1501"/>
      <c r="J554" s="1501"/>
      <c r="K554" s="1501"/>
    </row>
    <row r="555" spans="1:11" x14ac:dyDescent="0.3">
      <c r="A555" s="3" t="str">
        <f>IF(A554="Print","Print","Do Not Print")</f>
        <v>Print</v>
      </c>
      <c r="D555" s="1500"/>
      <c r="E555" s="1500"/>
      <c r="F555" s="1500"/>
      <c r="G555" s="1500"/>
      <c r="H555" s="1500"/>
      <c r="I555" s="1500"/>
      <c r="J555" s="1500"/>
      <c r="K555" s="1500"/>
    </row>
    <row r="556" spans="1:11" ht="73.5" customHeight="1" x14ac:dyDescent="0.3">
      <c r="A556" s="3" t="str">
        <f>IF('Non TB - Note 25 to end'!F193=1,"Print","Do Not Print")</f>
        <v>Print</v>
      </c>
      <c r="D556" s="1504" t="str">
        <f>IF('Non TB - Note 25 to end'!F193=1,'Non TB - Note 25 to end'!H193,"")</f>
        <v>Council specific narrative</v>
      </c>
      <c r="E556" s="1504"/>
      <c r="F556" s="1504"/>
      <c r="G556" s="1504"/>
      <c r="H556" s="1504"/>
      <c r="I556" s="1504"/>
      <c r="J556" s="1504"/>
      <c r="K556" s="1504"/>
    </row>
    <row r="557" spans="1:11" x14ac:dyDescent="0.3">
      <c r="A557" s="3" t="str">
        <f>IF(A556="Print","Print","Do Not Print")</f>
        <v>Print</v>
      </c>
      <c r="D557" s="1542"/>
      <c r="E557" s="1542"/>
      <c r="F557" s="1542"/>
      <c r="G557" s="1542"/>
      <c r="H557" s="1542"/>
      <c r="I557" s="1542"/>
      <c r="J557" s="1542"/>
      <c r="K557" s="1542"/>
    </row>
    <row r="558" spans="1:11" ht="98.25" customHeight="1" x14ac:dyDescent="0.3">
      <c r="A558" s="3" t="str">
        <f>IF('Non TB - Note 25 to end'!F194=1,"Print","Do Not Print")</f>
        <v>Print</v>
      </c>
      <c r="D558" s="1506" t="str">
        <f>IF('Non TB - Note 25 to end'!F194=1,'Non TB - Note 25 to end'!H194,"")</f>
        <v>Council specific narrative</v>
      </c>
      <c r="E558" s="1506"/>
      <c r="F558" s="1506"/>
      <c r="G558" s="1506"/>
      <c r="H558" s="1506"/>
      <c r="I558" s="1506"/>
      <c r="J558" s="1506"/>
      <c r="K558" s="1506"/>
    </row>
    <row r="559" spans="1:11" x14ac:dyDescent="0.3">
      <c r="A559" s="3" t="str">
        <f>IF(A558="Print","Print","Do Not Print")</f>
        <v>Print</v>
      </c>
      <c r="D559" s="1500"/>
      <c r="E559" s="1500"/>
      <c r="F559" s="1500"/>
      <c r="G559" s="1500"/>
      <c r="H559" s="1500"/>
      <c r="I559" s="1500"/>
      <c r="J559" s="1500"/>
      <c r="K559" s="1500"/>
    </row>
    <row r="560" spans="1:11" x14ac:dyDescent="0.3">
      <c r="A560" s="3" t="s">
        <v>593</v>
      </c>
      <c r="B560" s="585">
        <f>Checklist!E157</f>
        <v>33</v>
      </c>
      <c r="D560" s="474" t="s">
        <v>2681</v>
      </c>
      <c r="E560" s="474"/>
      <c r="F560" s="474"/>
      <c r="G560" s="474"/>
      <c r="H560" s="604"/>
      <c r="I560" s="604"/>
      <c r="J560" s="604"/>
      <c r="K560" s="604"/>
    </row>
    <row r="561" spans="1:12" x14ac:dyDescent="0.3">
      <c r="A561" s="3" t="str">
        <f>IF(A560="Print","Print","Do Not Print")</f>
        <v>Do Not Print</v>
      </c>
      <c r="D561" s="1500"/>
      <c r="E561" s="1500"/>
      <c r="F561" s="1500"/>
      <c r="G561" s="1500"/>
      <c r="H561" s="1500"/>
      <c r="I561" s="1500"/>
      <c r="J561" s="1500"/>
      <c r="K561" s="1500"/>
    </row>
    <row r="562" spans="1:12" ht="36.75" customHeight="1" x14ac:dyDescent="0.3">
      <c r="A562" s="3" t="s">
        <v>593</v>
      </c>
      <c r="D562" s="1504" t="str">
        <f>IF('Non TB - Note 25 to end'!F195=1,'Non TB - Note 25 to end'!H195,"")</f>
        <v>Council specific narrative</v>
      </c>
      <c r="E562" s="1504"/>
      <c r="F562" s="1504"/>
      <c r="G562" s="1504"/>
      <c r="H562" s="1504"/>
      <c r="I562" s="1504"/>
      <c r="J562" s="1504"/>
      <c r="K562" s="1504"/>
    </row>
    <row r="563" spans="1:12" x14ac:dyDescent="0.3">
      <c r="A563" s="3" t="s">
        <v>593</v>
      </c>
      <c r="D563" s="1542"/>
      <c r="E563" s="1542"/>
      <c r="F563" s="1542"/>
      <c r="G563" s="1542"/>
      <c r="H563" s="1542"/>
      <c r="I563" s="1542"/>
      <c r="J563" s="1542"/>
      <c r="K563" s="1542"/>
    </row>
    <row r="564" spans="1:12" ht="30.75" customHeight="1" x14ac:dyDescent="0.3">
      <c r="A564" s="3" t="s">
        <v>593</v>
      </c>
      <c r="D564" s="1504" t="str">
        <f>IF('Non TB - Note 25 to end'!F196=1,'Non TB - Note 25 to end'!H196,"")</f>
        <v>Council specific narrative</v>
      </c>
      <c r="E564" s="1504"/>
      <c r="F564" s="1504"/>
      <c r="G564" s="1504"/>
      <c r="H564" s="1504"/>
      <c r="I564" s="1504"/>
      <c r="J564" s="1504"/>
      <c r="K564" s="1504"/>
    </row>
    <row r="565" spans="1:12" x14ac:dyDescent="0.3">
      <c r="A565" s="3" t="s">
        <v>593</v>
      </c>
      <c r="D565" s="1542"/>
      <c r="E565" s="1542"/>
      <c r="F565" s="1542"/>
      <c r="G565" s="1542"/>
      <c r="H565" s="1542"/>
      <c r="I565" s="1542"/>
      <c r="J565" s="1542"/>
      <c r="K565" s="1542"/>
    </row>
    <row r="566" spans="1:12" ht="35.25" customHeight="1" x14ac:dyDescent="0.3">
      <c r="A566" s="3" t="s">
        <v>593</v>
      </c>
      <c r="D566" s="1504" t="str">
        <f>IF('Non TB - Note 25 to end'!F197=1,'Non TB - Note 25 to end'!H197,"")</f>
        <v>Council specific narrative</v>
      </c>
      <c r="E566" s="1504"/>
      <c r="F566" s="1504"/>
      <c r="G566" s="1504"/>
      <c r="H566" s="1504"/>
      <c r="I566" s="1504"/>
      <c r="J566" s="1504"/>
      <c r="K566" s="1504"/>
    </row>
    <row r="567" spans="1:12" x14ac:dyDescent="0.3">
      <c r="A567" s="3" t="s">
        <v>593</v>
      </c>
      <c r="D567" s="1542"/>
      <c r="E567" s="1542"/>
      <c r="F567" s="1542"/>
      <c r="G567" s="1542"/>
      <c r="H567" s="1542"/>
      <c r="I567" s="1542"/>
      <c r="J567" s="1542"/>
      <c r="K567" s="1542"/>
    </row>
    <row r="568" spans="1:12" ht="28.5" customHeight="1" x14ac:dyDescent="0.3">
      <c r="A568" s="3" t="s">
        <v>593</v>
      </c>
      <c r="D568" s="1504" t="str">
        <f>IF('Non TB - Note 25 to end'!F198=1,'Non TB - Note 25 to end'!H198,"")</f>
        <v>Council specific narrative</v>
      </c>
      <c r="E568" s="1504"/>
      <c r="F568" s="1504"/>
      <c r="G568" s="1504"/>
      <c r="H568" s="1504"/>
      <c r="I568" s="1504"/>
      <c r="J568" s="1504"/>
      <c r="K568" s="1504"/>
    </row>
    <row r="569" spans="1:12" x14ac:dyDescent="0.3">
      <c r="A569" s="3" t="s">
        <v>593</v>
      </c>
      <c r="D569" s="1542"/>
      <c r="E569" s="1542"/>
      <c r="F569" s="1542"/>
      <c r="G569" s="1542"/>
      <c r="H569" s="1542"/>
      <c r="I569" s="1542"/>
      <c r="J569" s="1542"/>
      <c r="K569" s="1542"/>
    </row>
    <row r="570" spans="1:12" s="25" customFormat="1" ht="47.25" customHeight="1" x14ac:dyDescent="0.3">
      <c r="A570" s="3" t="s">
        <v>593</v>
      </c>
      <c r="B570" s="597"/>
      <c r="C570" s="597"/>
      <c r="D570" s="1504" t="str">
        <f>IF('Non TB - Note 25 to end'!F199=1,'Non TB - Note 25 to end'!H199,"")</f>
        <v>Council specific narrative</v>
      </c>
      <c r="E570" s="1504"/>
      <c r="F570" s="1504"/>
      <c r="G570" s="1504"/>
      <c r="H570" s="1504"/>
      <c r="I570" s="1504"/>
      <c r="J570" s="1504"/>
      <c r="K570" s="1504"/>
    </row>
    <row r="571" spans="1:12" x14ac:dyDescent="0.3">
      <c r="A571" s="3" t="s">
        <v>448</v>
      </c>
      <c r="D571" s="1542"/>
      <c r="E571" s="1542"/>
      <c r="F571" s="1542"/>
      <c r="G571" s="1542"/>
      <c r="H571" s="1542"/>
      <c r="I571" s="1542"/>
      <c r="J571" s="1542"/>
      <c r="K571" s="1542"/>
      <c r="L571" s="868"/>
    </row>
    <row r="572" spans="1:12" s="6" customFormat="1" ht="13.5" customHeight="1" x14ac:dyDescent="0.3">
      <c r="A572" s="3" t="s">
        <v>448</v>
      </c>
      <c r="B572" s="585"/>
      <c r="C572" s="585"/>
      <c r="D572" s="585"/>
      <c r="E572" s="1535" t="s">
        <v>1944</v>
      </c>
      <c r="F572" s="1535"/>
      <c r="G572" s="1535"/>
      <c r="H572" s="1535"/>
      <c r="I572" s="1535"/>
      <c r="J572" s="1535"/>
      <c r="K572" s="1535"/>
    </row>
    <row r="573" spans="1:12" x14ac:dyDescent="0.3">
      <c r="A573" s="3" t="s">
        <v>448</v>
      </c>
      <c r="E573" s="1501"/>
      <c r="F573" s="1501"/>
      <c r="G573" s="1501"/>
      <c r="H573" s="1501"/>
      <c r="I573" s="1501"/>
      <c r="J573" s="1501"/>
      <c r="K573" s="1501"/>
    </row>
    <row r="574" spans="1:12" ht="125.55" customHeight="1" x14ac:dyDescent="0.3">
      <c r="A574" s="3" t="s">
        <v>448</v>
      </c>
      <c r="E574" s="1506" t="str">
        <f>IF('Non TB - Note 25 to end'!F200=1,'Non TB - Note 25 to end'!H200,"")</f>
        <v>The Statement of Accounts was authorised for issue by [xxx] on XX September 2025.  Events taking place after this date are not reflected in the financial statements or notes.  Where events taking place before this date provided information about conditions existing at 31 March 2026, the figures in the financial statements have been adjusted in all material respects to reflect the impact of this information.
The financial statements and notes have not been adjusted for the following events which took place after 31 March 2026 as they provide information that is relevant to an understanding of the Council's financial position but do not relate to conditions at that date:
- Provide details of the relevant events</v>
      </c>
      <c r="F574" s="1506"/>
      <c r="G574" s="1506"/>
      <c r="H574" s="1506"/>
      <c r="I574" s="1506"/>
      <c r="J574" s="1506"/>
      <c r="K574" s="1506"/>
    </row>
    <row r="575" spans="1:12" x14ac:dyDescent="0.3">
      <c r="A575" s="3" t="s">
        <v>448</v>
      </c>
      <c r="E575" s="1500"/>
      <c r="F575" s="1500"/>
      <c r="G575" s="1500"/>
      <c r="H575" s="1500"/>
      <c r="I575" s="1500"/>
      <c r="J575" s="1500"/>
      <c r="K575" s="1500"/>
    </row>
    <row r="576" spans="1:12" x14ac:dyDescent="0.3">
      <c r="A576" s="3" t="s">
        <v>448</v>
      </c>
    </row>
    <row r="577" spans="1:11" x14ac:dyDescent="0.3">
      <c r="A577" s="3" t="s">
        <v>448</v>
      </c>
    </row>
    <row r="578" spans="1:11" x14ac:dyDescent="0.3">
      <c r="A578" s="3" t="s">
        <v>448</v>
      </c>
      <c r="E578" s="1535" t="s">
        <v>1945</v>
      </c>
      <c r="F578" s="1535"/>
      <c r="G578" s="1535"/>
      <c r="H578" s="1535"/>
      <c r="I578" s="1535"/>
      <c r="J578" s="1535"/>
      <c r="K578" s="1535"/>
    </row>
    <row r="579" spans="1:11" x14ac:dyDescent="0.3">
      <c r="A579" s="3" t="s">
        <v>448</v>
      </c>
      <c r="E579" s="1500"/>
      <c r="F579" s="1500"/>
      <c r="G579" s="1500"/>
      <c r="H579" s="1500"/>
      <c r="I579" s="1500"/>
      <c r="J579" s="1500"/>
      <c r="K579" s="1500"/>
    </row>
    <row r="580" spans="1:11" x14ac:dyDescent="0.3">
      <c r="A580" s="3" t="s">
        <v>448</v>
      </c>
      <c r="E580" s="1500" t="str">
        <f>IF('Non TB - Note 25 to end'!F201=1,'Non TB - Note 25 to end'!H201,"")</f>
        <v>The Chief Financial Officer authorised these financial statements for issue on xx September 2026</v>
      </c>
      <c r="F580" s="1500"/>
      <c r="G580" s="1500"/>
      <c r="H580" s="1500"/>
      <c r="I580" s="1500"/>
      <c r="J580" s="1500"/>
      <c r="K580" s="1500"/>
    </row>
    <row r="581" spans="1:11" x14ac:dyDescent="0.3">
      <c r="A581" s="3" t="s">
        <v>448</v>
      </c>
      <c r="E581" s="1500"/>
      <c r="F581" s="1500"/>
      <c r="G581" s="1500"/>
      <c r="H581" s="1500"/>
      <c r="I581" s="1500"/>
      <c r="J581" s="1500"/>
      <c r="K581" s="1500"/>
    </row>
    <row r="582" spans="1:11" x14ac:dyDescent="0.3">
      <c r="A582" s="3" t="s">
        <v>448</v>
      </c>
      <c r="E582" s="1500"/>
      <c r="F582" s="1500"/>
      <c r="G582" s="1500"/>
      <c r="H582" s="1500"/>
      <c r="I582" s="1500"/>
      <c r="J582" s="1500"/>
      <c r="K582" s="1500"/>
    </row>
    <row r="736" spans="4:4" x14ac:dyDescent="0.3">
      <c r="D736" s="891"/>
    </row>
    <row r="737" spans="4:11" x14ac:dyDescent="0.3">
      <c r="D737" s="891"/>
    </row>
    <row r="738" spans="4:11" x14ac:dyDescent="0.3">
      <c r="D738" s="891"/>
    </row>
    <row r="739" spans="4:11" x14ac:dyDescent="0.3">
      <c r="D739" s="891"/>
    </row>
    <row r="740" spans="4:11" ht="13.5" customHeight="1" x14ac:dyDescent="0.3">
      <c r="D740" s="2014"/>
      <c r="E740" s="2014"/>
      <c r="F740" s="2014"/>
      <c r="G740" s="2014"/>
      <c r="H740" s="2014"/>
      <c r="I740" s="2014"/>
      <c r="J740" s="2014"/>
      <c r="K740" s="2014"/>
    </row>
    <row r="990" spans="11:11" x14ac:dyDescent="0.3">
      <c r="K990" s="401">
        <f>J970</f>
        <v>0</v>
      </c>
    </row>
    <row r="1085" spans="9:11" x14ac:dyDescent="0.3">
      <c r="I1085" s="900">
        <v>42825</v>
      </c>
      <c r="J1085" s="900">
        <v>42460</v>
      </c>
      <c r="K1085" s="900"/>
    </row>
  </sheetData>
  <autoFilter ref="A4:W582" xr:uid="{00000000-0009-0000-0000-00001D000000}"/>
  <mergeCells count="515">
    <mergeCell ref="E574:K574"/>
    <mergeCell ref="E578:K578"/>
    <mergeCell ref="E575:K575"/>
    <mergeCell ref="E579:K579"/>
    <mergeCell ref="E580:K580"/>
    <mergeCell ref="D281:I281"/>
    <mergeCell ref="D282:H282"/>
    <mergeCell ref="D283:H283"/>
    <mergeCell ref="D285:H285"/>
    <mergeCell ref="J525:K525"/>
    <mergeCell ref="J526:K526"/>
    <mergeCell ref="J527:K527"/>
    <mergeCell ref="D348:K348"/>
    <mergeCell ref="D362:K362"/>
    <mergeCell ref="D363:K363"/>
    <mergeCell ref="D364:K364"/>
    <mergeCell ref="D365:K365"/>
    <mergeCell ref="D366:K366"/>
    <mergeCell ref="D354:H354"/>
    <mergeCell ref="D355:H355"/>
    <mergeCell ref="D356:K356"/>
    <mergeCell ref="D358:K358"/>
    <mergeCell ref="D360:K360"/>
    <mergeCell ref="D458:K458"/>
    <mergeCell ref="D267:K267"/>
    <mergeCell ref="D490:K490"/>
    <mergeCell ref="D542:K542"/>
    <mergeCell ref="D740:K740"/>
    <mergeCell ref="D53:H53"/>
    <mergeCell ref="D54:H54"/>
    <mergeCell ref="D85:I85"/>
    <mergeCell ref="D86:I86"/>
    <mergeCell ref="D87:I87"/>
    <mergeCell ref="D88:I88"/>
    <mergeCell ref="D331:K331"/>
    <mergeCell ref="D329:H329"/>
    <mergeCell ref="D330:H330"/>
    <mergeCell ref="D328:I328"/>
    <mergeCell ref="D333:K333"/>
    <mergeCell ref="D339:I339"/>
    <mergeCell ref="D342:K342"/>
    <mergeCell ref="D352:I352"/>
    <mergeCell ref="D368:I368"/>
    <mergeCell ref="D361:K361"/>
    <mergeCell ref="D544:K544"/>
    <mergeCell ref="D546:K546"/>
    <mergeCell ref="D535:K535"/>
    <mergeCell ref="J524:K524"/>
    <mergeCell ref="E582:K582"/>
    <mergeCell ref="D262:H262"/>
    <mergeCell ref="D264:H264"/>
    <mergeCell ref="D349:K349"/>
    <mergeCell ref="D350:K350"/>
    <mergeCell ref="D353:H353"/>
    <mergeCell ref="D335:K335"/>
    <mergeCell ref="D336:K336"/>
    <mergeCell ref="D337:K337"/>
    <mergeCell ref="D340:H340"/>
    <mergeCell ref="D341:H341"/>
    <mergeCell ref="D324:K324"/>
    <mergeCell ref="D325:K325"/>
    <mergeCell ref="D326:K326"/>
    <mergeCell ref="D290:K290"/>
    <mergeCell ref="D291:K291"/>
    <mergeCell ref="D265:K265"/>
    <mergeCell ref="D493:K493"/>
    <mergeCell ref="J507:K507"/>
    <mergeCell ref="H505:I505"/>
    <mergeCell ref="J528:K528"/>
    <mergeCell ref="D536:K536"/>
    <mergeCell ref="D346:K346"/>
    <mergeCell ref="D347:K347"/>
    <mergeCell ref="D143:J143"/>
    <mergeCell ref="D144:K144"/>
    <mergeCell ref="D145:K145"/>
    <mergeCell ref="D151:I151"/>
    <mergeCell ref="D152:H152"/>
    <mergeCell ref="D153:H153"/>
    <mergeCell ref="D154:H154"/>
    <mergeCell ref="E581:K581"/>
    <mergeCell ref="D491:K491"/>
    <mergeCell ref="D492:K492"/>
    <mergeCell ref="D548:K548"/>
    <mergeCell ref="D549:K549"/>
    <mergeCell ref="D550:K550"/>
    <mergeCell ref="J508:K508"/>
    <mergeCell ref="J509:K509"/>
    <mergeCell ref="J510:K510"/>
    <mergeCell ref="H520:I520"/>
    <mergeCell ref="J520:K520"/>
    <mergeCell ref="J517:K517"/>
    <mergeCell ref="E518:G518"/>
    <mergeCell ref="H518:I518"/>
    <mergeCell ref="J518:K518"/>
    <mergeCell ref="D540:K540"/>
    <mergeCell ref="D530:K530"/>
    <mergeCell ref="D124:K124"/>
    <mergeCell ref="D122:H122"/>
    <mergeCell ref="D123:H123"/>
    <mergeCell ref="D132:I132"/>
    <mergeCell ref="D133:H133"/>
    <mergeCell ref="D134:H134"/>
    <mergeCell ref="D135:H135"/>
    <mergeCell ref="D136:K136"/>
    <mergeCell ref="D129:K129"/>
    <mergeCell ref="D126:K126"/>
    <mergeCell ref="D231:K231"/>
    <mergeCell ref="D232:K232"/>
    <mergeCell ref="D233:K233"/>
    <mergeCell ref="D138:K138"/>
    <mergeCell ref="D139:J139"/>
    <mergeCell ref="D140:J140"/>
    <mergeCell ref="D141:J141"/>
    <mergeCell ref="D142:J142"/>
    <mergeCell ref="D190:H190"/>
    <mergeCell ref="D191:H191"/>
    <mergeCell ref="D192:H192"/>
    <mergeCell ref="D193:H193"/>
    <mergeCell ref="D181:K181"/>
    <mergeCell ref="D176:K176"/>
    <mergeCell ref="D177:K177"/>
    <mergeCell ref="D174:K174"/>
    <mergeCell ref="D183:I183"/>
    <mergeCell ref="D184:H184"/>
    <mergeCell ref="D185:H185"/>
    <mergeCell ref="D186:H186"/>
    <mergeCell ref="D160:J160"/>
    <mergeCell ref="D161:J161"/>
    <mergeCell ref="D162:J162"/>
    <mergeCell ref="D163:K163"/>
    <mergeCell ref="D223:H223"/>
    <mergeCell ref="D219:H219"/>
    <mergeCell ref="D224:K224"/>
    <mergeCell ref="D214:H214"/>
    <mergeCell ref="D215:H215"/>
    <mergeCell ref="D216:H216"/>
    <mergeCell ref="D217:H217"/>
    <mergeCell ref="D210:H210"/>
    <mergeCell ref="D221:H221"/>
    <mergeCell ref="D199:K199"/>
    <mergeCell ref="D200:K200"/>
    <mergeCell ref="D206:I206"/>
    <mergeCell ref="D207:H207"/>
    <mergeCell ref="D208:H208"/>
    <mergeCell ref="D209:H209"/>
    <mergeCell ref="D211:H211"/>
    <mergeCell ref="D212:H212"/>
    <mergeCell ref="D213:H213"/>
    <mergeCell ref="D202:K202"/>
    <mergeCell ref="D204:K204"/>
    <mergeCell ref="D203:K203"/>
    <mergeCell ref="L534:S534"/>
    <mergeCell ref="D485:K485"/>
    <mergeCell ref="L485:S485"/>
    <mergeCell ref="D486:K486"/>
    <mergeCell ref="D487:K487"/>
    <mergeCell ref="D488:K488"/>
    <mergeCell ref="D489:K489"/>
    <mergeCell ref="D495:K495"/>
    <mergeCell ref="D496:K496"/>
    <mergeCell ref="D497:K497"/>
    <mergeCell ref="J506:K506"/>
    <mergeCell ref="E523:G523"/>
    <mergeCell ref="J521:K521"/>
    <mergeCell ref="J522:K522"/>
    <mergeCell ref="J523:K523"/>
    <mergeCell ref="E516:G516"/>
    <mergeCell ref="H516:I516"/>
    <mergeCell ref="M481:N481"/>
    <mergeCell ref="O481:P481"/>
    <mergeCell ref="D474:K474"/>
    <mergeCell ref="D479:K479"/>
    <mergeCell ref="D481:K481"/>
    <mergeCell ref="D482:K482"/>
    <mergeCell ref="D475:G475"/>
    <mergeCell ref="D476:G476"/>
    <mergeCell ref="D477:G477"/>
    <mergeCell ref="D478:G478"/>
    <mergeCell ref="D480:G480"/>
    <mergeCell ref="A471:A472"/>
    <mergeCell ref="H471:I471"/>
    <mergeCell ref="J471:K471"/>
    <mergeCell ref="H473:I473"/>
    <mergeCell ref="J473:K473"/>
    <mergeCell ref="D463:K463"/>
    <mergeCell ref="D464:K464"/>
    <mergeCell ref="D465:K465"/>
    <mergeCell ref="D466:K466"/>
    <mergeCell ref="D467:K467"/>
    <mergeCell ref="D468:K468"/>
    <mergeCell ref="D469:K469"/>
    <mergeCell ref="D470:K470"/>
    <mergeCell ref="D459:K459"/>
    <mergeCell ref="D460:K460"/>
    <mergeCell ref="D461:K461"/>
    <mergeCell ref="D462:K462"/>
    <mergeCell ref="D451:K451"/>
    <mergeCell ref="D452:K452"/>
    <mergeCell ref="D453:K453"/>
    <mergeCell ref="D454:K454"/>
    <mergeCell ref="D455:K455"/>
    <mergeCell ref="D456:K456"/>
    <mergeCell ref="Q445:W445"/>
    <mergeCell ref="D446:K446"/>
    <mergeCell ref="D447:K447"/>
    <mergeCell ref="D448:K448"/>
    <mergeCell ref="D369:H369"/>
    <mergeCell ref="D370:H370"/>
    <mergeCell ref="D373:K373"/>
    <mergeCell ref="D444:K444"/>
    <mergeCell ref="D445:K445"/>
    <mergeCell ref="D371:K371"/>
    <mergeCell ref="D375:K375"/>
    <mergeCell ref="D376:K376"/>
    <mergeCell ref="D377:K377"/>
    <mergeCell ref="I379:K379"/>
    <mergeCell ref="D381:H381"/>
    <mergeCell ref="D382:H382"/>
    <mergeCell ref="D383:H383"/>
    <mergeCell ref="D384:H384"/>
    <mergeCell ref="D385:H385"/>
    <mergeCell ref="D386:H386"/>
    <mergeCell ref="D387:H387"/>
    <mergeCell ref="D388:H388"/>
    <mergeCell ref="D389:H389"/>
    <mergeCell ref="D390:H390"/>
    <mergeCell ref="D196:H196"/>
    <mergeCell ref="D197:K197"/>
    <mergeCell ref="D148:K148"/>
    <mergeCell ref="D175:K175"/>
    <mergeCell ref="D180:K180"/>
    <mergeCell ref="D169:H169"/>
    <mergeCell ref="D170:H170"/>
    <mergeCell ref="D171:H171"/>
    <mergeCell ref="D155:K155"/>
    <mergeCell ref="D149:K149"/>
    <mergeCell ref="D157:K157"/>
    <mergeCell ref="D158:J158"/>
    <mergeCell ref="D159:J159"/>
    <mergeCell ref="D187:H187"/>
    <mergeCell ref="D188:H188"/>
    <mergeCell ref="D189:H189"/>
    <mergeCell ref="D194:H194"/>
    <mergeCell ref="D195:H195"/>
    <mergeCell ref="D164:K164"/>
    <mergeCell ref="D166:K166"/>
    <mergeCell ref="I172:K172"/>
    <mergeCell ref="D172:H172"/>
    <mergeCell ref="D168:I168"/>
    <mergeCell ref="D114:K114"/>
    <mergeCell ref="D116:K116"/>
    <mergeCell ref="D97:K97"/>
    <mergeCell ref="D99:K99"/>
    <mergeCell ref="D120:H120"/>
    <mergeCell ref="D121:H121"/>
    <mergeCell ref="D119:I119"/>
    <mergeCell ref="D84:I84"/>
    <mergeCell ref="D90:K90"/>
    <mergeCell ref="D110:K110"/>
    <mergeCell ref="D103:H103"/>
    <mergeCell ref="D104:H104"/>
    <mergeCell ref="D105:H105"/>
    <mergeCell ref="D106:H106"/>
    <mergeCell ref="D107:H107"/>
    <mergeCell ref="D108:H108"/>
    <mergeCell ref="D109:H109"/>
    <mergeCell ref="D102:I102"/>
    <mergeCell ref="D89:I89"/>
    <mergeCell ref="D78:H78"/>
    <mergeCell ref="D79:K79"/>
    <mergeCell ref="D70:H70"/>
    <mergeCell ref="D52:H52"/>
    <mergeCell ref="D63:H63"/>
    <mergeCell ref="D64:H64"/>
    <mergeCell ref="D65:H65"/>
    <mergeCell ref="D66:K66"/>
    <mergeCell ref="D67:K67"/>
    <mergeCell ref="D69:I69"/>
    <mergeCell ref="D57:K57"/>
    <mergeCell ref="D62:H62"/>
    <mergeCell ref="D71:H71"/>
    <mergeCell ref="D72:H72"/>
    <mergeCell ref="D73:H73"/>
    <mergeCell ref="D74:H74"/>
    <mergeCell ref="D75:H75"/>
    <mergeCell ref="D76:H76"/>
    <mergeCell ref="D34:K34"/>
    <mergeCell ref="D35:K35"/>
    <mergeCell ref="D29:H29"/>
    <mergeCell ref="D30:H30"/>
    <mergeCell ref="D31:H31"/>
    <mergeCell ref="D32:H32"/>
    <mergeCell ref="D77:H77"/>
    <mergeCell ref="D51:H51"/>
    <mergeCell ref="D41:H41"/>
    <mergeCell ref="D42:H42"/>
    <mergeCell ref="D47:K47"/>
    <mergeCell ref="D48:K48"/>
    <mergeCell ref="D49:K49"/>
    <mergeCell ref="D55:H55"/>
    <mergeCell ref="D56:H56"/>
    <mergeCell ref="D37:H37"/>
    <mergeCell ref="D38:H38"/>
    <mergeCell ref="D39:H39"/>
    <mergeCell ref="D40:H40"/>
    <mergeCell ref="D44:K44"/>
    <mergeCell ref="D45:K45"/>
    <mergeCell ref="D279:K279"/>
    <mergeCell ref="D249:H249"/>
    <mergeCell ref="D250:H250"/>
    <mergeCell ref="D261:I261"/>
    <mergeCell ref="D226:K226"/>
    <mergeCell ref="D227:K227"/>
    <mergeCell ref="D228:K228"/>
    <mergeCell ref="D13:H13"/>
    <mergeCell ref="D14:H14"/>
    <mergeCell ref="D15:H15"/>
    <mergeCell ref="D36:H36"/>
    <mergeCell ref="D22:H22"/>
    <mergeCell ref="D23:H23"/>
    <mergeCell ref="D24:H24"/>
    <mergeCell ref="D25:H25"/>
    <mergeCell ref="D26:H26"/>
    <mergeCell ref="D27:H27"/>
    <mergeCell ref="D16:H16"/>
    <mergeCell ref="D17:H17"/>
    <mergeCell ref="D18:H18"/>
    <mergeCell ref="D19:H19"/>
    <mergeCell ref="D20:H20"/>
    <mergeCell ref="D21:H21"/>
    <mergeCell ref="D28:H28"/>
    <mergeCell ref="D275:K275"/>
    <mergeCell ref="D276:K276"/>
    <mergeCell ref="D277:K277"/>
    <mergeCell ref="D254:H254"/>
    <mergeCell ref="D218:H218"/>
    <mergeCell ref="D220:H220"/>
    <mergeCell ref="D222:H222"/>
    <mergeCell ref="D273:K273"/>
    <mergeCell ref="D278:K278"/>
    <mergeCell ref="D268:K268"/>
    <mergeCell ref="D269:K269"/>
    <mergeCell ref="D271:K271"/>
    <mergeCell ref="D240:K240"/>
    <mergeCell ref="D241:K241"/>
    <mergeCell ref="D244:H244"/>
    <mergeCell ref="D245:H245"/>
    <mergeCell ref="D246:H246"/>
    <mergeCell ref="D247:H247"/>
    <mergeCell ref="D251:H251"/>
    <mergeCell ref="D257:K257"/>
    <mergeCell ref="D248:H248"/>
    <mergeCell ref="D252:H252"/>
    <mergeCell ref="D253:H253"/>
    <mergeCell ref="D255:K255"/>
    <mergeCell ref="D315:H315"/>
    <mergeCell ref="D259:K259"/>
    <mergeCell ref="D234:K234"/>
    <mergeCell ref="D235:K235"/>
    <mergeCell ref="D236:K236"/>
    <mergeCell ref="D237:K237"/>
    <mergeCell ref="D238:K238"/>
    <mergeCell ref="D239:K239"/>
    <mergeCell ref="D243:I243"/>
    <mergeCell ref="D284:H284"/>
    <mergeCell ref="D292:K292"/>
    <mergeCell ref="D298:K298"/>
    <mergeCell ref="D308:K308"/>
    <mergeCell ref="D310:K310"/>
    <mergeCell ref="D295:H295"/>
    <mergeCell ref="D297:H297"/>
    <mergeCell ref="D312:I312"/>
    <mergeCell ref="D313:H313"/>
    <mergeCell ref="D314:H314"/>
    <mergeCell ref="D272:K272"/>
    <mergeCell ref="D286:K286"/>
    <mergeCell ref="D288:K288"/>
    <mergeCell ref="D294:I294"/>
    <mergeCell ref="D274:K274"/>
    <mergeCell ref="D316:K316"/>
    <mergeCell ref="D318:K318"/>
    <mergeCell ref="E521:G521"/>
    <mergeCell ref="E522:G522"/>
    <mergeCell ref="E504:G505"/>
    <mergeCell ref="H507:I507"/>
    <mergeCell ref="H508:I508"/>
    <mergeCell ref="H509:I509"/>
    <mergeCell ref="H510:I510"/>
    <mergeCell ref="H506:I506"/>
    <mergeCell ref="D449:K449"/>
    <mergeCell ref="D450:K450"/>
    <mergeCell ref="D498:K498"/>
    <mergeCell ref="D499:K499"/>
    <mergeCell ref="D500:K500"/>
    <mergeCell ref="D501:K501"/>
    <mergeCell ref="D345:K345"/>
    <mergeCell ref="J514:K514"/>
    <mergeCell ref="H515:I515"/>
    <mergeCell ref="J515:K515"/>
    <mergeCell ref="E514:G515"/>
    <mergeCell ref="H514:I514"/>
    <mergeCell ref="D457:K457"/>
    <mergeCell ref="E510:G510"/>
    <mergeCell ref="D537:K537"/>
    <mergeCell ref="D538:K538"/>
    <mergeCell ref="J504:K504"/>
    <mergeCell ref="J505:K505"/>
    <mergeCell ref="D512:K512"/>
    <mergeCell ref="D533:K533"/>
    <mergeCell ref="D534:K534"/>
    <mergeCell ref="E506:G506"/>
    <mergeCell ref="E507:G507"/>
    <mergeCell ref="J516:K516"/>
    <mergeCell ref="E517:G517"/>
    <mergeCell ref="E508:G508"/>
    <mergeCell ref="E509:G509"/>
    <mergeCell ref="H517:I517"/>
    <mergeCell ref="D543:K543"/>
    <mergeCell ref="D555:K555"/>
    <mergeCell ref="D556:K556"/>
    <mergeCell ref="D567:K567"/>
    <mergeCell ref="D502:K502"/>
    <mergeCell ref="E524:G524"/>
    <mergeCell ref="E525:G525"/>
    <mergeCell ref="E526:G526"/>
    <mergeCell ref="E527:G527"/>
    <mergeCell ref="E528:G528"/>
    <mergeCell ref="H521:I521"/>
    <mergeCell ref="H522:I522"/>
    <mergeCell ref="H523:I523"/>
    <mergeCell ref="H524:I524"/>
    <mergeCell ref="H525:I525"/>
    <mergeCell ref="H526:I526"/>
    <mergeCell ref="H527:I527"/>
    <mergeCell ref="H528:I528"/>
    <mergeCell ref="E519:G519"/>
    <mergeCell ref="H519:I519"/>
    <mergeCell ref="J519:K519"/>
    <mergeCell ref="E520:G520"/>
    <mergeCell ref="H504:I504"/>
    <mergeCell ref="D503:K503"/>
    <mergeCell ref="D319:K319"/>
    <mergeCell ref="D320:K320"/>
    <mergeCell ref="D321:K321"/>
    <mergeCell ref="D322:K322"/>
    <mergeCell ref="E572:K572"/>
    <mergeCell ref="E573:K573"/>
    <mergeCell ref="D539:K539"/>
    <mergeCell ref="D568:K568"/>
    <mergeCell ref="D571:K571"/>
    <mergeCell ref="D561:K561"/>
    <mergeCell ref="D562:K562"/>
    <mergeCell ref="D563:K563"/>
    <mergeCell ref="D564:K564"/>
    <mergeCell ref="D565:K565"/>
    <mergeCell ref="D566:K566"/>
    <mergeCell ref="D570:K570"/>
    <mergeCell ref="D557:K557"/>
    <mergeCell ref="D558:K558"/>
    <mergeCell ref="D559:K559"/>
    <mergeCell ref="D551:K551"/>
    <mergeCell ref="D552:K552"/>
    <mergeCell ref="D553:K553"/>
    <mergeCell ref="D554:K554"/>
    <mergeCell ref="D569:K569"/>
    <mergeCell ref="I393:K393"/>
    <mergeCell ref="D395:H395"/>
    <mergeCell ref="D396:H396"/>
    <mergeCell ref="D397:H397"/>
    <mergeCell ref="D398:H398"/>
    <mergeCell ref="I401:K401"/>
    <mergeCell ref="D403:H403"/>
    <mergeCell ref="D404:H404"/>
    <mergeCell ref="D405:H405"/>
    <mergeCell ref="D415:H415"/>
    <mergeCell ref="D416:H416"/>
    <mergeCell ref="D417:H417"/>
    <mergeCell ref="D418:H418"/>
    <mergeCell ref="I420:K420"/>
    <mergeCell ref="D422:H422"/>
    <mergeCell ref="D423:H423"/>
    <mergeCell ref="D424:H424"/>
    <mergeCell ref="D406:H406"/>
    <mergeCell ref="D407:H407"/>
    <mergeCell ref="D408:H408"/>
    <mergeCell ref="D409:H409"/>
    <mergeCell ref="D410:H410"/>
    <mergeCell ref="D411:H411"/>
    <mergeCell ref="D412:H412"/>
    <mergeCell ref="D413:H413"/>
    <mergeCell ref="D414:H414"/>
    <mergeCell ref="D296:H296"/>
    <mergeCell ref="D302:I302"/>
    <mergeCell ref="D303:H303"/>
    <mergeCell ref="D304:H304"/>
    <mergeCell ref="D305:H305"/>
    <mergeCell ref="D306:K306"/>
    <mergeCell ref="D263:H263"/>
    <mergeCell ref="D441:K441"/>
    <mergeCell ref="D442:K442"/>
    <mergeCell ref="D433:H433"/>
    <mergeCell ref="D434:H434"/>
    <mergeCell ref="D435:H435"/>
    <mergeCell ref="D436:H436"/>
    <mergeCell ref="D437:H437"/>
    <mergeCell ref="D438:H438"/>
    <mergeCell ref="D439:H439"/>
    <mergeCell ref="D425:H425"/>
    <mergeCell ref="D426:H426"/>
    <mergeCell ref="D427:H427"/>
    <mergeCell ref="D428:H428"/>
    <mergeCell ref="D429:H429"/>
    <mergeCell ref="D430:H430"/>
    <mergeCell ref="D431:H431"/>
    <mergeCell ref="D432:H432"/>
  </mergeCells>
  <pageMargins left="0.70866141732283472" right="0.70866141732283472" top="0.74803149606299213" bottom="0.74803149606299213" header="0.31496062992125984" footer="0.31496062992125984"/>
  <pageSetup paperSize="9" scale="37" fitToHeight="0" orientation="portrait" r:id="rId1"/>
  <headerFooter>
    <oddFooter>&amp;R&amp;P</oddFooter>
  </headerFooter>
  <rowBreaks count="6" manualBreakCount="6">
    <brk id="80" max="16383" man="1"/>
    <brk id="164" max="16383" man="1"/>
    <brk id="199" max="16383" man="1"/>
    <brk id="288" max="16383" man="1"/>
    <brk id="358" max="16383" man="1"/>
    <brk id="531" max="16383" man="1"/>
  </rowBreaks>
  <ignoredErrors>
    <ignoredError sqref="A540 A561 A538 A548:A559 A148:A152 A497 A499 A501 A503:A511 A532:A536 A323:A352 A513:A528 A492:A495 A354:A355 A443:A490 A155:A174 A33:A95 A97:A127 A129:A146 A176:A178 A264:A290 A309:A318 A544 A546 A13:A28 A357:A373 A298 A180:A262" formula="1"/>
  </ignoredError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409"/>
  <sheetViews>
    <sheetView workbookViewId="0">
      <selection activeCell="C74" sqref="C74"/>
    </sheetView>
  </sheetViews>
  <sheetFormatPr defaultColWidth="9.109375" defaultRowHeight="13.8" x14ac:dyDescent="0.3"/>
  <cols>
    <col min="2" max="2" width="7.88671875" customWidth="1"/>
    <col min="3" max="3" width="21.109375" style="39" customWidth="1"/>
    <col min="4" max="4" width="4.6640625" customWidth="1"/>
    <col min="5" max="5" width="16.88671875" customWidth="1"/>
    <col min="6" max="6" width="19.109375" customWidth="1"/>
    <col min="7" max="8" width="18" customWidth="1"/>
    <col min="9" max="9" width="14.33203125" style="37" customWidth="1"/>
    <col min="10" max="10" width="14.88671875" style="37" customWidth="1"/>
    <col min="11" max="11" width="15.5546875" style="37" customWidth="1"/>
    <col min="12" max="12" width="13.5546875" bestFit="1" customWidth="1"/>
    <col min="13" max="13" width="9.33203125" bestFit="1" customWidth="1"/>
    <col min="14" max="14" width="12.33203125" customWidth="1"/>
    <col min="15" max="15" width="14" customWidth="1"/>
    <col min="16" max="16" width="13.6640625" customWidth="1"/>
    <col min="17" max="17" width="14" style="37" customWidth="1"/>
    <col min="18" max="18" width="12.88671875" style="37" customWidth="1"/>
    <col min="19" max="19" width="17.44140625" style="37" customWidth="1"/>
  </cols>
  <sheetData>
    <row r="1" spans="1:19" x14ac:dyDescent="0.3">
      <c r="C1" s="38" t="str">
        <f>+'Standing Data'!D4</f>
        <v>NAME OF COUNCIL</v>
      </c>
    </row>
    <row r="2" spans="1:19" ht="55.2" x14ac:dyDescent="0.3">
      <c r="C2" s="38" t="s">
        <v>1496</v>
      </c>
    </row>
    <row r="3" spans="1:19" x14ac:dyDescent="0.3">
      <c r="C3" s="6" t="str">
        <f>+'Standing Data'!D12</f>
        <v>Comprehensive Income and Expenditure Statement for the year ended 31 March 2026</v>
      </c>
    </row>
    <row r="4" spans="1:19" x14ac:dyDescent="0.3">
      <c r="N4" s="1289" t="s">
        <v>87</v>
      </c>
      <c r="O4" s="1291"/>
      <c r="P4" s="1291"/>
      <c r="Q4" s="1494" t="s">
        <v>87</v>
      </c>
      <c r="R4" s="1495"/>
      <c r="S4" s="1495"/>
    </row>
    <row r="5" spans="1:19" x14ac:dyDescent="0.3">
      <c r="A5" s="3"/>
      <c r="B5" s="3"/>
      <c r="C5" s="18"/>
      <c r="D5" s="3"/>
      <c r="E5" s="1287" t="str">
        <f>+'Standing Data'!D34</f>
        <v>2025/26</v>
      </c>
      <c r="F5" s="1287"/>
      <c r="G5" s="1287"/>
      <c r="H5" s="20"/>
      <c r="I5" s="1497" t="str">
        <f>'Standing Data'!D52</f>
        <v>2024/25</v>
      </c>
      <c r="J5" s="1497"/>
      <c r="K5" s="1497"/>
      <c r="L5" s="3"/>
      <c r="M5" s="3"/>
      <c r="N5" s="1287" t="str">
        <f>E5</f>
        <v>2025/26</v>
      </c>
      <c r="O5" s="1287"/>
      <c r="P5" s="1287"/>
      <c r="Q5" s="1497" t="str">
        <f>I5</f>
        <v>2024/25</v>
      </c>
      <c r="R5" s="1497"/>
      <c r="S5" s="1497"/>
    </row>
    <row r="6" spans="1:19" ht="96.6" x14ac:dyDescent="0.3">
      <c r="A6" s="3" t="s">
        <v>448</v>
      </c>
      <c r="B6" s="18" t="s">
        <v>145</v>
      </c>
      <c r="C6" s="40" t="s">
        <v>88</v>
      </c>
      <c r="D6" s="5" t="s">
        <v>444</v>
      </c>
      <c r="E6" s="225" t="s">
        <v>340</v>
      </c>
      <c r="F6" s="225" t="s">
        <v>341</v>
      </c>
      <c r="G6" s="225" t="s">
        <v>342</v>
      </c>
      <c r="H6" s="228"/>
      <c r="I6" s="226" t="s">
        <v>340</v>
      </c>
      <c r="J6" s="226" t="s">
        <v>341</v>
      </c>
      <c r="K6" s="226" t="s">
        <v>342</v>
      </c>
      <c r="L6" s="228"/>
      <c r="M6" s="3"/>
      <c r="N6" s="225" t="s">
        <v>340</v>
      </c>
      <c r="O6" s="225" t="s">
        <v>341</v>
      </c>
      <c r="P6" s="225" t="s">
        <v>342</v>
      </c>
      <c r="Q6" s="226" t="s">
        <v>340</v>
      </c>
      <c r="R6" s="226" t="s">
        <v>341</v>
      </c>
      <c r="S6" s="226" t="s">
        <v>342</v>
      </c>
    </row>
    <row r="7" spans="1:19" x14ac:dyDescent="0.3">
      <c r="A7" s="3" t="str">
        <f>IF(AND(E7=0,F7=0,G7=0,I7=0,J7=0,K7=0),"Do Not Print","Print")</f>
        <v>Do Not Print</v>
      </c>
      <c r="B7" s="3" t="s">
        <v>144</v>
      </c>
      <c r="C7" s="18" t="str">
        <f>'Input -CIES'!E7</f>
        <v>CIES Line 1</v>
      </c>
      <c r="D7" s="17"/>
      <c r="E7" s="185">
        <f t="shared" ref="E7:E26" si="0">VLOOKUP($C7,SE,11,0)</f>
        <v>0</v>
      </c>
      <c r="F7" s="185">
        <f t="shared" ref="F7:F26" si="1">-VLOOKUP($C7,SI,11,0)</f>
        <v>0</v>
      </c>
      <c r="G7" s="185">
        <f>E7+F7</f>
        <v>0</v>
      </c>
      <c r="H7" s="185"/>
      <c r="I7" s="186">
        <f t="shared" ref="I7:I26" si="2">VLOOKUP($C7,SE,17,0)</f>
        <v>0</v>
      </c>
      <c r="J7" s="186">
        <f t="shared" ref="J7:J26" si="3">-VLOOKUP($C7,SI,17,0)</f>
        <v>0</v>
      </c>
      <c r="K7" s="186">
        <f>I7+J7</f>
        <v>0</v>
      </c>
      <c r="L7" s="196"/>
      <c r="M7" s="3"/>
      <c r="N7" s="185">
        <f t="shared" ref="N7:P11" si="4">ROUND(E7,0)</f>
        <v>0</v>
      </c>
      <c r="O7" s="185">
        <f t="shared" si="4"/>
        <v>0</v>
      </c>
      <c r="P7" s="185">
        <f t="shared" si="4"/>
        <v>0</v>
      </c>
      <c r="Q7" s="186">
        <f>ROUND(I7,0)</f>
        <v>0</v>
      </c>
      <c r="R7" s="186">
        <f>ROUND(J7,0)</f>
        <v>0</v>
      </c>
      <c r="S7" s="186">
        <f>ROUND(K7,0)</f>
        <v>0</v>
      </c>
    </row>
    <row r="8" spans="1:19" x14ac:dyDescent="0.3">
      <c r="A8" s="3" t="str">
        <f>IF(AND(E8=0,F8=0,G8=0,I8=0,J8=0,K8=0),"Do Not Print","Print")</f>
        <v>Do Not Print</v>
      </c>
      <c r="B8" s="3" t="s">
        <v>144</v>
      </c>
      <c r="C8" s="18" t="str">
        <f>'Input -CIES'!E8</f>
        <v>CIES Line 2</v>
      </c>
      <c r="D8" s="3"/>
      <c r="E8" s="185">
        <f t="shared" si="0"/>
        <v>0</v>
      </c>
      <c r="F8" s="185">
        <f t="shared" si="1"/>
        <v>0</v>
      </c>
      <c r="G8" s="185">
        <f t="shared" ref="G8:G26" si="5">E8+F8</f>
        <v>0</v>
      </c>
      <c r="H8" s="185"/>
      <c r="I8" s="186">
        <f t="shared" si="2"/>
        <v>0</v>
      </c>
      <c r="J8" s="186">
        <f t="shared" si="3"/>
        <v>0</v>
      </c>
      <c r="K8" s="186">
        <f t="shared" ref="K8:K26" si="6">I8+J8</f>
        <v>0</v>
      </c>
      <c r="L8" s="185"/>
      <c r="M8" s="3"/>
      <c r="N8" s="185">
        <f t="shared" si="4"/>
        <v>0</v>
      </c>
      <c r="O8" s="185">
        <f t="shared" si="4"/>
        <v>0</v>
      </c>
      <c r="P8" s="185">
        <f t="shared" si="4"/>
        <v>0</v>
      </c>
      <c r="Q8" s="186">
        <f>ROUND(I8,0)</f>
        <v>0</v>
      </c>
      <c r="R8" s="186">
        <f t="shared" ref="R8:R26" si="7">ROUND(J8,0)</f>
        <v>0</v>
      </c>
      <c r="S8" s="186">
        <f t="shared" ref="S8:S26" si="8">ROUND(K8,0)</f>
        <v>0</v>
      </c>
    </row>
    <row r="9" spans="1:19" x14ac:dyDescent="0.3">
      <c r="A9" s="3" t="str">
        <f>IF(AND(E9=0,F9=0,G9=0,I9=0,J9=0,K9=0),"Do Not Print","Print")</f>
        <v>Do Not Print</v>
      </c>
      <c r="B9" s="3" t="s">
        <v>144</v>
      </c>
      <c r="C9" s="18" t="str">
        <f>'Input -CIES'!E9</f>
        <v>CIES Line 3</v>
      </c>
      <c r="D9" s="3"/>
      <c r="E9" s="185">
        <f t="shared" si="0"/>
        <v>0</v>
      </c>
      <c r="F9" s="185">
        <f t="shared" si="1"/>
        <v>0</v>
      </c>
      <c r="G9" s="185">
        <f t="shared" si="5"/>
        <v>0</v>
      </c>
      <c r="H9" s="185"/>
      <c r="I9" s="186">
        <f t="shared" si="2"/>
        <v>0</v>
      </c>
      <c r="J9" s="186">
        <f t="shared" si="3"/>
        <v>0</v>
      </c>
      <c r="K9" s="186">
        <f t="shared" si="6"/>
        <v>0</v>
      </c>
      <c r="L9" s="185"/>
      <c r="M9" s="3"/>
      <c r="N9" s="185">
        <f t="shared" si="4"/>
        <v>0</v>
      </c>
      <c r="O9" s="185">
        <f t="shared" si="4"/>
        <v>0</v>
      </c>
      <c r="P9" s="185">
        <f t="shared" si="4"/>
        <v>0</v>
      </c>
      <c r="Q9" s="186">
        <f t="shared" ref="Q9:Q26" si="9">ROUND(I9,0)</f>
        <v>0</v>
      </c>
      <c r="R9" s="186">
        <f t="shared" si="7"/>
        <v>0</v>
      </c>
      <c r="S9" s="186">
        <f t="shared" si="8"/>
        <v>0</v>
      </c>
    </row>
    <row r="10" spans="1:19" x14ac:dyDescent="0.3">
      <c r="A10" s="3" t="str">
        <f>IF(AND(E10=0,F10=0,G10=0,I10=0,J10=0,K10=0),"Do Not Print","Print")</f>
        <v>Do Not Print</v>
      </c>
      <c r="B10" s="3" t="s">
        <v>144</v>
      </c>
      <c r="C10" s="18" t="str">
        <f>'Input -CIES'!E10</f>
        <v>CIES Line 4</v>
      </c>
      <c r="D10" s="3"/>
      <c r="E10" s="185">
        <f t="shared" si="0"/>
        <v>0</v>
      </c>
      <c r="F10" s="185">
        <f t="shared" si="1"/>
        <v>0</v>
      </c>
      <c r="G10" s="185">
        <f t="shared" si="5"/>
        <v>0</v>
      </c>
      <c r="H10" s="185"/>
      <c r="I10" s="186">
        <f t="shared" si="2"/>
        <v>0</v>
      </c>
      <c r="J10" s="186">
        <f t="shared" si="3"/>
        <v>0</v>
      </c>
      <c r="K10" s="186">
        <f t="shared" si="6"/>
        <v>0</v>
      </c>
      <c r="L10" s="185"/>
      <c r="M10" s="3"/>
      <c r="N10" s="185">
        <f t="shared" si="4"/>
        <v>0</v>
      </c>
      <c r="O10" s="185">
        <f t="shared" si="4"/>
        <v>0</v>
      </c>
      <c r="P10" s="185">
        <f t="shared" si="4"/>
        <v>0</v>
      </c>
      <c r="Q10" s="186">
        <f t="shared" si="9"/>
        <v>0</v>
      </c>
      <c r="R10" s="186">
        <f t="shared" si="7"/>
        <v>0</v>
      </c>
      <c r="S10" s="186">
        <f t="shared" si="8"/>
        <v>0</v>
      </c>
    </row>
    <row r="11" spans="1:19" x14ac:dyDescent="0.3">
      <c r="A11" s="3" t="str">
        <f>IF(AND(E11=0,F11=0,G11=0,I11=0,J11=0,K11=0),"Do Not Print","Print")</f>
        <v>Do Not Print</v>
      </c>
      <c r="B11" s="3" t="s">
        <v>144</v>
      </c>
      <c r="C11" s="18" t="str">
        <f>'Input -CIES'!E11</f>
        <v>CIES Line 5</v>
      </c>
      <c r="D11" s="3"/>
      <c r="E11" s="185">
        <f t="shared" si="0"/>
        <v>0</v>
      </c>
      <c r="F11" s="185">
        <f t="shared" si="1"/>
        <v>0</v>
      </c>
      <c r="G11" s="185">
        <f t="shared" si="5"/>
        <v>0</v>
      </c>
      <c r="H11" s="185"/>
      <c r="I11" s="186">
        <f t="shared" si="2"/>
        <v>0</v>
      </c>
      <c r="J11" s="186">
        <f t="shared" si="3"/>
        <v>0</v>
      </c>
      <c r="K11" s="186">
        <f t="shared" si="6"/>
        <v>0</v>
      </c>
      <c r="L11" s="185"/>
      <c r="M11" s="3"/>
      <c r="N11" s="185">
        <f t="shared" si="4"/>
        <v>0</v>
      </c>
      <c r="O11" s="185">
        <f t="shared" si="4"/>
        <v>0</v>
      </c>
      <c r="P11" s="185">
        <f t="shared" si="4"/>
        <v>0</v>
      </c>
      <c r="Q11" s="186">
        <f t="shared" si="9"/>
        <v>0</v>
      </c>
      <c r="R11" s="186">
        <f t="shared" si="7"/>
        <v>0</v>
      </c>
      <c r="S11" s="186">
        <f t="shared" si="8"/>
        <v>0</v>
      </c>
    </row>
    <row r="12" spans="1:19" x14ac:dyDescent="0.3">
      <c r="A12" s="3" t="str">
        <f t="shared" ref="A12:A26" si="10">IF(AND(E12=0,F12=0,G12=0,I12=0,J12=0,K12=0),"Do Not Print","Print")</f>
        <v>Do Not Print</v>
      </c>
      <c r="B12" s="3" t="s">
        <v>144</v>
      </c>
      <c r="C12" s="18" t="str">
        <f>'Input -CIES'!E12</f>
        <v>CIES Line 6</v>
      </c>
      <c r="D12" s="3"/>
      <c r="E12" s="185">
        <f t="shared" si="0"/>
        <v>0</v>
      </c>
      <c r="F12" s="185">
        <f t="shared" si="1"/>
        <v>0</v>
      </c>
      <c r="G12" s="185">
        <f t="shared" si="5"/>
        <v>0</v>
      </c>
      <c r="H12" s="185"/>
      <c r="I12" s="186">
        <f t="shared" si="2"/>
        <v>0</v>
      </c>
      <c r="J12" s="186">
        <f t="shared" si="3"/>
        <v>0</v>
      </c>
      <c r="K12" s="186">
        <f t="shared" si="6"/>
        <v>0</v>
      </c>
      <c r="L12" s="185"/>
      <c r="M12" s="3"/>
      <c r="N12" s="185"/>
      <c r="O12" s="185"/>
      <c r="P12" s="185"/>
      <c r="Q12" s="186">
        <f t="shared" si="9"/>
        <v>0</v>
      </c>
      <c r="R12" s="186">
        <f t="shared" si="7"/>
        <v>0</v>
      </c>
      <c r="S12" s="186">
        <f t="shared" si="8"/>
        <v>0</v>
      </c>
    </row>
    <row r="13" spans="1:19" s="14" customFormat="1" ht="14.4" x14ac:dyDescent="0.3">
      <c r="A13" s="3" t="str">
        <f t="shared" si="10"/>
        <v>Do Not Print</v>
      </c>
      <c r="B13" s="3" t="s">
        <v>144</v>
      </c>
      <c r="C13" s="18" t="str">
        <f>'Input -CIES'!E13</f>
        <v>CIES Line 7</v>
      </c>
      <c r="E13" s="185">
        <f t="shared" si="0"/>
        <v>0</v>
      </c>
      <c r="F13" s="185">
        <f t="shared" si="1"/>
        <v>0</v>
      </c>
      <c r="G13" s="185">
        <f t="shared" si="5"/>
        <v>0</v>
      </c>
      <c r="H13" s="197"/>
      <c r="I13" s="186">
        <f t="shared" si="2"/>
        <v>0</v>
      </c>
      <c r="J13" s="186">
        <f t="shared" si="3"/>
        <v>0</v>
      </c>
      <c r="K13" s="186">
        <f t="shared" si="6"/>
        <v>0</v>
      </c>
      <c r="L13" s="197"/>
      <c r="N13" s="197">
        <f>ROUND(E13,0)</f>
        <v>0</v>
      </c>
      <c r="O13" s="197">
        <f>ROUND(F13,0)</f>
        <v>0</v>
      </c>
      <c r="P13" s="197">
        <f>ROUND(G13,0)</f>
        <v>0</v>
      </c>
      <c r="Q13" s="186">
        <f>ROUND(I13,0)</f>
        <v>0</v>
      </c>
      <c r="R13" s="186">
        <f t="shared" si="7"/>
        <v>0</v>
      </c>
      <c r="S13" s="186">
        <f t="shared" si="8"/>
        <v>0</v>
      </c>
    </row>
    <row r="14" spans="1:19" x14ac:dyDescent="0.3">
      <c r="A14" s="3" t="str">
        <f t="shared" si="10"/>
        <v>Do Not Print</v>
      </c>
      <c r="B14" s="3" t="s">
        <v>144</v>
      </c>
      <c r="C14" s="18" t="str">
        <f>'Input -CIES'!E14</f>
        <v>CIES Line 8</v>
      </c>
      <c r="D14" s="17"/>
      <c r="E14" s="185">
        <f t="shared" si="0"/>
        <v>0</v>
      </c>
      <c r="F14" s="185">
        <f t="shared" si="1"/>
        <v>0</v>
      </c>
      <c r="G14" s="185">
        <f t="shared" si="5"/>
        <v>0</v>
      </c>
      <c r="H14" s="196"/>
      <c r="I14" s="186">
        <f t="shared" si="2"/>
        <v>0</v>
      </c>
      <c r="J14" s="186">
        <f t="shared" si="3"/>
        <v>0</v>
      </c>
      <c r="K14" s="186">
        <f t="shared" si="6"/>
        <v>0</v>
      </c>
      <c r="L14" s="196"/>
      <c r="M14" s="3"/>
      <c r="N14" s="185"/>
      <c r="O14" s="185"/>
      <c r="P14" s="185"/>
      <c r="Q14" s="186">
        <f t="shared" si="9"/>
        <v>0</v>
      </c>
      <c r="R14" s="186">
        <f t="shared" si="7"/>
        <v>0</v>
      </c>
      <c r="S14" s="186">
        <f t="shared" si="8"/>
        <v>0</v>
      </c>
    </row>
    <row r="15" spans="1:19" x14ac:dyDescent="0.3">
      <c r="A15" s="3" t="str">
        <f t="shared" si="10"/>
        <v>Do Not Print</v>
      </c>
      <c r="B15" s="3" t="s">
        <v>144</v>
      </c>
      <c r="C15" s="18" t="str">
        <f>'Input -CIES'!E15</f>
        <v>CIES Line 9</v>
      </c>
      <c r="D15" s="3"/>
      <c r="E15" s="185">
        <f t="shared" si="0"/>
        <v>0</v>
      </c>
      <c r="F15" s="185">
        <f t="shared" si="1"/>
        <v>0</v>
      </c>
      <c r="G15" s="185">
        <f t="shared" si="5"/>
        <v>0</v>
      </c>
      <c r="H15" s="185"/>
      <c r="I15" s="186">
        <f t="shared" si="2"/>
        <v>0</v>
      </c>
      <c r="J15" s="186">
        <f t="shared" si="3"/>
        <v>0</v>
      </c>
      <c r="K15" s="186">
        <f t="shared" si="6"/>
        <v>0</v>
      </c>
      <c r="L15" s="185"/>
      <c r="M15" s="3"/>
      <c r="N15" s="185">
        <f t="shared" ref="N15:P21" si="11">ROUND(E15,0)</f>
        <v>0</v>
      </c>
      <c r="O15" s="185">
        <f t="shared" si="11"/>
        <v>0</v>
      </c>
      <c r="P15" s="185">
        <f t="shared" si="11"/>
        <v>0</v>
      </c>
      <c r="Q15" s="186">
        <f t="shared" si="9"/>
        <v>0</v>
      </c>
      <c r="R15" s="186">
        <f t="shared" si="7"/>
        <v>0</v>
      </c>
      <c r="S15" s="186">
        <f t="shared" si="8"/>
        <v>0</v>
      </c>
    </row>
    <row r="16" spans="1:19" x14ac:dyDescent="0.3">
      <c r="A16" s="3" t="str">
        <f t="shared" si="10"/>
        <v>Do Not Print</v>
      </c>
      <c r="B16" s="3" t="s">
        <v>144</v>
      </c>
      <c r="C16" s="18" t="str">
        <f>'Input -CIES'!E16</f>
        <v>CIES Line 10</v>
      </c>
      <c r="D16" s="3"/>
      <c r="E16" s="185">
        <f t="shared" si="0"/>
        <v>0</v>
      </c>
      <c r="F16" s="185">
        <f t="shared" si="1"/>
        <v>0</v>
      </c>
      <c r="G16" s="185">
        <f t="shared" si="5"/>
        <v>0</v>
      </c>
      <c r="H16" s="185"/>
      <c r="I16" s="186">
        <f t="shared" si="2"/>
        <v>0</v>
      </c>
      <c r="J16" s="186">
        <f t="shared" si="3"/>
        <v>0</v>
      </c>
      <c r="K16" s="186">
        <f t="shared" si="6"/>
        <v>0</v>
      </c>
      <c r="L16" s="185"/>
      <c r="M16" s="3"/>
      <c r="N16" s="185">
        <f t="shared" si="11"/>
        <v>0</v>
      </c>
      <c r="O16" s="185">
        <f t="shared" si="11"/>
        <v>0</v>
      </c>
      <c r="P16" s="185">
        <f t="shared" si="11"/>
        <v>0</v>
      </c>
      <c r="Q16" s="186">
        <f t="shared" si="9"/>
        <v>0</v>
      </c>
      <c r="R16" s="186">
        <f t="shared" si="7"/>
        <v>0</v>
      </c>
      <c r="S16" s="186">
        <f t="shared" si="8"/>
        <v>0</v>
      </c>
    </row>
    <row r="17" spans="1:19" x14ac:dyDescent="0.3">
      <c r="A17" s="3" t="str">
        <f t="shared" si="10"/>
        <v>Do Not Print</v>
      </c>
      <c r="B17" s="3" t="s">
        <v>144</v>
      </c>
      <c r="C17" s="18" t="str">
        <f>'Input -CIES'!E17</f>
        <v>CIES Line 11</v>
      </c>
      <c r="D17" s="3"/>
      <c r="E17" s="185">
        <f t="shared" si="0"/>
        <v>0</v>
      </c>
      <c r="F17" s="185">
        <f t="shared" si="1"/>
        <v>0</v>
      </c>
      <c r="G17" s="185">
        <f t="shared" si="5"/>
        <v>0</v>
      </c>
      <c r="H17" s="185"/>
      <c r="I17" s="186">
        <f t="shared" si="2"/>
        <v>0</v>
      </c>
      <c r="J17" s="186">
        <f t="shared" si="3"/>
        <v>0</v>
      </c>
      <c r="K17" s="186">
        <f t="shared" si="6"/>
        <v>0</v>
      </c>
      <c r="L17" s="185"/>
      <c r="M17" s="3"/>
      <c r="N17" s="185">
        <f t="shared" si="11"/>
        <v>0</v>
      </c>
      <c r="O17" s="185">
        <f t="shared" si="11"/>
        <v>0</v>
      </c>
      <c r="P17" s="185">
        <f t="shared" si="11"/>
        <v>0</v>
      </c>
      <c r="Q17" s="186">
        <f t="shared" si="9"/>
        <v>0</v>
      </c>
      <c r="R17" s="186">
        <f t="shared" si="7"/>
        <v>0</v>
      </c>
      <c r="S17" s="186">
        <f t="shared" si="8"/>
        <v>0</v>
      </c>
    </row>
    <row r="18" spans="1:19" ht="43.5" customHeight="1" x14ac:dyDescent="0.3">
      <c r="A18" s="3" t="str">
        <f t="shared" si="10"/>
        <v>Do Not Print</v>
      </c>
      <c r="B18" s="3" t="s">
        <v>144</v>
      </c>
      <c r="C18" s="18" t="str">
        <f>'Input -CIES'!E18</f>
        <v>CIES Line 12</v>
      </c>
      <c r="D18" s="3"/>
      <c r="E18" s="185">
        <f t="shared" si="0"/>
        <v>0</v>
      </c>
      <c r="F18" s="185">
        <f t="shared" si="1"/>
        <v>0</v>
      </c>
      <c r="G18" s="185">
        <f t="shared" si="5"/>
        <v>0</v>
      </c>
      <c r="H18" s="185"/>
      <c r="I18" s="186">
        <f t="shared" si="2"/>
        <v>0</v>
      </c>
      <c r="J18" s="186">
        <f t="shared" si="3"/>
        <v>0</v>
      </c>
      <c r="K18" s="186">
        <f t="shared" si="6"/>
        <v>0</v>
      </c>
      <c r="L18" s="185"/>
      <c r="M18" s="3"/>
      <c r="N18" s="185">
        <f t="shared" si="11"/>
        <v>0</v>
      </c>
      <c r="O18" s="185">
        <f t="shared" si="11"/>
        <v>0</v>
      </c>
      <c r="P18" s="185">
        <f t="shared" si="11"/>
        <v>0</v>
      </c>
      <c r="Q18" s="186">
        <f t="shared" si="9"/>
        <v>0</v>
      </c>
      <c r="R18" s="186">
        <f t="shared" si="7"/>
        <v>0</v>
      </c>
      <c r="S18" s="186">
        <f t="shared" si="8"/>
        <v>0</v>
      </c>
    </row>
    <row r="19" spans="1:19" x14ac:dyDescent="0.3">
      <c r="A19" s="3" t="str">
        <f t="shared" si="10"/>
        <v>Do Not Print</v>
      </c>
      <c r="B19" s="3" t="s">
        <v>144</v>
      </c>
      <c r="C19" s="18" t="str">
        <f>'Input -CIES'!E19</f>
        <v>CIES Line 13</v>
      </c>
      <c r="D19" s="3"/>
      <c r="E19" s="185">
        <f t="shared" si="0"/>
        <v>0</v>
      </c>
      <c r="F19" s="185">
        <f t="shared" si="1"/>
        <v>0</v>
      </c>
      <c r="G19" s="185">
        <f t="shared" si="5"/>
        <v>0</v>
      </c>
      <c r="H19" s="185"/>
      <c r="I19" s="186">
        <f t="shared" si="2"/>
        <v>0</v>
      </c>
      <c r="J19" s="186">
        <f t="shared" si="3"/>
        <v>0</v>
      </c>
      <c r="K19" s="186">
        <f t="shared" si="6"/>
        <v>0</v>
      </c>
      <c r="L19" s="185"/>
      <c r="M19" s="3"/>
      <c r="N19" s="185">
        <f t="shared" si="11"/>
        <v>0</v>
      </c>
      <c r="O19" s="185">
        <f t="shared" si="11"/>
        <v>0</v>
      </c>
      <c r="P19" s="185">
        <f t="shared" si="11"/>
        <v>0</v>
      </c>
      <c r="Q19" s="186">
        <f t="shared" si="9"/>
        <v>0</v>
      </c>
      <c r="R19" s="186">
        <f t="shared" si="7"/>
        <v>0</v>
      </c>
      <c r="S19" s="186">
        <f t="shared" si="8"/>
        <v>0</v>
      </c>
    </row>
    <row r="20" spans="1:19" x14ac:dyDescent="0.3">
      <c r="A20" s="3" t="str">
        <f t="shared" si="10"/>
        <v>Do Not Print</v>
      </c>
      <c r="B20" s="3" t="s">
        <v>144</v>
      </c>
      <c r="C20" s="18" t="str">
        <f>'Input -CIES'!E20</f>
        <v>CIES Line 14</v>
      </c>
      <c r="D20" s="3"/>
      <c r="E20" s="185">
        <f t="shared" si="0"/>
        <v>0</v>
      </c>
      <c r="F20" s="185">
        <f t="shared" si="1"/>
        <v>0</v>
      </c>
      <c r="G20" s="185">
        <f t="shared" si="5"/>
        <v>0</v>
      </c>
      <c r="H20" s="185"/>
      <c r="I20" s="186">
        <f t="shared" si="2"/>
        <v>0</v>
      </c>
      <c r="J20" s="186">
        <f t="shared" si="3"/>
        <v>0</v>
      </c>
      <c r="K20" s="186">
        <f t="shared" si="6"/>
        <v>0</v>
      </c>
      <c r="L20" s="185"/>
      <c r="M20" s="3"/>
      <c r="N20" s="185">
        <f t="shared" si="11"/>
        <v>0</v>
      </c>
      <c r="O20" s="185">
        <f t="shared" si="11"/>
        <v>0</v>
      </c>
      <c r="P20" s="185">
        <f t="shared" si="11"/>
        <v>0</v>
      </c>
      <c r="Q20" s="186">
        <f t="shared" si="9"/>
        <v>0</v>
      </c>
      <c r="R20" s="186">
        <f t="shared" si="7"/>
        <v>0</v>
      </c>
      <c r="S20" s="186">
        <f t="shared" si="8"/>
        <v>0</v>
      </c>
    </row>
    <row r="21" spans="1:19" x14ac:dyDescent="0.3">
      <c r="A21" s="3" t="str">
        <f t="shared" si="10"/>
        <v>Do Not Print</v>
      </c>
      <c r="B21" s="3" t="s">
        <v>144</v>
      </c>
      <c r="C21" s="18" t="str">
        <f>'Input -CIES'!E21</f>
        <v>CIES Line 15</v>
      </c>
      <c r="D21" s="3"/>
      <c r="E21" s="185">
        <f t="shared" si="0"/>
        <v>0</v>
      </c>
      <c r="F21" s="185">
        <f t="shared" si="1"/>
        <v>0</v>
      </c>
      <c r="G21" s="185">
        <f t="shared" si="5"/>
        <v>0</v>
      </c>
      <c r="H21" s="185"/>
      <c r="I21" s="186">
        <f t="shared" si="2"/>
        <v>0</v>
      </c>
      <c r="J21" s="186">
        <f t="shared" si="3"/>
        <v>0</v>
      </c>
      <c r="K21" s="186">
        <f t="shared" si="6"/>
        <v>0</v>
      </c>
      <c r="L21" s="185"/>
      <c r="M21" s="3"/>
      <c r="N21" s="185">
        <f t="shared" si="11"/>
        <v>0</v>
      </c>
      <c r="O21" s="185">
        <f t="shared" si="11"/>
        <v>0</v>
      </c>
      <c r="P21" s="185">
        <f t="shared" si="11"/>
        <v>0</v>
      </c>
      <c r="Q21" s="186">
        <f t="shared" si="9"/>
        <v>0</v>
      </c>
      <c r="R21" s="186">
        <f t="shared" si="7"/>
        <v>0</v>
      </c>
      <c r="S21" s="186">
        <f t="shared" si="8"/>
        <v>0</v>
      </c>
    </row>
    <row r="22" spans="1:19" x14ac:dyDescent="0.3">
      <c r="A22" s="3" t="str">
        <f t="shared" si="10"/>
        <v>Do Not Print</v>
      </c>
      <c r="B22" s="3" t="s">
        <v>144</v>
      </c>
      <c r="C22" s="18" t="str">
        <f>'Input -CIES'!E22</f>
        <v>CIES Line 16</v>
      </c>
      <c r="D22" s="3"/>
      <c r="E22" s="185">
        <f t="shared" si="0"/>
        <v>0</v>
      </c>
      <c r="F22" s="185">
        <f t="shared" si="1"/>
        <v>0</v>
      </c>
      <c r="G22" s="185">
        <f t="shared" si="5"/>
        <v>0</v>
      </c>
      <c r="H22" s="185"/>
      <c r="I22" s="186">
        <f t="shared" si="2"/>
        <v>0</v>
      </c>
      <c r="J22" s="186">
        <f t="shared" si="3"/>
        <v>0</v>
      </c>
      <c r="K22" s="186">
        <f t="shared" si="6"/>
        <v>0</v>
      </c>
      <c r="L22" s="185"/>
      <c r="M22" s="3"/>
      <c r="N22" s="185">
        <f>ROUND(E22,0)</f>
        <v>0</v>
      </c>
      <c r="O22" s="185">
        <f>ROUND(F22,0)</f>
        <v>0</v>
      </c>
      <c r="P22" s="185">
        <f>ROUND(G22,0)</f>
        <v>0</v>
      </c>
      <c r="Q22" s="186">
        <f t="shared" si="9"/>
        <v>0</v>
      </c>
      <c r="R22" s="186">
        <f t="shared" si="7"/>
        <v>0</v>
      </c>
      <c r="S22" s="186">
        <f t="shared" si="8"/>
        <v>0</v>
      </c>
    </row>
    <row r="23" spans="1:19" x14ac:dyDescent="0.3">
      <c r="A23" s="3" t="str">
        <f t="shared" si="10"/>
        <v>Do Not Print</v>
      </c>
      <c r="B23" s="3" t="s">
        <v>144</v>
      </c>
      <c r="C23" s="18" t="str">
        <f>'Input -CIES'!E23</f>
        <v>CIES Line 17</v>
      </c>
      <c r="D23" s="3"/>
      <c r="E23" s="185">
        <f t="shared" si="0"/>
        <v>0</v>
      </c>
      <c r="F23" s="185">
        <f t="shared" si="1"/>
        <v>0</v>
      </c>
      <c r="G23" s="185">
        <f t="shared" si="5"/>
        <v>0</v>
      </c>
      <c r="H23" s="185"/>
      <c r="I23" s="186">
        <f t="shared" si="2"/>
        <v>0</v>
      </c>
      <c r="J23" s="186">
        <f t="shared" si="3"/>
        <v>0</v>
      </c>
      <c r="K23" s="186">
        <f t="shared" si="6"/>
        <v>0</v>
      </c>
      <c r="L23" s="185"/>
      <c r="M23" s="3"/>
      <c r="N23" s="185"/>
      <c r="O23" s="185"/>
      <c r="P23" s="185"/>
      <c r="Q23" s="186">
        <f t="shared" si="9"/>
        <v>0</v>
      </c>
      <c r="R23" s="186">
        <f t="shared" si="7"/>
        <v>0</v>
      </c>
      <c r="S23" s="186">
        <f t="shared" si="8"/>
        <v>0</v>
      </c>
    </row>
    <row r="24" spans="1:19" s="14" customFormat="1" ht="14.4" x14ac:dyDescent="0.3">
      <c r="A24" s="3" t="str">
        <f t="shared" si="10"/>
        <v>Do Not Print</v>
      </c>
      <c r="B24" s="3" t="s">
        <v>144</v>
      </c>
      <c r="C24" s="18" t="str">
        <f>'Input -CIES'!E24</f>
        <v>CIES Line 18</v>
      </c>
      <c r="E24" s="185">
        <f t="shared" si="0"/>
        <v>0</v>
      </c>
      <c r="F24" s="185">
        <f t="shared" si="1"/>
        <v>0</v>
      </c>
      <c r="G24" s="185">
        <f t="shared" si="5"/>
        <v>0</v>
      </c>
      <c r="H24" s="197"/>
      <c r="I24" s="186">
        <f t="shared" si="2"/>
        <v>0</v>
      </c>
      <c r="J24" s="186">
        <f t="shared" si="3"/>
        <v>0</v>
      </c>
      <c r="K24" s="186">
        <f t="shared" si="6"/>
        <v>0</v>
      </c>
      <c r="L24" s="197"/>
      <c r="N24" s="197">
        <f>ROUND(E24,0)</f>
        <v>0</v>
      </c>
      <c r="O24" s="197">
        <f>ROUND(F24,0)</f>
        <v>0</v>
      </c>
      <c r="P24" s="197">
        <f>ROUND(G24,0)</f>
        <v>0</v>
      </c>
      <c r="Q24" s="186">
        <f t="shared" si="9"/>
        <v>0</v>
      </c>
      <c r="R24" s="186">
        <f t="shared" si="7"/>
        <v>0</v>
      </c>
      <c r="S24" s="186">
        <f t="shared" si="8"/>
        <v>0</v>
      </c>
    </row>
    <row r="25" spans="1:19" x14ac:dyDescent="0.3">
      <c r="A25" s="3" t="str">
        <f t="shared" si="10"/>
        <v>Do Not Print</v>
      </c>
      <c r="B25" s="3" t="s">
        <v>144</v>
      </c>
      <c r="C25" s="18" t="str">
        <f>'Input -CIES'!E25</f>
        <v>CIES Line 19</v>
      </c>
      <c r="D25" s="3"/>
      <c r="E25" s="185">
        <f t="shared" si="0"/>
        <v>0</v>
      </c>
      <c r="F25" s="185">
        <f t="shared" si="1"/>
        <v>0</v>
      </c>
      <c r="G25" s="185">
        <f t="shared" si="5"/>
        <v>0</v>
      </c>
      <c r="H25" s="185"/>
      <c r="I25" s="186">
        <f t="shared" si="2"/>
        <v>0</v>
      </c>
      <c r="J25" s="186">
        <f t="shared" si="3"/>
        <v>0</v>
      </c>
      <c r="K25" s="186">
        <f t="shared" si="6"/>
        <v>0</v>
      </c>
      <c r="L25" s="185"/>
      <c r="M25" s="3"/>
      <c r="N25" s="185"/>
      <c r="O25" s="185"/>
      <c r="P25" s="185"/>
      <c r="Q25" s="186">
        <f t="shared" si="9"/>
        <v>0</v>
      </c>
      <c r="R25" s="186">
        <f t="shared" si="7"/>
        <v>0</v>
      </c>
      <c r="S25" s="186">
        <f t="shared" si="8"/>
        <v>0</v>
      </c>
    </row>
    <row r="26" spans="1:19" x14ac:dyDescent="0.3">
      <c r="A26" s="3" t="str">
        <f t="shared" si="10"/>
        <v>Do Not Print</v>
      </c>
      <c r="B26" s="3" t="s">
        <v>144</v>
      </c>
      <c r="C26" s="18" t="str">
        <f>'Input -CIES'!E26</f>
        <v>CIES Line 20</v>
      </c>
      <c r="D26" s="3"/>
      <c r="E26" s="185">
        <f t="shared" si="0"/>
        <v>0</v>
      </c>
      <c r="F26" s="185">
        <f t="shared" si="1"/>
        <v>0</v>
      </c>
      <c r="G26" s="185">
        <f t="shared" si="5"/>
        <v>0</v>
      </c>
      <c r="H26" s="185"/>
      <c r="I26" s="186">
        <f t="shared" si="2"/>
        <v>0</v>
      </c>
      <c r="J26" s="186">
        <f t="shared" si="3"/>
        <v>0</v>
      </c>
      <c r="K26" s="186">
        <f t="shared" si="6"/>
        <v>0</v>
      </c>
      <c r="L26" s="185"/>
      <c r="M26" s="3"/>
      <c r="N26" s="185">
        <f t="shared" ref="N26:P26" si="12">ROUND(E26,0)</f>
        <v>0</v>
      </c>
      <c r="O26" s="185">
        <f t="shared" si="12"/>
        <v>0</v>
      </c>
      <c r="P26" s="185">
        <f t="shared" si="12"/>
        <v>0</v>
      </c>
      <c r="Q26" s="186">
        <f t="shared" si="9"/>
        <v>0</v>
      </c>
      <c r="R26" s="186">
        <f t="shared" si="7"/>
        <v>0</v>
      </c>
      <c r="S26" s="186">
        <f t="shared" si="8"/>
        <v>0</v>
      </c>
    </row>
    <row r="27" spans="1:19" x14ac:dyDescent="0.3">
      <c r="A27" s="3" t="s">
        <v>448</v>
      </c>
      <c r="B27" s="3"/>
      <c r="C27" s="40"/>
      <c r="D27" s="3"/>
      <c r="E27" s="190"/>
      <c r="F27" s="190"/>
      <c r="G27" s="190"/>
      <c r="H27" s="190"/>
      <c r="I27" s="192"/>
      <c r="J27" s="192"/>
      <c r="K27" s="192"/>
      <c r="L27" s="190"/>
      <c r="M27" s="3"/>
      <c r="N27" s="185"/>
      <c r="O27" s="185"/>
      <c r="P27" s="185"/>
      <c r="Q27" s="186"/>
      <c r="R27" s="186"/>
      <c r="S27" s="186"/>
    </row>
    <row r="28" spans="1:19" s="14" customFormat="1" ht="28.8" x14ac:dyDescent="0.3">
      <c r="A28" s="14" t="str">
        <f>IF(AND(E28=0,F28=0,G28=0,I28=0,J28=0,K28=0),"Do Not Print","Print")</f>
        <v>Do Not Print</v>
      </c>
      <c r="B28" s="972"/>
      <c r="C28" s="45" t="s">
        <v>344</v>
      </c>
      <c r="E28" s="197">
        <f>SUM(E7:E26)</f>
        <v>0</v>
      </c>
      <c r="F28" s="197">
        <f t="shared" ref="F28:G28" si="13">SUM(F7:F26)</f>
        <v>0</v>
      </c>
      <c r="G28" s="197">
        <f t="shared" si="13"/>
        <v>0</v>
      </c>
      <c r="H28" s="197"/>
      <c r="I28" s="227">
        <f>SUM(I7:I26)</f>
        <v>0</v>
      </c>
      <c r="J28" s="227">
        <f t="shared" ref="J28:K28" si="14">SUM(J7:J26)</f>
        <v>0</v>
      </c>
      <c r="K28" s="227">
        <f t="shared" si="14"/>
        <v>0</v>
      </c>
      <c r="L28" s="197"/>
      <c r="N28" s="197">
        <f>ROUND(E28,0)</f>
        <v>0</v>
      </c>
      <c r="O28" s="197">
        <f>ROUND(F28,0)</f>
        <v>0</v>
      </c>
      <c r="P28" s="197"/>
      <c r="Q28" s="227">
        <f>ROUND(I28,0)</f>
        <v>0</v>
      </c>
      <c r="R28" s="227">
        <f>ROUND(J28,0)</f>
        <v>0</v>
      </c>
      <c r="S28" s="227">
        <f>ROUND(K28,0)</f>
        <v>0</v>
      </c>
    </row>
    <row r="29" spans="1:19" s="42" customFormat="1" x14ac:dyDescent="0.3">
      <c r="A29" s="41" t="s">
        <v>448</v>
      </c>
      <c r="B29" s="41"/>
      <c r="C29" s="43"/>
      <c r="D29" s="41"/>
      <c r="E29" s="195"/>
      <c r="F29" s="195"/>
      <c r="G29" s="195"/>
      <c r="H29" s="195"/>
      <c r="I29" s="195"/>
      <c r="J29" s="195"/>
      <c r="K29" s="195"/>
      <c r="L29" s="195"/>
      <c r="M29" s="41"/>
      <c r="N29" s="195"/>
      <c r="O29" s="195"/>
      <c r="P29" s="195"/>
      <c r="Q29" s="195"/>
      <c r="R29" s="195"/>
      <c r="S29" s="195"/>
    </row>
    <row r="30" spans="1:19" ht="27.6" x14ac:dyDescent="0.3">
      <c r="A30" s="3" t="s">
        <v>448</v>
      </c>
      <c r="B30" s="3"/>
      <c r="C30" s="38" t="s">
        <v>161</v>
      </c>
      <c r="D30" s="17"/>
      <c r="E30" s="185"/>
      <c r="F30" s="185"/>
      <c r="G30" s="185"/>
      <c r="H30" s="185"/>
      <c r="I30" s="186"/>
      <c r="J30" s="186"/>
      <c r="K30" s="186"/>
      <c r="L30" s="185"/>
      <c r="M30" s="3"/>
      <c r="N30" s="185"/>
      <c r="O30" s="185"/>
      <c r="P30" s="185"/>
      <c r="Q30" s="186"/>
      <c r="R30" s="186"/>
      <c r="S30" s="186"/>
    </row>
    <row r="31" spans="1:19" x14ac:dyDescent="0.3">
      <c r="A31" s="3" t="str">
        <f>IF(AND(E31=0,F31=0,G31=0,I31=0,J31=0,K31=0),"Do Not Print","Print")</f>
        <v>Do Not Print</v>
      </c>
      <c r="B31" s="3" t="s">
        <v>151</v>
      </c>
      <c r="C31" s="18" t="s">
        <v>162</v>
      </c>
      <c r="D31" s="3"/>
      <c r="E31" s="185">
        <f>'Notes 3 to 10'!E396</f>
        <v>0</v>
      </c>
      <c r="F31" s="185">
        <v>0</v>
      </c>
      <c r="G31" s="185">
        <f>E31+F31</f>
        <v>0</v>
      </c>
      <c r="H31" s="185"/>
      <c r="I31" s="186">
        <f>'Notes 3 to 10'!F396</f>
        <v>0</v>
      </c>
      <c r="J31" s="186">
        <v>0</v>
      </c>
      <c r="K31" s="186">
        <f>I31+J31</f>
        <v>0</v>
      </c>
      <c r="L31" s="185"/>
      <c r="M31" s="3"/>
      <c r="N31" s="185">
        <f t="shared" ref="N31:P34" si="15">ROUND(E31,0)</f>
        <v>0</v>
      </c>
      <c r="O31" s="185">
        <f t="shared" si="15"/>
        <v>0</v>
      </c>
      <c r="P31" s="185">
        <f t="shared" si="15"/>
        <v>0</v>
      </c>
      <c r="Q31" s="186">
        <f t="shared" ref="Q31:S36" si="16">ROUND(I31,0)</f>
        <v>0</v>
      </c>
      <c r="R31" s="186">
        <f t="shared" si="16"/>
        <v>0</v>
      </c>
      <c r="S31" s="186">
        <f t="shared" si="16"/>
        <v>0</v>
      </c>
    </row>
    <row r="32" spans="1:19" ht="27.6" x14ac:dyDescent="0.3">
      <c r="A32" s="3" t="str">
        <f>IF(AND(E32=0,F32=0,G32=0,I32=0,J32=0,K32=0),"Do Not Print","Print")</f>
        <v>Do Not Print</v>
      </c>
      <c r="B32" s="3" t="s">
        <v>151</v>
      </c>
      <c r="C32" s="18" t="s">
        <v>163</v>
      </c>
      <c r="D32" s="3"/>
      <c r="E32" s="185">
        <f>IF(VLOOKUP($C32,OE,8,0)&gt;0,VLOOKUP($C32,OE,8,0),0)</f>
        <v>0</v>
      </c>
      <c r="F32" s="185">
        <f>IF(VLOOKUP($C32,OE,8,0)&lt;0,VLOOKUP($C32,OE,8,0),0)</f>
        <v>0</v>
      </c>
      <c r="G32" s="185">
        <f>E32+F32</f>
        <v>0</v>
      </c>
      <c r="H32" s="185"/>
      <c r="I32" s="186">
        <f>IF(VLOOKUP($C32,OE,14,0)&gt;0,VLOOKUP($C32,OE,14,0),0)</f>
        <v>0</v>
      </c>
      <c r="J32" s="186">
        <f>IF(VLOOKUP($C32,OE,14,0)&lt;0,VLOOKUP($C32,OE,14,0),0)</f>
        <v>0</v>
      </c>
      <c r="K32" s="186">
        <f>I32+J32</f>
        <v>0</v>
      </c>
      <c r="L32" s="185"/>
      <c r="M32" s="3"/>
      <c r="N32" s="185">
        <f t="shared" si="15"/>
        <v>0</v>
      </c>
      <c r="O32" s="185">
        <f t="shared" si="15"/>
        <v>0</v>
      </c>
      <c r="P32" s="185">
        <f t="shared" si="15"/>
        <v>0</v>
      </c>
      <c r="Q32" s="186">
        <f t="shared" si="16"/>
        <v>0</v>
      </c>
      <c r="R32" s="186">
        <f t="shared" si="16"/>
        <v>0</v>
      </c>
      <c r="S32" s="186">
        <f t="shared" si="16"/>
        <v>0</v>
      </c>
    </row>
    <row r="33" spans="1:19" ht="27.6" x14ac:dyDescent="0.3">
      <c r="A33" s="3" t="str">
        <f>IF(AND(E33=0,F33=0,G33=0,I33=0,J33=0,K33=0),"Do Not Print","Print")</f>
        <v>Do Not Print</v>
      </c>
      <c r="B33" s="3" t="s">
        <v>151</v>
      </c>
      <c r="C33" s="18" t="s">
        <v>117</v>
      </c>
      <c r="D33" s="3"/>
      <c r="E33" s="185">
        <f>IF(VLOOKUP($C33,OE,8,0)&gt;0,VLOOKUP($C33,OE,8,0),0)</f>
        <v>0</v>
      </c>
      <c r="F33" s="185">
        <f>IF(VLOOKUP($C33,OE,8,0)&lt;0,VLOOKUP($C33,OE,8,0),0)</f>
        <v>0</v>
      </c>
      <c r="G33" s="185">
        <f>E33+F33</f>
        <v>0</v>
      </c>
      <c r="H33" s="185"/>
      <c r="I33" s="186">
        <f>IF(VLOOKUP($C33,OE,14,0)&gt;0,VLOOKUP($C33,OE,14,0),0)</f>
        <v>0</v>
      </c>
      <c r="J33" s="186">
        <f>IF(VLOOKUP($C33,OE,14,0)&lt;0,VLOOKUP($C33,OE,14,0),0)</f>
        <v>0</v>
      </c>
      <c r="K33" s="186">
        <f>I33+J33</f>
        <v>0</v>
      </c>
      <c r="L33" s="185"/>
      <c r="M33" s="3"/>
      <c r="N33" s="185">
        <f t="shared" si="15"/>
        <v>0</v>
      </c>
      <c r="O33" s="185">
        <f t="shared" si="15"/>
        <v>0</v>
      </c>
      <c r="P33" s="185">
        <f t="shared" si="15"/>
        <v>0</v>
      </c>
      <c r="Q33" s="186">
        <f t="shared" si="16"/>
        <v>0</v>
      </c>
      <c r="R33" s="186">
        <f t="shared" si="16"/>
        <v>0</v>
      </c>
      <c r="S33" s="186">
        <f t="shared" si="16"/>
        <v>0</v>
      </c>
    </row>
    <row r="34" spans="1:19" ht="23.25" customHeight="1" x14ac:dyDescent="0.3">
      <c r="A34" s="3" t="str">
        <f>IF(AND(E34=0,F34=0,G34=0,I34=0,J34=0,K34=0),"Do Not Print","Print")</f>
        <v>Do Not Print</v>
      </c>
      <c r="B34" s="3" t="s">
        <v>151</v>
      </c>
      <c r="C34" s="18" t="s">
        <v>152</v>
      </c>
      <c r="D34" s="3"/>
      <c r="E34" s="185">
        <f>IF(VLOOKUP($C34,OE,8,0)&gt;0,VLOOKUP($C34,OE,8,0),0)</f>
        <v>0</v>
      </c>
      <c r="F34" s="185">
        <f>IF(VLOOKUP($C34,OE,8,0)&lt;0,VLOOKUP($C34,OE,8,0),0)</f>
        <v>0</v>
      </c>
      <c r="G34" s="185">
        <f>E34+F34</f>
        <v>0</v>
      </c>
      <c r="H34" s="185"/>
      <c r="I34" s="186">
        <f>IF(VLOOKUP($C34,OE,14,0)&gt;0,VLOOKUP($C34,OE,14,0),0)</f>
        <v>0</v>
      </c>
      <c r="J34" s="186">
        <f>IF(VLOOKUP($C34,OE,14,0)&lt;0,VLOOKUP($C34,OE,14,0),0)</f>
        <v>0</v>
      </c>
      <c r="K34" s="186">
        <f>I34+J34</f>
        <v>0</v>
      </c>
      <c r="L34" s="185"/>
      <c r="M34" s="3"/>
      <c r="N34" s="185">
        <f t="shared" si="15"/>
        <v>0</v>
      </c>
      <c r="O34" s="185">
        <f t="shared" si="15"/>
        <v>0</v>
      </c>
      <c r="P34" s="185">
        <f t="shared" si="15"/>
        <v>0</v>
      </c>
      <c r="Q34" s="186">
        <f t="shared" si="16"/>
        <v>0</v>
      </c>
      <c r="R34" s="186">
        <f t="shared" si="16"/>
        <v>0</v>
      </c>
      <c r="S34" s="186">
        <f t="shared" si="16"/>
        <v>0</v>
      </c>
    </row>
    <row r="35" spans="1:19" x14ac:dyDescent="0.3">
      <c r="A35" s="3" t="s">
        <v>448</v>
      </c>
      <c r="B35" s="3"/>
      <c r="C35" s="18"/>
      <c r="D35" s="3"/>
      <c r="E35" s="185"/>
      <c r="F35" s="185"/>
      <c r="G35" s="185"/>
      <c r="H35" s="185"/>
      <c r="I35" s="186"/>
      <c r="J35" s="186"/>
      <c r="K35" s="186"/>
      <c r="L35" s="185"/>
      <c r="M35" s="3"/>
      <c r="N35" s="185"/>
      <c r="O35" s="185"/>
      <c r="P35" s="185"/>
      <c r="Q35" s="186"/>
      <c r="R35" s="186"/>
      <c r="S35" s="186"/>
    </row>
    <row r="36" spans="1:19" ht="27.6" x14ac:dyDescent="0.3">
      <c r="A36" s="3" t="str">
        <f>IF(AND(E36=0,F36=0,G36=0,I36=0,J36=0,K36=0),"Do Not Print","Print")</f>
        <v>Do Not Print</v>
      </c>
      <c r="B36" s="3"/>
      <c r="C36" s="38" t="s">
        <v>161</v>
      </c>
      <c r="D36" s="6"/>
      <c r="E36" s="183">
        <f>SUM(E31:E34)</f>
        <v>0</v>
      </c>
      <c r="F36" s="183">
        <f>SUM(F31:F34)</f>
        <v>0</v>
      </c>
      <c r="G36" s="183">
        <f>SUM(G31:G34)</f>
        <v>0</v>
      </c>
      <c r="H36" s="183"/>
      <c r="I36" s="184">
        <f>SUM(I31:I34)</f>
        <v>0</v>
      </c>
      <c r="J36" s="184">
        <f>SUM(J31:J34)</f>
        <v>0</v>
      </c>
      <c r="K36" s="184">
        <f>SUM(K31:K34)</f>
        <v>0</v>
      </c>
      <c r="L36" s="185"/>
      <c r="M36" s="3"/>
      <c r="N36" s="185">
        <f>ROUND(E36,0)</f>
        <v>0</v>
      </c>
      <c r="O36" s="185">
        <f>ROUND(F36,0)</f>
        <v>0</v>
      </c>
      <c r="P36" s="185">
        <f>ROUND(G36,0)</f>
        <v>0</v>
      </c>
      <c r="Q36" s="186">
        <f t="shared" si="16"/>
        <v>0</v>
      </c>
      <c r="R36" s="186">
        <f>ROUND(J36,0)</f>
        <v>0</v>
      </c>
      <c r="S36" s="186">
        <f>ROUND(K36,0)</f>
        <v>0</v>
      </c>
    </row>
    <row r="37" spans="1:19" x14ac:dyDescent="0.3">
      <c r="A37" s="3" t="s">
        <v>448</v>
      </c>
      <c r="B37" s="3"/>
      <c r="C37" s="18"/>
      <c r="D37" s="3"/>
      <c r="E37" s="185"/>
      <c r="F37" s="185"/>
      <c r="G37" s="185"/>
      <c r="H37" s="185"/>
      <c r="I37" s="186"/>
      <c r="J37" s="186"/>
      <c r="K37" s="186"/>
      <c r="L37" s="185"/>
      <c r="M37" s="3"/>
      <c r="N37" s="185"/>
      <c r="O37" s="185"/>
      <c r="P37" s="185"/>
      <c r="Q37" s="186"/>
      <c r="R37" s="186"/>
      <c r="S37" s="186"/>
    </row>
    <row r="38" spans="1:19" ht="41.4" x14ac:dyDescent="0.3">
      <c r="A38" s="3" t="s">
        <v>448</v>
      </c>
      <c r="B38" s="3"/>
      <c r="C38" s="40" t="s">
        <v>164</v>
      </c>
      <c r="D38" s="17"/>
      <c r="E38" s="185"/>
      <c r="F38" s="185"/>
      <c r="G38" s="185"/>
      <c r="H38" s="185"/>
      <c r="I38" s="186"/>
      <c r="J38" s="186"/>
      <c r="K38" s="186"/>
      <c r="L38" s="185"/>
      <c r="M38" s="3"/>
      <c r="N38" s="185"/>
      <c r="O38" s="185"/>
      <c r="P38" s="185"/>
      <c r="Q38" s="186"/>
      <c r="R38" s="186"/>
      <c r="S38" s="186"/>
    </row>
    <row r="39" spans="1:19" ht="27.6" x14ac:dyDescent="0.3">
      <c r="A39" s="3" t="s">
        <v>448</v>
      </c>
      <c r="B39" s="3"/>
      <c r="C39" s="40" t="s">
        <v>118</v>
      </c>
      <c r="D39" s="17"/>
      <c r="E39" s="185"/>
      <c r="F39" s="185"/>
      <c r="G39" s="185"/>
      <c r="H39" s="185"/>
      <c r="I39" s="186"/>
      <c r="J39" s="186"/>
      <c r="K39" s="186"/>
      <c r="L39" s="185"/>
      <c r="M39" s="3"/>
      <c r="N39" s="185"/>
      <c r="O39" s="185"/>
      <c r="P39" s="185"/>
      <c r="Q39" s="186"/>
      <c r="R39" s="186"/>
      <c r="S39" s="186"/>
    </row>
    <row r="40" spans="1:19" ht="27.6" x14ac:dyDescent="0.3">
      <c r="A40" s="3" t="str">
        <f>IF(AND(E40=0,F40=0,G40=0,I40=0,J40=0,K40=0),"Do Not Print","Print")</f>
        <v>Do Not Print</v>
      </c>
      <c r="B40" s="3" t="s">
        <v>146</v>
      </c>
      <c r="C40" s="18" t="s">
        <v>2967</v>
      </c>
      <c r="D40" s="3"/>
      <c r="E40" s="185">
        <f>IF(VLOOKUP($C40,IP,8,0)&gt;0,VLOOKUP($C40,IP,8,0),0)</f>
        <v>0</v>
      </c>
      <c r="F40" s="185">
        <f>-IF(VLOOKUP($C40,IP,8,0)&lt;0,VLOOKUP($C40,IP,8,0),0)</f>
        <v>0</v>
      </c>
      <c r="G40" s="185">
        <f>E40+F40</f>
        <v>0</v>
      </c>
      <c r="H40" s="185"/>
      <c r="I40" s="186">
        <f>IF(VLOOKUP($C40,IP,14,0)&gt;0,VLOOKUP($C40,IP,14,0),0)</f>
        <v>0</v>
      </c>
      <c r="J40" s="186">
        <f>-IF(VLOOKUP($C40,IP,14,0)&lt;0,VLOOKUP($C40,IP,14,0),0)</f>
        <v>0</v>
      </c>
      <c r="K40" s="186">
        <f>I40+J40</f>
        <v>0</v>
      </c>
      <c r="L40" s="185"/>
      <c r="M40" s="3"/>
      <c r="N40" s="185">
        <f t="shared" ref="N40:P43" si="17">ROUND(E40,0)</f>
        <v>0</v>
      </c>
      <c r="O40" s="185">
        <f t="shared" si="17"/>
        <v>0</v>
      </c>
      <c r="P40" s="185">
        <f t="shared" si="17"/>
        <v>0</v>
      </c>
      <c r="Q40" s="186">
        <f t="shared" ref="Q40:S46" si="18">ROUND(I40,0)</f>
        <v>0</v>
      </c>
      <c r="R40" s="186">
        <f t="shared" si="18"/>
        <v>0</v>
      </c>
      <c r="S40" s="186">
        <f t="shared" si="18"/>
        <v>0</v>
      </c>
    </row>
    <row r="41" spans="1:19" x14ac:dyDescent="0.3">
      <c r="A41" s="3" t="str">
        <f>IF(AND(E41=0,F41=0,G41=0,I41=0,J41=0,K41=0),"Do Not Print","Print")</f>
        <v>Do Not Print</v>
      </c>
      <c r="B41" s="3" t="s">
        <v>146</v>
      </c>
      <c r="C41" s="18" t="s">
        <v>166</v>
      </c>
      <c r="D41" s="3"/>
      <c r="E41" s="185">
        <f>IF(VLOOKUP($C41,IP,8,0)&gt;0,VLOOKUP($C41,IP,8,0),0)</f>
        <v>0</v>
      </c>
      <c r="F41" s="185">
        <f>-IF(VLOOKUP($C41,IP,8,0)&lt;0,VLOOKUP($C41,IP,8,0),0)</f>
        <v>0</v>
      </c>
      <c r="G41" s="185">
        <f>E41+F41</f>
        <v>0</v>
      </c>
      <c r="H41" s="185"/>
      <c r="I41" s="186">
        <f>IF(VLOOKUP($C41,IP,14,0)&gt;0,VLOOKUP($C41,IP,14,0),0)</f>
        <v>0</v>
      </c>
      <c r="J41" s="186">
        <f>-IF(VLOOKUP($C41,IP,14,0)&lt;0,VLOOKUP($C41,IP,14,0),0)</f>
        <v>0</v>
      </c>
      <c r="K41" s="186">
        <f>I41+J41</f>
        <v>0</v>
      </c>
      <c r="L41" s="185"/>
      <c r="M41" s="3"/>
      <c r="N41" s="185">
        <f t="shared" si="17"/>
        <v>0</v>
      </c>
      <c r="O41" s="185">
        <f t="shared" si="17"/>
        <v>0</v>
      </c>
      <c r="P41" s="185">
        <f t="shared" si="17"/>
        <v>0</v>
      </c>
      <c r="Q41" s="186">
        <f t="shared" si="18"/>
        <v>0</v>
      </c>
      <c r="R41" s="186">
        <f t="shared" si="18"/>
        <v>0</v>
      </c>
      <c r="S41" s="186">
        <f t="shared" si="18"/>
        <v>0</v>
      </c>
    </row>
    <row r="42" spans="1:19" ht="27.6" x14ac:dyDescent="0.3">
      <c r="A42" s="3" t="str">
        <f>IF(AND(E42=0,F42=0,G42=0,I42=0,J42=0,K42=0),"Do Not Print","Print")</f>
        <v>Do Not Print</v>
      </c>
      <c r="B42" s="3" t="s">
        <v>146</v>
      </c>
      <c r="C42" s="18" t="s">
        <v>168</v>
      </c>
      <c r="D42" s="3"/>
      <c r="E42" s="185">
        <f>IF(VLOOKUP($C42,IP,8,0)&gt;0,VLOOKUP($C42,IP,8,0),0)</f>
        <v>0</v>
      </c>
      <c r="F42" s="185">
        <f>-IF(VLOOKUP($C42,IP,8,0)&lt;0,VLOOKUP($C42,IP,8,0),0)</f>
        <v>0</v>
      </c>
      <c r="G42" s="185">
        <f>E42+F42</f>
        <v>0</v>
      </c>
      <c r="H42" s="185"/>
      <c r="I42" s="186">
        <f>IF(VLOOKUP($C42,IP,14,0)&gt;0,VLOOKUP($C42,IP,14,0),0)</f>
        <v>0</v>
      </c>
      <c r="J42" s="186">
        <f>-IF(VLOOKUP($C42,IP,14,0)&lt;0,VLOOKUP($C42,IP,14,0),0)</f>
        <v>0</v>
      </c>
      <c r="K42" s="186">
        <f>I42+J42</f>
        <v>0</v>
      </c>
      <c r="L42" s="185"/>
      <c r="M42" s="3"/>
      <c r="N42" s="185">
        <f t="shared" si="17"/>
        <v>0</v>
      </c>
      <c r="O42" s="185">
        <f t="shared" si="17"/>
        <v>0</v>
      </c>
      <c r="P42" s="185">
        <f t="shared" si="17"/>
        <v>0</v>
      </c>
      <c r="Q42" s="186">
        <f t="shared" si="18"/>
        <v>0</v>
      </c>
      <c r="R42" s="186">
        <f t="shared" si="18"/>
        <v>0</v>
      </c>
      <c r="S42" s="186">
        <f t="shared" si="18"/>
        <v>0</v>
      </c>
    </row>
    <row r="43" spans="1:19" x14ac:dyDescent="0.3">
      <c r="A43" s="3" t="str">
        <f>IF(AND(E43=0,F43=0,G43=0,I43=0,J43=0,K43=0),"Do Not Print","Print")</f>
        <v>Do Not Print</v>
      </c>
      <c r="B43" s="3" t="s">
        <v>146</v>
      </c>
      <c r="C43" s="18" t="s">
        <v>170</v>
      </c>
      <c r="D43" s="3"/>
      <c r="E43" s="185">
        <f>IF(VLOOKUP($C43,IP,8,0)&gt;0,VLOOKUP($C43,IP,8,0),0)</f>
        <v>0</v>
      </c>
      <c r="F43" s="185">
        <f>-IF(VLOOKUP($C43,IP,8,0)&lt;0,VLOOKUP($C43,IP,8,0),0)</f>
        <v>0</v>
      </c>
      <c r="G43" s="185">
        <f>E43+F43</f>
        <v>0</v>
      </c>
      <c r="H43" s="185"/>
      <c r="I43" s="186">
        <f>IF(VLOOKUP($C43,IP,14,0)&gt;0,VLOOKUP($C43,IP,14,0),0)</f>
        <v>0</v>
      </c>
      <c r="J43" s="186">
        <f>-IF(VLOOKUP($C43,IP,14,0)&lt;0,VLOOKUP($C43,IP,14,0),0)</f>
        <v>0</v>
      </c>
      <c r="K43" s="186">
        <f>I43+J43</f>
        <v>0</v>
      </c>
      <c r="L43" s="185"/>
      <c r="M43" s="3"/>
      <c r="N43" s="185">
        <f t="shared" si="17"/>
        <v>0</v>
      </c>
      <c r="O43" s="185">
        <f t="shared" si="17"/>
        <v>0</v>
      </c>
      <c r="P43" s="185">
        <f t="shared" si="17"/>
        <v>0</v>
      </c>
      <c r="Q43" s="186">
        <f t="shared" si="18"/>
        <v>0</v>
      </c>
      <c r="R43" s="186">
        <f t="shared" si="18"/>
        <v>0</v>
      </c>
      <c r="S43" s="186">
        <f t="shared" si="18"/>
        <v>0</v>
      </c>
    </row>
    <row r="44" spans="1:19" ht="27.6" x14ac:dyDescent="0.3">
      <c r="A44" s="3" t="str">
        <f>IF(AND(E44=0,F44=0,G44=0,I44=0,J44=0,K44=0),"Do Not Print","Print")</f>
        <v>Do Not Print</v>
      </c>
      <c r="B44" s="3" t="s">
        <v>146</v>
      </c>
      <c r="C44" s="18" t="s">
        <v>172</v>
      </c>
      <c r="D44" s="3"/>
      <c r="E44" s="185">
        <f>IF(VLOOKUP($C44,IP,8,0)&gt;0,VLOOKUP($C44,IP,8,0),0)</f>
        <v>0</v>
      </c>
      <c r="F44" s="185">
        <f>-IF(VLOOKUP($C44,IP,8,0)&lt;0,VLOOKUP($C44,IP,8,0),0)</f>
        <v>0</v>
      </c>
      <c r="G44" s="185">
        <f>E44+F44</f>
        <v>0</v>
      </c>
      <c r="H44" s="185"/>
      <c r="I44" s="186">
        <f>IF(VLOOKUP($C44,IP,14,0)&gt;0,VLOOKUP($C44,IP,14,0),0)</f>
        <v>0</v>
      </c>
      <c r="J44" s="186">
        <f>-IF(VLOOKUP($C44,IP,14,0)&lt;0,VLOOKUP($C44,IP,14,0),0)</f>
        <v>0</v>
      </c>
      <c r="K44" s="186">
        <f>I44+J44</f>
        <v>0</v>
      </c>
      <c r="L44" s="185"/>
      <c r="M44" s="3"/>
      <c r="N44" s="185">
        <f>ROUND(E44,0)</f>
        <v>0</v>
      </c>
      <c r="O44" s="185">
        <f>ROUND(F44,0)</f>
        <v>0</v>
      </c>
      <c r="P44" s="185">
        <f>ROUND(G44,0)</f>
        <v>0</v>
      </c>
      <c r="Q44" s="186">
        <f>ROUND(I44,0)</f>
        <v>0</v>
      </c>
      <c r="R44" s="186">
        <f>ROUND(J44,0)</f>
        <v>0</v>
      </c>
      <c r="S44" s="186">
        <f>ROUND(K44,0)</f>
        <v>0</v>
      </c>
    </row>
    <row r="45" spans="1:19" x14ac:dyDescent="0.3">
      <c r="A45" s="3" t="s">
        <v>448</v>
      </c>
      <c r="B45" s="3"/>
      <c r="C45" s="18"/>
      <c r="D45" s="3"/>
      <c r="E45" s="185"/>
      <c r="F45" s="185"/>
      <c r="G45" s="185"/>
      <c r="H45" s="185"/>
      <c r="I45" s="186"/>
      <c r="J45" s="186"/>
      <c r="K45" s="186"/>
      <c r="L45" s="185"/>
      <c r="M45" s="3"/>
      <c r="N45" s="185"/>
      <c r="O45" s="185"/>
      <c r="P45" s="185"/>
      <c r="Q45" s="186"/>
      <c r="R45" s="186"/>
      <c r="S45" s="186"/>
    </row>
    <row r="46" spans="1:19" ht="27.6" x14ac:dyDescent="0.3">
      <c r="A46" s="3" t="s">
        <v>448</v>
      </c>
      <c r="B46" s="3"/>
      <c r="C46" s="38" t="s">
        <v>118</v>
      </c>
      <c r="D46" s="6"/>
      <c r="E46" s="183">
        <f>SUM(E40:E45)</f>
        <v>0</v>
      </c>
      <c r="F46" s="183">
        <f>SUM(F40:F45)</f>
        <v>0</v>
      </c>
      <c r="G46" s="183">
        <f>SUM(G40:G45)</f>
        <v>0</v>
      </c>
      <c r="H46" s="183"/>
      <c r="I46" s="184">
        <f>SUM(I40:I45)</f>
        <v>0</v>
      </c>
      <c r="J46" s="184">
        <f>SUM(J40:J45)</f>
        <v>0</v>
      </c>
      <c r="K46" s="184">
        <f>SUM(K40:K45)</f>
        <v>0</v>
      </c>
      <c r="L46" s="185"/>
      <c r="M46" s="185"/>
      <c r="N46" s="185">
        <f>ROUND(E46,0)</f>
        <v>0</v>
      </c>
      <c r="O46" s="185">
        <f>ROUND(F46,0)</f>
        <v>0</v>
      </c>
      <c r="P46" s="185">
        <f>ROUND(G46,0)</f>
        <v>0</v>
      </c>
      <c r="Q46" s="186">
        <f t="shared" si="18"/>
        <v>0</v>
      </c>
      <c r="R46" s="186">
        <f>ROUND(J46,0)</f>
        <v>0</v>
      </c>
      <c r="S46" s="186">
        <f>ROUND(K46,0)</f>
        <v>0</v>
      </c>
    </row>
    <row r="47" spans="1:19" x14ac:dyDescent="0.3">
      <c r="A47" s="3" t="s">
        <v>448</v>
      </c>
      <c r="B47" s="3"/>
      <c r="C47" s="18"/>
      <c r="D47" s="3"/>
      <c r="E47" s="185"/>
      <c r="F47" s="185"/>
      <c r="G47" s="185"/>
      <c r="H47" s="185"/>
      <c r="I47" s="186"/>
      <c r="J47" s="186"/>
      <c r="K47" s="186"/>
      <c r="L47" s="185"/>
      <c r="M47" s="185"/>
      <c r="N47" s="185"/>
      <c r="O47" s="185"/>
      <c r="P47" s="185"/>
      <c r="Q47" s="186"/>
      <c r="R47" s="186"/>
      <c r="S47" s="186"/>
    </row>
    <row r="48" spans="1:19" ht="27.6" x14ac:dyDescent="0.3">
      <c r="A48" s="3" t="s">
        <v>448</v>
      </c>
      <c r="B48" s="3"/>
      <c r="C48" s="40" t="s">
        <v>119</v>
      </c>
      <c r="D48" s="17"/>
      <c r="E48" s="185"/>
      <c r="F48" s="185"/>
      <c r="G48" s="185"/>
      <c r="H48" s="185"/>
      <c r="I48" s="186"/>
      <c r="J48" s="186"/>
      <c r="K48" s="186"/>
      <c r="L48" s="185"/>
      <c r="M48" s="185"/>
      <c r="N48" s="185"/>
      <c r="O48" s="185"/>
      <c r="P48" s="185"/>
      <c r="Q48" s="186"/>
      <c r="R48" s="186"/>
      <c r="S48" s="186"/>
    </row>
    <row r="49" spans="1:19" x14ac:dyDescent="0.3">
      <c r="A49" s="3" t="str">
        <f t="shared" ref="A49:A57" si="19">IF(AND(E49=0,F49=0,G49=0,I49=0,J49=0,K49=0),"Do Not Print","Print")</f>
        <v>Do Not Print</v>
      </c>
      <c r="B49" s="3" t="s">
        <v>147</v>
      </c>
      <c r="C49" s="18" t="s">
        <v>173</v>
      </c>
      <c r="D49" s="3"/>
      <c r="E49" s="185">
        <f t="shared" ref="E49:E55" si="20">IF(VLOOKUP($C49,IR,8,0)&gt;0,VLOOKUP($C49,IR,8,0),0)</f>
        <v>0</v>
      </c>
      <c r="F49" s="185">
        <f t="shared" ref="F49:F55" si="21">-IF(VLOOKUP($C49,IR,8,0)&lt;0,-VLOOKUP($C49,IR,8,0),0)</f>
        <v>0</v>
      </c>
      <c r="G49" s="185">
        <f>SUM(E49:F49)</f>
        <v>0</v>
      </c>
      <c r="H49" s="185"/>
      <c r="I49" s="186">
        <f t="shared" ref="I49:I55" si="22">IF(VLOOKUP($C49,IR,14,0)&gt;0,VLOOKUP($C49,IR,14,0),0)</f>
        <v>0</v>
      </c>
      <c r="J49" s="186">
        <f t="shared" ref="J49:J55" si="23">-IF(VLOOKUP($C49,IR,14,0)&lt;0,-VLOOKUP($C49,IR,14,0),0)</f>
        <v>0</v>
      </c>
      <c r="K49" s="186">
        <f>SUM(I49:J49)</f>
        <v>0</v>
      </c>
      <c r="L49" s="185"/>
      <c r="M49" s="185"/>
      <c r="N49" s="185">
        <f t="shared" ref="N49:P55" si="24">ROUND(E49,0)</f>
        <v>0</v>
      </c>
      <c r="O49" s="185">
        <f t="shared" si="24"/>
        <v>0</v>
      </c>
      <c r="P49" s="185">
        <f t="shared" si="24"/>
        <v>0</v>
      </c>
      <c r="Q49" s="186">
        <f t="shared" ref="Q49:R54" si="25">ROUND(I49,0)</f>
        <v>0</v>
      </c>
      <c r="R49" s="186">
        <f>ROUND(J49,0)</f>
        <v>0</v>
      </c>
      <c r="S49" s="186">
        <f>ROUND(K49,0)</f>
        <v>0</v>
      </c>
    </row>
    <row r="50" spans="1:19" ht="27.6" x14ac:dyDescent="0.3">
      <c r="A50" s="3" t="str">
        <f t="shared" si="19"/>
        <v>Do Not Print</v>
      </c>
      <c r="B50" s="3" t="s">
        <v>147</v>
      </c>
      <c r="C50" s="18" t="s">
        <v>174</v>
      </c>
      <c r="D50" s="3"/>
      <c r="E50" s="185">
        <f t="shared" si="20"/>
        <v>0</v>
      </c>
      <c r="F50" s="185">
        <f t="shared" si="21"/>
        <v>0</v>
      </c>
      <c r="G50" s="185">
        <f t="shared" ref="G50:G55" si="26">SUM(E50:F50)</f>
        <v>0</v>
      </c>
      <c r="H50" s="185"/>
      <c r="I50" s="186">
        <f t="shared" si="22"/>
        <v>0</v>
      </c>
      <c r="J50" s="186">
        <f t="shared" si="23"/>
        <v>0</v>
      </c>
      <c r="K50" s="186">
        <f t="shared" ref="K50:K55" si="27">SUM(I50:J50)</f>
        <v>0</v>
      </c>
      <c r="L50" s="185"/>
      <c r="M50" s="185"/>
      <c r="N50" s="185">
        <f t="shared" si="24"/>
        <v>0</v>
      </c>
      <c r="O50" s="185">
        <f t="shared" si="24"/>
        <v>0</v>
      </c>
      <c r="P50" s="185">
        <f t="shared" si="24"/>
        <v>0</v>
      </c>
      <c r="Q50" s="186">
        <f t="shared" si="25"/>
        <v>0</v>
      </c>
      <c r="R50" s="186">
        <f>ROUND(J50,0)</f>
        <v>0</v>
      </c>
      <c r="S50" s="186">
        <f t="shared" ref="S50:S65" si="28">ROUND(K50,0)</f>
        <v>0</v>
      </c>
    </row>
    <row r="51" spans="1:19" ht="27.6" x14ac:dyDescent="0.3">
      <c r="A51" s="3" t="str">
        <f t="shared" si="19"/>
        <v>Do Not Print</v>
      </c>
      <c r="B51" s="3" t="s">
        <v>147</v>
      </c>
      <c r="C51" s="18" t="s">
        <v>175</v>
      </c>
      <c r="D51" s="3"/>
      <c r="E51" s="185">
        <f t="shared" si="20"/>
        <v>0</v>
      </c>
      <c r="F51" s="185">
        <f t="shared" si="21"/>
        <v>0</v>
      </c>
      <c r="G51" s="185">
        <f t="shared" si="26"/>
        <v>0</v>
      </c>
      <c r="H51" s="185"/>
      <c r="I51" s="186">
        <f t="shared" si="22"/>
        <v>0</v>
      </c>
      <c r="J51" s="186">
        <f t="shared" si="23"/>
        <v>0</v>
      </c>
      <c r="K51" s="186">
        <f t="shared" si="27"/>
        <v>0</v>
      </c>
      <c r="L51" s="185"/>
      <c r="M51" s="185"/>
      <c r="N51" s="185">
        <f t="shared" si="24"/>
        <v>0</v>
      </c>
      <c r="O51" s="185">
        <f t="shared" si="24"/>
        <v>0</v>
      </c>
      <c r="P51" s="185">
        <f t="shared" si="24"/>
        <v>0</v>
      </c>
      <c r="Q51" s="186">
        <f t="shared" si="25"/>
        <v>0</v>
      </c>
      <c r="R51" s="186">
        <f t="shared" si="25"/>
        <v>0</v>
      </c>
      <c r="S51" s="186">
        <f t="shared" si="28"/>
        <v>0</v>
      </c>
    </row>
    <row r="52" spans="1:19" x14ac:dyDescent="0.3">
      <c r="A52" s="3" t="str">
        <f t="shared" si="19"/>
        <v>Do Not Print</v>
      </c>
      <c r="B52" s="3" t="s">
        <v>147</v>
      </c>
      <c r="C52" s="18" t="s">
        <v>177</v>
      </c>
      <c r="D52" s="3"/>
      <c r="E52" s="185">
        <f t="shared" si="20"/>
        <v>0</v>
      </c>
      <c r="F52" s="185">
        <f t="shared" si="21"/>
        <v>0</v>
      </c>
      <c r="G52" s="185">
        <f t="shared" si="26"/>
        <v>0</v>
      </c>
      <c r="H52" s="185"/>
      <c r="I52" s="186">
        <f t="shared" si="22"/>
        <v>0</v>
      </c>
      <c r="J52" s="186">
        <f t="shared" si="23"/>
        <v>0</v>
      </c>
      <c r="K52" s="186">
        <f t="shared" si="27"/>
        <v>0</v>
      </c>
      <c r="L52" s="185"/>
      <c r="M52" s="185"/>
      <c r="N52" s="185">
        <f t="shared" si="24"/>
        <v>0</v>
      </c>
      <c r="O52" s="185">
        <f t="shared" si="24"/>
        <v>0</v>
      </c>
      <c r="P52" s="185">
        <f t="shared" si="24"/>
        <v>0</v>
      </c>
      <c r="Q52" s="186">
        <f t="shared" si="25"/>
        <v>0</v>
      </c>
      <c r="R52" s="186">
        <f>ROUND(J52,0)</f>
        <v>0</v>
      </c>
      <c r="S52" s="186">
        <f t="shared" si="28"/>
        <v>0</v>
      </c>
    </row>
    <row r="53" spans="1:19" ht="27.6" x14ac:dyDescent="0.3">
      <c r="A53" s="3" t="str">
        <f t="shared" si="19"/>
        <v>Do Not Print</v>
      </c>
      <c r="B53" s="3" t="s">
        <v>147</v>
      </c>
      <c r="C53" s="18" t="s">
        <v>178</v>
      </c>
      <c r="D53" s="3"/>
      <c r="E53" s="185">
        <f t="shared" si="20"/>
        <v>0</v>
      </c>
      <c r="F53" s="185">
        <f t="shared" si="21"/>
        <v>0</v>
      </c>
      <c r="G53" s="185">
        <f t="shared" si="26"/>
        <v>0</v>
      </c>
      <c r="H53" s="185"/>
      <c r="I53" s="186">
        <f t="shared" si="22"/>
        <v>0</v>
      </c>
      <c r="J53" s="186">
        <f t="shared" si="23"/>
        <v>0</v>
      </c>
      <c r="K53" s="186">
        <f t="shared" si="27"/>
        <v>0</v>
      </c>
      <c r="L53" s="185"/>
      <c r="M53" s="185"/>
      <c r="N53" s="185">
        <f t="shared" si="24"/>
        <v>0</v>
      </c>
      <c r="O53" s="185">
        <f t="shared" si="24"/>
        <v>0</v>
      </c>
      <c r="P53" s="185">
        <f t="shared" si="24"/>
        <v>0</v>
      </c>
      <c r="Q53" s="186">
        <f t="shared" si="25"/>
        <v>0</v>
      </c>
      <c r="R53" s="186">
        <f>ROUND(J53,0)</f>
        <v>0</v>
      </c>
      <c r="S53" s="186">
        <f t="shared" si="28"/>
        <v>0</v>
      </c>
    </row>
    <row r="54" spans="1:19" x14ac:dyDescent="0.3">
      <c r="A54" s="3" t="str">
        <f t="shared" si="19"/>
        <v>Do Not Print</v>
      </c>
      <c r="B54" s="3" t="s">
        <v>147</v>
      </c>
      <c r="C54" s="18" t="s">
        <v>179</v>
      </c>
      <c r="D54" s="3"/>
      <c r="E54" s="185">
        <f t="shared" si="20"/>
        <v>0</v>
      </c>
      <c r="F54" s="185">
        <f t="shared" si="21"/>
        <v>0</v>
      </c>
      <c r="G54" s="185">
        <f t="shared" si="26"/>
        <v>0</v>
      </c>
      <c r="H54" s="185"/>
      <c r="I54" s="186">
        <f t="shared" si="22"/>
        <v>0</v>
      </c>
      <c r="J54" s="186">
        <f t="shared" si="23"/>
        <v>0</v>
      </c>
      <c r="K54" s="186">
        <f t="shared" si="27"/>
        <v>0</v>
      </c>
      <c r="L54" s="185"/>
      <c r="M54" s="185"/>
      <c r="N54" s="185">
        <f t="shared" si="24"/>
        <v>0</v>
      </c>
      <c r="O54" s="185">
        <f t="shared" si="24"/>
        <v>0</v>
      </c>
      <c r="P54" s="185">
        <f t="shared" si="24"/>
        <v>0</v>
      </c>
      <c r="Q54" s="186">
        <f t="shared" si="25"/>
        <v>0</v>
      </c>
      <c r="R54" s="186">
        <f>ROUND(J54,0)</f>
        <v>0</v>
      </c>
      <c r="S54" s="186">
        <f t="shared" si="28"/>
        <v>0</v>
      </c>
    </row>
    <row r="55" spans="1:19" x14ac:dyDescent="0.3">
      <c r="A55" s="3" t="str">
        <f t="shared" si="19"/>
        <v>Do Not Print</v>
      </c>
      <c r="B55" s="3" t="s">
        <v>147</v>
      </c>
      <c r="C55" s="18" t="s">
        <v>181</v>
      </c>
      <c r="D55" s="3"/>
      <c r="E55" s="185">
        <f t="shared" si="20"/>
        <v>0</v>
      </c>
      <c r="F55" s="185">
        <f t="shared" si="21"/>
        <v>0</v>
      </c>
      <c r="G55" s="185">
        <f t="shared" si="26"/>
        <v>0</v>
      </c>
      <c r="H55" s="185"/>
      <c r="I55" s="186">
        <f t="shared" si="22"/>
        <v>0</v>
      </c>
      <c r="J55" s="186">
        <f t="shared" si="23"/>
        <v>0</v>
      </c>
      <c r="K55" s="186">
        <f t="shared" si="27"/>
        <v>0</v>
      </c>
      <c r="L55" s="185"/>
      <c r="M55" s="185"/>
      <c r="N55" s="185">
        <f t="shared" si="24"/>
        <v>0</v>
      </c>
      <c r="O55" s="185">
        <f t="shared" si="24"/>
        <v>0</v>
      </c>
      <c r="P55" s="185">
        <f t="shared" si="24"/>
        <v>0</v>
      </c>
      <c r="Q55" s="186">
        <f>ROUND(I55,0)</f>
        <v>0</v>
      </c>
      <c r="R55" s="186">
        <f>ROUND(J55,0)</f>
        <v>0</v>
      </c>
      <c r="S55" s="186">
        <f t="shared" si="28"/>
        <v>0</v>
      </c>
    </row>
    <row r="56" spans="1:19" x14ac:dyDescent="0.3">
      <c r="A56" s="3" t="s">
        <v>448</v>
      </c>
      <c r="B56" s="3"/>
      <c r="C56" s="18"/>
      <c r="D56" s="3"/>
      <c r="E56" s="185"/>
      <c r="F56" s="185"/>
      <c r="G56" s="185"/>
      <c r="H56" s="185"/>
      <c r="I56" s="186"/>
      <c r="J56" s="186"/>
      <c r="K56" s="186"/>
      <c r="L56" s="185"/>
      <c r="M56" s="185"/>
      <c r="N56" s="185"/>
      <c r="O56" s="185"/>
      <c r="P56" s="185"/>
      <c r="Q56" s="186"/>
      <c r="R56" s="186"/>
      <c r="S56" s="186"/>
    </row>
    <row r="57" spans="1:19" ht="27.6" x14ac:dyDescent="0.3">
      <c r="A57" s="3" t="str">
        <f t="shared" si="19"/>
        <v>Do Not Print</v>
      </c>
      <c r="B57" s="3"/>
      <c r="C57" s="38" t="s">
        <v>119</v>
      </c>
      <c r="D57" s="6"/>
      <c r="E57" s="183">
        <f t="shared" ref="E57:J57" si="29">SUM(E49:E56)</f>
        <v>0</v>
      </c>
      <c r="F57" s="183">
        <f t="shared" si="29"/>
        <v>0</v>
      </c>
      <c r="G57" s="183">
        <f>SUM(E57:F57)</f>
        <v>0</v>
      </c>
      <c r="H57" s="183"/>
      <c r="I57" s="184">
        <f t="shared" si="29"/>
        <v>0</v>
      </c>
      <c r="J57" s="184">
        <f t="shared" si="29"/>
        <v>0</v>
      </c>
      <c r="K57" s="184">
        <f>SUM(I57:J57)</f>
        <v>0</v>
      </c>
      <c r="L57" s="185"/>
      <c r="M57" s="185"/>
      <c r="N57" s="185">
        <f>ROUND(E57,0)</f>
        <v>0</v>
      </c>
      <c r="O57" s="185">
        <f>ROUND(F57,0)</f>
        <v>0</v>
      </c>
      <c r="P57" s="185">
        <f>ROUND(G57,0)</f>
        <v>0</v>
      </c>
      <c r="Q57" s="186">
        <f>ROUND(I57,0)</f>
        <v>0</v>
      </c>
      <c r="R57" s="186">
        <f>ROUND(J57,0)</f>
        <v>0</v>
      </c>
      <c r="S57" s="186">
        <f t="shared" si="28"/>
        <v>0</v>
      </c>
    </row>
    <row r="58" spans="1:19" x14ac:dyDescent="0.3">
      <c r="A58" s="3" t="s">
        <v>448</v>
      </c>
      <c r="B58" s="3"/>
      <c r="C58" s="18"/>
      <c r="D58" s="3"/>
      <c r="E58" s="185"/>
      <c r="F58" s="185"/>
      <c r="G58" s="185"/>
      <c r="H58" s="185"/>
      <c r="I58" s="186"/>
      <c r="J58" s="186"/>
      <c r="K58" s="186"/>
      <c r="L58" s="185"/>
      <c r="M58" s="185"/>
      <c r="N58" s="185"/>
      <c r="O58" s="185"/>
      <c r="P58" s="185"/>
      <c r="Q58" s="186"/>
      <c r="R58" s="186"/>
      <c r="S58" s="186"/>
    </row>
    <row r="59" spans="1:19" ht="41.4" x14ac:dyDescent="0.3">
      <c r="A59" s="3" t="str">
        <f>IF(AND(E59=0,F59=0,G59=0,I59=0,J59=0,K59=0),"Do Not Print","Print")</f>
        <v>Do Not Print</v>
      </c>
      <c r="B59" s="3" t="s">
        <v>148</v>
      </c>
      <c r="C59" s="38" t="s">
        <v>948</v>
      </c>
      <c r="D59" s="3"/>
      <c r="E59" s="183">
        <f>IF(G59&gt;0,G59,0)</f>
        <v>0</v>
      </c>
      <c r="F59" s="183">
        <f>IF(G59&lt;0,G59,0)</f>
        <v>0</v>
      </c>
      <c r="G59" s="183">
        <f>'Notes 11c to 24'!J1032</f>
        <v>0</v>
      </c>
      <c r="H59" s="183"/>
      <c r="I59" s="184">
        <f>IF(K59&gt;0,K59,0)</f>
        <v>0</v>
      </c>
      <c r="J59" s="184">
        <f>IF(K59&lt;0,K59,0)</f>
        <v>0</v>
      </c>
      <c r="K59" s="184">
        <f>'Notes 11c to 24'!K1032</f>
        <v>0</v>
      </c>
      <c r="L59" s="183"/>
      <c r="M59" s="183"/>
      <c r="N59" s="185">
        <f>ROUND(E59,0)</f>
        <v>0</v>
      </c>
      <c r="O59" s="185">
        <f>ROUND(F59,0)</f>
        <v>0</v>
      </c>
      <c r="P59" s="185">
        <f>ROUND(G59,0)</f>
        <v>0</v>
      </c>
      <c r="Q59" s="186">
        <f>ROUND(I59,0)</f>
        <v>0</v>
      </c>
      <c r="R59" s="186">
        <f>ROUND(J59,0)</f>
        <v>0</v>
      </c>
      <c r="S59" s="186">
        <f t="shared" si="28"/>
        <v>0</v>
      </c>
    </row>
    <row r="60" spans="1:19" x14ac:dyDescent="0.3">
      <c r="A60" s="3" t="s">
        <v>448</v>
      </c>
      <c r="B60" s="3"/>
      <c r="C60" s="40"/>
      <c r="D60" s="3"/>
      <c r="E60" s="185"/>
      <c r="F60" s="185"/>
      <c r="G60" s="185"/>
      <c r="H60" s="185"/>
      <c r="I60" s="186"/>
      <c r="J60" s="186"/>
      <c r="K60" s="186"/>
      <c r="L60" s="185"/>
      <c r="M60" s="185"/>
      <c r="N60" s="185"/>
      <c r="O60" s="185"/>
      <c r="P60" s="185"/>
      <c r="Q60" s="186"/>
      <c r="R60" s="186"/>
      <c r="S60" s="186"/>
    </row>
    <row r="61" spans="1:19" x14ac:dyDescent="0.3">
      <c r="A61" s="3" t="s">
        <v>448</v>
      </c>
      <c r="B61" s="3"/>
      <c r="C61" s="38" t="s">
        <v>970</v>
      </c>
      <c r="D61" s="3"/>
      <c r="E61" s="185"/>
      <c r="F61" s="185"/>
      <c r="G61" s="185"/>
      <c r="H61" s="185"/>
      <c r="I61" s="186"/>
      <c r="J61" s="186"/>
      <c r="K61" s="186"/>
      <c r="L61" s="185"/>
      <c r="M61" s="185"/>
      <c r="N61" s="185"/>
      <c r="O61" s="185"/>
      <c r="P61" s="185"/>
      <c r="Q61" s="186"/>
      <c r="R61" s="186"/>
      <c r="S61" s="186"/>
    </row>
    <row r="62" spans="1:19" x14ac:dyDescent="0.3">
      <c r="A62" s="3" t="str">
        <f>IF(AND(E62=0,F62=0,G62=0,I62=0,J62=0,K62=0),"Do Not Print","Print")</f>
        <v>Do Not Print</v>
      </c>
      <c r="B62" s="3" t="s">
        <v>149</v>
      </c>
      <c r="C62" s="2" t="s">
        <v>182</v>
      </c>
      <c r="D62" s="3"/>
      <c r="E62" s="185">
        <f>IF(VLOOKUP($C62,TO,8,0)&gt;0,VLOOKUP($C62,TO,8,0),0)</f>
        <v>0</v>
      </c>
      <c r="F62" s="185">
        <f>IF(VLOOKUP($C62,TO,8,0)&lt;0,-VLOOKUP($C62,TO,8,0),0)</f>
        <v>0</v>
      </c>
      <c r="G62" s="185">
        <f>E62-F62</f>
        <v>0</v>
      </c>
      <c r="H62" s="185"/>
      <c r="I62" s="186">
        <f>IF(VLOOKUP($C62,TO,14,0)&gt;0,VLOOKUP($C62,TO,14,0),0)</f>
        <v>0</v>
      </c>
      <c r="J62" s="186">
        <f>IF(VLOOKUP($C62,TO,14,0)&lt;0,-VLOOKUP($C62,TO,14,0),0)</f>
        <v>0</v>
      </c>
      <c r="K62" s="186">
        <f>I62-J62</f>
        <v>0</v>
      </c>
      <c r="L62" s="185"/>
      <c r="M62" s="185"/>
      <c r="N62" s="185">
        <f t="shared" ref="N62:P63" si="30">ROUND(E62,0)</f>
        <v>0</v>
      </c>
      <c r="O62" s="185">
        <f t="shared" si="30"/>
        <v>0</v>
      </c>
      <c r="P62" s="185">
        <f t="shared" si="30"/>
        <v>0</v>
      </c>
      <c r="Q62" s="186">
        <f>ROUND(I62,0)</f>
        <v>0</v>
      </c>
      <c r="R62" s="186">
        <f>ROUND(J62,0)</f>
        <v>0</v>
      </c>
      <c r="S62" s="186">
        <f t="shared" si="28"/>
        <v>0</v>
      </c>
    </row>
    <row r="63" spans="1:19" x14ac:dyDescent="0.3">
      <c r="A63" s="3" t="str">
        <f>IF(AND(E63=0,F63=0,G63=0,I63=0,J63=0,K63=0),"Do Not Print","Print")</f>
        <v>Do Not Print</v>
      </c>
      <c r="B63" s="3" t="s">
        <v>149</v>
      </c>
      <c r="C63" s="18" t="s">
        <v>659</v>
      </c>
      <c r="D63" s="3"/>
      <c r="E63" s="185">
        <f>IF(VLOOKUP($C63,TO,8,0)&gt;0,VLOOKUP($C63,TO,8,0),0)</f>
        <v>0</v>
      </c>
      <c r="F63" s="185">
        <f>IF(VLOOKUP($C63,TO,8,0)&lt;0,-VLOOKUP($C63,TO,8,0),0)</f>
        <v>0</v>
      </c>
      <c r="G63" s="185">
        <f>E63-F63</f>
        <v>0</v>
      </c>
      <c r="H63" s="185"/>
      <c r="I63" s="186">
        <f>IF(VLOOKUP($C63,TO,14,0)&gt;0,VLOOKUP($C63,TO,14,0),0)</f>
        <v>0</v>
      </c>
      <c r="J63" s="186">
        <f>IF(VLOOKUP($C63,TO,14,0)&lt;0,-VLOOKUP($C63,TO,14,0),0)</f>
        <v>0</v>
      </c>
      <c r="K63" s="186">
        <f>I63-J63</f>
        <v>0</v>
      </c>
      <c r="L63" s="185"/>
      <c r="M63" s="185"/>
      <c r="N63" s="185">
        <f t="shared" si="30"/>
        <v>0</v>
      </c>
      <c r="O63" s="185">
        <f t="shared" si="30"/>
        <v>0</v>
      </c>
      <c r="P63" s="185">
        <f t="shared" si="30"/>
        <v>0</v>
      </c>
      <c r="Q63" s="186">
        <f>ROUND(I63,0)</f>
        <v>0</v>
      </c>
      <c r="R63" s="186">
        <f>ROUND(J63,0)</f>
        <v>0</v>
      </c>
      <c r="S63" s="186">
        <f t="shared" si="28"/>
        <v>0</v>
      </c>
    </row>
    <row r="64" spans="1:19" x14ac:dyDescent="0.3">
      <c r="A64" s="3" t="s">
        <v>448</v>
      </c>
      <c r="B64" s="3"/>
      <c r="C64" s="18"/>
      <c r="D64" s="3"/>
      <c r="E64" s="185"/>
      <c r="F64" s="185"/>
      <c r="G64" s="185"/>
      <c r="H64" s="185"/>
      <c r="I64" s="186"/>
      <c r="J64" s="186"/>
      <c r="K64" s="186"/>
      <c r="L64" s="185"/>
      <c r="M64" s="185"/>
      <c r="N64" s="185"/>
      <c r="O64" s="185"/>
      <c r="P64" s="185"/>
      <c r="Q64" s="186"/>
      <c r="R64" s="186"/>
      <c r="S64" s="186"/>
    </row>
    <row r="65" spans="1:19" ht="27.6" x14ac:dyDescent="0.3">
      <c r="A65" s="3" t="str">
        <f>IF(AND(E65=0,F65=0,G65=0,I65=0,J65=0,K65=0),"Do Not Print","Print")</f>
        <v>Do Not Print</v>
      </c>
      <c r="B65" s="3" t="s">
        <v>149</v>
      </c>
      <c r="C65" s="38" t="s">
        <v>2931</v>
      </c>
      <c r="D65" s="3"/>
      <c r="E65" s="183">
        <f t="shared" ref="E65:K65" si="31">SUM(E62:E64)</f>
        <v>0</v>
      </c>
      <c r="F65" s="183">
        <f t="shared" si="31"/>
        <v>0</v>
      </c>
      <c r="G65" s="183">
        <f t="shared" si="31"/>
        <v>0</v>
      </c>
      <c r="H65" s="183"/>
      <c r="I65" s="184">
        <f t="shared" si="31"/>
        <v>0</v>
      </c>
      <c r="J65" s="184">
        <f t="shared" si="31"/>
        <v>0</v>
      </c>
      <c r="K65" s="184">
        <f t="shared" si="31"/>
        <v>0</v>
      </c>
      <c r="L65" s="183"/>
      <c r="M65" s="183"/>
      <c r="N65" s="183">
        <f>ROUND(E65,0)</f>
        <v>0</v>
      </c>
      <c r="O65" s="183">
        <f>ROUND(F65,0)</f>
        <v>0</v>
      </c>
      <c r="P65" s="183">
        <f>ROUND(G65,0)</f>
        <v>0</v>
      </c>
      <c r="Q65" s="184">
        <f>ROUND(I65,0)</f>
        <v>0</v>
      </c>
      <c r="R65" s="184">
        <f>ROUND(J65,0)</f>
        <v>0</v>
      </c>
      <c r="S65" s="186">
        <f t="shared" si="28"/>
        <v>0</v>
      </c>
    </row>
    <row r="66" spans="1:19" x14ac:dyDescent="0.3">
      <c r="A66" s="3" t="s">
        <v>448</v>
      </c>
      <c r="B66" s="3"/>
      <c r="C66" s="18"/>
      <c r="D66" s="3"/>
      <c r="E66" s="185"/>
      <c r="F66" s="185"/>
      <c r="G66" s="185"/>
      <c r="H66" s="185"/>
      <c r="I66" s="186"/>
      <c r="J66" s="186"/>
      <c r="K66" s="186"/>
      <c r="L66" s="185"/>
      <c r="M66" s="185"/>
      <c r="N66" s="185"/>
      <c r="O66" s="185"/>
      <c r="P66" s="185"/>
      <c r="Q66" s="186"/>
      <c r="R66" s="186"/>
      <c r="S66" s="186"/>
    </row>
    <row r="67" spans="1:19" ht="41.4" x14ac:dyDescent="0.3">
      <c r="A67" s="3" t="str">
        <f>IF(AND(A65="Do Not Print",A66="Do Not Print"),"Do Not Print","Print")</f>
        <v>Print</v>
      </c>
      <c r="B67" s="3" t="s">
        <v>153</v>
      </c>
      <c r="C67" s="38" t="s">
        <v>2987</v>
      </c>
      <c r="D67" s="3"/>
      <c r="E67" s="185"/>
      <c r="F67" s="185"/>
      <c r="G67" s="185"/>
      <c r="H67" s="185"/>
      <c r="I67" s="186"/>
      <c r="J67" s="186"/>
      <c r="K67" s="186"/>
      <c r="L67" s="185"/>
      <c r="M67" s="185"/>
      <c r="N67" s="185"/>
      <c r="O67" s="185"/>
      <c r="P67" s="185"/>
      <c r="Q67" s="186"/>
      <c r="R67" s="186"/>
      <c r="S67" s="186"/>
    </row>
    <row r="68" spans="1:19" ht="27.6" x14ac:dyDescent="0.3">
      <c r="A68" s="3" t="str">
        <f>IF(AND(E68=0,F68=0,G68=0,I68=0,J68=0,K68=0),"Do Not Print","Print")</f>
        <v>Do Not Print</v>
      </c>
      <c r="B68" s="3" t="s">
        <v>153</v>
      </c>
      <c r="C68" s="18" t="s">
        <v>660</v>
      </c>
      <c r="D68" s="3"/>
      <c r="E68" s="185">
        <f>IF(VLOOKUP($C68,PI,8,0)&gt;0,VLOOKUP($C68,PI,8,0),0)</f>
        <v>0</v>
      </c>
      <c r="F68" s="185">
        <f>-IF(VLOOKUP($C68,PI,8,0)&lt;0,-VLOOKUP($C68,PI,8,0),0)</f>
        <v>0</v>
      </c>
      <c r="G68" s="185">
        <f>IF(F68&lt;0,F68,E68)</f>
        <v>0</v>
      </c>
      <c r="H68" s="185"/>
      <c r="I68" s="186">
        <f>IF(VLOOKUP($C68,PI,14,0)&gt;0,VLOOKUP($C68,PI,14,0),0)</f>
        <v>0</v>
      </c>
      <c r="J68" s="186">
        <f>-IF(VLOOKUP($C68,PI,14,0)&lt;0,-VLOOKUP($C68,PI,14,0),0)</f>
        <v>0</v>
      </c>
      <c r="K68" s="186">
        <f>IF(J68&lt;0,J68,I68)</f>
        <v>0</v>
      </c>
      <c r="L68" s="185"/>
      <c r="M68" s="185"/>
      <c r="N68" s="185">
        <f t="shared" ref="N68:P69" si="32">ROUND(E68,0)</f>
        <v>0</v>
      </c>
      <c r="O68" s="185">
        <f t="shared" si="32"/>
        <v>0</v>
      </c>
      <c r="P68" s="185">
        <f t="shared" si="32"/>
        <v>0</v>
      </c>
      <c r="Q68" s="186">
        <f t="shared" ref="Q68:S69" si="33">ROUND(I68,0)</f>
        <v>0</v>
      </c>
      <c r="R68" s="186">
        <f t="shared" si="33"/>
        <v>0</v>
      </c>
      <c r="S68" s="186">
        <f t="shared" si="33"/>
        <v>0</v>
      </c>
    </row>
    <row r="69" spans="1:19" ht="27.6" x14ac:dyDescent="0.3">
      <c r="A69" s="3" t="str">
        <f t="shared" ref="A69:A73" si="34">IF(AND(E69=0,F69=0,G69=0,I69=0,J69=0,K69=0),"Do Not Print","Print")</f>
        <v>Do Not Print</v>
      </c>
      <c r="B69" s="3" t="s">
        <v>153</v>
      </c>
      <c r="C69" s="18" t="s">
        <v>661</v>
      </c>
      <c r="D69" s="3"/>
      <c r="E69" s="185">
        <f>IF(VLOOKUP($C69,PI,8,0)&gt;0,VLOOKUP($C69,PI,8,0),0)</f>
        <v>0</v>
      </c>
      <c r="F69" s="185">
        <f>IF(VLOOKUP($C69,PI,8,0)&lt;0,-VLOOKUP($C69,PI,8,0),0)</f>
        <v>0</v>
      </c>
      <c r="G69" s="185">
        <f>IF(E69&gt;0,E69,F69)</f>
        <v>0</v>
      </c>
      <c r="H69" s="185"/>
      <c r="I69" s="186">
        <f>IF(VLOOKUP($C69,PI,14,0)&gt;0,VLOOKUP($C69,PI,14,0),0)</f>
        <v>0</v>
      </c>
      <c r="J69" s="186">
        <f>IF(VLOOKUP($C69,PI,14,0)&lt;0,-VLOOKUP($C69,PI,14,0),0)</f>
        <v>0</v>
      </c>
      <c r="K69" s="186">
        <f>I69-J69</f>
        <v>0</v>
      </c>
      <c r="L69" s="185"/>
      <c r="M69" s="185"/>
      <c r="N69" s="185">
        <f t="shared" si="32"/>
        <v>0</v>
      </c>
      <c r="O69" s="185">
        <f t="shared" si="32"/>
        <v>0</v>
      </c>
      <c r="P69" s="185">
        <f t="shared" si="32"/>
        <v>0</v>
      </c>
      <c r="Q69" s="186">
        <f t="shared" si="33"/>
        <v>0</v>
      </c>
      <c r="R69" s="186">
        <f t="shared" si="33"/>
        <v>0</v>
      </c>
      <c r="S69" s="186">
        <f t="shared" si="33"/>
        <v>0</v>
      </c>
    </row>
    <row r="70" spans="1:19" x14ac:dyDescent="0.3">
      <c r="A70" s="3" t="s">
        <v>448</v>
      </c>
      <c r="B70" s="3"/>
      <c r="C70" s="18"/>
      <c r="D70" s="3"/>
      <c r="E70" s="185"/>
      <c r="F70" s="185"/>
      <c r="G70" s="185"/>
      <c r="H70" s="185"/>
      <c r="I70" s="186"/>
      <c r="J70" s="186"/>
      <c r="K70" s="186"/>
      <c r="L70" s="185"/>
      <c r="M70" s="185"/>
      <c r="N70" s="185"/>
      <c r="O70" s="185"/>
      <c r="P70" s="185"/>
      <c r="Q70" s="186"/>
      <c r="R70" s="186"/>
      <c r="S70" s="186"/>
    </row>
    <row r="71" spans="1:19" ht="27.6" x14ac:dyDescent="0.3">
      <c r="A71" s="3" t="str">
        <f t="shared" si="34"/>
        <v>Do Not Print</v>
      </c>
      <c r="B71" s="3"/>
      <c r="C71" s="38" t="s">
        <v>949</v>
      </c>
      <c r="D71" s="3"/>
      <c r="E71" s="183">
        <f>SUM(E68:E69)</f>
        <v>0</v>
      </c>
      <c r="F71" s="183">
        <f>SUM(F68:F69)</f>
        <v>0</v>
      </c>
      <c r="G71" s="183">
        <f>SUM(G68:G69)</f>
        <v>0</v>
      </c>
      <c r="H71" s="183"/>
      <c r="I71" s="184">
        <f>SUM(I68:I69)</f>
        <v>0</v>
      </c>
      <c r="J71" s="184">
        <f>SUM(J68:J69)</f>
        <v>0</v>
      </c>
      <c r="K71" s="184">
        <f>SUM(K68:K69)</f>
        <v>0</v>
      </c>
      <c r="L71" s="183"/>
      <c r="M71" s="183"/>
      <c r="N71" s="183">
        <f>ROUND(E71,0)</f>
        <v>0</v>
      </c>
      <c r="O71" s="183">
        <f>ROUND(F71,0)</f>
        <v>0</v>
      </c>
      <c r="P71" s="183">
        <f>ROUND(G71,0)</f>
        <v>0</v>
      </c>
      <c r="Q71" s="184">
        <f>ROUND(I71,0)</f>
        <v>0</v>
      </c>
      <c r="R71" s="184">
        <f>ROUND(J71,0)</f>
        <v>0</v>
      </c>
      <c r="S71" s="184">
        <f>ROUND(K71,0)</f>
        <v>0</v>
      </c>
    </row>
    <row r="72" spans="1:19" x14ac:dyDescent="0.3">
      <c r="A72" s="3" t="s">
        <v>448</v>
      </c>
      <c r="B72" s="3"/>
      <c r="C72" s="18"/>
      <c r="D72" s="3"/>
      <c r="E72" s="185"/>
      <c r="F72" s="185"/>
      <c r="G72" s="185"/>
      <c r="H72" s="185"/>
      <c r="I72" s="186"/>
      <c r="J72" s="186"/>
      <c r="K72" s="186"/>
      <c r="L72" s="185"/>
      <c r="M72" s="185"/>
      <c r="N72" s="185"/>
      <c r="O72" s="185"/>
      <c r="P72" s="185"/>
      <c r="Q72" s="186"/>
      <c r="R72" s="186"/>
      <c r="S72" s="186"/>
    </row>
    <row r="73" spans="1:19" ht="27.6" x14ac:dyDescent="0.3">
      <c r="A73" s="3" t="str">
        <f t="shared" si="34"/>
        <v>Do Not Print</v>
      </c>
      <c r="B73" s="3" t="s">
        <v>153</v>
      </c>
      <c r="C73" s="18" t="s">
        <v>663</v>
      </c>
      <c r="D73" s="3"/>
      <c r="E73" s="185">
        <f>IF(VLOOKUP($C73,PI,8,0)&gt;0,VLOOKUP($C73,PI,8,0),0)</f>
        <v>0</v>
      </c>
      <c r="F73" s="185">
        <f>IF(VLOOKUP($C73,PI,8,0)&lt;0,-VLOOKUP($C73,PI,8,0),0)</f>
        <v>0</v>
      </c>
      <c r="G73" s="185">
        <f>E73-F73</f>
        <v>0</v>
      </c>
      <c r="H73" s="185"/>
      <c r="I73" s="186">
        <f>IF(VLOOKUP($C73,PI,14,0)&gt;0,VLOOKUP($C73,PI,14,0),0)</f>
        <v>0</v>
      </c>
      <c r="J73" s="186">
        <f>IF(VLOOKUP($C73,PI,14,0)&lt;0,-VLOOKUP($C73,PI,14,0),0)</f>
        <v>0</v>
      </c>
      <c r="K73" s="186">
        <f>I73-J73</f>
        <v>0</v>
      </c>
      <c r="L73" s="185"/>
      <c r="M73" s="185"/>
      <c r="N73" s="185">
        <f t="shared" ref="N73:P74" si="35">ROUND(E73,0)</f>
        <v>0</v>
      </c>
      <c r="O73" s="185">
        <f t="shared" si="35"/>
        <v>0</v>
      </c>
      <c r="P73" s="185">
        <f t="shared" si="35"/>
        <v>0</v>
      </c>
      <c r="Q73" s="186">
        <f>ROUND(I73,0)</f>
        <v>0</v>
      </c>
      <c r="R73" s="186">
        <f>ROUND(J73,0)</f>
        <v>0</v>
      </c>
      <c r="S73" s="186">
        <f>ROUND(K73,0)</f>
        <v>0</v>
      </c>
    </row>
    <row r="74" spans="1:19" ht="27.6" x14ac:dyDescent="0.3">
      <c r="A74" s="3" t="str">
        <f>IF(AND(E74=0,F74=0,G74=0,I74=0,J74=0,K74=0),"Do Not Print","Print")</f>
        <v>Do Not Print</v>
      </c>
      <c r="B74" s="3" t="s">
        <v>153</v>
      </c>
      <c r="C74" s="18" t="s">
        <v>662</v>
      </c>
      <c r="D74" s="3"/>
      <c r="E74" s="185">
        <f>G74</f>
        <v>0</v>
      </c>
      <c r="F74" s="185"/>
      <c r="G74" s="185">
        <f>'GROUP Det Group BS'!J225</f>
        <v>0</v>
      </c>
      <c r="H74" s="185"/>
      <c r="I74" s="186">
        <f>K74</f>
        <v>0</v>
      </c>
      <c r="J74" s="186"/>
      <c r="K74" s="186">
        <f>'GROUP Det Group BS'!K225</f>
        <v>0</v>
      </c>
      <c r="L74" s="185"/>
      <c r="M74" s="185"/>
      <c r="N74" s="185">
        <f t="shared" si="35"/>
        <v>0</v>
      </c>
      <c r="O74" s="185">
        <f t="shared" si="35"/>
        <v>0</v>
      </c>
      <c r="P74" s="185">
        <f t="shared" si="35"/>
        <v>0</v>
      </c>
      <c r="Q74" s="186"/>
      <c r="R74" s="186"/>
      <c r="S74" s="186">
        <f>ROUND(K74,0)</f>
        <v>0</v>
      </c>
    </row>
    <row r="75" spans="1:19" x14ac:dyDescent="0.3">
      <c r="A75" s="3" t="s">
        <v>448</v>
      </c>
      <c r="B75" s="3"/>
      <c r="C75" s="44"/>
      <c r="D75" s="3"/>
      <c r="E75" s="187"/>
      <c r="F75" s="185"/>
      <c r="G75" s="185"/>
      <c r="H75" s="185"/>
      <c r="I75" s="186"/>
      <c r="J75" s="186"/>
      <c r="K75" s="186"/>
      <c r="L75" s="185"/>
      <c r="M75" s="185"/>
      <c r="N75" s="185"/>
      <c r="O75" s="185"/>
      <c r="P75" s="185"/>
      <c r="Q75" s="186"/>
      <c r="R75" s="186"/>
      <c r="S75" s="186"/>
    </row>
    <row r="76" spans="1:19" s="3" customFormat="1" x14ac:dyDescent="0.3">
      <c r="A76" s="3" t="s">
        <v>448</v>
      </c>
      <c r="C76" s="18"/>
      <c r="E76" s="185"/>
      <c r="F76" s="185"/>
      <c r="G76" s="185"/>
      <c r="H76" s="185"/>
      <c r="I76" s="186"/>
      <c r="J76" s="186"/>
      <c r="K76" s="186"/>
      <c r="L76" s="185"/>
      <c r="M76" s="185"/>
      <c r="N76" s="185"/>
      <c r="O76" s="185"/>
      <c r="P76" s="185"/>
      <c r="Q76" s="186"/>
      <c r="R76" s="186"/>
      <c r="S76" s="186"/>
    </row>
    <row r="77" spans="1:19" s="3" customFormat="1" ht="27.6" x14ac:dyDescent="0.3">
      <c r="A77" s="3" t="str">
        <f>IF(AND(E77=0,F77=0,G77=0,I77=0,J77=0,K77=0),"Do Not Print","Print")</f>
        <v>Do Not Print</v>
      </c>
      <c r="B77" s="3" t="s">
        <v>153</v>
      </c>
      <c r="C77" s="38" t="s">
        <v>85</v>
      </c>
      <c r="E77" s="183">
        <f>IF(G77&gt;0,G77,0)</f>
        <v>0</v>
      </c>
      <c r="F77" s="183">
        <f>IF(G77&lt;0,G77,0)</f>
        <v>0</v>
      </c>
      <c r="G77" s="183">
        <f>'GROUP Det Group BS'!J226</f>
        <v>0</v>
      </c>
      <c r="H77" s="183"/>
      <c r="I77" s="184">
        <f>IF(K77&gt;0,K77,0)</f>
        <v>0</v>
      </c>
      <c r="J77" s="184">
        <f>IF(K77&lt;0,K77,0)</f>
        <v>0</v>
      </c>
      <c r="K77" s="184">
        <f>'GROUP Det Group BS'!K226</f>
        <v>0</v>
      </c>
      <c r="L77" s="183"/>
      <c r="M77" s="183"/>
      <c r="N77" s="185">
        <f>ROUND(E77,0)</f>
        <v>0</v>
      </c>
      <c r="O77" s="185">
        <f>ROUND(F77,0)</f>
        <v>0</v>
      </c>
      <c r="P77" s="183">
        <f>ROUND(G77,0)</f>
        <v>0</v>
      </c>
      <c r="Q77" s="186">
        <f>ROUND(I77,0)</f>
        <v>0</v>
      </c>
      <c r="R77" s="186">
        <f>ROUND(J77,0)</f>
        <v>0</v>
      </c>
      <c r="S77" s="184">
        <f>ROUND(K77,0)</f>
        <v>0</v>
      </c>
    </row>
    <row r="78" spans="1:19" s="3" customFormat="1" x14ac:dyDescent="0.3">
      <c r="A78" s="3" t="s">
        <v>448</v>
      </c>
      <c r="C78" s="18"/>
      <c r="E78" s="185"/>
      <c r="F78" s="185"/>
      <c r="G78" s="185"/>
      <c r="H78" s="185"/>
      <c r="I78" s="186"/>
      <c r="J78" s="186"/>
      <c r="K78" s="186"/>
      <c r="L78" s="185"/>
      <c r="M78" s="185"/>
      <c r="N78" s="185"/>
      <c r="O78" s="185"/>
      <c r="P78" s="185"/>
      <c r="Q78" s="186"/>
      <c r="R78" s="186"/>
      <c r="S78" s="186"/>
    </row>
    <row r="79" spans="1:19" s="3" customFormat="1" ht="41.4" x14ac:dyDescent="0.3">
      <c r="A79" s="3" t="str">
        <f>IF(AND(E79=0,F79=0,G79=0,I79=0,J79=0,K79=0),"Do Not Print","Print")</f>
        <v>Do Not Print</v>
      </c>
      <c r="B79" s="3" t="s">
        <v>153</v>
      </c>
      <c r="C79" s="38" t="s">
        <v>164</v>
      </c>
      <c r="E79" s="183">
        <f>E46+E57+E59+E71+E65+E77+E74</f>
        <v>0</v>
      </c>
      <c r="F79" s="183">
        <f>F46+F57+F59+F71+F65+F77</f>
        <v>0</v>
      </c>
      <c r="G79" s="183">
        <f>G46+G57+G59+G71+G65+G77+G74</f>
        <v>0</v>
      </c>
      <c r="H79" s="183"/>
      <c r="I79" s="184">
        <f>I46+I57+I59+I65+I71+I77+I74</f>
        <v>0</v>
      </c>
      <c r="J79" s="184">
        <f>J46+J57+J59+J65+J71+J77</f>
        <v>0</v>
      </c>
      <c r="K79" s="184">
        <f>K46+K57+K59+K65+K71+K77</f>
        <v>0</v>
      </c>
      <c r="L79" s="183"/>
      <c r="M79" s="185"/>
      <c r="N79" s="183">
        <f>ROUND(E79,0)</f>
        <v>0</v>
      </c>
      <c r="O79" s="183">
        <f>ROUND(F79,0)</f>
        <v>0</v>
      </c>
      <c r="P79" s="183">
        <f>ROUND(G79,0)</f>
        <v>0</v>
      </c>
      <c r="Q79" s="183">
        <f>ROUND(I79,0)</f>
        <v>0</v>
      </c>
      <c r="R79" s="183">
        <f>ROUND(J79,0)</f>
        <v>0</v>
      </c>
      <c r="S79" s="183">
        <f>ROUND(K79,0)</f>
        <v>0</v>
      </c>
    </row>
    <row r="80" spans="1:19" x14ac:dyDescent="0.3">
      <c r="A80" s="3" t="s">
        <v>448</v>
      </c>
      <c r="B80" s="3"/>
      <c r="D80" s="3"/>
      <c r="E80" s="187"/>
      <c r="F80" s="185"/>
      <c r="G80" s="185"/>
      <c r="H80" s="185"/>
      <c r="I80" s="186"/>
      <c r="J80" s="186"/>
      <c r="K80" s="186"/>
      <c r="L80" s="185"/>
      <c r="M80" s="185"/>
      <c r="N80" s="185"/>
      <c r="O80" s="185"/>
      <c r="P80" s="185"/>
      <c r="Q80" s="186"/>
      <c r="R80" s="186"/>
      <c r="S80" s="186"/>
    </row>
    <row r="81" spans="1:19" ht="27.6" x14ac:dyDescent="0.3">
      <c r="A81" s="3" t="str">
        <f>IF(AND(G81=0,K81=0),"Do Not Print","Print")</f>
        <v>Do Not Print</v>
      </c>
      <c r="B81" t="s">
        <v>1482</v>
      </c>
      <c r="C81" s="38" t="s">
        <v>1483</v>
      </c>
      <c r="D81" s="3"/>
      <c r="E81" s="187"/>
      <c r="F81" s="185"/>
      <c r="G81" s="973">
        <f>'Input -CIES'!O98</f>
        <v>0</v>
      </c>
      <c r="H81" s="188"/>
      <c r="I81" s="186"/>
      <c r="J81" s="186"/>
      <c r="K81" s="189">
        <f>'Input -CIES'!U98</f>
        <v>0</v>
      </c>
      <c r="L81" s="185"/>
      <c r="M81" s="185"/>
      <c r="N81" s="185"/>
      <c r="O81" s="185"/>
      <c r="P81" s="185">
        <f>ROUND(G81,0)</f>
        <v>0</v>
      </c>
      <c r="Q81" s="186"/>
      <c r="R81" s="186"/>
      <c r="S81" s="186">
        <f>ROUND(K81,0)</f>
        <v>0</v>
      </c>
    </row>
    <row r="82" spans="1:19" x14ac:dyDescent="0.3">
      <c r="A82" s="3" t="s">
        <v>448</v>
      </c>
      <c r="B82" s="3"/>
      <c r="D82" s="3"/>
      <c r="E82" s="187"/>
      <c r="F82" s="185"/>
      <c r="G82" s="185"/>
      <c r="H82" s="185"/>
      <c r="I82" s="186"/>
      <c r="J82" s="186"/>
      <c r="K82" s="186"/>
      <c r="L82" s="185"/>
      <c r="M82" s="185"/>
      <c r="N82" s="185"/>
      <c r="O82" s="185"/>
      <c r="P82" s="185"/>
      <c r="Q82" s="186"/>
      <c r="R82" s="186"/>
      <c r="S82" s="186"/>
    </row>
    <row r="83" spans="1:19" ht="41.4" x14ac:dyDescent="0.3">
      <c r="A83" s="3" t="s">
        <v>448</v>
      </c>
      <c r="B83" s="3" t="s">
        <v>1665</v>
      </c>
      <c r="C83" s="38" t="s">
        <v>1664</v>
      </c>
      <c r="D83" s="3"/>
      <c r="E83" s="187"/>
      <c r="F83" s="185"/>
      <c r="G83" s="185"/>
      <c r="H83" s="185"/>
      <c r="I83" s="186"/>
      <c r="J83" s="186"/>
      <c r="K83" s="186"/>
      <c r="L83" s="185"/>
      <c r="M83" s="185"/>
      <c r="N83" s="185"/>
      <c r="O83" s="185"/>
      <c r="P83" s="185"/>
      <c r="Q83" s="186"/>
      <c r="R83" s="186"/>
      <c r="S83" s="186"/>
    </row>
    <row r="84" spans="1:19" x14ac:dyDescent="0.3">
      <c r="A84" s="3" t="str">
        <f>IF(AND(G84=0,K84=0),"Do Not Print","Print")</f>
        <v>Do Not Print</v>
      </c>
      <c r="B84" s="3" t="s">
        <v>1665</v>
      </c>
      <c r="C84" s="39" t="str">
        <f>'Input -CIES'!H99</f>
        <v>Sales</v>
      </c>
      <c r="D84" s="3"/>
      <c r="E84" s="187">
        <v>0</v>
      </c>
      <c r="F84" s="185">
        <f>VLOOKUP($C84,ORAJV,8,0)</f>
        <v>0</v>
      </c>
      <c r="G84" s="185">
        <f>E84-F84</f>
        <v>0</v>
      </c>
      <c r="H84" s="185"/>
      <c r="I84" s="186">
        <v>0</v>
      </c>
      <c r="J84" s="186">
        <f>VLOOKUP($C84,ORAJV,14,0)</f>
        <v>0</v>
      </c>
      <c r="K84" s="186">
        <f>I84-J84</f>
        <v>0</v>
      </c>
      <c r="L84" s="185"/>
      <c r="M84" s="185"/>
      <c r="N84" s="185">
        <f>ROUND(E84,0)</f>
        <v>0</v>
      </c>
      <c r="O84" s="185">
        <f t="shared" ref="O84:P87" si="36">ROUND(F84,0)</f>
        <v>0</v>
      </c>
      <c r="P84" s="185">
        <f t="shared" si="36"/>
        <v>0</v>
      </c>
      <c r="Q84" s="185">
        <f>ROUND(I84,0)</f>
        <v>0</v>
      </c>
      <c r="R84" s="185">
        <f t="shared" ref="R84:S92" si="37">ROUND(J84,0)</f>
        <v>0</v>
      </c>
      <c r="S84" s="185">
        <f t="shared" si="37"/>
        <v>0</v>
      </c>
    </row>
    <row r="85" spans="1:19" x14ac:dyDescent="0.3">
      <c r="A85" s="3" t="str">
        <f>IF(AND(G85=0,K85=0),"Do Not Print","Print")</f>
        <v>Do Not Print</v>
      </c>
      <c r="B85" s="3" t="s">
        <v>1665</v>
      </c>
      <c r="C85" s="39" t="str">
        <f>'Input -CIES'!H100</f>
        <v>Gas Income</v>
      </c>
      <c r="D85" s="3"/>
      <c r="E85" s="187">
        <v>0</v>
      </c>
      <c r="F85" s="185">
        <f>VLOOKUP($C85,ORAJV,8,0)</f>
        <v>0</v>
      </c>
      <c r="G85" s="185">
        <f>E85-F85</f>
        <v>0</v>
      </c>
      <c r="H85" s="185"/>
      <c r="I85" s="186">
        <v>0</v>
      </c>
      <c r="J85" s="186">
        <f>VLOOKUP($C85,ORAJV,14,0)</f>
        <v>0</v>
      </c>
      <c r="K85" s="186">
        <f>I85-J85</f>
        <v>0</v>
      </c>
      <c r="L85" s="185"/>
      <c r="M85" s="185"/>
      <c r="N85" s="185">
        <f t="shared" ref="N85:P91" si="38">ROUND(E85,0)</f>
        <v>0</v>
      </c>
      <c r="O85" s="185">
        <f t="shared" si="36"/>
        <v>0</v>
      </c>
      <c r="P85" s="185">
        <f t="shared" si="36"/>
        <v>0</v>
      </c>
      <c r="Q85" s="185">
        <f t="shared" ref="Q85:Q91" si="39">ROUND(I85,0)</f>
        <v>0</v>
      </c>
      <c r="R85" s="185">
        <f t="shared" si="37"/>
        <v>0</v>
      </c>
      <c r="S85" s="185">
        <f t="shared" si="37"/>
        <v>0</v>
      </c>
    </row>
    <row r="86" spans="1:19" x14ac:dyDescent="0.3">
      <c r="A86" s="3" t="str">
        <f>IF(AND(G86=0,K86=0),"Do Not Print","Print")</f>
        <v>Do Not Print</v>
      </c>
      <c r="B86" s="3" t="s">
        <v>1665</v>
      </c>
      <c r="C86" s="39" t="str">
        <f>'Input -CIES'!H101</f>
        <v>Other</v>
      </c>
      <c r="D86" s="3"/>
      <c r="E86" s="187">
        <v>0</v>
      </c>
      <c r="F86" s="185">
        <f>VLOOKUP($C86,ORAJV,8,0)</f>
        <v>0</v>
      </c>
      <c r="G86" s="185">
        <f>E86-F86</f>
        <v>0</v>
      </c>
      <c r="H86" s="185"/>
      <c r="I86" s="186">
        <v>0</v>
      </c>
      <c r="J86" s="186">
        <f>VLOOKUP($C86,ORAJV,14,0)</f>
        <v>0</v>
      </c>
      <c r="K86" s="186">
        <f>I86-J86</f>
        <v>0</v>
      </c>
      <c r="L86" s="185"/>
      <c r="M86" s="185"/>
      <c r="N86" s="185">
        <f t="shared" si="38"/>
        <v>0</v>
      </c>
      <c r="O86" s="185">
        <f t="shared" si="36"/>
        <v>0</v>
      </c>
      <c r="P86" s="185">
        <f t="shared" si="36"/>
        <v>0</v>
      </c>
      <c r="Q86" s="185">
        <f t="shared" si="39"/>
        <v>0</v>
      </c>
      <c r="R86" s="185">
        <f t="shared" si="37"/>
        <v>0</v>
      </c>
      <c r="S86" s="185">
        <f t="shared" si="37"/>
        <v>0</v>
      </c>
    </row>
    <row r="87" spans="1:19" s="6" customFormat="1" x14ac:dyDescent="0.3">
      <c r="A87" s="6" t="str">
        <f>IF(AND(G87=0,K87=0),"Do Not Print","Print")</f>
        <v>Do Not Print</v>
      </c>
      <c r="C87" s="38" t="s">
        <v>1654</v>
      </c>
      <c r="E87" s="420">
        <v>0</v>
      </c>
      <c r="F87" s="183">
        <f>SUM(F84:F86)</f>
        <v>0</v>
      </c>
      <c r="G87" s="183">
        <f>E87-F87</f>
        <v>0</v>
      </c>
      <c r="H87" s="183"/>
      <c r="I87" s="184">
        <f>SUM(I84:I86)</f>
        <v>0</v>
      </c>
      <c r="J87" s="184">
        <f>SUM(J84:J86)</f>
        <v>0</v>
      </c>
      <c r="K87" s="184">
        <f>I87-J87</f>
        <v>0</v>
      </c>
      <c r="L87" s="183"/>
      <c r="M87" s="183"/>
      <c r="N87" s="183">
        <f t="shared" si="38"/>
        <v>0</v>
      </c>
      <c r="O87" s="183">
        <f t="shared" si="36"/>
        <v>0</v>
      </c>
      <c r="P87" s="183">
        <f t="shared" si="36"/>
        <v>0</v>
      </c>
      <c r="Q87" s="183">
        <f t="shared" si="39"/>
        <v>0</v>
      </c>
      <c r="R87" s="183">
        <f t="shared" si="37"/>
        <v>0</v>
      </c>
      <c r="S87" s="183">
        <f t="shared" si="37"/>
        <v>0</v>
      </c>
    </row>
    <row r="88" spans="1:19" x14ac:dyDescent="0.3">
      <c r="A88" s="3" t="s">
        <v>448</v>
      </c>
      <c r="B88" s="3"/>
      <c r="D88" s="3"/>
      <c r="E88" s="187"/>
      <c r="F88" s="185"/>
      <c r="G88" s="185"/>
      <c r="H88" s="185"/>
      <c r="I88" s="186"/>
      <c r="J88" s="186"/>
      <c r="K88" s="186"/>
      <c r="L88" s="185"/>
      <c r="M88" s="185"/>
      <c r="N88" s="185"/>
      <c r="O88" s="185"/>
      <c r="P88" s="185"/>
      <c r="Q88" s="185"/>
      <c r="R88" s="185"/>
      <c r="S88" s="185"/>
    </row>
    <row r="89" spans="1:19" x14ac:dyDescent="0.3">
      <c r="A89" s="3" t="str">
        <f>IF(AND(G89=0,K89=0),"Do Not Print","Print")</f>
        <v>Do Not Print</v>
      </c>
      <c r="B89" s="3" t="s">
        <v>1665</v>
      </c>
      <c r="C89" s="39" t="str">
        <f>'Input -CIES'!H102</f>
        <v>Administration Costs</v>
      </c>
      <c r="D89" s="3"/>
      <c r="E89" s="185">
        <f>VLOOKUP($C89,ORAJV,8,0)</f>
        <v>0</v>
      </c>
      <c r="F89" s="185">
        <v>0</v>
      </c>
      <c r="G89" s="185">
        <f>E89-F89</f>
        <v>0</v>
      </c>
      <c r="H89" s="185"/>
      <c r="I89" s="186">
        <f>VLOOKUP($C89,ORAJV,14,0)</f>
        <v>0</v>
      </c>
      <c r="J89" s="186">
        <v>0</v>
      </c>
      <c r="K89" s="186">
        <f>I89-J89</f>
        <v>0</v>
      </c>
      <c r="L89" s="185"/>
      <c r="M89" s="185"/>
      <c r="N89" s="185">
        <f t="shared" si="38"/>
        <v>0</v>
      </c>
      <c r="O89" s="185">
        <f t="shared" si="38"/>
        <v>0</v>
      </c>
      <c r="P89" s="185">
        <f t="shared" si="38"/>
        <v>0</v>
      </c>
      <c r="Q89" s="185">
        <f t="shared" si="39"/>
        <v>0</v>
      </c>
      <c r="R89" s="185">
        <f t="shared" si="37"/>
        <v>0</v>
      </c>
      <c r="S89" s="185">
        <f t="shared" si="37"/>
        <v>0</v>
      </c>
    </row>
    <row r="90" spans="1:19" x14ac:dyDescent="0.3">
      <c r="A90" s="3" t="str">
        <f>IF(AND(G90=0,K90=0),"Do Not Print","Print")</f>
        <v>Do Not Print</v>
      </c>
      <c r="B90" s="3" t="s">
        <v>1665</v>
      </c>
      <c r="C90" s="39" t="str">
        <f>'Input -CIES'!H103</f>
        <v>Operating Costs</v>
      </c>
      <c r="D90" s="3"/>
      <c r="E90" s="185">
        <f>VLOOKUP($C90,ORAJV,8,0)</f>
        <v>0</v>
      </c>
      <c r="F90" s="185">
        <v>0</v>
      </c>
      <c r="G90" s="185">
        <f>E90-F90</f>
        <v>0</v>
      </c>
      <c r="H90" s="185"/>
      <c r="I90" s="186">
        <f>VLOOKUP($C90,ORAJV,14,0)</f>
        <v>0</v>
      </c>
      <c r="J90" s="186">
        <v>0</v>
      </c>
      <c r="K90" s="186">
        <f>I90-J90</f>
        <v>0</v>
      </c>
      <c r="L90" s="185"/>
      <c r="M90" s="185"/>
      <c r="N90" s="185">
        <f t="shared" si="38"/>
        <v>0</v>
      </c>
      <c r="O90" s="185">
        <f t="shared" si="38"/>
        <v>0</v>
      </c>
      <c r="P90" s="185">
        <f t="shared" si="38"/>
        <v>0</v>
      </c>
      <c r="Q90" s="185">
        <f t="shared" si="39"/>
        <v>0</v>
      </c>
      <c r="R90" s="185">
        <f t="shared" si="37"/>
        <v>0</v>
      </c>
      <c r="S90" s="185">
        <f t="shared" si="37"/>
        <v>0</v>
      </c>
    </row>
    <row r="91" spans="1:19" s="6" customFormat="1" x14ac:dyDescent="0.3">
      <c r="A91" s="6" t="str">
        <f>IF(AND(G91=0,K91=0),"Do Not Print","Print")</f>
        <v>Do Not Print</v>
      </c>
      <c r="C91" s="38" t="s">
        <v>1657</v>
      </c>
      <c r="E91" s="183">
        <f>SUM(E89:E90)</f>
        <v>0</v>
      </c>
      <c r="F91" s="183">
        <f>SUM(F89:F90)</f>
        <v>0</v>
      </c>
      <c r="G91" s="183">
        <f>E91-F91</f>
        <v>0</v>
      </c>
      <c r="H91" s="183"/>
      <c r="I91" s="184">
        <f>SUM(I89:I90)</f>
        <v>0</v>
      </c>
      <c r="J91" s="184">
        <f>SUM(J89:J90)</f>
        <v>0</v>
      </c>
      <c r="K91" s="184">
        <f>I91-J91</f>
        <v>0</v>
      </c>
      <c r="L91" s="183"/>
      <c r="M91" s="183"/>
      <c r="N91" s="183">
        <f t="shared" si="38"/>
        <v>0</v>
      </c>
      <c r="O91" s="183">
        <f t="shared" si="38"/>
        <v>0</v>
      </c>
      <c r="P91" s="183">
        <f t="shared" si="38"/>
        <v>0</v>
      </c>
      <c r="Q91" s="183">
        <f t="shared" si="39"/>
        <v>0</v>
      </c>
      <c r="R91" s="183">
        <f t="shared" si="37"/>
        <v>0</v>
      </c>
      <c r="S91" s="183">
        <f t="shared" si="37"/>
        <v>0</v>
      </c>
    </row>
    <row r="92" spans="1:19" x14ac:dyDescent="0.3">
      <c r="A92" s="3" t="s">
        <v>448</v>
      </c>
      <c r="B92" s="3"/>
      <c r="D92" s="3"/>
      <c r="E92" s="187"/>
      <c r="F92" s="185"/>
      <c r="G92" s="185">
        <f>G91+G87</f>
        <v>0</v>
      </c>
      <c r="H92" s="185"/>
      <c r="I92" s="186"/>
      <c r="J92" s="186"/>
      <c r="K92" s="186">
        <f>K91+K87</f>
        <v>0</v>
      </c>
      <c r="L92" s="185"/>
      <c r="M92" s="185"/>
      <c r="N92" s="185"/>
      <c r="O92" s="185"/>
      <c r="P92" s="185">
        <f>ROUND(G92,0)</f>
        <v>0</v>
      </c>
      <c r="Q92" s="186"/>
      <c r="R92" s="186"/>
      <c r="S92" s="185">
        <f t="shared" si="37"/>
        <v>0</v>
      </c>
    </row>
    <row r="93" spans="1:19" x14ac:dyDescent="0.3">
      <c r="A93" s="3" t="s">
        <v>448</v>
      </c>
      <c r="B93" s="3"/>
      <c r="D93" s="3"/>
      <c r="E93" s="187"/>
      <c r="F93" s="185"/>
      <c r="G93" s="185"/>
      <c r="H93" s="185"/>
      <c r="I93" s="186"/>
      <c r="J93" s="186"/>
      <c r="K93" s="186"/>
      <c r="L93" s="185"/>
      <c r="M93" s="185"/>
      <c r="N93" s="185"/>
      <c r="O93" s="185"/>
      <c r="P93" s="185"/>
      <c r="Q93" s="186"/>
      <c r="R93" s="186"/>
      <c r="S93" s="186"/>
    </row>
    <row r="94" spans="1:19" ht="27.6" x14ac:dyDescent="0.3">
      <c r="A94" s="3" t="s">
        <v>448</v>
      </c>
      <c r="B94" s="3"/>
      <c r="C94" s="40" t="s">
        <v>120</v>
      </c>
      <c r="D94" s="3"/>
      <c r="E94" s="185"/>
      <c r="F94" s="185"/>
      <c r="G94" s="185"/>
      <c r="H94" s="185"/>
      <c r="I94" s="186"/>
      <c r="J94" s="186"/>
      <c r="K94" s="186"/>
      <c r="L94" s="185"/>
      <c r="M94" s="185"/>
      <c r="N94" s="185"/>
      <c r="O94" s="185"/>
      <c r="P94" s="185"/>
      <c r="Q94" s="186"/>
      <c r="R94" s="186"/>
      <c r="S94" s="186"/>
    </row>
    <row r="95" spans="1:19" x14ac:dyDescent="0.3">
      <c r="A95" s="3" t="s">
        <v>448</v>
      </c>
      <c r="B95" s="3"/>
      <c r="C95" s="38" t="s">
        <v>286</v>
      </c>
      <c r="D95" s="3"/>
      <c r="E95" s="185"/>
      <c r="F95" s="185"/>
      <c r="G95" s="185"/>
      <c r="H95" s="185"/>
      <c r="I95" s="186"/>
      <c r="J95" s="186"/>
      <c r="K95" s="186"/>
      <c r="L95" s="185"/>
      <c r="M95" s="185"/>
      <c r="N95" s="185"/>
      <c r="O95" s="185"/>
      <c r="P95" s="185"/>
      <c r="Q95" s="186"/>
      <c r="R95" s="186"/>
      <c r="S95" s="186"/>
    </row>
    <row r="96" spans="1:19" x14ac:dyDescent="0.3">
      <c r="A96" s="3" t="str">
        <f>IF(AND(E96=0,F96=0,G96=0,I96=0,J96=0,K96=0),"Do Not Print","Print")</f>
        <v>Do Not Print</v>
      </c>
      <c r="B96" s="3" t="s">
        <v>150</v>
      </c>
      <c r="C96" s="18" t="s">
        <v>666</v>
      </c>
      <c r="D96" s="3"/>
      <c r="E96" s="185">
        <f>IF(VLOOKUP($C96,TI,8,0)&gt;0,VLOOKUP($C96,TI,8,0),0)</f>
        <v>0</v>
      </c>
      <c r="F96" s="185">
        <f>IF(VLOOKUP($C96,TI,8,0)&lt;0,-VLOOKUP($C96,TI,8,0),0)</f>
        <v>0</v>
      </c>
      <c r="G96" s="185">
        <f>E96-F96</f>
        <v>0</v>
      </c>
      <c r="H96" s="185"/>
      <c r="I96" s="186">
        <f>IF(VLOOKUP($C96,TI,14,0)&gt;0,VLOOKUP($C96,TI,14,0),0)</f>
        <v>0</v>
      </c>
      <c r="J96" s="186">
        <f>IF(VLOOKUP($C96,TI,14,0)&lt;0,-VLOOKUP($C96,TI,14,0),0)</f>
        <v>0</v>
      </c>
      <c r="K96" s="186">
        <f>I96-J96</f>
        <v>0</v>
      </c>
      <c r="L96" s="185"/>
      <c r="M96" s="185"/>
      <c r="N96" s="185">
        <f t="shared" ref="N96:P99" si="40">ROUND(E96,0)</f>
        <v>0</v>
      </c>
      <c r="O96" s="185">
        <f t="shared" si="40"/>
        <v>0</v>
      </c>
      <c r="P96" s="185">
        <f t="shared" si="40"/>
        <v>0</v>
      </c>
      <c r="Q96" s="186">
        <f t="shared" ref="Q96:S101" si="41">ROUND(I96,0)</f>
        <v>0</v>
      </c>
      <c r="R96" s="186">
        <f t="shared" si="41"/>
        <v>0</v>
      </c>
      <c r="S96" s="186">
        <f t="shared" si="41"/>
        <v>0</v>
      </c>
    </row>
    <row r="97" spans="1:19" x14ac:dyDescent="0.3">
      <c r="A97" s="3" t="str">
        <f>IF(AND(E97=0,F97=0,G97=0,I97=0,J97=0,K97=0),"Do Not Print","Print")</f>
        <v>Do Not Print</v>
      </c>
      <c r="B97" s="3" t="s">
        <v>150</v>
      </c>
      <c r="C97" s="18" t="s">
        <v>950</v>
      </c>
      <c r="D97" s="3"/>
      <c r="E97" s="185">
        <f>IF(VLOOKUP($C97,TI,8,0)&gt;0,VLOOKUP($C97,TI,8,0),0)</f>
        <v>0</v>
      </c>
      <c r="F97" s="185">
        <f>IF(VLOOKUP($C97,TI,8,0)&lt;0,-VLOOKUP($C97,TI,8,0),0)</f>
        <v>0</v>
      </c>
      <c r="G97" s="185">
        <f>E97-F97</f>
        <v>0</v>
      </c>
      <c r="H97" s="185"/>
      <c r="I97" s="186"/>
      <c r="J97" s="186"/>
      <c r="K97" s="186"/>
      <c r="L97" s="185"/>
      <c r="M97" s="185"/>
      <c r="N97" s="185">
        <f t="shared" si="40"/>
        <v>0</v>
      </c>
      <c r="O97" s="185">
        <f t="shared" si="40"/>
        <v>0</v>
      </c>
      <c r="P97" s="185">
        <f t="shared" si="40"/>
        <v>0</v>
      </c>
      <c r="Q97" s="186">
        <f>ROUND(I97,0)</f>
        <v>0</v>
      </c>
      <c r="R97" s="186">
        <f>ROUND(J97,0)</f>
        <v>0</v>
      </c>
      <c r="S97" s="186">
        <f>ROUND(K97,0)</f>
        <v>0</v>
      </c>
    </row>
    <row r="98" spans="1:19" ht="27.6" x14ac:dyDescent="0.3">
      <c r="A98" s="3" t="str">
        <f>IF(AND(E98=0,F98=0,G98=0,I98=0,J98=0,K98=0),"Do Not Print","Print")</f>
        <v>Do Not Print</v>
      </c>
      <c r="B98" s="3" t="s">
        <v>150</v>
      </c>
      <c r="C98" s="18" t="s">
        <v>667</v>
      </c>
      <c r="D98" s="3"/>
      <c r="E98" s="185">
        <f>IF(VLOOKUP($C98,TI,8,0)&gt;0,VLOOKUP($C98,TI,8,0),0)</f>
        <v>0</v>
      </c>
      <c r="F98" s="185">
        <f>IF(VLOOKUP($C98,TI,8,0)&lt;0,-VLOOKUP($C98,TI,8,0),0)</f>
        <v>0</v>
      </c>
      <c r="G98" s="185">
        <f>E98-F98</f>
        <v>0</v>
      </c>
      <c r="H98" s="185"/>
      <c r="I98" s="186">
        <f>IF(VLOOKUP($C98,TI,14,0)&gt;0,VLOOKUP($C98,TI,14,0),0)</f>
        <v>0</v>
      </c>
      <c r="J98" s="186">
        <f>IF(VLOOKUP($C98,TI,14,0)&lt;0,-VLOOKUP($C98,TI,14,0),0)</f>
        <v>0</v>
      </c>
      <c r="K98" s="186">
        <f>I98-J98</f>
        <v>0</v>
      </c>
      <c r="L98" s="185"/>
      <c r="M98" s="185"/>
      <c r="N98" s="185">
        <f t="shared" si="40"/>
        <v>0</v>
      </c>
      <c r="O98" s="185">
        <f t="shared" si="40"/>
        <v>0</v>
      </c>
      <c r="P98" s="185">
        <f t="shared" si="40"/>
        <v>0</v>
      </c>
      <c r="Q98" s="186">
        <f t="shared" si="41"/>
        <v>0</v>
      </c>
      <c r="R98" s="186">
        <f t="shared" si="41"/>
        <v>0</v>
      </c>
      <c r="S98" s="186">
        <f t="shared" si="41"/>
        <v>0</v>
      </c>
    </row>
    <row r="99" spans="1:19" x14ac:dyDescent="0.3">
      <c r="A99" s="3" t="str">
        <f>IF(AND(E99=0,F99=0,G99=0,I99=0,J99=0,K99=0),"Do Not Print","Print")</f>
        <v>Do Not Print</v>
      </c>
      <c r="B99" s="3" t="s">
        <v>150</v>
      </c>
      <c r="C99" s="18" t="s">
        <v>668</v>
      </c>
      <c r="D99" s="3"/>
      <c r="E99" s="185">
        <f>IF(VLOOKUP($C99,TI,8,0)&gt;0,0,VLOOKUP($C99,TI,8,0))</f>
        <v>0</v>
      </c>
      <c r="F99" s="185">
        <f>IF(VLOOKUP($C99,TI,8,0)&gt;0,-VLOOKUP($C99,TI,8,0),0)</f>
        <v>0</v>
      </c>
      <c r="G99" s="185">
        <f>E99-F99</f>
        <v>0</v>
      </c>
      <c r="H99" s="185"/>
      <c r="I99" s="186">
        <f>IF(VLOOKUP($C99,TI,14,0)&gt;0,0,VLOOKUP($C99,TI,14,0))</f>
        <v>0</v>
      </c>
      <c r="J99" s="186">
        <f>IF(VLOOKUP($C99,TI,14,0)&gt;0,-VLOOKUP($C99,TI,14,0),0)</f>
        <v>0</v>
      </c>
      <c r="K99" s="186">
        <f>I99-J99</f>
        <v>0</v>
      </c>
      <c r="L99" s="185"/>
      <c r="M99" s="185"/>
      <c r="N99" s="185">
        <f t="shared" si="40"/>
        <v>0</v>
      </c>
      <c r="O99" s="185">
        <f t="shared" si="40"/>
        <v>0</v>
      </c>
      <c r="P99" s="185">
        <f t="shared" si="40"/>
        <v>0</v>
      </c>
      <c r="Q99" s="186">
        <f t="shared" si="41"/>
        <v>0</v>
      </c>
      <c r="R99" s="186">
        <f t="shared" si="41"/>
        <v>0</v>
      </c>
      <c r="S99" s="186">
        <f t="shared" si="41"/>
        <v>0</v>
      </c>
    </row>
    <row r="100" spans="1:19" x14ac:dyDescent="0.3">
      <c r="A100" s="3" t="s">
        <v>448</v>
      </c>
      <c r="B100" s="3"/>
      <c r="C100" s="18"/>
      <c r="D100" s="3"/>
      <c r="E100" s="185"/>
      <c r="F100" s="185"/>
      <c r="G100" s="185"/>
      <c r="H100" s="185"/>
      <c r="I100" s="186"/>
      <c r="J100" s="186"/>
      <c r="K100" s="186"/>
      <c r="L100" s="185"/>
      <c r="M100" s="185"/>
      <c r="N100" s="185"/>
      <c r="O100" s="185"/>
      <c r="P100" s="185"/>
      <c r="Q100" s="186"/>
      <c r="R100" s="186"/>
      <c r="S100" s="186"/>
    </row>
    <row r="101" spans="1:19" x14ac:dyDescent="0.3">
      <c r="A101" s="3" t="str">
        <f>IF(AND(E101=0,F101=0,G101=0,I101=0,J101=0,K101=0),"Do Not Print","Print")</f>
        <v>Do Not Print</v>
      </c>
      <c r="B101" s="3"/>
      <c r="C101" s="38" t="s">
        <v>286</v>
      </c>
      <c r="D101" s="6"/>
      <c r="E101" s="183">
        <f t="shared" ref="E101:K101" si="42">SUM(E96:E99)</f>
        <v>0</v>
      </c>
      <c r="F101" s="183">
        <f t="shared" si="42"/>
        <v>0</v>
      </c>
      <c r="G101" s="183">
        <f t="shared" si="42"/>
        <v>0</v>
      </c>
      <c r="H101" s="183"/>
      <c r="I101" s="184">
        <f t="shared" si="42"/>
        <v>0</v>
      </c>
      <c r="J101" s="184">
        <f t="shared" si="42"/>
        <v>0</v>
      </c>
      <c r="K101" s="184">
        <f t="shared" si="42"/>
        <v>0</v>
      </c>
      <c r="L101" s="185"/>
      <c r="M101" s="185"/>
      <c r="N101" s="185">
        <f>ROUND(E101,0)</f>
        <v>0</v>
      </c>
      <c r="O101" s="185">
        <f>ROUND(F101,0)</f>
        <v>0</v>
      </c>
      <c r="P101" s="185">
        <f>ROUND(G101,0)</f>
        <v>0</v>
      </c>
      <c r="Q101" s="186">
        <f t="shared" si="41"/>
        <v>0</v>
      </c>
      <c r="R101" s="186">
        <f>ROUND(J101,0)</f>
        <v>0</v>
      </c>
      <c r="S101" s="186">
        <f>ROUND(K101,0)</f>
        <v>0</v>
      </c>
    </row>
    <row r="102" spans="1:19" x14ac:dyDescent="0.3">
      <c r="A102" s="3" t="s">
        <v>448</v>
      </c>
      <c r="B102" s="3"/>
      <c r="C102" s="18"/>
      <c r="D102" s="3"/>
      <c r="E102" s="185"/>
      <c r="F102" s="185"/>
      <c r="G102" s="185"/>
      <c r="H102" s="185"/>
      <c r="I102" s="186"/>
      <c r="J102" s="186"/>
      <c r="K102" s="186"/>
      <c r="L102" s="185"/>
      <c r="M102" s="185"/>
      <c r="N102" s="185"/>
      <c r="O102" s="185"/>
      <c r="P102" s="185"/>
      <c r="Q102" s="186"/>
      <c r="R102" s="186"/>
      <c r="S102" s="186"/>
    </row>
    <row r="103" spans="1:19" x14ac:dyDescent="0.3">
      <c r="A103" s="3" t="s">
        <v>448</v>
      </c>
      <c r="B103" s="3"/>
      <c r="C103" s="38" t="s">
        <v>971</v>
      </c>
      <c r="D103" s="3"/>
      <c r="E103" s="185"/>
      <c r="F103" s="185"/>
      <c r="G103" s="185"/>
      <c r="H103" s="185"/>
      <c r="I103" s="186"/>
      <c r="J103" s="186"/>
      <c r="K103" s="186"/>
      <c r="L103" s="185"/>
      <c r="M103" s="185"/>
      <c r="N103" s="185"/>
      <c r="O103" s="185"/>
      <c r="P103" s="185"/>
      <c r="Q103" s="186"/>
      <c r="R103" s="186"/>
      <c r="S103" s="186"/>
    </row>
    <row r="104" spans="1:19" x14ac:dyDescent="0.3">
      <c r="A104" s="3" t="str">
        <f t="shared" ref="A104:A114" si="43">IF(AND(E104=0,F104=0,G104=0,I104=0,J104=0,K104=0),"Do Not Print","Print")</f>
        <v>Do Not Print</v>
      </c>
      <c r="B104" s="3" t="s">
        <v>150</v>
      </c>
      <c r="C104" s="18" t="s">
        <v>665</v>
      </c>
      <c r="D104" s="3"/>
      <c r="E104" s="185">
        <f>IF(VLOOKUP($C104,TI,8,0)&gt;0,VLOOKUP($C104,TI,8,0),0)</f>
        <v>0</v>
      </c>
      <c r="F104" s="185">
        <f>IF(VLOOKUP($C104,TI,8,0)&lt;0,-VLOOKUP($C104,TI,8,0),0)</f>
        <v>0</v>
      </c>
      <c r="G104" s="185">
        <f>E104-F104</f>
        <v>0</v>
      </c>
      <c r="H104" s="185"/>
      <c r="I104" s="186">
        <f>IF(VLOOKUP($C104,TI,14,0)&gt;0,VLOOKUP($C104,TI,14,0),0)</f>
        <v>0</v>
      </c>
      <c r="J104" s="186">
        <f>IF(VLOOKUP($C104,TI,14,0)&lt;0,-VLOOKUP($C104,TI,14,0),0)</f>
        <v>0</v>
      </c>
      <c r="K104" s="186">
        <f>I104-J104</f>
        <v>0</v>
      </c>
      <c r="L104" s="185"/>
      <c r="M104" s="185"/>
      <c r="N104" s="185">
        <f t="shared" ref="N104:P105" si="44">ROUND(E104,0)</f>
        <v>0</v>
      </c>
      <c r="O104" s="185">
        <f t="shared" si="44"/>
        <v>0</v>
      </c>
      <c r="P104" s="185">
        <f t="shared" si="44"/>
        <v>0</v>
      </c>
      <c r="Q104" s="186">
        <f t="shared" ref="Q104:S105" si="45">ROUND(I104,0)</f>
        <v>0</v>
      </c>
      <c r="R104" s="186">
        <f t="shared" si="45"/>
        <v>0</v>
      </c>
      <c r="S104" s="186">
        <f t="shared" si="45"/>
        <v>0</v>
      </c>
    </row>
    <row r="105" spans="1:19" x14ac:dyDescent="0.3">
      <c r="A105" s="3" t="str">
        <f t="shared" si="43"/>
        <v>Do Not Print</v>
      </c>
      <c r="B105" s="3" t="s">
        <v>150</v>
      </c>
      <c r="C105" s="18" t="s">
        <v>373</v>
      </c>
      <c r="D105" s="3"/>
      <c r="E105" s="185">
        <f>IF(VLOOKUP(C105,TI,8,0)&gt;0,VLOOKUP(C105,TI,8,0),0)</f>
        <v>0</v>
      </c>
      <c r="F105" s="185">
        <f>IF(VLOOKUP($C105,TI,8,0)&lt;0,-VLOOKUP($C105,TI,8,0),0)</f>
        <v>0</v>
      </c>
      <c r="G105" s="185">
        <f>E105-F105</f>
        <v>0</v>
      </c>
      <c r="H105" s="185"/>
      <c r="I105" s="186">
        <f>IF(VLOOKUP($C105,TI,14,0)&gt;0,VLOOKUP($C105,TI,14,0),0)</f>
        <v>0</v>
      </c>
      <c r="J105" s="186">
        <f>IF(VLOOKUP($C105,TI,12,0)&lt;0,-VLOOKUP($C105,TI,12,0),0)</f>
        <v>0</v>
      </c>
      <c r="K105" s="186">
        <f>I105-J105</f>
        <v>0</v>
      </c>
      <c r="L105" s="185"/>
      <c r="M105" s="185"/>
      <c r="N105" s="185">
        <f t="shared" si="44"/>
        <v>0</v>
      </c>
      <c r="O105" s="185">
        <f t="shared" si="44"/>
        <v>0</v>
      </c>
      <c r="P105" s="185">
        <f t="shared" si="44"/>
        <v>0</v>
      </c>
      <c r="Q105" s="186">
        <f t="shared" si="45"/>
        <v>0</v>
      </c>
      <c r="R105" s="186">
        <f t="shared" si="45"/>
        <v>0</v>
      </c>
      <c r="S105" s="186">
        <f t="shared" si="45"/>
        <v>0</v>
      </c>
    </row>
    <row r="106" spans="1:19" x14ac:dyDescent="0.3">
      <c r="A106" s="3" t="str">
        <f t="shared" si="43"/>
        <v>Do Not Print</v>
      </c>
      <c r="B106" s="3"/>
      <c r="C106" s="18"/>
      <c r="D106" s="3"/>
      <c r="E106" s="185"/>
      <c r="F106" s="185"/>
      <c r="G106" s="185"/>
      <c r="H106" s="185"/>
      <c r="I106" s="186"/>
      <c r="J106" s="186"/>
      <c r="K106" s="186"/>
      <c r="L106" s="185"/>
      <c r="M106" s="185"/>
      <c r="N106" s="185"/>
      <c r="O106" s="185"/>
      <c r="P106" s="185"/>
      <c r="Q106" s="186"/>
      <c r="R106" s="186"/>
      <c r="S106" s="186"/>
    </row>
    <row r="107" spans="1:19" x14ac:dyDescent="0.3">
      <c r="A107" s="3" t="str">
        <f t="shared" si="43"/>
        <v>Do Not Print</v>
      </c>
      <c r="B107" s="3"/>
      <c r="C107" s="18" t="s">
        <v>665</v>
      </c>
      <c r="D107" s="3"/>
      <c r="E107" s="183">
        <f>E104+E105</f>
        <v>0</v>
      </c>
      <c r="F107" s="183">
        <f t="shared" ref="F107:K107" si="46">F104+F105</f>
        <v>0</v>
      </c>
      <c r="G107" s="183">
        <f t="shared" si="46"/>
        <v>0</v>
      </c>
      <c r="H107" s="183"/>
      <c r="I107" s="183">
        <f t="shared" si="46"/>
        <v>0</v>
      </c>
      <c r="J107" s="183">
        <f t="shared" si="46"/>
        <v>0</v>
      </c>
      <c r="K107" s="183">
        <f t="shared" si="46"/>
        <v>0</v>
      </c>
      <c r="L107" s="185"/>
      <c r="M107" s="185"/>
      <c r="N107" s="183">
        <f>ROUND(E107,0)</f>
        <v>0</v>
      </c>
      <c r="O107" s="183">
        <f>ROUND(F107,0)</f>
        <v>0</v>
      </c>
      <c r="P107" s="183">
        <f>ROUND(G107,0)</f>
        <v>0</v>
      </c>
      <c r="Q107" s="183">
        <f>ROUND(I107,0)</f>
        <v>0</v>
      </c>
      <c r="R107" s="183">
        <f>ROUND(J107,0)</f>
        <v>0</v>
      </c>
      <c r="S107" s="183">
        <f>ROUND(K107,0)</f>
        <v>0</v>
      </c>
    </row>
    <row r="108" spans="1:19" x14ac:dyDescent="0.3">
      <c r="A108" s="3" t="str">
        <f t="shared" si="43"/>
        <v>Do Not Print</v>
      </c>
      <c r="B108" s="3"/>
      <c r="C108" s="18"/>
      <c r="D108" s="3"/>
      <c r="E108" s="185"/>
      <c r="F108" s="185"/>
      <c r="G108" s="185"/>
      <c r="H108" s="185"/>
      <c r="I108" s="186"/>
      <c r="J108" s="186"/>
      <c r="K108" s="186"/>
      <c r="L108" s="185"/>
      <c r="M108" s="185"/>
      <c r="N108" s="185"/>
      <c r="O108" s="185"/>
      <c r="P108" s="185"/>
      <c r="Q108" s="186"/>
      <c r="R108" s="186"/>
      <c r="S108" s="186"/>
    </row>
    <row r="109" spans="1:19" x14ac:dyDescent="0.3">
      <c r="A109" s="3" t="str">
        <f t="shared" si="43"/>
        <v>Do Not Print</v>
      </c>
      <c r="B109" s="3" t="s">
        <v>150</v>
      </c>
      <c r="C109" s="18" t="s">
        <v>669</v>
      </c>
      <c r="D109" s="3"/>
      <c r="E109" s="185">
        <f t="shared" ref="E109:E115" si="47">IF(VLOOKUP($C109,TI,8,0)&gt;0,VLOOKUP($C109,TI,8,0),0)</f>
        <v>0</v>
      </c>
      <c r="F109" s="185">
        <f t="shared" ref="F109:F115" si="48">IF(VLOOKUP($C109,TI,8,0)&lt;0,-VLOOKUP($C109,TI,8,0),0)</f>
        <v>0</v>
      </c>
      <c r="G109" s="185">
        <f>E109-F109</f>
        <v>0</v>
      </c>
      <c r="H109" s="185"/>
      <c r="I109" s="186">
        <f t="shared" ref="I109:I115" si="49">IF(VLOOKUP($C109,TI,14,0)&gt;0,VLOOKUP($C109,TI,14,0),0)</f>
        <v>0</v>
      </c>
      <c r="J109" s="186">
        <f t="shared" ref="J109:J115" si="50">IF(VLOOKUP($C109,TI,14,0)&lt;0,-VLOOKUP($C109,TI,14,0),0)</f>
        <v>0</v>
      </c>
      <c r="K109" s="186">
        <f>I109-J109</f>
        <v>0</v>
      </c>
      <c r="L109" s="185"/>
      <c r="M109" s="185"/>
      <c r="N109" s="185">
        <f>ROUND(E109,0)</f>
        <v>0</v>
      </c>
      <c r="O109" s="185">
        <f>ROUND(F109,0)</f>
        <v>0</v>
      </c>
      <c r="P109" s="185">
        <f>ROUND(G109,0)</f>
        <v>0</v>
      </c>
      <c r="Q109" s="186">
        <f>ROUND(I109,0)</f>
        <v>0</v>
      </c>
      <c r="R109" s="186">
        <f>ROUND(J109,0)</f>
        <v>0</v>
      </c>
      <c r="S109" s="186">
        <f>ROUND(K109,0)</f>
        <v>0</v>
      </c>
    </row>
    <row r="110" spans="1:19" ht="41.4" x14ac:dyDescent="0.3">
      <c r="A110" s="3" t="str">
        <f t="shared" si="43"/>
        <v>Do Not Print</v>
      </c>
      <c r="B110" s="3" t="s">
        <v>150</v>
      </c>
      <c r="C110" s="18" t="s">
        <v>952</v>
      </c>
      <c r="D110" s="3"/>
      <c r="E110" s="185">
        <f t="shared" si="47"/>
        <v>0</v>
      </c>
      <c r="F110" s="185">
        <f t="shared" si="48"/>
        <v>0</v>
      </c>
      <c r="G110" s="185">
        <f t="shared" ref="G110:G115" si="51">E110-F110</f>
        <v>0</v>
      </c>
      <c r="H110" s="185"/>
      <c r="I110" s="186">
        <f t="shared" si="49"/>
        <v>0</v>
      </c>
      <c r="J110" s="186">
        <f t="shared" si="50"/>
        <v>0</v>
      </c>
      <c r="K110" s="186">
        <f t="shared" ref="K110:K115" si="52">I110-J110</f>
        <v>0</v>
      </c>
      <c r="L110" s="185"/>
      <c r="M110" s="185"/>
      <c r="N110" s="185">
        <f t="shared" ref="N110:P116" si="53">ROUND(E110,0)</f>
        <v>0</v>
      </c>
      <c r="O110" s="185">
        <f t="shared" si="53"/>
        <v>0</v>
      </c>
      <c r="P110" s="185">
        <f t="shared" si="53"/>
        <v>0</v>
      </c>
      <c r="Q110" s="186">
        <f t="shared" ref="Q110:S115" si="54">ROUND(I110,0)</f>
        <v>0</v>
      </c>
      <c r="R110" s="186">
        <f t="shared" si="54"/>
        <v>0</v>
      </c>
      <c r="S110" s="186">
        <f t="shared" si="54"/>
        <v>0</v>
      </c>
    </row>
    <row r="111" spans="1:19" ht="41.4" x14ac:dyDescent="0.3">
      <c r="A111" s="3" t="str">
        <f t="shared" si="43"/>
        <v>Do Not Print</v>
      </c>
      <c r="B111" s="3" t="s">
        <v>150</v>
      </c>
      <c r="C111" s="18" t="s">
        <v>953</v>
      </c>
      <c r="D111" s="3"/>
      <c r="E111" s="185">
        <f t="shared" si="47"/>
        <v>0</v>
      </c>
      <c r="F111" s="185">
        <f t="shared" si="48"/>
        <v>0</v>
      </c>
      <c r="G111" s="185">
        <f t="shared" si="51"/>
        <v>0</v>
      </c>
      <c r="H111" s="185"/>
      <c r="I111" s="186">
        <f t="shared" si="49"/>
        <v>0</v>
      </c>
      <c r="J111" s="186">
        <f t="shared" si="50"/>
        <v>0</v>
      </c>
      <c r="K111" s="186">
        <f t="shared" si="52"/>
        <v>0</v>
      </c>
      <c r="L111" s="185"/>
      <c r="M111" s="185"/>
      <c r="N111" s="185">
        <f t="shared" si="53"/>
        <v>0</v>
      </c>
      <c r="O111" s="185">
        <f t="shared" si="53"/>
        <v>0</v>
      </c>
      <c r="P111" s="185">
        <f t="shared" si="53"/>
        <v>0</v>
      </c>
      <c r="Q111" s="186">
        <f t="shared" si="54"/>
        <v>0</v>
      </c>
      <c r="R111" s="186">
        <f t="shared" si="54"/>
        <v>0</v>
      </c>
      <c r="S111" s="186">
        <f t="shared" si="54"/>
        <v>0</v>
      </c>
    </row>
    <row r="112" spans="1:19" ht="27.6" x14ac:dyDescent="0.3">
      <c r="A112" s="3" t="str">
        <f t="shared" si="43"/>
        <v>Do Not Print</v>
      </c>
      <c r="B112" s="3" t="s">
        <v>150</v>
      </c>
      <c r="C112" s="18" t="s">
        <v>954</v>
      </c>
      <c r="D112" s="3"/>
      <c r="E112" s="185">
        <f t="shared" si="47"/>
        <v>0</v>
      </c>
      <c r="F112" s="185">
        <f t="shared" si="48"/>
        <v>0</v>
      </c>
      <c r="G112" s="185">
        <f t="shared" si="51"/>
        <v>0</v>
      </c>
      <c r="H112" s="185"/>
      <c r="I112" s="186">
        <f t="shared" si="49"/>
        <v>0</v>
      </c>
      <c r="J112" s="186">
        <f t="shared" si="50"/>
        <v>0</v>
      </c>
      <c r="K112" s="186">
        <f t="shared" si="52"/>
        <v>0</v>
      </c>
      <c r="L112" s="185"/>
      <c r="M112" s="185"/>
      <c r="N112" s="185">
        <f t="shared" si="53"/>
        <v>0</v>
      </c>
      <c r="O112" s="185">
        <f t="shared" si="53"/>
        <v>0</v>
      </c>
      <c r="P112" s="185">
        <f t="shared" si="53"/>
        <v>0</v>
      </c>
      <c r="Q112" s="186">
        <f t="shared" si="54"/>
        <v>0</v>
      </c>
      <c r="R112" s="186">
        <f t="shared" si="54"/>
        <v>0</v>
      </c>
      <c r="S112" s="186">
        <f t="shared" si="54"/>
        <v>0</v>
      </c>
    </row>
    <row r="113" spans="1:20" ht="41.4" x14ac:dyDescent="0.3">
      <c r="A113" s="3" t="str">
        <f t="shared" si="43"/>
        <v>Do Not Print</v>
      </c>
      <c r="B113" s="3" t="s">
        <v>150</v>
      </c>
      <c r="C113" s="18" t="s">
        <v>955</v>
      </c>
      <c r="D113" s="3"/>
      <c r="E113" s="185">
        <f t="shared" si="47"/>
        <v>0</v>
      </c>
      <c r="F113" s="185">
        <f t="shared" si="48"/>
        <v>0</v>
      </c>
      <c r="G113" s="185">
        <f t="shared" si="51"/>
        <v>0</v>
      </c>
      <c r="H113" s="185"/>
      <c r="I113" s="186">
        <f t="shared" si="49"/>
        <v>0</v>
      </c>
      <c r="J113" s="186">
        <f t="shared" si="50"/>
        <v>0</v>
      </c>
      <c r="K113" s="186">
        <f t="shared" si="52"/>
        <v>0</v>
      </c>
      <c r="L113" s="185"/>
      <c r="M113" s="185"/>
      <c r="N113" s="185">
        <f t="shared" si="53"/>
        <v>0</v>
      </c>
      <c r="O113" s="185">
        <f t="shared" si="53"/>
        <v>0</v>
      </c>
      <c r="P113" s="185">
        <f t="shared" si="53"/>
        <v>0</v>
      </c>
      <c r="Q113" s="186">
        <f t="shared" si="54"/>
        <v>0</v>
      </c>
      <c r="R113" s="186">
        <f t="shared" si="54"/>
        <v>0</v>
      </c>
      <c r="S113" s="186">
        <f t="shared" si="54"/>
        <v>0</v>
      </c>
    </row>
    <row r="114" spans="1:20" ht="41.4" x14ac:dyDescent="0.3">
      <c r="A114" s="3" t="str">
        <f t="shared" si="43"/>
        <v>Do Not Print</v>
      </c>
      <c r="B114" s="3" t="s">
        <v>150</v>
      </c>
      <c r="C114" s="18" t="s">
        <v>956</v>
      </c>
      <c r="D114" s="3"/>
      <c r="E114" s="185">
        <f t="shared" si="47"/>
        <v>0</v>
      </c>
      <c r="F114" s="185">
        <f t="shared" si="48"/>
        <v>0</v>
      </c>
      <c r="G114" s="185">
        <f t="shared" si="51"/>
        <v>0</v>
      </c>
      <c r="H114" s="185"/>
      <c r="I114" s="186">
        <f t="shared" si="49"/>
        <v>0</v>
      </c>
      <c r="J114" s="186">
        <f t="shared" si="50"/>
        <v>0</v>
      </c>
      <c r="K114" s="186">
        <f t="shared" si="52"/>
        <v>0</v>
      </c>
      <c r="L114" s="185"/>
      <c r="M114" s="185"/>
      <c r="N114" s="185">
        <f t="shared" si="53"/>
        <v>0</v>
      </c>
      <c r="O114" s="185">
        <f t="shared" si="53"/>
        <v>0</v>
      </c>
      <c r="P114" s="185">
        <f t="shared" si="53"/>
        <v>0</v>
      </c>
      <c r="Q114" s="186">
        <f t="shared" si="54"/>
        <v>0</v>
      </c>
      <c r="R114" s="186">
        <f t="shared" si="54"/>
        <v>0</v>
      </c>
      <c r="S114" s="186">
        <f t="shared" si="54"/>
        <v>0</v>
      </c>
    </row>
    <row r="115" spans="1:20" ht="27.6" x14ac:dyDescent="0.3">
      <c r="A115" s="3" t="str">
        <f>IF(AND(E115=0,F115=0,G115=0,I115=0,J115=0,K115=0),"Do Not Print","Print")</f>
        <v>Do Not Print</v>
      </c>
      <c r="B115" s="3" t="s">
        <v>150</v>
      </c>
      <c r="C115" s="18" t="s">
        <v>957</v>
      </c>
      <c r="D115" s="3"/>
      <c r="E115" s="185">
        <f t="shared" si="47"/>
        <v>0</v>
      </c>
      <c r="F115" s="185">
        <f t="shared" si="48"/>
        <v>0</v>
      </c>
      <c r="G115" s="185">
        <f t="shared" si="51"/>
        <v>0</v>
      </c>
      <c r="H115" s="185"/>
      <c r="I115" s="186">
        <f t="shared" si="49"/>
        <v>0</v>
      </c>
      <c r="J115" s="186">
        <f t="shared" si="50"/>
        <v>0</v>
      </c>
      <c r="K115" s="186">
        <f t="shared" si="52"/>
        <v>0</v>
      </c>
      <c r="L115" s="185"/>
      <c r="M115" s="185"/>
      <c r="N115" s="185">
        <f t="shared" si="53"/>
        <v>0</v>
      </c>
      <c r="O115" s="185">
        <f t="shared" si="53"/>
        <v>0</v>
      </c>
      <c r="P115" s="185">
        <f t="shared" si="53"/>
        <v>0</v>
      </c>
      <c r="Q115" s="186">
        <f t="shared" si="54"/>
        <v>0</v>
      </c>
      <c r="R115" s="186">
        <f t="shared" si="54"/>
        <v>0</v>
      </c>
      <c r="S115" s="186">
        <f t="shared" si="54"/>
        <v>0</v>
      </c>
    </row>
    <row r="116" spans="1:20" ht="27.6" x14ac:dyDescent="0.3">
      <c r="A116" s="3" t="str">
        <f>IF(AND(E116=0,F116=0,G116=0,I116=0,J116=0,K116=0),"Do Not Print","Print")</f>
        <v>Do Not Print</v>
      </c>
      <c r="B116" s="3"/>
      <c r="C116" s="38" t="s">
        <v>1111</v>
      </c>
      <c r="D116" s="3"/>
      <c r="E116" s="185">
        <f>SUM(E109:E115)</f>
        <v>0</v>
      </c>
      <c r="F116" s="185">
        <f t="shared" ref="F116:K116" si="55">SUM(F109:F115)</f>
        <v>0</v>
      </c>
      <c r="G116" s="185">
        <f t="shared" si="55"/>
        <v>0</v>
      </c>
      <c r="H116" s="185"/>
      <c r="I116" s="185">
        <f t="shared" si="55"/>
        <v>0</v>
      </c>
      <c r="J116" s="185">
        <f t="shared" si="55"/>
        <v>0</v>
      </c>
      <c r="K116" s="185">
        <f t="shared" si="55"/>
        <v>0</v>
      </c>
      <c r="L116" s="185"/>
      <c r="M116" s="185"/>
      <c r="N116" s="185">
        <f>ROUND(E116,0)</f>
        <v>0</v>
      </c>
      <c r="O116" s="185">
        <f t="shared" si="53"/>
        <v>0</v>
      </c>
      <c r="P116" s="185">
        <f t="shared" si="53"/>
        <v>0</v>
      </c>
      <c r="Q116" s="186">
        <f>ROUND(I116,0)</f>
        <v>0</v>
      </c>
      <c r="R116" s="186">
        <f>ROUND(J116,0)</f>
        <v>0</v>
      </c>
      <c r="S116" s="186">
        <f>ROUND(K116,0)</f>
        <v>0</v>
      </c>
    </row>
    <row r="117" spans="1:20" x14ac:dyDescent="0.3">
      <c r="A117" s="3" t="s">
        <v>448</v>
      </c>
      <c r="B117" s="3"/>
      <c r="C117" s="18"/>
      <c r="D117" s="3"/>
      <c r="E117" s="185"/>
      <c r="F117" s="185"/>
      <c r="G117" s="185"/>
      <c r="H117" s="185"/>
      <c r="I117" s="186"/>
      <c r="J117" s="186"/>
      <c r="K117" s="186"/>
      <c r="L117" s="185"/>
      <c r="M117" s="185"/>
      <c r="N117" s="185"/>
      <c r="O117" s="185"/>
      <c r="P117" s="185"/>
      <c r="Q117" s="186"/>
      <c r="R117" s="186"/>
      <c r="S117" s="186"/>
    </row>
    <row r="118" spans="1:20" ht="27.6" x14ac:dyDescent="0.3">
      <c r="A118" s="3" t="str">
        <f>IF(AND(E118=0,F118=0,G118=0,I118=0,J118=0,K118=0),"Do Not Print","Print")</f>
        <v>Do Not Print</v>
      </c>
      <c r="B118" s="3"/>
      <c r="C118" s="40" t="s">
        <v>120</v>
      </c>
      <c r="D118" s="3"/>
      <c r="E118" s="190">
        <f>E101+E116+E107</f>
        <v>0</v>
      </c>
      <c r="F118" s="190">
        <f>F101+F116+F107</f>
        <v>0</v>
      </c>
      <c r="G118" s="190">
        <f>G101+G116+G107</f>
        <v>0</v>
      </c>
      <c r="H118" s="190"/>
      <c r="I118" s="190">
        <f>I101+I116</f>
        <v>0</v>
      </c>
      <c r="J118" s="190">
        <f>J101+J116</f>
        <v>0</v>
      </c>
      <c r="K118" s="190">
        <f>K101+K116</f>
        <v>0</v>
      </c>
      <c r="L118" s="190"/>
      <c r="M118" s="185"/>
      <c r="N118" s="185">
        <f>ROUND(E118,0)</f>
        <v>0</v>
      </c>
      <c r="O118" s="185">
        <f>ROUND(F118,0)</f>
        <v>0</v>
      </c>
      <c r="P118" s="185">
        <f>ROUND(G118,0)</f>
        <v>0</v>
      </c>
      <c r="Q118" s="186">
        <f>ROUND(I118,0)</f>
        <v>0</v>
      </c>
      <c r="R118" s="186">
        <f>ROUND(J118,0)</f>
        <v>0</v>
      </c>
      <c r="S118" s="186">
        <f>ROUND(K118,0)</f>
        <v>0</v>
      </c>
    </row>
    <row r="119" spans="1:20" x14ac:dyDescent="0.3">
      <c r="A119" s="3" t="s">
        <v>448</v>
      </c>
      <c r="B119" s="3"/>
      <c r="C119" s="18"/>
      <c r="D119" s="3"/>
      <c r="E119" s="185"/>
      <c r="F119" s="185"/>
      <c r="G119" s="185"/>
      <c r="H119" s="185"/>
      <c r="I119" s="186"/>
      <c r="J119" s="186"/>
      <c r="K119" s="186"/>
      <c r="L119" s="185"/>
      <c r="M119" s="185"/>
      <c r="N119" s="185"/>
      <c r="O119" s="185"/>
      <c r="P119" s="185"/>
      <c r="Q119" s="186"/>
      <c r="R119" s="186"/>
      <c r="S119" s="186"/>
    </row>
    <row r="120" spans="1:20" ht="27.6" x14ac:dyDescent="0.3">
      <c r="A120" s="3" t="str">
        <f>IF(AND(E120=0,F120=0,G120=0,I120=0,J120=0,K120=0),"Do Not Print","Print")</f>
        <v>Do Not Print</v>
      </c>
      <c r="B120" s="3"/>
      <c r="C120" s="40" t="s">
        <v>347</v>
      </c>
      <c r="D120" s="3"/>
      <c r="E120" s="190">
        <f>E28+E36+E79+E118</f>
        <v>0</v>
      </c>
      <c r="F120" s="190">
        <f>F28+F36+F79+F118</f>
        <v>0</v>
      </c>
      <c r="G120" s="190">
        <f>G28+G36+G79+G118</f>
        <v>0</v>
      </c>
      <c r="H120" s="190"/>
      <c r="I120" s="190">
        <f>I28+I36+I79+I118</f>
        <v>0</v>
      </c>
      <c r="J120" s="190">
        <f>J28+J36+J79+J118</f>
        <v>0</v>
      </c>
      <c r="K120" s="190">
        <f>K28+K36+K79+K118</f>
        <v>0</v>
      </c>
      <c r="L120" s="190"/>
      <c r="M120" s="185"/>
      <c r="N120" s="185">
        <f>ROUND(E120,0)</f>
        <v>0</v>
      </c>
      <c r="O120" s="185">
        <f>ROUND(F120,0)</f>
        <v>0</v>
      </c>
      <c r="P120" s="185">
        <f>ROUND(G120,0)</f>
        <v>0</v>
      </c>
      <c r="Q120" s="186">
        <f>ROUND(I120,0)</f>
        <v>0</v>
      </c>
      <c r="R120" s="186">
        <f>ROUND(J120,0)</f>
        <v>0</v>
      </c>
      <c r="S120" s="186">
        <f>ROUND(K120,0)</f>
        <v>0</v>
      </c>
    </row>
    <row r="121" spans="1:20" x14ac:dyDescent="0.3">
      <c r="A121" s="3" t="str">
        <f>IF(AND(E121=0,F121=0,G121=0,I121=0,J121=0,K121=0),"Do Not Print","Print")</f>
        <v>Do Not Print</v>
      </c>
      <c r="B121" s="3"/>
      <c r="C121" s="18"/>
      <c r="D121" s="3"/>
      <c r="E121" s="185"/>
      <c r="F121" s="185"/>
      <c r="G121" s="185"/>
      <c r="H121" s="185"/>
      <c r="I121" s="186"/>
      <c r="J121" s="186"/>
      <c r="K121" s="186"/>
      <c r="L121" s="185"/>
      <c r="M121" s="185"/>
      <c r="N121" s="185"/>
      <c r="O121" s="185"/>
      <c r="P121" s="185"/>
      <c r="Q121" s="186"/>
      <c r="R121" s="186"/>
      <c r="S121" s="186">
        <f>ROUND(K120,0)</f>
        <v>0</v>
      </c>
      <c r="T121" s="1496"/>
    </row>
    <row r="122" spans="1:20" ht="41.4" x14ac:dyDescent="0.3">
      <c r="A122" s="3" t="str">
        <f>IF(AND(E122=0,F122=0,G122=0,I122=0,J122=0,K122=0),"Do Not Print","Print")</f>
        <v>Do Not Print</v>
      </c>
      <c r="B122" s="3"/>
      <c r="C122" s="18" t="s">
        <v>905</v>
      </c>
      <c r="D122" s="3"/>
      <c r="E122" s="185"/>
      <c r="F122" s="185"/>
      <c r="G122" s="185">
        <f>'GROUP Account Fixed Assets'!M17-'GROUP Account Fixed Assets'!M32</f>
        <v>0</v>
      </c>
      <c r="H122" s="185"/>
      <c r="I122" s="186"/>
      <c r="J122" s="186"/>
      <c r="K122" s="186">
        <f>'GROUP Account Fixed Assets'!M53-'GROUP Account Fixed Assets'!M71</f>
        <v>0</v>
      </c>
      <c r="L122" s="185"/>
      <c r="M122" s="185"/>
      <c r="N122" s="185"/>
      <c r="O122" s="185"/>
      <c r="P122" s="185">
        <f>ROUND(G122,0)</f>
        <v>0</v>
      </c>
      <c r="Q122" s="186"/>
      <c r="R122" s="186"/>
      <c r="S122" s="186">
        <f>ROUND(K122,0)</f>
        <v>0</v>
      </c>
      <c r="T122" s="1496"/>
    </row>
    <row r="123" spans="1:20" x14ac:dyDescent="0.3">
      <c r="A123" s="3" t="s">
        <v>448</v>
      </c>
      <c r="B123" s="3"/>
      <c r="C123" s="18"/>
      <c r="D123" s="3"/>
      <c r="E123" s="185"/>
      <c r="F123" s="185"/>
      <c r="G123" s="185"/>
      <c r="H123" s="185"/>
      <c r="I123" s="186"/>
      <c r="J123" s="186"/>
      <c r="K123" s="186"/>
      <c r="L123" s="185"/>
      <c r="M123" s="185"/>
      <c r="N123" s="185"/>
      <c r="O123" s="185"/>
      <c r="P123" s="185"/>
      <c r="Q123" s="186"/>
      <c r="R123" s="186"/>
      <c r="S123" s="186"/>
    </row>
    <row r="124" spans="1:20" ht="55.2" x14ac:dyDescent="0.3">
      <c r="A124" s="3" t="s">
        <v>448</v>
      </c>
      <c r="B124" s="3"/>
      <c r="C124" s="18" t="s">
        <v>959</v>
      </c>
      <c r="D124" s="3"/>
      <c r="E124" s="185"/>
      <c r="F124" s="185"/>
      <c r="G124" s="185">
        <f>-'GROUP Account Fixed Assets'!P34</f>
        <v>0</v>
      </c>
      <c r="H124" s="185"/>
      <c r="I124" s="186"/>
      <c r="J124" s="186"/>
      <c r="K124" s="186">
        <f>-'GROUP Account Fixed Assets'!P73</f>
        <v>0</v>
      </c>
      <c r="L124" s="185"/>
      <c r="M124" s="185"/>
      <c r="N124" s="185"/>
      <c r="O124" s="185"/>
      <c r="P124" s="185">
        <f>ROUND(G124,0)</f>
        <v>0</v>
      </c>
      <c r="Q124" s="186"/>
      <c r="R124" s="186"/>
      <c r="S124" s="186">
        <f>ROUND(K124,0)</f>
        <v>0</v>
      </c>
    </row>
    <row r="125" spans="1:20" x14ac:dyDescent="0.3">
      <c r="A125" s="3" t="s">
        <v>448</v>
      </c>
      <c r="B125" s="3"/>
      <c r="C125" s="18"/>
      <c r="D125" s="3"/>
      <c r="E125" s="185"/>
      <c r="F125" s="185"/>
      <c r="G125" s="185"/>
      <c r="H125" s="185"/>
      <c r="I125" s="186"/>
      <c r="J125" s="186"/>
      <c r="K125" s="186"/>
      <c r="L125" s="185"/>
      <c r="M125" s="185"/>
      <c r="N125" s="185"/>
      <c r="O125" s="185"/>
      <c r="P125" s="185"/>
      <c r="Q125" s="186"/>
      <c r="R125" s="186"/>
      <c r="S125" s="186"/>
    </row>
    <row r="126" spans="1:20" ht="96.6" x14ac:dyDescent="0.3">
      <c r="A126" s="3" t="str">
        <f>IF(AND(E126=0,F126=0,G126=0,I126=0,J126=0,K126=0),"Do Not Print","Print")</f>
        <v>Do Not Print</v>
      </c>
      <c r="B126" s="3"/>
      <c r="C126" s="18" t="s">
        <v>2775</v>
      </c>
      <c r="D126" s="3"/>
      <c r="E126" s="185"/>
      <c r="F126" s="185"/>
      <c r="G126" s="188">
        <f>-'GROUP Account Notes FA&amp;Reserves'!J337</f>
        <v>0</v>
      </c>
      <c r="H126" s="973"/>
      <c r="I126" s="186"/>
      <c r="J126" s="186"/>
      <c r="K126" s="189">
        <f>-'GROUP Account Notes FA&amp;Reserves'!K329</f>
        <v>0</v>
      </c>
      <c r="L126" s="185"/>
      <c r="M126" s="185"/>
      <c r="N126" s="185"/>
      <c r="O126" s="185"/>
      <c r="P126" s="185">
        <f>ROUND(G126,0)</f>
        <v>0</v>
      </c>
      <c r="Q126" s="186"/>
      <c r="R126" s="186"/>
      <c r="S126" s="186">
        <f>ROUND(K126,0)</f>
        <v>0</v>
      </c>
    </row>
    <row r="127" spans="1:20" x14ac:dyDescent="0.3">
      <c r="A127" s="3" t="s">
        <v>448</v>
      </c>
      <c r="B127" s="3"/>
      <c r="C127" s="18"/>
      <c r="D127" s="3"/>
      <c r="E127" s="185"/>
      <c r="F127" s="185"/>
      <c r="G127" s="185"/>
      <c r="H127" s="185"/>
      <c r="I127" s="186"/>
      <c r="J127" s="186"/>
      <c r="K127" s="186"/>
      <c r="L127" s="185"/>
      <c r="M127" s="185"/>
      <c r="N127" s="185"/>
      <c r="O127" s="185"/>
      <c r="P127" s="185"/>
      <c r="Q127" s="186"/>
      <c r="R127" s="186"/>
      <c r="S127" s="186"/>
    </row>
    <row r="128" spans="1:20" ht="41.4" x14ac:dyDescent="0.3">
      <c r="A128" s="3" t="str">
        <f>IF(AND(E128=0,F128=0,G128=0,I128=0,J128=0,K128=0),"Do Not Print","Print")</f>
        <v>Do Not Print</v>
      </c>
      <c r="B128" s="3"/>
      <c r="C128" s="18" t="s">
        <v>348</v>
      </c>
      <c r="D128" s="3"/>
      <c r="E128" s="185"/>
      <c r="F128" s="185"/>
      <c r="G128" s="185">
        <f>SUM('GROUP Account notes'!J265:J268)</f>
        <v>0</v>
      </c>
      <c r="H128" s="185"/>
      <c r="I128" s="186"/>
      <c r="J128" s="186"/>
      <c r="K128" s="186">
        <f>SUM('GROUP Account notes'!K265:K268)</f>
        <v>0</v>
      </c>
      <c r="L128" s="185"/>
      <c r="M128" s="185"/>
      <c r="N128" s="185"/>
      <c r="O128" s="185"/>
      <c r="P128" s="185">
        <f>ROUND(G128,0)</f>
        <v>0</v>
      </c>
      <c r="Q128" s="186"/>
      <c r="R128" s="186"/>
      <c r="S128" s="186">
        <f>ROUND(K128,0)</f>
        <v>0</v>
      </c>
    </row>
    <row r="129" spans="1:19" x14ac:dyDescent="0.3">
      <c r="A129" s="3" t="s">
        <v>448</v>
      </c>
      <c r="B129" s="3"/>
      <c r="C129" s="18"/>
      <c r="D129" s="3"/>
      <c r="E129" s="185"/>
      <c r="F129" s="185"/>
      <c r="G129" s="185"/>
      <c r="H129" s="185"/>
      <c r="I129" s="186"/>
      <c r="J129" s="186"/>
      <c r="K129" s="186"/>
      <c r="L129" s="185"/>
      <c r="M129" s="185"/>
      <c r="N129" s="185"/>
      <c r="O129" s="185"/>
      <c r="P129" s="185"/>
      <c r="Q129" s="186"/>
      <c r="R129" s="186"/>
      <c r="S129" s="186">
        <f>ROUND(K129,0)</f>
        <v>0</v>
      </c>
    </row>
    <row r="130" spans="1:19" ht="69" x14ac:dyDescent="0.3">
      <c r="A130" s="3" t="s">
        <v>448</v>
      </c>
      <c r="B130" s="3"/>
      <c r="C130" s="38" t="s">
        <v>1662</v>
      </c>
      <c r="D130" s="3"/>
      <c r="E130" s="185"/>
      <c r="F130" s="185"/>
      <c r="G130" s="185"/>
      <c r="H130" s="185"/>
      <c r="I130" s="186"/>
      <c r="J130" s="186"/>
      <c r="K130" s="186"/>
      <c r="L130" s="185"/>
      <c r="M130" s="185"/>
      <c r="N130" s="185"/>
      <c r="O130" s="185"/>
      <c r="P130" s="185"/>
      <c r="Q130" s="186"/>
      <c r="R130" s="186"/>
      <c r="S130" s="186"/>
    </row>
    <row r="131" spans="1:19" x14ac:dyDescent="0.3">
      <c r="A131" s="3" t="str">
        <f>IF(AND(G131=0,K131=0),"Do Not Print","Print")</f>
        <v>Do Not Print</v>
      </c>
      <c r="B131" s="3" t="s">
        <v>1667</v>
      </c>
      <c r="C131" s="18" t="s">
        <v>1658</v>
      </c>
      <c r="D131" s="3"/>
      <c r="E131" s="185"/>
      <c r="F131" s="185"/>
      <c r="G131" s="185">
        <f>VLOOKUP($C131,OCEIAJV,8,0)</f>
        <v>0</v>
      </c>
      <c r="H131" s="185"/>
      <c r="I131" s="186"/>
      <c r="J131" s="186"/>
      <c r="K131" s="186">
        <f>VLOOKUP($C131,OCEIAJV,14,0)</f>
        <v>0</v>
      </c>
      <c r="L131" s="185"/>
      <c r="M131" s="185"/>
      <c r="N131" s="185"/>
      <c r="O131" s="185"/>
      <c r="P131" s="185">
        <f>ROUND(G131,0)</f>
        <v>0</v>
      </c>
      <c r="Q131" s="186"/>
      <c r="R131" s="186"/>
      <c r="S131" s="186">
        <f>ROUND(K131,0)</f>
        <v>0</v>
      </c>
    </row>
    <row r="132" spans="1:19" ht="27.6" x14ac:dyDescent="0.3">
      <c r="A132" s="3" t="str">
        <f>IF(AND(G132=0,K132=0),"Do Not Print","Print")</f>
        <v>Do Not Print</v>
      </c>
      <c r="B132" s="3" t="s">
        <v>1667</v>
      </c>
      <c r="C132" s="18" t="s">
        <v>1659</v>
      </c>
      <c r="D132" s="3"/>
      <c r="E132" s="185"/>
      <c r="F132" s="185"/>
      <c r="G132" s="185">
        <f>VLOOKUP($C132,OCEIAJV,8,0)</f>
        <v>0</v>
      </c>
      <c r="H132" s="185"/>
      <c r="I132" s="186"/>
      <c r="J132" s="186"/>
      <c r="K132" s="186">
        <f>VLOOKUP($C132,OCEIAJV,14,0)</f>
        <v>0</v>
      </c>
      <c r="L132" s="185"/>
      <c r="M132" s="185"/>
      <c r="N132" s="185"/>
      <c r="O132" s="185"/>
      <c r="P132" s="185">
        <f>ROUND(G132,0)</f>
        <v>0</v>
      </c>
      <c r="Q132" s="186"/>
      <c r="R132" s="186"/>
      <c r="S132" s="186">
        <f>ROUND(K132,0)</f>
        <v>0</v>
      </c>
    </row>
    <row r="133" spans="1:19" x14ac:dyDescent="0.3">
      <c r="A133" s="3" t="str">
        <f>IF(AND(G133=0,K133=0),"Do Not Print","Print")</f>
        <v>Do Not Print</v>
      </c>
      <c r="B133" s="3"/>
      <c r="C133" s="18"/>
      <c r="D133" s="3"/>
      <c r="E133" s="185"/>
      <c r="F133" s="185"/>
      <c r="G133" s="185">
        <f>SUM(G131:G132)</f>
        <v>0</v>
      </c>
      <c r="H133" s="185"/>
      <c r="I133" s="186"/>
      <c r="J133" s="186"/>
      <c r="K133" s="186">
        <f>SUM(K131:K132)</f>
        <v>0</v>
      </c>
      <c r="L133" s="185"/>
      <c r="M133" s="185"/>
      <c r="N133" s="185"/>
      <c r="O133" s="185"/>
      <c r="P133" s="185">
        <f>ROUND(G133,0)</f>
        <v>0</v>
      </c>
      <c r="Q133" s="186"/>
      <c r="R133" s="186"/>
      <c r="S133" s="186">
        <f>ROUND(K133,0)</f>
        <v>0</v>
      </c>
    </row>
    <row r="134" spans="1:19" x14ac:dyDescent="0.3">
      <c r="A134" s="3"/>
      <c r="B134" s="3"/>
      <c r="C134" s="18"/>
      <c r="D134" s="3"/>
      <c r="E134" s="185"/>
      <c r="F134" s="185"/>
      <c r="G134" s="185"/>
      <c r="H134" s="185"/>
      <c r="I134" s="186"/>
      <c r="J134" s="186"/>
      <c r="K134" s="186"/>
      <c r="L134" s="185"/>
      <c r="M134" s="185"/>
      <c r="N134" s="185"/>
      <c r="O134" s="185"/>
      <c r="P134" s="185"/>
      <c r="Q134" s="186"/>
      <c r="R134" s="186"/>
      <c r="S134" s="186"/>
    </row>
    <row r="135" spans="1:19" x14ac:dyDescent="0.3">
      <c r="A135" s="3"/>
      <c r="B135" s="3"/>
      <c r="C135" s="18"/>
      <c r="D135" s="3"/>
      <c r="E135" s="185"/>
      <c r="F135" s="185"/>
      <c r="G135" s="185"/>
      <c r="H135" s="185"/>
      <c r="I135" s="186"/>
      <c r="J135" s="186"/>
      <c r="K135" s="186"/>
      <c r="L135" s="185"/>
      <c r="M135" s="185"/>
      <c r="N135" s="185"/>
      <c r="O135" s="185"/>
      <c r="P135" s="185"/>
      <c r="Q135" s="186"/>
      <c r="R135" s="186"/>
      <c r="S135" s="186"/>
    </row>
    <row r="136" spans="1:19" x14ac:dyDescent="0.3">
      <c r="A136" s="3"/>
      <c r="B136" s="3"/>
      <c r="C136" s="18"/>
      <c r="D136" s="3"/>
      <c r="E136" s="185"/>
      <c r="F136" s="185"/>
      <c r="G136" s="185"/>
      <c r="H136" s="185"/>
      <c r="I136" s="186"/>
      <c r="J136" s="186"/>
      <c r="K136" s="186"/>
      <c r="L136" s="185"/>
      <c r="M136" s="185"/>
      <c r="N136" s="185"/>
      <c r="O136" s="185"/>
      <c r="P136" s="185"/>
      <c r="Q136" s="186"/>
      <c r="R136" s="186"/>
      <c r="S136" s="186"/>
    </row>
    <row r="137" spans="1:19" x14ac:dyDescent="0.3">
      <c r="A137" s="3"/>
      <c r="B137" s="3"/>
      <c r="C137" s="18"/>
      <c r="D137" s="3"/>
      <c r="E137" s="185"/>
      <c r="F137" s="185"/>
      <c r="G137" s="185"/>
      <c r="H137" s="185"/>
      <c r="I137" s="186"/>
      <c r="J137" s="186"/>
      <c r="K137" s="186"/>
      <c r="L137" s="185"/>
      <c r="M137" s="185"/>
      <c r="N137" s="185"/>
      <c r="O137" s="185"/>
      <c r="P137" s="185"/>
      <c r="Q137" s="186"/>
      <c r="R137" s="186"/>
      <c r="S137" s="186"/>
    </row>
    <row r="138" spans="1:19" ht="27.6" x14ac:dyDescent="0.3">
      <c r="A138" s="3" t="str">
        <f>IF(AND(E138=0,F138=0,G138=0,I138=0,J138=0,K138=0),"Do Not Print","Print")</f>
        <v>Do Not Print</v>
      </c>
      <c r="B138" s="3"/>
      <c r="C138" s="38" t="s">
        <v>559</v>
      </c>
      <c r="D138" s="3"/>
      <c r="E138" s="185"/>
      <c r="F138" s="185"/>
      <c r="G138" s="185">
        <f>SUM(G122:G129)</f>
        <v>0</v>
      </c>
      <c r="H138" s="185"/>
      <c r="I138" s="186"/>
      <c r="J138" s="186"/>
      <c r="K138" s="186">
        <f>SUM(K122:K129)</f>
        <v>0</v>
      </c>
      <c r="L138" s="185"/>
      <c r="M138" s="185"/>
      <c r="N138" s="185"/>
      <c r="O138" s="185"/>
      <c r="P138" s="185">
        <f>ROUND(G138,0)</f>
        <v>0</v>
      </c>
      <c r="Q138" s="186"/>
      <c r="R138" s="186"/>
      <c r="S138" s="186">
        <f>ROUND(K138,0)</f>
        <v>0</v>
      </c>
    </row>
    <row r="139" spans="1:19" x14ac:dyDescent="0.3">
      <c r="A139" s="3" t="s">
        <v>448</v>
      </c>
      <c r="B139" s="3"/>
      <c r="C139" s="18"/>
      <c r="D139" s="3"/>
      <c r="E139" s="185"/>
      <c r="F139" s="185"/>
      <c r="G139" s="185"/>
      <c r="H139" s="185"/>
      <c r="I139" s="186"/>
      <c r="J139" s="186"/>
      <c r="K139" s="186"/>
      <c r="L139" s="185"/>
      <c r="M139" s="185"/>
      <c r="N139" s="185"/>
      <c r="O139" s="185"/>
      <c r="P139" s="185"/>
      <c r="Q139" s="186"/>
      <c r="R139" s="186"/>
      <c r="S139" s="186"/>
    </row>
    <row r="140" spans="1:19" ht="27.6" x14ac:dyDescent="0.3">
      <c r="A140" s="3" t="str">
        <f>IF(AND(E140=0,F140=0,G140=0,I140=0,J140=0,K140=0),"Do Not Print","Print")</f>
        <v>Do Not Print</v>
      </c>
      <c r="B140" s="3"/>
      <c r="C140" s="38" t="s">
        <v>560</v>
      </c>
      <c r="D140" s="3"/>
      <c r="E140" s="185"/>
      <c r="F140" s="185"/>
      <c r="G140" s="185">
        <f>G120+G138</f>
        <v>0</v>
      </c>
      <c r="H140" s="185"/>
      <c r="I140" s="186"/>
      <c r="J140" s="186"/>
      <c r="K140" s="186">
        <f>K120+K138</f>
        <v>0</v>
      </c>
      <c r="L140" s="185"/>
      <c r="M140" s="185"/>
      <c r="N140" s="185"/>
      <c r="O140" s="185"/>
      <c r="P140" s="185">
        <f>ROUND(G140,0)</f>
        <v>0</v>
      </c>
      <c r="Q140" s="186"/>
      <c r="R140" s="186"/>
      <c r="S140" s="186">
        <f>ROUND(K140,0)</f>
        <v>0</v>
      </c>
    </row>
    <row r="141" spans="1:19" x14ac:dyDescent="0.3">
      <c r="A141" s="3" t="s">
        <v>448</v>
      </c>
      <c r="B141" s="3"/>
      <c r="C141" s="18"/>
      <c r="D141" s="3"/>
      <c r="E141" s="185"/>
      <c r="F141" s="185"/>
      <c r="G141" s="185"/>
      <c r="H141" s="185"/>
      <c r="I141" s="186"/>
      <c r="J141" s="186"/>
      <c r="K141" s="186"/>
      <c r="L141" s="185"/>
      <c r="M141" s="185"/>
      <c r="N141" s="185"/>
      <c r="O141" s="185"/>
      <c r="P141" s="185"/>
      <c r="Q141" s="186"/>
      <c r="R141" s="186"/>
      <c r="S141" s="186"/>
    </row>
    <row r="142" spans="1:19" x14ac:dyDescent="0.3">
      <c r="A142" s="3" t="str">
        <f>IF(AND(E142=0,F142=0,G142=0,I142=0,J142=0),"Do Not Print","Print")</f>
        <v>Do Not Print</v>
      </c>
      <c r="B142" s="3"/>
      <c r="C142" s="18" t="s">
        <v>591</v>
      </c>
      <c r="D142" s="3"/>
      <c r="E142" s="185"/>
      <c r="F142" s="185"/>
      <c r="G142" s="188">
        <f>'GROUP Det Group BS'!J558</f>
        <v>0</v>
      </c>
      <c r="H142" s="973"/>
      <c r="I142" s="186"/>
      <c r="J142" s="186"/>
      <c r="K142" s="189">
        <f>'GROUP Det Group BS'!K558</f>
        <v>0</v>
      </c>
      <c r="L142" s="185"/>
      <c r="M142" s="185"/>
      <c r="N142" s="185"/>
      <c r="O142" s="185"/>
      <c r="P142" s="185">
        <f t="shared" ref="P142:P146" si="56">ROUND(G142,0)</f>
        <v>0</v>
      </c>
      <c r="Q142" s="186"/>
      <c r="R142" s="186"/>
      <c r="S142" s="186">
        <f t="shared" ref="S142:S146" si="57">ROUND(K142,0)</f>
        <v>0</v>
      </c>
    </row>
    <row r="143" spans="1:19" x14ac:dyDescent="0.3">
      <c r="A143" s="3" t="s">
        <v>448</v>
      </c>
      <c r="B143" s="3"/>
      <c r="C143" s="18"/>
      <c r="D143" s="3"/>
      <c r="E143" s="185"/>
      <c r="F143" s="185"/>
      <c r="G143" s="185"/>
      <c r="H143" s="185"/>
      <c r="I143" s="186"/>
      <c r="J143" s="186"/>
      <c r="K143" s="186"/>
      <c r="L143" s="185"/>
      <c r="M143" s="185"/>
      <c r="N143" s="185"/>
      <c r="O143" s="185"/>
      <c r="P143" s="185"/>
      <c r="Q143" s="186"/>
      <c r="R143" s="186"/>
      <c r="S143" s="186"/>
    </row>
    <row r="144" spans="1:19" ht="27.6" x14ac:dyDescent="0.3">
      <c r="A144" s="3" t="str">
        <f>IF(AND(E144=0,F144=0,G144=0,I144=0,J144=0),"Do Not Print","Print")</f>
        <v>Do Not Print</v>
      </c>
      <c r="B144" s="3"/>
      <c r="C144" s="39" t="s">
        <v>706</v>
      </c>
      <c r="D144" s="3"/>
      <c r="E144" s="185"/>
      <c r="F144" s="185"/>
      <c r="G144" s="185">
        <f>G140+G142</f>
        <v>0</v>
      </c>
      <c r="H144" s="185"/>
      <c r="I144" s="186"/>
      <c r="J144" s="186"/>
      <c r="K144" s="186">
        <f>K140+K142</f>
        <v>0</v>
      </c>
      <c r="L144" s="185"/>
      <c r="M144" s="185"/>
      <c r="N144" s="185"/>
      <c r="O144" s="185"/>
      <c r="P144" s="185">
        <f t="shared" si="56"/>
        <v>0</v>
      </c>
      <c r="Q144" s="186"/>
      <c r="R144" s="186"/>
      <c r="S144" s="186">
        <f t="shared" si="57"/>
        <v>0</v>
      </c>
    </row>
    <row r="145" spans="1:19" x14ac:dyDescent="0.3">
      <c r="A145" t="s">
        <v>448</v>
      </c>
      <c r="E145" s="165"/>
      <c r="F145" s="165"/>
      <c r="G145" s="165"/>
      <c r="H145" s="165"/>
      <c r="I145" s="191"/>
      <c r="J145" s="191"/>
      <c r="K145" s="191"/>
      <c r="L145" s="165"/>
      <c r="M145" s="165"/>
      <c r="N145" s="165"/>
      <c r="O145" s="165"/>
      <c r="P145" s="185"/>
      <c r="Q145" s="191"/>
      <c r="R145" s="191"/>
      <c r="S145" s="186"/>
    </row>
    <row r="146" spans="1:19" ht="27.6" x14ac:dyDescent="0.3">
      <c r="A146" s="3" t="str">
        <f>IF(AND(E146=0,F146=0,G146=0,I146=0,J146=0),"Do Not Print","Print")</f>
        <v>Do Not Print</v>
      </c>
      <c r="C146" s="39" t="s">
        <v>707</v>
      </c>
      <c r="E146" s="165"/>
      <c r="F146" s="165"/>
      <c r="G146" s="165">
        <f>ROUND(G144,0)</f>
        <v>0</v>
      </c>
      <c r="H146" s="165"/>
      <c r="I146" s="191"/>
      <c r="J146" s="191"/>
      <c r="K146" s="191">
        <f>ROUND(K144,0)</f>
        <v>0</v>
      </c>
      <c r="L146" s="165"/>
      <c r="M146" s="165"/>
      <c r="N146" s="165"/>
      <c r="O146" s="165"/>
      <c r="P146" s="185">
        <f t="shared" si="56"/>
        <v>0</v>
      </c>
      <c r="Q146" s="191"/>
      <c r="R146" s="191"/>
      <c r="S146" s="186">
        <f t="shared" si="57"/>
        <v>0</v>
      </c>
    </row>
    <row r="147" spans="1:19" x14ac:dyDescent="0.3">
      <c r="E147" s="165"/>
      <c r="F147" s="165"/>
      <c r="G147" s="165"/>
      <c r="H147" s="165"/>
      <c r="I147" s="191"/>
      <c r="J147" s="191"/>
      <c r="K147" s="191"/>
      <c r="L147" s="165"/>
      <c r="M147" s="165"/>
      <c r="N147" s="165"/>
      <c r="O147" s="165"/>
      <c r="P147" s="165"/>
      <c r="Q147" s="191"/>
      <c r="R147" s="191"/>
      <c r="S147" s="191"/>
    </row>
    <row r="148" spans="1:19" x14ac:dyDescent="0.3">
      <c r="E148" s="165"/>
      <c r="F148" s="165"/>
      <c r="G148" s="165"/>
      <c r="H148" s="165"/>
      <c r="I148" s="191"/>
      <c r="J148" s="191"/>
      <c r="K148" s="191"/>
      <c r="L148" s="165"/>
      <c r="M148" s="165"/>
      <c r="N148" s="165"/>
      <c r="O148" s="165"/>
      <c r="P148" s="165"/>
      <c r="Q148" s="191"/>
      <c r="R148" s="191"/>
      <c r="S148" s="191"/>
    </row>
    <row r="149" spans="1:19" x14ac:dyDescent="0.3">
      <c r="E149" s="165"/>
      <c r="F149" s="165"/>
      <c r="G149" s="165"/>
      <c r="H149" s="165"/>
      <c r="I149" s="191"/>
      <c r="J149" s="191"/>
      <c r="K149" s="191"/>
      <c r="L149" s="165"/>
      <c r="M149" s="165"/>
      <c r="N149" s="165"/>
      <c r="O149" s="165"/>
      <c r="P149" s="165"/>
      <c r="Q149" s="191"/>
      <c r="R149" s="191"/>
      <c r="S149" s="191"/>
    </row>
    <row r="150" spans="1:19" x14ac:dyDescent="0.3">
      <c r="E150" s="165"/>
      <c r="F150" s="165"/>
      <c r="G150" s="165"/>
      <c r="H150" s="165"/>
      <c r="I150" s="191"/>
      <c r="J150" s="191"/>
      <c r="K150" s="191"/>
      <c r="L150" s="165"/>
      <c r="M150" s="165"/>
      <c r="N150" s="165"/>
      <c r="O150" s="165"/>
      <c r="P150" s="165"/>
      <c r="Q150" s="191"/>
      <c r="R150" s="191"/>
      <c r="S150" s="191"/>
    </row>
    <row r="151" spans="1:19" x14ac:dyDescent="0.3">
      <c r="E151" s="165"/>
      <c r="F151" s="165"/>
      <c r="G151" s="165"/>
      <c r="H151" s="165"/>
      <c r="I151" s="191"/>
      <c r="J151" s="191"/>
      <c r="K151" s="191"/>
      <c r="L151" s="165"/>
      <c r="M151" s="165"/>
      <c r="N151" s="165"/>
      <c r="O151" s="165"/>
      <c r="P151" s="165"/>
      <c r="Q151" s="191"/>
      <c r="R151" s="191"/>
      <c r="S151" s="191"/>
    </row>
    <row r="152" spans="1:19" x14ac:dyDescent="0.3">
      <c r="E152" s="165"/>
      <c r="F152" s="165"/>
      <c r="G152" s="165"/>
      <c r="H152" s="165"/>
      <c r="I152" s="191"/>
      <c r="J152" s="191"/>
      <c r="K152" s="191"/>
      <c r="L152" s="165"/>
      <c r="M152" s="165"/>
      <c r="N152" s="165"/>
      <c r="O152" s="165"/>
      <c r="P152" s="165"/>
      <c r="Q152" s="191"/>
      <c r="R152" s="191"/>
      <c r="S152" s="191"/>
    </row>
    <row r="153" spans="1:19" x14ac:dyDescent="0.3">
      <c r="E153" s="165"/>
      <c r="F153" s="165"/>
      <c r="G153" s="165"/>
      <c r="H153" s="165"/>
      <c r="I153" s="191"/>
      <c r="J153" s="191"/>
      <c r="K153" s="191"/>
      <c r="L153" s="165"/>
      <c r="M153" s="165"/>
      <c r="N153" s="165"/>
      <c r="O153" s="165"/>
      <c r="P153" s="165"/>
      <c r="Q153" s="191"/>
      <c r="R153" s="191"/>
      <c r="S153" s="191"/>
    </row>
    <row r="154" spans="1:19" x14ac:dyDescent="0.3">
      <c r="E154" s="165"/>
      <c r="F154" s="165"/>
      <c r="G154" s="165"/>
      <c r="H154" s="165"/>
      <c r="I154" s="191"/>
      <c r="J154" s="191"/>
      <c r="K154" s="191"/>
      <c r="L154" s="165"/>
      <c r="M154" s="165"/>
      <c r="N154" s="165"/>
      <c r="O154" s="165"/>
      <c r="P154" s="165"/>
      <c r="Q154" s="191"/>
      <c r="R154" s="191"/>
      <c r="S154" s="191"/>
    </row>
    <row r="155" spans="1:19" x14ac:dyDescent="0.3">
      <c r="E155" s="165"/>
      <c r="F155" s="165"/>
      <c r="G155" s="165"/>
      <c r="H155" s="165"/>
      <c r="I155" s="191"/>
      <c r="J155" s="191"/>
      <c r="K155" s="191"/>
      <c r="L155" s="165"/>
      <c r="M155" s="165"/>
      <c r="N155" s="165"/>
      <c r="O155" s="165"/>
      <c r="P155" s="165"/>
      <c r="Q155" s="191"/>
      <c r="R155" s="191"/>
      <c r="S155" s="191"/>
    </row>
    <row r="156" spans="1:19" x14ac:dyDescent="0.3">
      <c r="E156" s="165"/>
      <c r="F156" s="165"/>
      <c r="G156" s="165"/>
      <c r="H156" s="165"/>
      <c r="I156" s="191"/>
      <c r="J156" s="191"/>
      <c r="K156" s="191"/>
      <c r="L156" s="165"/>
      <c r="M156" s="165"/>
      <c r="N156" s="165"/>
      <c r="O156" s="165"/>
      <c r="P156" s="165"/>
      <c r="Q156" s="191"/>
      <c r="R156" s="191"/>
      <c r="S156" s="191"/>
    </row>
    <row r="157" spans="1:19" x14ac:dyDescent="0.3">
      <c r="E157" s="165"/>
      <c r="F157" s="165"/>
      <c r="G157" s="165"/>
      <c r="H157" s="165"/>
      <c r="I157" s="191"/>
      <c r="J157" s="191"/>
      <c r="K157" s="191"/>
      <c r="L157" s="165"/>
      <c r="M157" s="165"/>
      <c r="N157" s="165"/>
      <c r="O157" s="165"/>
      <c r="P157" s="165"/>
      <c r="Q157" s="191"/>
      <c r="R157" s="191"/>
      <c r="S157" s="191"/>
    </row>
    <row r="158" spans="1:19" x14ac:dyDescent="0.3">
      <c r="E158" s="165"/>
      <c r="F158" s="165"/>
      <c r="G158" s="165"/>
      <c r="H158" s="165"/>
      <c r="I158" s="191"/>
      <c r="J158" s="191"/>
      <c r="K158" s="191"/>
      <c r="L158" s="165"/>
      <c r="M158" s="165"/>
      <c r="N158" s="165"/>
      <c r="O158" s="165"/>
      <c r="P158" s="165"/>
      <c r="Q158" s="191"/>
      <c r="R158" s="191"/>
      <c r="S158" s="191"/>
    </row>
    <row r="159" spans="1:19" x14ac:dyDescent="0.3">
      <c r="E159" s="165"/>
      <c r="F159" s="165"/>
      <c r="G159" s="165"/>
      <c r="H159" s="165"/>
      <c r="I159" s="191"/>
      <c r="J159" s="191"/>
      <c r="K159" s="191"/>
      <c r="L159" s="165"/>
      <c r="M159" s="165"/>
      <c r="N159" s="165"/>
      <c r="O159" s="165"/>
      <c r="P159" s="165"/>
      <c r="Q159" s="191"/>
      <c r="R159" s="191"/>
      <c r="S159" s="191"/>
    </row>
    <row r="160" spans="1:19" x14ac:dyDescent="0.3">
      <c r="E160" s="165"/>
      <c r="F160" s="165"/>
      <c r="G160" s="165"/>
      <c r="H160" s="165"/>
      <c r="I160" s="191"/>
      <c r="J160" s="191"/>
      <c r="K160" s="191"/>
      <c r="L160" s="165"/>
      <c r="M160" s="165"/>
      <c r="N160" s="165"/>
      <c r="O160" s="165"/>
      <c r="P160" s="165"/>
      <c r="Q160" s="191"/>
      <c r="R160" s="191"/>
      <c r="S160" s="191"/>
    </row>
    <row r="161" spans="5:19" x14ac:dyDescent="0.3">
      <c r="E161" s="165"/>
      <c r="F161" s="165"/>
      <c r="G161" s="165"/>
      <c r="H161" s="165"/>
      <c r="I161" s="191"/>
      <c r="J161" s="191"/>
      <c r="K161" s="191"/>
      <c r="L161" s="165"/>
      <c r="M161" s="165"/>
      <c r="N161" s="165"/>
      <c r="O161" s="165"/>
      <c r="P161" s="165"/>
      <c r="Q161" s="191"/>
      <c r="R161" s="191"/>
      <c r="S161" s="191"/>
    </row>
    <row r="162" spans="5:19" x14ac:dyDescent="0.3">
      <c r="E162" s="165"/>
      <c r="F162" s="165"/>
      <c r="G162" s="165"/>
      <c r="H162" s="165"/>
      <c r="I162" s="191"/>
      <c r="J162" s="191"/>
      <c r="K162" s="191"/>
      <c r="L162" s="165"/>
      <c r="M162" s="165"/>
      <c r="N162" s="165"/>
      <c r="O162" s="165"/>
      <c r="P162" s="165"/>
      <c r="Q162" s="191"/>
      <c r="R162" s="191"/>
      <c r="S162" s="191"/>
    </row>
    <row r="163" spans="5:19" x14ac:dyDescent="0.3">
      <c r="E163" s="165"/>
      <c r="F163" s="165"/>
      <c r="G163" s="165"/>
      <c r="H163" s="165"/>
      <c r="I163" s="191"/>
      <c r="J163" s="191"/>
      <c r="K163" s="191"/>
      <c r="L163" s="165"/>
      <c r="M163" s="165"/>
      <c r="N163" s="165"/>
      <c r="O163" s="165"/>
      <c r="P163" s="165"/>
      <c r="Q163" s="191"/>
      <c r="R163" s="191"/>
      <c r="S163" s="191"/>
    </row>
    <row r="164" spans="5:19" x14ac:dyDescent="0.3">
      <c r="E164" s="165"/>
      <c r="F164" s="165"/>
      <c r="G164" s="165"/>
      <c r="H164" s="165"/>
      <c r="I164" s="191"/>
      <c r="J164" s="191"/>
      <c r="K164" s="191"/>
      <c r="L164" s="165"/>
      <c r="M164" s="165"/>
      <c r="N164" s="165"/>
      <c r="O164" s="165"/>
      <c r="P164" s="165"/>
      <c r="Q164" s="191"/>
      <c r="R164" s="191"/>
      <c r="S164" s="191"/>
    </row>
    <row r="165" spans="5:19" x14ac:dyDescent="0.3">
      <c r="E165" s="165"/>
      <c r="F165" s="165"/>
      <c r="G165" s="165"/>
      <c r="H165" s="165"/>
      <c r="I165" s="191"/>
      <c r="J165" s="191"/>
      <c r="K165" s="191"/>
      <c r="L165" s="165"/>
      <c r="M165" s="165"/>
      <c r="N165" s="165"/>
      <c r="O165" s="165"/>
      <c r="P165" s="165"/>
      <c r="Q165" s="191"/>
      <c r="R165" s="191"/>
      <c r="S165" s="191"/>
    </row>
    <row r="166" spans="5:19" x14ac:dyDescent="0.3">
      <c r="E166" s="165"/>
      <c r="F166" s="165"/>
      <c r="G166" s="165"/>
      <c r="H166" s="165"/>
      <c r="I166" s="191"/>
      <c r="J166" s="191"/>
      <c r="K166" s="191"/>
      <c r="L166" s="165"/>
      <c r="M166" s="165"/>
      <c r="N166" s="165"/>
      <c r="O166" s="165"/>
      <c r="P166" s="165"/>
      <c r="Q166" s="191"/>
      <c r="R166" s="191"/>
      <c r="S166" s="191"/>
    </row>
    <row r="167" spans="5:19" x14ac:dyDescent="0.3">
      <c r="E167" s="165"/>
      <c r="F167" s="165"/>
      <c r="G167" s="165"/>
      <c r="H167" s="165"/>
      <c r="I167" s="191"/>
      <c r="J167" s="191"/>
      <c r="K167" s="191"/>
      <c r="L167" s="165"/>
      <c r="M167" s="165"/>
      <c r="N167" s="165"/>
      <c r="O167" s="165"/>
      <c r="P167" s="165"/>
      <c r="Q167" s="191"/>
      <c r="R167" s="191"/>
      <c r="S167" s="191"/>
    </row>
    <row r="168" spans="5:19" x14ac:dyDescent="0.3">
      <c r="E168" s="165"/>
      <c r="F168" s="165"/>
      <c r="G168" s="165"/>
      <c r="H168" s="165"/>
      <c r="I168" s="191"/>
      <c r="J168" s="191"/>
      <c r="K168" s="191"/>
      <c r="L168" s="165"/>
      <c r="M168" s="165"/>
      <c r="N168" s="165"/>
      <c r="O168" s="165"/>
      <c r="P168" s="165"/>
      <c r="Q168" s="191"/>
      <c r="R168" s="191"/>
      <c r="S168" s="191"/>
    </row>
    <row r="169" spans="5:19" x14ac:dyDescent="0.3">
      <c r="E169" s="165"/>
      <c r="F169" s="165"/>
      <c r="G169" s="165"/>
      <c r="H169" s="165"/>
      <c r="I169" s="191"/>
      <c r="J169" s="191"/>
      <c r="K169" s="191"/>
      <c r="L169" s="165"/>
      <c r="M169" s="165"/>
      <c r="N169" s="165"/>
      <c r="O169" s="165"/>
      <c r="P169" s="165"/>
      <c r="Q169" s="191"/>
      <c r="R169" s="191"/>
      <c r="S169" s="191"/>
    </row>
    <row r="170" spans="5:19" x14ac:dyDescent="0.3">
      <c r="E170" s="165"/>
      <c r="F170" s="165"/>
      <c r="G170" s="165"/>
      <c r="H170" s="165"/>
      <c r="I170" s="191"/>
      <c r="J170" s="191"/>
      <c r="K170" s="191"/>
      <c r="L170" s="165"/>
      <c r="M170" s="165"/>
      <c r="N170" s="165"/>
      <c r="O170" s="165"/>
      <c r="P170" s="165"/>
      <c r="Q170" s="191"/>
      <c r="R170" s="191"/>
      <c r="S170" s="191"/>
    </row>
    <row r="171" spans="5:19" x14ac:dyDescent="0.3">
      <c r="E171" s="165"/>
      <c r="F171" s="165"/>
      <c r="G171" s="165"/>
      <c r="H171" s="165"/>
      <c r="I171" s="191"/>
      <c r="J171" s="191"/>
      <c r="K171" s="191"/>
      <c r="L171" s="165"/>
      <c r="M171" s="165"/>
      <c r="N171" s="165"/>
      <c r="O171" s="165"/>
      <c r="P171" s="165"/>
      <c r="Q171" s="191"/>
      <c r="R171" s="191"/>
      <c r="S171" s="191"/>
    </row>
    <row r="172" spans="5:19" x14ac:dyDescent="0.3">
      <c r="E172" s="165"/>
      <c r="F172" s="165"/>
      <c r="G172" s="165"/>
      <c r="H172" s="165"/>
      <c r="I172" s="191"/>
      <c r="J172" s="191"/>
      <c r="K172" s="191"/>
      <c r="L172" s="165"/>
      <c r="M172" s="165"/>
      <c r="N172" s="165"/>
      <c r="O172" s="165"/>
      <c r="P172" s="165"/>
      <c r="Q172" s="191"/>
      <c r="R172" s="191"/>
      <c r="S172" s="191"/>
    </row>
    <row r="173" spans="5:19" x14ac:dyDescent="0.3">
      <c r="E173" s="165"/>
      <c r="F173" s="165"/>
      <c r="G173" s="165"/>
      <c r="H173" s="165"/>
      <c r="I173" s="191"/>
      <c r="J173" s="191"/>
      <c r="K173" s="191"/>
      <c r="L173" s="165"/>
      <c r="M173" s="165"/>
      <c r="N173" s="165"/>
      <c r="O173" s="165"/>
      <c r="P173" s="165"/>
      <c r="Q173" s="191"/>
      <c r="R173" s="191"/>
      <c r="S173" s="191"/>
    </row>
    <row r="174" spans="5:19" x14ac:dyDescent="0.3">
      <c r="E174" s="165"/>
      <c r="F174" s="165"/>
      <c r="G174" s="165"/>
      <c r="H174" s="165"/>
      <c r="I174" s="191"/>
      <c r="J174" s="191"/>
      <c r="K174" s="191"/>
      <c r="L174" s="165"/>
      <c r="M174" s="165"/>
      <c r="N174" s="165"/>
      <c r="O174" s="165"/>
      <c r="P174" s="165"/>
      <c r="Q174" s="191"/>
      <c r="R174" s="191"/>
      <c r="S174" s="191"/>
    </row>
    <row r="175" spans="5:19" x14ac:dyDescent="0.3">
      <c r="E175" s="165"/>
      <c r="F175" s="165"/>
      <c r="G175" s="165"/>
      <c r="H175" s="165"/>
      <c r="I175" s="191"/>
      <c r="J175" s="191"/>
      <c r="K175" s="191"/>
      <c r="L175" s="165"/>
      <c r="M175" s="165"/>
      <c r="N175" s="165"/>
      <c r="O175" s="165"/>
      <c r="P175" s="165"/>
      <c r="Q175" s="191"/>
      <c r="R175" s="191"/>
      <c r="S175" s="191"/>
    </row>
    <row r="176" spans="5:19" x14ac:dyDescent="0.3">
      <c r="E176" s="165"/>
      <c r="F176" s="165"/>
      <c r="G176" s="165"/>
      <c r="H176" s="165"/>
      <c r="I176" s="191"/>
      <c r="J176" s="191"/>
      <c r="K176" s="191"/>
      <c r="L176" s="165"/>
      <c r="M176" s="165"/>
      <c r="N176" s="165"/>
      <c r="O176" s="165"/>
      <c r="P176" s="165"/>
      <c r="Q176" s="191"/>
      <c r="R176" s="191"/>
      <c r="S176" s="191"/>
    </row>
    <row r="177" spans="5:19" x14ac:dyDescent="0.3">
      <c r="E177" s="165"/>
      <c r="F177" s="165"/>
      <c r="G177" s="165"/>
      <c r="H177" s="165"/>
      <c r="I177" s="191"/>
      <c r="J177" s="191"/>
      <c r="K177" s="191"/>
      <c r="L177" s="165"/>
      <c r="M177" s="165"/>
      <c r="N177" s="165"/>
      <c r="O177" s="165"/>
      <c r="P177" s="165"/>
      <c r="Q177" s="191"/>
      <c r="R177" s="191"/>
      <c r="S177" s="191"/>
    </row>
    <row r="178" spans="5:19" x14ac:dyDescent="0.3">
      <c r="E178" s="165"/>
      <c r="F178" s="165"/>
      <c r="G178" s="165"/>
      <c r="H178" s="165"/>
      <c r="I178" s="191"/>
      <c r="J178" s="191"/>
      <c r="K178" s="191"/>
      <c r="L178" s="165"/>
      <c r="M178" s="165"/>
      <c r="N178" s="165"/>
      <c r="O178" s="165"/>
      <c r="P178" s="165"/>
      <c r="Q178" s="191"/>
      <c r="R178" s="191"/>
      <c r="S178" s="191"/>
    </row>
    <row r="179" spans="5:19" x14ac:dyDescent="0.3">
      <c r="E179" s="165"/>
      <c r="F179" s="165"/>
      <c r="G179" s="165"/>
      <c r="H179" s="165"/>
      <c r="I179" s="191"/>
      <c r="J179" s="191"/>
      <c r="K179" s="191"/>
      <c r="L179" s="165"/>
      <c r="M179" s="165"/>
      <c r="N179" s="165"/>
      <c r="O179" s="165"/>
      <c r="P179" s="165"/>
      <c r="Q179" s="191"/>
      <c r="R179" s="191"/>
      <c r="S179" s="191"/>
    </row>
    <row r="180" spans="5:19" x14ac:dyDescent="0.3">
      <c r="E180" s="165"/>
      <c r="F180" s="165"/>
      <c r="G180" s="165"/>
      <c r="H180" s="165"/>
      <c r="I180" s="191"/>
      <c r="J180" s="191"/>
      <c r="K180" s="191"/>
      <c r="L180" s="165"/>
      <c r="M180" s="165"/>
      <c r="N180" s="165"/>
      <c r="O180" s="165"/>
      <c r="P180" s="165"/>
      <c r="Q180" s="191"/>
      <c r="R180" s="191"/>
      <c r="S180" s="191"/>
    </row>
    <row r="181" spans="5:19" x14ac:dyDescent="0.3">
      <c r="E181" s="165"/>
      <c r="F181" s="165"/>
      <c r="G181" s="165"/>
      <c r="H181" s="165"/>
      <c r="I181" s="191"/>
      <c r="J181" s="191"/>
      <c r="K181" s="191"/>
      <c r="L181" s="165"/>
      <c r="M181" s="165"/>
      <c r="N181" s="165"/>
      <c r="O181" s="165"/>
      <c r="P181" s="165"/>
      <c r="Q181" s="191"/>
      <c r="R181" s="191"/>
      <c r="S181" s="191"/>
    </row>
    <row r="182" spans="5:19" x14ac:dyDescent="0.3">
      <c r="E182" s="165"/>
      <c r="F182" s="165"/>
      <c r="G182" s="165"/>
      <c r="H182" s="165"/>
      <c r="I182" s="191"/>
      <c r="J182" s="191"/>
      <c r="K182" s="191"/>
      <c r="L182" s="165"/>
      <c r="M182" s="165"/>
      <c r="N182" s="165"/>
      <c r="O182" s="165"/>
      <c r="P182" s="165"/>
      <c r="Q182" s="191"/>
      <c r="R182" s="191"/>
      <c r="S182" s="191"/>
    </row>
    <row r="183" spans="5:19" x14ac:dyDescent="0.3">
      <c r="E183" s="165"/>
      <c r="F183" s="165"/>
      <c r="G183" s="165"/>
      <c r="H183" s="165"/>
      <c r="I183" s="191"/>
      <c r="J183" s="191"/>
      <c r="K183" s="191"/>
      <c r="L183" s="165"/>
      <c r="M183" s="165"/>
      <c r="N183" s="165"/>
      <c r="O183" s="165"/>
      <c r="P183" s="165"/>
      <c r="Q183" s="191"/>
      <c r="R183" s="191"/>
      <c r="S183" s="191"/>
    </row>
    <row r="184" spans="5:19" x14ac:dyDescent="0.3">
      <c r="E184" s="165"/>
      <c r="F184" s="165"/>
      <c r="G184" s="165"/>
      <c r="H184" s="165"/>
      <c r="I184" s="191"/>
      <c r="J184" s="191"/>
      <c r="K184" s="191"/>
      <c r="L184" s="165"/>
      <c r="M184" s="165"/>
      <c r="N184" s="165"/>
      <c r="O184" s="165"/>
      <c r="P184" s="165"/>
      <c r="Q184" s="191"/>
      <c r="R184" s="191"/>
      <c r="S184" s="191"/>
    </row>
    <row r="185" spans="5:19" x14ac:dyDescent="0.3">
      <c r="E185" s="165"/>
      <c r="F185" s="165"/>
      <c r="G185" s="165"/>
      <c r="H185" s="165"/>
      <c r="I185" s="191"/>
      <c r="J185" s="191"/>
      <c r="K185" s="191"/>
      <c r="L185" s="165"/>
      <c r="M185" s="165"/>
      <c r="N185" s="165"/>
      <c r="O185" s="165"/>
      <c r="P185" s="165"/>
      <c r="Q185" s="191"/>
      <c r="R185" s="191"/>
      <c r="S185" s="191"/>
    </row>
    <row r="186" spans="5:19" x14ac:dyDescent="0.3">
      <c r="E186" s="165"/>
      <c r="F186" s="165"/>
      <c r="G186" s="165"/>
      <c r="H186" s="165"/>
      <c r="I186" s="191"/>
      <c r="J186" s="191"/>
      <c r="K186" s="191"/>
      <c r="L186" s="165"/>
      <c r="M186" s="165"/>
      <c r="N186" s="165"/>
      <c r="O186" s="165"/>
      <c r="P186" s="165"/>
      <c r="Q186" s="191"/>
      <c r="R186" s="191"/>
      <c r="S186" s="191"/>
    </row>
    <row r="187" spans="5:19" x14ac:dyDescent="0.3">
      <c r="E187" s="165"/>
      <c r="F187" s="165"/>
      <c r="G187" s="165"/>
      <c r="H187" s="165"/>
      <c r="I187" s="191"/>
      <c r="J187" s="191"/>
      <c r="K187" s="191"/>
      <c r="L187" s="165"/>
      <c r="M187" s="165"/>
      <c r="N187" s="165"/>
      <c r="O187" s="165"/>
      <c r="P187" s="165"/>
      <c r="Q187" s="191"/>
      <c r="R187" s="191"/>
      <c r="S187" s="191"/>
    </row>
    <row r="188" spans="5:19" x14ac:dyDescent="0.3">
      <c r="E188" s="165"/>
      <c r="F188" s="165"/>
      <c r="G188" s="165"/>
      <c r="H188" s="165"/>
      <c r="I188" s="191"/>
      <c r="J188" s="191"/>
      <c r="K188" s="191"/>
      <c r="L188" s="165"/>
      <c r="M188" s="165"/>
      <c r="N188" s="165"/>
      <c r="O188" s="165"/>
      <c r="P188" s="165"/>
      <c r="Q188" s="191"/>
      <c r="R188" s="191"/>
      <c r="S188" s="191"/>
    </row>
    <row r="189" spans="5:19" x14ac:dyDescent="0.3">
      <c r="E189" s="165"/>
      <c r="F189" s="165"/>
      <c r="G189" s="165"/>
      <c r="H189" s="165"/>
      <c r="I189" s="191"/>
      <c r="J189" s="191"/>
      <c r="K189" s="191"/>
      <c r="L189" s="165"/>
      <c r="M189" s="165"/>
      <c r="N189" s="165"/>
      <c r="O189" s="165"/>
      <c r="P189" s="165"/>
      <c r="Q189" s="191"/>
      <c r="R189" s="191"/>
      <c r="S189" s="191"/>
    </row>
    <row r="190" spans="5:19" x14ac:dyDescent="0.3">
      <c r="E190" s="165"/>
      <c r="F190" s="165"/>
      <c r="G190" s="165"/>
      <c r="H190" s="165"/>
      <c r="I190" s="191"/>
      <c r="J190" s="191"/>
      <c r="K190" s="191"/>
      <c r="L190" s="165"/>
      <c r="M190" s="165"/>
      <c r="N190" s="165"/>
      <c r="O190" s="165"/>
      <c r="P190" s="165"/>
      <c r="Q190" s="191"/>
      <c r="R190" s="191"/>
      <c r="S190" s="191"/>
    </row>
    <row r="191" spans="5:19" x14ac:dyDescent="0.3">
      <c r="E191" s="165"/>
      <c r="F191" s="165"/>
      <c r="G191" s="165"/>
      <c r="H191" s="165"/>
      <c r="I191" s="191"/>
      <c r="J191" s="191"/>
      <c r="K191" s="191"/>
      <c r="L191" s="165"/>
      <c r="M191" s="165"/>
      <c r="N191" s="165"/>
      <c r="O191" s="165"/>
      <c r="P191" s="165"/>
      <c r="Q191" s="191"/>
      <c r="R191" s="191"/>
      <c r="S191" s="191"/>
    </row>
    <row r="192" spans="5:19" x14ac:dyDescent="0.3">
      <c r="E192" s="165"/>
      <c r="F192" s="165"/>
      <c r="G192" s="165"/>
      <c r="H192" s="165"/>
      <c r="I192" s="191"/>
      <c r="J192" s="191"/>
      <c r="K192" s="191"/>
      <c r="L192" s="165"/>
      <c r="M192" s="165"/>
      <c r="N192" s="165"/>
      <c r="O192" s="165"/>
      <c r="P192" s="165"/>
      <c r="Q192" s="191"/>
      <c r="R192" s="191"/>
      <c r="S192" s="191"/>
    </row>
    <row r="193" spans="5:19" x14ac:dyDescent="0.3">
      <c r="E193" s="165"/>
      <c r="F193" s="165"/>
      <c r="G193" s="165"/>
      <c r="H193" s="165"/>
      <c r="I193" s="191"/>
      <c r="J193" s="191"/>
      <c r="K193" s="191"/>
      <c r="L193" s="165"/>
      <c r="M193" s="165"/>
      <c r="N193" s="165"/>
      <c r="O193" s="165"/>
      <c r="P193" s="165"/>
      <c r="Q193" s="191"/>
      <c r="R193" s="191"/>
      <c r="S193" s="191"/>
    </row>
    <row r="194" spans="5:19" x14ac:dyDescent="0.3">
      <c r="E194" s="165"/>
      <c r="F194" s="165"/>
      <c r="G194" s="165"/>
      <c r="H194" s="165"/>
      <c r="I194" s="191"/>
      <c r="J194" s="191"/>
      <c r="K194" s="191"/>
      <c r="L194" s="165"/>
      <c r="M194" s="165"/>
      <c r="N194" s="165"/>
      <c r="O194" s="165"/>
      <c r="P194" s="165"/>
      <c r="Q194" s="191"/>
      <c r="R194" s="191"/>
      <c r="S194" s="191"/>
    </row>
    <row r="195" spans="5:19" x14ac:dyDescent="0.3">
      <c r="E195" s="165"/>
      <c r="F195" s="165"/>
      <c r="G195" s="165"/>
      <c r="H195" s="165"/>
      <c r="I195" s="191"/>
      <c r="J195" s="191"/>
      <c r="K195" s="191"/>
      <c r="L195" s="165"/>
      <c r="M195" s="165"/>
      <c r="N195" s="165"/>
      <c r="O195" s="165"/>
      <c r="P195" s="165"/>
      <c r="Q195" s="191"/>
      <c r="R195" s="191"/>
      <c r="S195" s="191"/>
    </row>
    <row r="196" spans="5:19" x14ac:dyDescent="0.3">
      <c r="E196" s="165"/>
      <c r="F196" s="165"/>
      <c r="G196" s="165"/>
      <c r="H196" s="165"/>
      <c r="I196" s="191"/>
      <c r="J196" s="191"/>
      <c r="K196" s="191"/>
      <c r="L196" s="165"/>
      <c r="M196" s="165"/>
      <c r="N196" s="165"/>
      <c r="O196" s="165"/>
      <c r="P196" s="165"/>
      <c r="Q196" s="191"/>
      <c r="R196" s="191"/>
      <c r="S196" s="191"/>
    </row>
    <row r="197" spans="5:19" x14ac:dyDescent="0.3">
      <c r="E197" s="165"/>
      <c r="F197" s="165"/>
      <c r="G197" s="165"/>
      <c r="H197" s="165"/>
      <c r="I197" s="191"/>
      <c r="J197" s="191"/>
      <c r="K197" s="191"/>
      <c r="L197" s="165"/>
      <c r="M197" s="165"/>
      <c r="N197" s="165"/>
      <c r="O197" s="165"/>
      <c r="P197" s="165"/>
      <c r="Q197" s="191"/>
      <c r="R197" s="191"/>
      <c r="S197" s="191"/>
    </row>
    <row r="198" spans="5:19" x14ac:dyDescent="0.3">
      <c r="E198" s="165"/>
      <c r="F198" s="165"/>
      <c r="G198" s="165"/>
      <c r="H198" s="165"/>
      <c r="I198" s="191"/>
      <c r="J198" s="191"/>
      <c r="K198" s="191"/>
      <c r="L198" s="165"/>
      <c r="M198" s="165"/>
      <c r="N198" s="165"/>
      <c r="O198" s="165"/>
      <c r="P198" s="165"/>
      <c r="Q198" s="191"/>
      <c r="R198" s="191"/>
      <c r="S198" s="191"/>
    </row>
    <row r="199" spans="5:19" x14ac:dyDescent="0.3">
      <c r="E199" s="165"/>
      <c r="F199" s="165"/>
      <c r="G199" s="165"/>
      <c r="H199" s="165"/>
      <c r="I199" s="191"/>
      <c r="J199" s="191"/>
      <c r="K199" s="191"/>
      <c r="L199" s="165"/>
      <c r="M199" s="165"/>
      <c r="N199" s="165"/>
      <c r="O199" s="165"/>
      <c r="P199" s="165"/>
      <c r="Q199" s="191"/>
      <c r="R199" s="191"/>
      <c r="S199" s="191"/>
    </row>
    <row r="200" spans="5:19" x14ac:dyDescent="0.3">
      <c r="E200" s="165"/>
      <c r="F200" s="165"/>
      <c r="G200" s="165"/>
      <c r="H200" s="165"/>
      <c r="I200" s="191"/>
      <c r="J200" s="191"/>
      <c r="K200" s="191"/>
      <c r="L200" s="165"/>
      <c r="M200" s="165"/>
      <c r="N200" s="165"/>
      <c r="O200" s="165"/>
      <c r="P200" s="165"/>
      <c r="Q200" s="191"/>
      <c r="R200" s="191"/>
      <c r="S200" s="191"/>
    </row>
    <row r="201" spans="5:19" x14ac:dyDescent="0.3">
      <c r="E201" s="165"/>
      <c r="F201" s="165"/>
      <c r="G201" s="165"/>
      <c r="H201" s="165"/>
      <c r="I201" s="191"/>
      <c r="J201" s="191"/>
      <c r="K201" s="191"/>
      <c r="L201" s="165"/>
      <c r="M201" s="165"/>
      <c r="N201" s="165"/>
      <c r="O201" s="165"/>
      <c r="P201" s="165"/>
      <c r="Q201" s="191"/>
      <c r="R201" s="191"/>
      <c r="S201" s="191"/>
    </row>
    <row r="202" spans="5:19" x14ac:dyDescent="0.3">
      <c r="E202" s="165"/>
      <c r="F202" s="165"/>
      <c r="G202" s="165"/>
      <c r="H202" s="165"/>
      <c r="I202" s="191"/>
      <c r="J202" s="191"/>
      <c r="K202" s="191"/>
      <c r="L202" s="165"/>
      <c r="M202" s="165"/>
      <c r="N202" s="165"/>
      <c r="O202" s="165"/>
      <c r="P202" s="165"/>
      <c r="Q202" s="191"/>
      <c r="R202" s="191"/>
      <c r="S202" s="191"/>
    </row>
    <row r="203" spans="5:19" x14ac:dyDescent="0.3">
      <c r="E203" s="165"/>
      <c r="F203" s="165"/>
      <c r="G203" s="165"/>
      <c r="H203" s="165"/>
      <c r="I203" s="191"/>
      <c r="J203" s="191"/>
      <c r="K203" s="191"/>
      <c r="L203" s="165"/>
      <c r="M203" s="165"/>
      <c r="N203" s="165"/>
      <c r="O203" s="165"/>
      <c r="P203" s="165"/>
      <c r="Q203" s="191"/>
      <c r="R203" s="191"/>
      <c r="S203" s="191"/>
    </row>
    <row r="204" spans="5:19" x14ac:dyDescent="0.3">
      <c r="E204" s="165"/>
      <c r="F204" s="165"/>
      <c r="G204" s="165"/>
      <c r="H204" s="165"/>
      <c r="I204" s="191"/>
      <c r="J204" s="191"/>
      <c r="K204" s="191"/>
      <c r="L204" s="165"/>
      <c r="M204" s="165"/>
      <c r="N204" s="165"/>
      <c r="O204" s="165"/>
      <c r="P204" s="165"/>
      <c r="Q204" s="191"/>
      <c r="R204" s="191"/>
      <c r="S204" s="191"/>
    </row>
    <row r="205" spans="5:19" x14ac:dyDescent="0.3">
      <c r="E205" s="165"/>
      <c r="F205" s="165"/>
      <c r="G205" s="165"/>
      <c r="H205" s="165"/>
      <c r="I205" s="191"/>
      <c r="J205" s="191"/>
      <c r="K205" s="191"/>
      <c r="L205" s="165"/>
      <c r="M205" s="165"/>
      <c r="N205" s="165"/>
      <c r="O205" s="165"/>
      <c r="P205" s="165"/>
      <c r="Q205" s="191"/>
      <c r="R205" s="191"/>
      <c r="S205" s="191"/>
    </row>
    <row r="206" spans="5:19" x14ac:dyDescent="0.3">
      <c r="E206" s="165"/>
      <c r="F206" s="165"/>
      <c r="G206" s="165"/>
      <c r="H206" s="165"/>
      <c r="I206" s="191"/>
      <c r="J206" s="191"/>
      <c r="K206" s="191"/>
      <c r="L206" s="165"/>
      <c r="M206" s="165"/>
      <c r="N206" s="165"/>
      <c r="O206" s="165"/>
      <c r="P206" s="165"/>
      <c r="Q206" s="191"/>
      <c r="R206" s="191"/>
      <c r="S206" s="191"/>
    </row>
    <row r="207" spans="5:19" x14ac:dyDescent="0.3">
      <c r="E207" s="165"/>
      <c r="F207" s="165"/>
      <c r="G207" s="165"/>
      <c r="H207" s="165"/>
      <c r="I207" s="191"/>
      <c r="J207" s="191"/>
      <c r="K207" s="191"/>
      <c r="L207" s="165"/>
      <c r="M207" s="165"/>
      <c r="N207" s="165"/>
      <c r="O207" s="165"/>
      <c r="P207" s="165"/>
      <c r="Q207" s="191"/>
      <c r="R207" s="191"/>
      <c r="S207" s="191"/>
    </row>
    <row r="208" spans="5:19" x14ac:dyDescent="0.3">
      <c r="E208" s="165"/>
      <c r="F208" s="165"/>
      <c r="G208" s="165"/>
      <c r="H208" s="165"/>
      <c r="I208" s="191"/>
      <c r="J208" s="191"/>
      <c r="K208" s="191"/>
      <c r="L208" s="165"/>
      <c r="M208" s="165"/>
      <c r="N208" s="165"/>
      <c r="O208" s="165"/>
      <c r="P208" s="165"/>
      <c r="Q208" s="191"/>
      <c r="R208" s="191"/>
      <c r="S208" s="191"/>
    </row>
    <row r="209" spans="5:19" x14ac:dyDescent="0.3">
      <c r="E209" s="165"/>
      <c r="F209" s="165"/>
      <c r="G209" s="165"/>
      <c r="H209" s="165"/>
      <c r="I209" s="191"/>
      <c r="J209" s="191"/>
      <c r="K209" s="191"/>
      <c r="L209" s="165"/>
      <c r="M209" s="165"/>
      <c r="N209" s="165"/>
      <c r="O209" s="165"/>
      <c r="P209" s="165"/>
      <c r="Q209" s="191"/>
      <c r="R209" s="191"/>
      <c r="S209" s="191"/>
    </row>
    <row r="210" spans="5:19" x14ac:dyDescent="0.3">
      <c r="E210" s="165"/>
      <c r="F210" s="165"/>
      <c r="G210" s="165"/>
      <c r="H210" s="165"/>
      <c r="I210" s="191"/>
      <c r="J210" s="191"/>
      <c r="K210" s="191"/>
      <c r="L210" s="165"/>
      <c r="M210" s="165"/>
      <c r="N210" s="165"/>
      <c r="O210" s="165"/>
      <c r="P210" s="165"/>
      <c r="Q210" s="191"/>
      <c r="R210" s="191"/>
      <c r="S210" s="191"/>
    </row>
    <row r="211" spans="5:19" x14ac:dyDescent="0.3">
      <c r="E211" s="165"/>
      <c r="F211" s="165"/>
      <c r="G211" s="165"/>
      <c r="H211" s="165"/>
      <c r="I211" s="191"/>
      <c r="J211" s="191"/>
      <c r="K211" s="191"/>
      <c r="L211" s="165"/>
      <c r="M211" s="165"/>
      <c r="N211" s="165"/>
      <c r="O211" s="165"/>
      <c r="P211" s="165"/>
      <c r="Q211" s="191"/>
      <c r="R211" s="191"/>
      <c r="S211" s="191"/>
    </row>
    <row r="212" spans="5:19" x14ac:dyDescent="0.3">
      <c r="E212" s="165"/>
      <c r="F212" s="165"/>
      <c r="G212" s="165"/>
      <c r="H212" s="165"/>
      <c r="I212" s="191"/>
      <c r="J212" s="191"/>
      <c r="K212" s="191"/>
      <c r="L212" s="165"/>
      <c r="M212" s="165"/>
      <c r="N212" s="165"/>
      <c r="O212" s="165"/>
      <c r="P212" s="165"/>
      <c r="Q212" s="191"/>
      <c r="R212" s="191"/>
      <c r="S212" s="191"/>
    </row>
    <row r="213" spans="5:19" x14ac:dyDescent="0.3">
      <c r="E213" s="165"/>
      <c r="F213" s="165"/>
      <c r="G213" s="165"/>
      <c r="H213" s="165"/>
      <c r="I213" s="191"/>
      <c r="J213" s="191"/>
      <c r="K213" s="191"/>
      <c r="L213" s="165"/>
      <c r="M213" s="165"/>
      <c r="N213" s="165"/>
      <c r="O213" s="165"/>
      <c r="P213" s="165"/>
      <c r="Q213" s="191"/>
      <c r="R213" s="191"/>
      <c r="S213" s="191"/>
    </row>
    <row r="214" spans="5:19" x14ac:dyDescent="0.3">
      <c r="E214" s="165"/>
      <c r="F214" s="165"/>
      <c r="G214" s="165"/>
      <c r="H214" s="165"/>
      <c r="I214" s="191"/>
      <c r="J214" s="191"/>
      <c r="K214" s="191"/>
      <c r="L214" s="165"/>
      <c r="M214" s="165"/>
      <c r="N214" s="165"/>
      <c r="O214" s="165"/>
      <c r="P214" s="165"/>
      <c r="Q214" s="191"/>
      <c r="R214" s="191"/>
      <c r="S214" s="191"/>
    </row>
    <row r="215" spans="5:19" x14ac:dyDescent="0.3">
      <c r="E215" s="165"/>
      <c r="F215" s="165"/>
      <c r="G215" s="165"/>
      <c r="H215" s="165"/>
      <c r="I215" s="191"/>
      <c r="J215" s="191"/>
      <c r="K215" s="191"/>
      <c r="L215" s="165"/>
      <c r="M215" s="165"/>
      <c r="N215" s="165"/>
      <c r="O215" s="165"/>
      <c r="P215" s="165"/>
      <c r="Q215" s="191"/>
      <c r="R215" s="191"/>
      <c r="S215" s="191"/>
    </row>
    <row r="216" spans="5:19" x14ac:dyDescent="0.3">
      <c r="E216" s="165"/>
      <c r="F216" s="165"/>
      <c r="G216" s="165"/>
      <c r="H216" s="165"/>
      <c r="I216" s="191"/>
      <c r="J216" s="191"/>
      <c r="K216" s="191"/>
      <c r="L216" s="165"/>
      <c r="M216" s="165"/>
      <c r="N216" s="165"/>
      <c r="O216" s="165"/>
      <c r="P216" s="165"/>
      <c r="Q216" s="191"/>
      <c r="R216" s="191"/>
      <c r="S216" s="191"/>
    </row>
    <row r="217" spans="5:19" x14ac:dyDescent="0.3">
      <c r="E217" s="165"/>
      <c r="F217" s="165"/>
      <c r="G217" s="165"/>
      <c r="H217" s="165"/>
      <c r="I217" s="191"/>
      <c r="J217" s="191"/>
      <c r="K217" s="191"/>
      <c r="L217" s="165"/>
      <c r="M217" s="165"/>
      <c r="N217" s="165"/>
      <c r="O217" s="165"/>
      <c r="P217" s="165"/>
      <c r="Q217" s="191"/>
      <c r="R217" s="191"/>
      <c r="S217" s="191"/>
    </row>
    <row r="218" spans="5:19" x14ac:dyDescent="0.3">
      <c r="E218" s="165"/>
      <c r="F218" s="165"/>
      <c r="G218" s="165"/>
      <c r="H218" s="165"/>
      <c r="I218" s="191"/>
      <c r="J218" s="191"/>
      <c r="K218" s="191"/>
      <c r="L218" s="165"/>
      <c r="M218" s="165"/>
      <c r="N218" s="165"/>
      <c r="O218" s="165"/>
      <c r="P218" s="165"/>
      <c r="Q218" s="191"/>
      <c r="R218" s="191"/>
      <c r="S218" s="191"/>
    </row>
    <row r="219" spans="5:19" x14ac:dyDescent="0.3">
      <c r="E219" s="165"/>
      <c r="F219" s="165"/>
      <c r="G219" s="165"/>
      <c r="H219" s="165"/>
      <c r="I219" s="191"/>
      <c r="J219" s="191"/>
      <c r="K219" s="191"/>
      <c r="L219" s="165"/>
      <c r="M219" s="165"/>
      <c r="N219" s="165"/>
      <c r="O219" s="165"/>
      <c r="P219" s="165"/>
      <c r="Q219" s="191"/>
      <c r="R219" s="191"/>
      <c r="S219" s="191"/>
    </row>
    <row r="220" spans="5:19" x14ac:dyDescent="0.3">
      <c r="E220" s="165"/>
      <c r="F220" s="165"/>
      <c r="G220" s="165"/>
      <c r="H220" s="165"/>
      <c r="I220" s="191"/>
      <c r="J220" s="191"/>
      <c r="K220" s="191"/>
      <c r="L220" s="165"/>
      <c r="M220" s="165"/>
      <c r="N220" s="165"/>
      <c r="O220" s="165"/>
      <c r="P220" s="165"/>
      <c r="Q220" s="191"/>
      <c r="R220" s="191"/>
      <c r="S220" s="191"/>
    </row>
    <row r="221" spans="5:19" x14ac:dyDescent="0.3">
      <c r="E221" s="165"/>
      <c r="F221" s="165"/>
      <c r="G221" s="165"/>
      <c r="H221" s="165"/>
      <c r="I221" s="191"/>
      <c r="J221" s="191"/>
      <c r="K221" s="191"/>
      <c r="L221" s="165"/>
      <c r="M221" s="165"/>
      <c r="N221" s="165"/>
      <c r="O221" s="165"/>
      <c r="P221" s="165"/>
      <c r="Q221" s="191"/>
      <c r="R221" s="191"/>
      <c r="S221" s="191"/>
    </row>
    <row r="222" spans="5:19" x14ac:dyDescent="0.3">
      <c r="E222" s="165"/>
      <c r="F222" s="165"/>
      <c r="G222" s="165"/>
      <c r="H222" s="165"/>
      <c r="I222" s="191"/>
      <c r="J222" s="191"/>
      <c r="K222" s="191"/>
      <c r="L222" s="165"/>
      <c r="M222" s="165"/>
      <c r="N222" s="165"/>
      <c r="O222" s="165"/>
      <c r="P222" s="165"/>
      <c r="Q222" s="191"/>
      <c r="R222" s="191"/>
      <c r="S222" s="191"/>
    </row>
    <row r="223" spans="5:19" x14ac:dyDescent="0.3">
      <c r="E223" s="165"/>
      <c r="F223" s="165"/>
      <c r="G223" s="165"/>
      <c r="H223" s="165"/>
      <c r="I223" s="191"/>
      <c r="J223" s="191"/>
      <c r="K223" s="191"/>
      <c r="L223" s="165"/>
      <c r="M223" s="165"/>
      <c r="N223" s="165"/>
      <c r="O223" s="165"/>
      <c r="P223" s="165"/>
      <c r="Q223" s="191"/>
      <c r="R223" s="191"/>
      <c r="S223" s="191"/>
    </row>
    <row r="224" spans="5:19" x14ac:dyDescent="0.3">
      <c r="E224" s="165"/>
      <c r="F224" s="165"/>
      <c r="G224" s="165"/>
      <c r="H224" s="165"/>
      <c r="I224" s="191"/>
      <c r="J224" s="191"/>
      <c r="K224" s="191"/>
      <c r="L224" s="165"/>
      <c r="M224" s="165"/>
      <c r="N224" s="165"/>
      <c r="O224" s="165"/>
      <c r="P224" s="165"/>
      <c r="Q224" s="191"/>
      <c r="R224" s="191"/>
      <c r="S224" s="191"/>
    </row>
    <row r="225" spans="5:19" x14ac:dyDescent="0.3">
      <c r="E225" s="165"/>
      <c r="F225" s="165"/>
      <c r="G225" s="165"/>
      <c r="H225" s="165"/>
      <c r="I225" s="191"/>
      <c r="J225" s="191"/>
      <c r="K225" s="191"/>
      <c r="L225" s="165"/>
      <c r="M225" s="165"/>
      <c r="N225" s="165"/>
      <c r="O225" s="165"/>
      <c r="P225" s="165"/>
      <c r="Q225" s="191"/>
      <c r="R225" s="191"/>
      <c r="S225" s="191"/>
    </row>
    <row r="226" spans="5:19" x14ac:dyDescent="0.3">
      <c r="E226" s="165"/>
      <c r="F226" s="165"/>
      <c r="G226" s="165"/>
      <c r="H226" s="165"/>
      <c r="I226" s="191"/>
      <c r="J226" s="191"/>
      <c r="K226" s="191"/>
      <c r="L226" s="165"/>
      <c r="M226" s="165"/>
      <c r="N226" s="165"/>
      <c r="O226" s="165"/>
      <c r="P226" s="165"/>
      <c r="Q226" s="191"/>
      <c r="R226" s="191"/>
      <c r="S226" s="191"/>
    </row>
    <row r="227" spans="5:19" x14ac:dyDescent="0.3">
      <c r="E227" s="165"/>
      <c r="F227" s="165"/>
      <c r="G227" s="165"/>
      <c r="H227" s="165"/>
      <c r="I227" s="191"/>
      <c r="J227" s="191"/>
      <c r="K227" s="191"/>
      <c r="L227" s="165"/>
      <c r="M227" s="165"/>
      <c r="N227" s="165"/>
      <c r="O227" s="165"/>
      <c r="P227" s="165"/>
      <c r="Q227" s="191"/>
      <c r="R227" s="191"/>
      <c r="S227" s="191"/>
    </row>
    <row r="228" spans="5:19" x14ac:dyDescent="0.3">
      <c r="E228" s="165"/>
      <c r="F228" s="165"/>
      <c r="G228" s="165"/>
      <c r="H228" s="165"/>
      <c r="I228" s="191"/>
      <c r="J228" s="191"/>
      <c r="K228" s="191"/>
      <c r="L228" s="165"/>
      <c r="M228" s="165"/>
      <c r="N228" s="165"/>
      <c r="O228" s="165"/>
      <c r="P228" s="165"/>
      <c r="Q228" s="191"/>
      <c r="R228" s="191"/>
      <c r="S228" s="191"/>
    </row>
    <row r="229" spans="5:19" x14ac:dyDescent="0.3">
      <c r="E229" s="165"/>
      <c r="F229" s="165"/>
      <c r="G229" s="165"/>
      <c r="H229" s="165"/>
      <c r="I229" s="191"/>
      <c r="J229" s="191"/>
      <c r="K229" s="191"/>
      <c r="L229" s="165"/>
      <c r="M229" s="165"/>
      <c r="N229" s="165"/>
      <c r="O229" s="165"/>
      <c r="P229" s="165"/>
      <c r="Q229" s="191"/>
      <c r="R229" s="191"/>
      <c r="S229" s="191"/>
    </row>
    <row r="230" spans="5:19" x14ac:dyDescent="0.3">
      <c r="E230" s="165"/>
      <c r="F230" s="165"/>
      <c r="G230" s="165"/>
      <c r="H230" s="165"/>
      <c r="I230" s="191"/>
      <c r="J230" s="191"/>
      <c r="K230" s="191"/>
      <c r="L230" s="165"/>
      <c r="M230" s="165"/>
      <c r="N230" s="165"/>
      <c r="O230" s="165"/>
      <c r="P230" s="165"/>
      <c r="Q230" s="191"/>
      <c r="R230" s="191"/>
      <c r="S230" s="191"/>
    </row>
    <row r="231" spans="5:19" x14ac:dyDescent="0.3">
      <c r="E231" s="165"/>
      <c r="F231" s="165"/>
      <c r="G231" s="165"/>
      <c r="H231" s="165"/>
      <c r="I231" s="191"/>
      <c r="J231" s="191"/>
      <c r="K231" s="191"/>
      <c r="L231" s="165"/>
      <c r="M231" s="165"/>
      <c r="N231" s="165"/>
      <c r="O231" s="165"/>
      <c r="P231" s="165"/>
      <c r="Q231" s="191"/>
      <c r="R231" s="191"/>
      <c r="S231" s="191"/>
    </row>
    <row r="232" spans="5:19" x14ac:dyDescent="0.3">
      <c r="E232" s="165"/>
      <c r="F232" s="165"/>
      <c r="G232" s="165"/>
      <c r="H232" s="165"/>
      <c r="I232" s="191"/>
      <c r="J232" s="191"/>
      <c r="K232" s="191"/>
      <c r="L232" s="165"/>
      <c r="M232" s="165"/>
      <c r="N232" s="165"/>
      <c r="O232" s="165"/>
      <c r="P232" s="165"/>
      <c r="Q232" s="191"/>
      <c r="R232" s="191"/>
      <c r="S232" s="191"/>
    </row>
    <row r="233" spans="5:19" x14ac:dyDescent="0.3">
      <c r="E233" s="165"/>
      <c r="F233" s="165"/>
      <c r="G233" s="165"/>
      <c r="H233" s="165"/>
      <c r="I233" s="191"/>
      <c r="J233" s="191"/>
      <c r="K233" s="191"/>
      <c r="L233" s="165"/>
      <c r="M233" s="165"/>
      <c r="N233" s="165"/>
      <c r="O233" s="165"/>
      <c r="P233" s="165"/>
      <c r="Q233" s="191"/>
      <c r="R233" s="191"/>
      <c r="S233" s="191"/>
    </row>
    <row r="234" spans="5:19" x14ac:dyDescent="0.3">
      <c r="E234" s="165"/>
      <c r="F234" s="165"/>
      <c r="G234" s="165"/>
      <c r="H234" s="165"/>
      <c r="I234" s="191"/>
      <c r="J234" s="191"/>
      <c r="K234" s="191"/>
      <c r="L234" s="165"/>
      <c r="M234" s="165"/>
      <c r="N234" s="165"/>
      <c r="O234" s="165"/>
      <c r="P234" s="165"/>
      <c r="Q234" s="191"/>
      <c r="R234" s="191"/>
      <c r="S234" s="191"/>
    </row>
    <row r="235" spans="5:19" x14ac:dyDescent="0.3">
      <c r="E235" s="165"/>
      <c r="F235" s="165"/>
      <c r="G235" s="165"/>
      <c r="H235" s="165"/>
      <c r="I235" s="191"/>
      <c r="J235" s="191"/>
      <c r="K235" s="191"/>
      <c r="L235" s="165"/>
      <c r="M235" s="165"/>
      <c r="N235" s="165"/>
      <c r="O235" s="165"/>
      <c r="P235" s="165"/>
      <c r="Q235" s="191"/>
      <c r="R235" s="191"/>
      <c r="S235" s="191"/>
    </row>
    <row r="236" spans="5:19" x14ac:dyDescent="0.3">
      <c r="E236" s="165"/>
      <c r="F236" s="165"/>
      <c r="G236" s="165"/>
      <c r="H236" s="165"/>
      <c r="I236" s="191"/>
      <c r="J236" s="191"/>
      <c r="K236" s="191"/>
      <c r="L236" s="165"/>
      <c r="M236" s="165"/>
      <c r="N236" s="165"/>
      <c r="O236" s="165"/>
      <c r="P236" s="165"/>
      <c r="Q236" s="191"/>
      <c r="R236" s="191"/>
      <c r="S236" s="191"/>
    </row>
    <row r="237" spans="5:19" x14ac:dyDescent="0.3">
      <c r="E237" s="165"/>
      <c r="F237" s="165"/>
      <c r="G237" s="165"/>
      <c r="H237" s="165"/>
      <c r="I237" s="191"/>
      <c r="J237" s="191"/>
      <c r="K237" s="191"/>
      <c r="L237" s="165"/>
      <c r="M237" s="165"/>
      <c r="N237" s="165"/>
      <c r="O237" s="165"/>
      <c r="P237" s="165"/>
      <c r="Q237" s="191"/>
      <c r="R237" s="191"/>
      <c r="S237" s="191"/>
    </row>
    <row r="238" spans="5:19" x14ac:dyDescent="0.3">
      <c r="E238" s="165"/>
      <c r="F238" s="165"/>
      <c r="G238" s="165"/>
      <c r="H238" s="165"/>
      <c r="I238" s="191"/>
      <c r="J238" s="191"/>
      <c r="K238" s="191"/>
      <c r="L238" s="165"/>
      <c r="M238" s="165"/>
      <c r="N238" s="165"/>
      <c r="O238" s="165"/>
      <c r="P238" s="165"/>
      <c r="Q238" s="191"/>
      <c r="R238" s="191"/>
      <c r="S238" s="191"/>
    </row>
    <row r="239" spans="5:19" x14ac:dyDescent="0.3">
      <c r="E239" s="165"/>
      <c r="F239" s="165"/>
      <c r="G239" s="165"/>
      <c r="H239" s="165"/>
      <c r="I239" s="191"/>
      <c r="J239" s="191"/>
      <c r="K239" s="191"/>
      <c r="L239" s="165"/>
      <c r="M239" s="165"/>
      <c r="N239" s="165"/>
      <c r="O239" s="165"/>
      <c r="P239" s="165"/>
      <c r="Q239" s="191"/>
      <c r="R239" s="191"/>
      <c r="S239" s="191"/>
    </row>
    <row r="240" spans="5:19" x14ac:dyDescent="0.3">
      <c r="E240" s="165"/>
      <c r="F240" s="165"/>
      <c r="G240" s="165"/>
      <c r="H240" s="165"/>
      <c r="I240" s="191"/>
      <c r="J240" s="191"/>
      <c r="K240" s="191"/>
      <c r="L240" s="165"/>
      <c r="M240" s="165"/>
      <c r="N240" s="165"/>
      <c r="O240" s="165"/>
      <c r="P240" s="165"/>
      <c r="Q240" s="191"/>
      <c r="R240" s="191"/>
      <c r="S240" s="191"/>
    </row>
    <row r="241" spans="5:19" x14ac:dyDescent="0.3">
      <c r="E241" s="165"/>
      <c r="F241" s="165"/>
      <c r="G241" s="165"/>
      <c r="H241" s="165"/>
      <c r="I241" s="191"/>
      <c r="J241" s="191"/>
      <c r="K241" s="191"/>
      <c r="L241" s="165"/>
      <c r="M241" s="165"/>
      <c r="N241" s="165"/>
      <c r="O241" s="165"/>
      <c r="P241" s="165"/>
      <c r="Q241" s="191"/>
      <c r="R241" s="191"/>
      <c r="S241" s="191"/>
    </row>
    <row r="242" spans="5:19" x14ac:dyDescent="0.3">
      <c r="E242" s="165"/>
      <c r="F242" s="165"/>
      <c r="G242" s="165"/>
      <c r="H242" s="165"/>
      <c r="I242" s="191"/>
      <c r="J242" s="191"/>
      <c r="K242" s="191"/>
      <c r="L242" s="165"/>
      <c r="M242" s="165"/>
      <c r="N242" s="165"/>
      <c r="O242" s="165"/>
      <c r="P242" s="165"/>
      <c r="Q242" s="191"/>
      <c r="R242" s="191"/>
      <c r="S242" s="191"/>
    </row>
    <row r="243" spans="5:19" x14ac:dyDescent="0.3">
      <c r="E243" s="165"/>
      <c r="F243" s="165"/>
      <c r="G243" s="165"/>
      <c r="H243" s="165"/>
      <c r="I243" s="191"/>
      <c r="J243" s="191"/>
      <c r="K243" s="191"/>
      <c r="L243" s="165"/>
      <c r="M243" s="165"/>
      <c r="N243" s="165"/>
      <c r="O243" s="165"/>
      <c r="P243" s="165"/>
      <c r="Q243" s="191"/>
      <c r="R243" s="191"/>
      <c r="S243" s="191"/>
    </row>
    <row r="244" spans="5:19" x14ac:dyDescent="0.3">
      <c r="E244" s="165"/>
      <c r="F244" s="165"/>
      <c r="G244" s="165"/>
      <c r="H244" s="165"/>
      <c r="I244" s="191"/>
      <c r="J244" s="191"/>
      <c r="K244" s="191"/>
      <c r="L244" s="165"/>
      <c r="M244" s="165"/>
      <c r="N244" s="165"/>
      <c r="O244" s="165"/>
      <c r="P244" s="165"/>
      <c r="Q244" s="191"/>
      <c r="R244" s="191"/>
      <c r="S244" s="191"/>
    </row>
    <row r="245" spans="5:19" x14ac:dyDescent="0.3">
      <c r="E245" s="165"/>
      <c r="F245" s="165"/>
      <c r="G245" s="165"/>
      <c r="H245" s="165"/>
      <c r="I245" s="191"/>
      <c r="J245" s="191"/>
      <c r="K245" s="191"/>
      <c r="L245" s="165"/>
      <c r="M245" s="165"/>
      <c r="N245" s="165"/>
      <c r="O245" s="165"/>
      <c r="P245" s="165"/>
      <c r="Q245" s="191"/>
      <c r="R245" s="191"/>
      <c r="S245" s="191"/>
    </row>
    <row r="246" spans="5:19" x14ac:dyDescent="0.3">
      <c r="E246" s="165"/>
      <c r="F246" s="165"/>
      <c r="G246" s="165"/>
      <c r="H246" s="165"/>
      <c r="I246" s="191"/>
      <c r="J246" s="191"/>
      <c r="K246" s="191"/>
      <c r="L246" s="165"/>
      <c r="M246" s="165"/>
      <c r="N246" s="165"/>
      <c r="O246" s="165"/>
      <c r="P246" s="165"/>
      <c r="Q246" s="191"/>
      <c r="R246" s="191"/>
      <c r="S246" s="191"/>
    </row>
    <row r="247" spans="5:19" x14ac:dyDescent="0.3">
      <c r="E247" s="165"/>
      <c r="F247" s="165"/>
      <c r="G247" s="165"/>
      <c r="H247" s="165"/>
      <c r="I247" s="191"/>
      <c r="J247" s="191"/>
      <c r="K247" s="191"/>
      <c r="L247" s="165"/>
      <c r="M247" s="165"/>
      <c r="N247" s="165"/>
      <c r="O247" s="165"/>
      <c r="P247" s="165"/>
      <c r="Q247" s="191"/>
      <c r="R247" s="191"/>
      <c r="S247" s="191"/>
    </row>
    <row r="248" spans="5:19" x14ac:dyDescent="0.3">
      <c r="E248" s="165"/>
      <c r="F248" s="165"/>
      <c r="G248" s="165"/>
      <c r="H248" s="165"/>
      <c r="I248" s="191"/>
      <c r="J248" s="191"/>
      <c r="K248" s="191"/>
      <c r="L248" s="165"/>
      <c r="M248" s="165"/>
      <c r="N248" s="165"/>
      <c r="O248" s="165"/>
      <c r="P248" s="165"/>
      <c r="Q248" s="191"/>
      <c r="R248" s="191"/>
      <c r="S248" s="191"/>
    </row>
    <row r="249" spans="5:19" x14ac:dyDescent="0.3">
      <c r="E249" s="165"/>
      <c r="F249" s="165"/>
      <c r="G249" s="165"/>
      <c r="H249" s="165"/>
      <c r="I249" s="191"/>
      <c r="J249" s="191"/>
      <c r="K249" s="191"/>
      <c r="L249" s="165"/>
      <c r="M249" s="165"/>
      <c r="N249" s="165"/>
      <c r="O249" s="165"/>
      <c r="P249" s="165"/>
      <c r="Q249" s="191"/>
      <c r="R249" s="191"/>
      <c r="S249" s="191"/>
    </row>
    <row r="250" spans="5:19" x14ac:dyDescent="0.3">
      <c r="E250" s="165"/>
      <c r="F250" s="165"/>
      <c r="G250" s="165"/>
      <c r="H250" s="165"/>
      <c r="I250" s="191"/>
      <c r="J250" s="191"/>
      <c r="K250" s="191"/>
      <c r="L250" s="165"/>
      <c r="M250" s="165"/>
      <c r="N250" s="165"/>
      <c r="O250" s="165"/>
      <c r="P250" s="165"/>
      <c r="Q250" s="191"/>
      <c r="R250" s="191"/>
      <c r="S250" s="191"/>
    </row>
    <row r="251" spans="5:19" x14ac:dyDescent="0.3">
      <c r="E251" s="165"/>
      <c r="F251" s="165"/>
      <c r="G251" s="165"/>
      <c r="H251" s="165"/>
      <c r="I251" s="191"/>
      <c r="J251" s="191"/>
      <c r="K251" s="191"/>
      <c r="L251" s="165"/>
      <c r="M251" s="165"/>
      <c r="N251" s="165"/>
      <c r="O251" s="165"/>
      <c r="P251" s="165"/>
      <c r="Q251" s="191"/>
      <c r="R251" s="191"/>
      <c r="S251" s="191"/>
    </row>
    <row r="252" spans="5:19" x14ac:dyDescent="0.3">
      <c r="E252" s="165"/>
      <c r="F252" s="165"/>
      <c r="G252" s="165"/>
      <c r="H252" s="165"/>
      <c r="I252" s="191"/>
      <c r="J252" s="191"/>
      <c r="K252" s="191"/>
      <c r="L252" s="165"/>
      <c r="M252" s="165"/>
      <c r="N252" s="165"/>
      <c r="O252" s="165"/>
      <c r="P252" s="165"/>
      <c r="Q252" s="191"/>
      <c r="R252" s="191"/>
      <c r="S252" s="191"/>
    </row>
    <row r="253" spans="5:19" x14ac:dyDescent="0.3">
      <c r="E253" s="165"/>
      <c r="F253" s="165"/>
      <c r="G253" s="165"/>
      <c r="H253" s="165"/>
      <c r="I253" s="191"/>
      <c r="J253" s="191"/>
      <c r="K253" s="191"/>
      <c r="L253" s="165"/>
      <c r="M253" s="165"/>
      <c r="N253" s="165"/>
      <c r="O253" s="165"/>
      <c r="P253" s="165"/>
      <c r="Q253" s="191"/>
      <c r="R253" s="191"/>
      <c r="S253" s="191"/>
    </row>
    <row r="254" spans="5:19" x14ac:dyDescent="0.3">
      <c r="E254" s="165"/>
      <c r="F254" s="165"/>
      <c r="G254" s="165"/>
      <c r="H254" s="165"/>
      <c r="I254" s="191"/>
      <c r="J254" s="191"/>
      <c r="K254" s="191"/>
      <c r="L254" s="165"/>
      <c r="M254" s="165"/>
      <c r="N254" s="165"/>
      <c r="O254" s="165"/>
      <c r="P254" s="165"/>
      <c r="Q254" s="191"/>
      <c r="R254" s="191"/>
      <c r="S254" s="191"/>
    </row>
    <row r="255" spans="5:19" x14ac:dyDescent="0.3">
      <c r="E255" s="165"/>
      <c r="F255" s="165"/>
      <c r="G255" s="165"/>
      <c r="H255" s="165"/>
      <c r="I255" s="191"/>
      <c r="J255" s="191"/>
      <c r="K255" s="191"/>
      <c r="L255" s="165"/>
      <c r="M255" s="165"/>
      <c r="N255" s="165"/>
      <c r="O255" s="165"/>
      <c r="P255" s="165"/>
      <c r="Q255" s="191"/>
      <c r="R255" s="191"/>
      <c r="S255" s="191"/>
    </row>
    <row r="256" spans="5:19" x14ac:dyDescent="0.3">
      <c r="E256" s="165"/>
      <c r="F256" s="165"/>
      <c r="G256" s="165"/>
      <c r="H256" s="165"/>
      <c r="I256" s="191"/>
      <c r="J256" s="191"/>
      <c r="K256" s="191"/>
      <c r="L256" s="165"/>
      <c r="M256" s="165"/>
      <c r="N256" s="165"/>
      <c r="O256" s="165"/>
      <c r="P256" s="165"/>
      <c r="Q256" s="191"/>
      <c r="R256" s="191"/>
      <c r="S256" s="191"/>
    </row>
    <row r="257" spans="5:19" x14ac:dyDescent="0.3">
      <c r="E257" s="165"/>
      <c r="F257" s="165"/>
      <c r="G257" s="165"/>
      <c r="H257" s="165"/>
      <c r="I257" s="191"/>
      <c r="J257" s="191"/>
      <c r="K257" s="191"/>
      <c r="L257" s="165"/>
      <c r="M257" s="165"/>
      <c r="N257" s="165"/>
      <c r="O257" s="165"/>
      <c r="P257" s="165"/>
      <c r="Q257" s="191"/>
      <c r="R257" s="191"/>
      <c r="S257" s="191"/>
    </row>
    <row r="258" spans="5:19" x14ac:dyDescent="0.3">
      <c r="E258" s="165"/>
      <c r="F258" s="165"/>
      <c r="G258" s="165"/>
      <c r="H258" s="165"/>
      <c r="I258" s="191"/>
      <c r="J258" s="191"/>
      <c r="K258" s="191"/>
      <c r="L258" s="165"/>
      <c r="M258" s="165"/>
      <c r="N258" s="165"/>
      <c r="O258" s="165"/>
      <c r="P258" s="165"/>
      <c r="Q258" s="191"/>
      <c r="R258" s="191"/>
      <c r="S258" s="191"/>
    </row>
    <row r="259" spans="5:19" x14ac:dyDescent="0.3">
      <c r="E259" s="165"/>
      <c r="F259" s="165"/>
      <c r="G259" s="165"/>
      <c r="H259" s="165"/>
      <c r="I259" s="191"/>
      <c r="J259" s="191"/>
      <c r="K259" s="191"/>
      <c r="L259" s="165"/>
      <c r="M259" s="165"/>
      <c r="N259" s="165"/>
      <c r="O259" s="165"/>
      <c r="P259" s="165"/>
      <c r="Q259" s="191"/>
      <c r="R259" s="191"/>
      <c r="S259" s="191"/>
    </row>
    <row r="260" spans="5:19" x14ac:dyDescent="0.3">
      <c r="E260" s="165"/>
      <c r="F260" s="165"/>
      <c r="G260" s="165"/>
      <c r="H260" s="165"/>
      <c r="I260" s="191"/>
      <c r="J260" s="191"/>
      <c r="K260" s="191"/>
      <c r="L260" s="165"/>
      <c r="M260" s="165"/>
      <c r="N260" s="165"/>
      <c r="O260" s="165"/>
      <c r="P260" s="165"/>
      <c r="Q260" s="191"/>
      <c r="R260" s="191"/>
      <c r="S260" s="191"/>
    </row>
    <row r="261" spans="5:19" x14ac:dyDescent="0.3">
      <c r="E261" s="165"/>
      <c r="F261" s="165"/>
      <c r="G261" s="165"/>
      <c r="H261" s="165"/>
      <c r="I261" s="191"/>
      <c r="J261" s="191"/>
      <c r="K261" s="191"/>
      <c r="L261" s="165"/>
      <c r="M261" s="165"/>
      <c r="N261" s="165"/>
      <c r="O261" s="165"/>
      <c r="P261" s="165"/>
      <c r="Q261" s="191"/>
      <c r="R261" s="191"/>
      <c r="S261" s="191"/>
    </row>
    <row r="262" spans="5:19" x14ac:dyDescent="0.3">
      <c r="E262" s="165"/>
      <c r="F262" s="165"/>
      <c r="G262" s="165"/>
      <c r="H262" s="165"/>
      <c r="I262" s="191"/>
      <c r="J262" s="191"/>
      <c r="K262" s="191"/>
      <c r="L262" s="165"/>
      <c r="M262" s="165"/>
      <c r="N262" s="165"/>
      <c r="O262" s="165"/>
      <c r="P262" s="165"/>
      <c r="Q262" s="191"/>
      <c r="R262" s="191"/>
      <c r="S262" s="191"/>
    </row>
    <row r="263" spans="5:19" x14ac:dyDescent="0.3">
      <c r="E263" s="165"/>
      <c r="F263" s="165"/>
      <c r="G263" s="165"/>
      <c r="H263" s="165"/>
      <c r="I263" s="191"/>
      <c r="J263" s="191"/>
      <c r="K263" s="191"/>
      <c r="L263" s="165"/>
      <c r="M263" s="165"/>
      <c r="N263" s="165"/>
      <c r="O263" s="165"/>
      <c r="P263" s="165"/>
      <c r="Q263" s="191"/>
      <c r="R263" s="191"/>
      <c r="S263" s="191"/>
    </row>
    <row r="264" spans="5:19" x14ac:dyDescent="0.3">
      <c r="E264" s="165"/>
      <c r="F264" s="165"/>
      <c r="G264" s="165"/>
      <c r="H264" s="165"/>
      <c r="I264" s="191"/>
      <c r="J264" s="191"/>
      <c r="K264" s="191"/>
      <c r="L264" s="165"/>
      <c r="M264" s="165"/>
      <c r="N264" s="165"/>
      <c r="O264" s="165"/>
      <c r="P264" s="165"/>
      <c r="Q264" s="191"/>
      <c r="R264" s="191"/>
      <c r="S264" s="191"/>
    </row>
    <row r="265" spans="5:19" x14ac:dyDescent="0.3">
      <c r="E265" s="165"/>
      <c r="F265" s="165"/>
      <c r="G265" s="165"/>
      <c r="H265" s="165"/>
      <c r="I265" s="191"/>
      <c r="J265" s="191"/>
      <c r="K265" s="191"/>
      <c r="L265" s="165"/>
      <c r="M265" s="165"/>
      <c r="N265" s="165"/>
      <c r="O265" s="165"/>
      <c r="P265" s="165"/>
      <c r="Q265" s="191"/>
      <c r="R265" s="191"/>
      <c r="S265" s="191"/>
    </row>
    <row r="266" spans="5:19" x14ac:dyDescent="0.3">
      <c r="E266" s="165"/>
      <c r="F266" s="165"/>
      <c r="G266" s="165"/>
      <c r="H266" s="165"/>
      <c r="I266" s="191"/>
      <c r="J266" s="191"/>
      <c r="K266" s="191"/>
      <c r="L266" s="165"/>
      <c r="M266" s="165"/>
      <c r="N266" s="165"/>
      <c r="O266" s="165"/>
      <c r="P266" s="165"/>
      <c r="Q266" s="191"/>
      <c r="R266" s="191"/>
      <c r="S266" s="191"/>
    </row>
    <row r="267" spans="5:19" x14ac:dyDescent="0.3">
      <c r="E267" s="165"/>
      <c r="F267" s="165"/>
      <c r="G267" s="165"/>
      <c r="H267" s="165"/>
      <c r="I267" s="191"/>
      <c r="J267" s="191"/>
      <c r="K267" s="191"/>
      <c r="L267" s="165"/>
      <c r="M267" s="165"/>
      <c r="N267" s="165"/>
      <c r="O267" s="165"/>
      <c r="P267" s="165"/>
      <c r="Q267" s="191"/>
      <c r="R267" s="191"/>
      <c r="S267" s="191"/>
    </row>
    <row r="268" spans="5:19" x14ac:dyDescent="0.3">
      <c r="E268" s="165"/>
      <c r="F268" s="165"/>
      <c r="G268" s="165"/>
      <c r="H268" s="165"/>
      <c r="I268" s="191"/>
      <c r="J268" s="191"/>
      <c r="K268" s="191"/>
      <c r="L268" s="165"/>
      <c r="M268" s="165"/>
      <c r="N268" s="165"/>
      <c r="O268" s="165"/>
      <c r="P268" s="165"/>
      <c r="Q268" s="191"/>
      <c r="R268" s="191"/>
      <c r="S268" s="191"/>
    </row>
    <row r="269" spans="5:19" x14ac:dyDescent="0.3">
      <c r="E269" s="165"/>
      <c r="F269" s="165"/>
      <c r="G269" s="165"/>
      <c r="H269" s="165"/>
      <c r="I269" s="191"/>
      <c r="J269" s="191"/>
      <c r="K269" s="191"/>
      <c r="L269" s="165"/>
      <c r="M269" s="165"/>
      <c r="N269" s="165"/>
      <c r="O269" s="165"/>
      <c r="P269" s="165"/>
      <c r="Q269" s="191"/>
      <c r="R269" s="191"/>
      <c r="S269" s="191"/>
    </row>
    <row r="270" spans="5:19" x14ac:dyDescent="0.3">
      <c r="E270" s="165"/>
      <c r="F270" s="165"/>
      <c r="G270" s="165"/>
      <c r="H270" s="165"/>
      <c r="I270" s="191"/>
      <c r="J270" s="191"/>
      <c r="K270" s="191"/>
      <c r="L270" s="165"/>
      <c r="M270" s="165"/>
      <c r="N270" s="165"/>
      <c r="O270" s="165"/>
      <c r="P270" s="165"/>
      <c r="Q270" s="191"/>
      <c r="R270" s="191"/>
      <c r="S270" s="191"/>
    </row>
    <row r="271" spans="5:19" x14ac:dyDescent="0.3">
      <c r="E271" s="165"/>
      <c r="F271" s="165"/>
      <c r="G271" s="165"/>
      <c r="H271" s="165"/>
      <c r="I271" s="191"/>
      <c r="J271" s="191"/>
      <c r="K271" s="191"/>
      <c r="L271" s="165"/>
      <c r="M271" s="165"/>
      <c r="N271" s="165"/>
      <c r="O271" s="165"/>
      <c r="P271" s="165"/>
      <c r="Q271" s="191"/>
      <c r="R271" s="191"/>
      <c r="S271" s="191"/>
    </row>
    <row r="272" spans="5:19" x14ac:dyDescent="0.3">
      <c r="E272" s="165"/>
      <c r="F272" s="165"/>
      <c r="G272" s="165"/>
      <c r="H272" s="165"/>
      <c r="I272" s="191"/>
      <c r="J272" s="191"/>
      <c r="K272" s="191"/>
      <c r="L272" s="165"/>
      <c r="M272" s="165"/>
      <c r="N272" s="165"/>
      <c r="O272" s="165"/>
      <c r="P272" s="165"/>
      <c r="Q272" s="191"/>
      <c r="R272" s="191"/>
      <c r="S272" s="191"/>
    </row>
    <row r="273" spans="5:19" x14ac:dyDescent="0.3">
      <c r="E273" s="165"/>
      <c r="F273" s="165"/>
      <c r="G273" s="165"/>
      <c r="H273" s="165"/>
      <c r="I273" s="191"/>
      <c r="J273" s="191"/>
      <c r="K273" s="191"/>
      <c r="L273" s="165"/>
      <c r="M273" s="165"/>
      <c r="N273" s="165"/>
      <c r="O273" s="165"/>
      <c r="P273" s="165"/>
      <c r="Q273" s="191"/>
      <c r="R273" s="191"/>
      <c r="S273" s="191"/>
    </row>
    <row r="274" spans="5:19" x14ac:dyDescent="0.3">
      <c r="E274" s="165"/>
      <c r="F274" s="165"/>
      <c r="G274" s="165"/>
      <c r="H274" s="165"/>
      <c r="I274" s="191"/>
      <c r="J274" s="191"/>
      <c r="K274" s="191"/>
      <c r="L274" s="165"/>
      <c r="M274" s="165"/>
      <c r="N274" s="165"/>
      <c r="O274" s="165"/>
      <c r="P274" s="165"/>
      <c r="Q274" s="191"/>
      <c r="R274" s="191"/>
      <c r="S274" s="191"/>
    </row>
    <row r="275" spans="5:19" x14ac:dyDescent="0.3">
      <c r="E275" s="165"/>
      <c r="F275" s="165"/>
      <c r="G275" s="165"/>
      <c r="H275" s="165"/>
      <c r="I275" s="191"/>
      <c r="J275" s="191"/>
      <c r="K275" s="191"/>
      <c r="L275" s="165"/>
      <c r="M275" s="165"/>
      <c r="N275" s="165"/>
      <c r="O275" s="165"/>
      <c r="P275" s="165"/>
      <c r="Q275" s="191"/>
      <c r="R275" s="191"/>
      <c r="S275" s="191"/>
    </row>
    <row r="276" spans="5:19" x14ac:dyDescent="0.3">
      <c r="E276" s="165"/>
      <c r="F276" s="165"/>
      <c r="G276" s="165"/>
      <c r="H276" s="165"/>
      <c r="I276" s="191"/>
      <c r="J276" s="191"/>
      <c r="K276" s="191"/>
      <c r="L276" s="165"/>
      <c r="M276" s="165"/>
      <c r="N276" s="165"/>
      <c r="O276" s="165"/>
      <c r="P276" s="165"/>
      <c r="Q276" s="191"/>
      <c r="R276" s="191"/>
      <c r="S276" s="191"/>
    </row>
    <row r="277" spans="5:19" x14ac:dyDescent="0.3">
      <c r="E277" s="165"/>
      <c r="F277" s="165"/>
      <c r="G277" s="165"/>
      <c r="H277" s="165"/>
      <c r="I277" s="191"/>
      <c r="J277" s="191"/>
      <c r="K277" s="191"/>
      <c r="L277" s="165"/>
      <c r="M277" s="165"/>
      <c r="N277" s="165"/>
      <c r="O277" s="165"/>
      <c r="P277" s="165"/>
      <c r="Q277" s="191"/>
      <c r="R277" s="191"/>
      <c r="S277" s="191"/>
    </row>
    <row r="278" spans="5:19" x14ac:dyDescent="0.3">
      <c r="E278" s="165"/>
      <c r="F278" s="165"/>
      <c r="G278" s="165"/>
      <c r="H278" s="165"/>
      <c r="I278" s="191"/>
      <c r="J278" s="191"/>
      <c r="K278" s="191"/>
      <c r="L278" s="165"/>
      <c r="M278" s="165"/>
      <c r="N278" s="165"/>
      <c r="O278" s="165"/>
      <c r="P278" s="165"/>
      <c r="Q278" s="191"/>
      <c r="R278" s="191"/>
      <c r="S278" s="191"/>
    </row>
    <row r="279" spans="5:19" x14ac:dyDescent="0.3">
      <c r="E279" s="165"/>
      <c r="F279" s="165"/>
      <c r="G279" s="165"/>
      <c r="H279" s="165"/>
      <c r="I279" s="191"/>
      <c r="J279" s="191"/>
      <c r="K279" s="191"/>
      <c r="L279" s="165"/>
      <c r="M279" s="165"/>
      <c r="N279" s="165"/>
      <c r="O279" s="165"/>
      <c r="P279" s="165"/>
      <c r="Q279" s="191"/>
      <c r="R279" s="191"/>
      <c r="S279" s="191"/>
    </row>
    <row r="280" spans="5:19" x14ac:dyDescent="0.3">
      <c r="E280" s="165"/>
      <c r="F280" s="165"/>
      <c r="G280" s="165"/>
      <c r="H280" s="165"/>
      <c r="I280" s="191"/>
      <c r="J280" s="191"/>
      <c r="K280" s="191"/>
      <c r="L280" s="165"/>
      <c r="M280" s="165"/>
      <c r="N280" s="165"/>
      <c r="O280" s="165"/>
      <c r="P280" s="165"/>
      <c r="Q280" s="191"/>
      <c r="R280" s="191"/>
      <c r="S280" s="191"/>
    </row>
    <row r="281" spans="5:19" x14ac:dyDescent="0.3">
      <c r="E281" s="165"/>
      <c r="F281" s="165"/>
      <c r="G281" s="165"/>
      <c r="H281" s="165"/>
      <c r="I281" s="191"/>
      <c r="J281" s="191"/>
      <c r="K281" s="191"/>
      <c r="L281" s="165"/>
      <c r="M281" s="165"/>
      <c r="N281" s="165"/>
      <c r="O281" s="165"/>
      <c r="P281" s="165"/>
      <c r="Q281" s="191"/>
      <c r="R281" s="191"/>
      <c r="S281" s="191"/>
    </row>
    <row r="282" spans="5:19" x14ac:dyDescent="0.3">
      <c r="E282" s="165"/>
      <c r="F282" s="165"/>
      <c r="G282" s="165"/>
      <c r="H282" s="165"/>
      <c r="I282" s="191"/>
      <c r="J282" s="191"/>
      <c r="K282" s="191"/>
      <c r="L282" s="165"/>
      <c r="M282" s="165"/>
      <c r="N282" s="165"/>
      <c r="O282" s="165"/>
      <c r="P282" s="165"/>
      <c r="Q282" s="191"/>
      <c r="R282" s="191"/>
      <c r="S282" s="191"/>
    </row>
    <row r="283" spans="5:19" x14ac:dyDescent="0.3">
      <c r="E283" s="165"/>
      <c r="F283" s="165"/>
      <c r="G283" s="165"/>
      <c r="H283" s="165"/>
      <c r="I283" s="191"/>
      <c r="J283" s="191"/>
      <c r="K283" s="191"/>
      <c r="L283" s="165"/>
      <c r="M283" s="165"/>
      <c r="N283" s="165"/>
      <c r="O283" s="165"/>
      <c r="P283" s="165"/>
      <c r="Q283" s="191"/>
      <c r="R283" s="191"/>
      <c r="S283" s="191"/>
    </row>
    <row r="284" spans="5:19" x14ac:dyDescent="0.3">
      <c r="E284" s="165"/>
      <c r="F284" s="165"/>
      <c r="G284" s="165"/>
      <c r="H284" s="165"/>
      <c r="I284" s="191"/>
      <c r="J284" s="191"/>
      <c r="K284" s="191"/>
      <c r="L284" s="165"/>
      <c r="M284" s="165"/>
      <c r="N284" s="165"/>
      <c r="O284" s="165"/>
      <c r="P284" s="165"/>
      <c r="Q284" s="191"/>
      <c r="R284" s="191"/>
      <c r="S284" s="191"/>
    </row>
    <row r="285" spans="5:19" x14ac:dyDescent="0.3">
      <c r="E285" s="165"/>
      <c r="F285" s="165"/>
      <c r="G285" s="165"/>
      <c r="H285" s="165"/>
      <c r="I285" s="191"/>
      <c r="J285" s="191"/>
      <c r="K285" s="191"/>
      <c r="L285" s="165"/>
      <c r="M285" s="165"/>
      <c r="N285" s="165"/>
      <c r="O285" s="165"/>
      <c r="P285" s="165"/>
      <c r="Q285" s="191"/>
      <c r="R285" s="191"/>
      <c r="S285" s="191"/>
    </row>
    <row r="286" spans="5:19" x14ac:dyDescent="0.3">
      <c r="E286" s="165"/>
      <c r="F286" s="165"/>
      <c r="G286" s="165"/>
      <c r="H286" s="165"/>
      <c r="I286" s="191"/>
      <c r="J286" s="191"/>
      <c r="K286" s="191"/>
      <c r="L286" s="165"/>
      <c r="M286" s="165"/>
      <c r="N286" s="165"/>
      <c r="O286" s="165"/>
      <c r="P286" s="165"/>
      <c r="Q286" s="191"/>
      <c r="R286" s="191"/>
      <c r="S286" s="191"/>
    </row>
    <row r="287" spans="5:19" x14ac:dyDescent="0.3">
      <c r="E287" s="165"/>
      <c r="F287" s="165"/>
      <c r="G287" s="165"/>
      <c r="H287" s="165"/>
      <c r="I287" s="191"/>
      <c r="J287" s="191"/>
      <c r="K287" s="191"/>
      <c r="L287" s="165"/>
      <c r="M287" s="165"/>
      <c r="N287" s="165"/>
      <c r="O287" s="165"/>
      <c r="P287" s="165"/>
      <c r="Q287" s="191"/>
      <c r="R287" s="191"/>
      <c r="S287" s="191"/>
    </row>
    <row r="288" spans="5:19" x14ac:dyDescent="0.3">
      <c r="E288" s="165"/>
      <c r="F288" s="165"/>
      <c r="G288" s="165"/>
      <c r="H288" s="165"/>
      <c r="I288" s="191"/>
      <c r="J288" s="191"/>
      <c r="K288" s="191"/>
      <c r="L288" s="165"/>
      <c r="M288" s="165"/>
      <c r="N288" s="165"/>
      <c r="O288" s="165"/>
      <c r="P288" s="165"/>
      <c r="Q288" s="191"/>
      <c r="R288" s="191"/>
      <c r="S288" s="191"/>
    </row>
    <row r="289" spans="5:19" x14ac:dyDescent="0.3">
      <c r="E289" s="165"/>
      <c r="F289" s="165"/>
      <c r="G289" s="165"/>
      <c r="H289" s="165"/>
      <c r="I289" s="191"/>
      <c r="J289" s="191"/>
      <c r="K289" s="191"/>
      <c r="L289" s="165"/>
      <c r="M289" s="165"/>
      <c r="N289" s="165"/>
      <c r="O289" s="165"/>
      <c r="P289" s="165"/>
      <c r="Q289" s="191"/>
      <c r="R289" s="191"/>
      <c r="S289" s="191"/>
    </row>
    <row r="290" spans="5:19" x14ac:dyDescent="0.3">
      <c r="E290" s="165"/>
      <c r="F290" s="165"/>
      <c r="G290" s="165"/>
      <c r="H290" s="165"/>
      <c r="I290" s="191"/>
      <c r="J290" s="191"/>
      <c r="K290" s="191"/>
      <c r="L290" s="165"/>
      <c r="M290" s="165"/>
      <c r="N290" s="165"/>
      <c r="O290" s="165"/>
      <c r="P290" s="165"/>
      <c r="Q290" s="191"/>
      <c r="R290" s="191"/>
      <c r="S290" s="191"/>
    </row>
    <row r="291" spans="5:19" x14ac:dyDescent="0.3">
      <c r="E291" s="165"/>
      <c r="F291" s="165"/>
      <c r="G291" s="165"/>
      <c r="H291" s="165"/>
      <c r="I291" s="191"/>
      <c r="J291" s="191"/>
      <c r="K291" s="191"/>
      <c r="L291" s="165"/>
      <c r="M291" s="165"/>
      <c r="N291" s="165"/>
      <c r="O291" s="165"/>
      <c r="P291" s="165"/>
      <c r="Q291" s="191"/>
      <c r="R291" s="191"/>
      <c r="S291" s="191"/>
    </row>
    <row r="292" spans="5:19" x14ac:dyDescent="0.3">
      <c r="E292" s="165"/>
      <c r="F292" s="165"/>
      <c r="G292" s="165"/>
      <c r="H292" s="165"/>
      <c r="I292" s="191"/>
      <c r="J292" s="191"/>
      <c r="K292" s="191"/>
      <c r="L292" s="165"/>
      <c r="M292" s="165"/>
      <c r="N292" s="165"/>
      <c r="O292" s="165"/>
      <c r="P292" s="165"/>
      <c r="Q292" s="191"/>
      <c r="R292" s="191"/>
      <c r="S292" s="191"/>
    </row>
    <row r="293" spans="5:19" x14ac:dyDescent="0.3">
      <c r="E293" s="165"/>
      <c r="F293" s="165"/>
      <c r="G293" s="165"/>
      <c r="H293" s="165"/>
      <c r="I293" s="191"/>
      <c r="J293" s="191"/>
      <c r="K293" s="191"/>
      <c r="L293" s="165"/>
      <c r="M293" s="165"/>
      <c r="N293" s="165"/>
      <c r="O293" s="165"/>
      <c r="P293" s="165"/>
      <c r="Q293" s="191"/>
      <c r="R293" s="191"/>
      <c r="S293" s="191"/>
    </row>
    <row r="294" spans="5:19" x14ac:dyDescent="0.3">
      <c r="E294" s="165"/>
      <c r="F294" s="165"/>
      <c r="G294" s="165"/>
      <c r="H294" s="165"/>
      <c r="I294" s="191"/>
      <c r="J294" s="191"/>
      <c r="K294" s="191"/>
      <c r="L294" s="165"/>
      <c r="M294" s="165"/>
      <c r="N294" s="165"/>
      <c r="O294" s="165"/>
      <c r="P294" s="165"/>
      <c r="Q294" s="191"/>
      <c r="R294" s="191"/>
      <c r="S294" s="191"/>
    </row>
    <row r="295" spans="5:19" x14ac:dyDescent="0.3">
      <c r="E295" s="165"/>
      <c r="F295" s="165"/>
      <c r="G295" s="165"/>
      <c r="H295" s="165"/>
      <c r="I295" s="191"/>
      <c r="J295" s="191"/>
      <c r="K295" s="191"/>
      <c r="L295" s="165"/>
      <c r="M295" s="165"/>
      <c r="N295" s="165"/>
      <c r="O295" s="165"/>
      <c r="P295" s="165"/>
      <c r="Q295" s="191"/>
      <c r="R295" s="191"/>
      <c r="S295" s="191"/>
    </row>
    <row r="296" spans="5:19" x14ac:dyDescent="0.3">
      <c r="E296" s="165"/>
      <c r="F296" s="165"/>
      <c r="G296" s="165"/>
      <c r="H296" s="165"/>
      <c r="I296" s="191"/>
      <c r="J296" s="191"/>
      <c r="K296" s="191"/>
      <c r="L296" s="165"/>
      <c r="M296" s="165"/>
      <c r="N296" s="165"/>
      <c r="O296" s="165"/>
      <c r="P296" s="165"/>
      <c r="Q296" s="191"/>
      <c r="R296" s="191"/>
      <c r="S296" s="191"/>
    </row>
    <row r="297" spans="5:19" x14ac:dyDescent="0.3">
      <c r="E297" s="165"/>
      <c r="F297" s="165"/>
      <c r="G297" s="165"/>
      <c r="H297" s="165"/>
      <c r="I297" s="191"/>
      <c r="J297" s="191"/>
      <c r="K297" s="191"/>
      <c r="L297" s="165"/>
      <c r="M297" s="165"/>
      <c r="N297" s="165"/>
      <c r="O297" s="165"/>
      <c r="P297" s="165"/>
      <c r="Q297" s="191"/>
      <c r="R297" s="191"/>
      <c r="S297" s="191"/>
    </row>
    <row r="298" spans="5:19" x14ac:dyDescent="0.3">
      <c r="E298" s="165"/>
      <c r="F298" s="165"/>
      <c r="G298" s="165"/>
      <c r="H298" s="165"/>
      <c r="I298" s="191"/>
      <c r="J298" s="191"/>
      <c r="K298" s="191"/>
      <c r="L298" s="165"/>
      <c r="M298" s="165"/>
      <c r="N298" s="165"/>
      <c r="O298" s="165"/>
      <c r="P298" s="165"/>
      <c r="Q298" s="191"/>
      <c r="R298" s="191"/>
      <c r="S298" s="191"/>
    </row>
    <row r="299" spans="5:19" x14ac:dyDescent="0.3">
      <c r="E299" s="165"/>
      <c r="F299" s="165"/>
      <c r="G299" s="165"/>
      <c r="H299" s="165"/>
      <c r="I299" s="191"/>
      <c r="J299" s="191"/>
      <c r="K299" s="191"/>
      <c r="L299" s="165"/>
      <c r="M299" s="165"/>
      <c r="N299" s="165"/>
      <c r="O299" s="165"/>
      <c r="P299" s="165"/>
      <c r="Q299" s="191"/>
      <c r="R299" s="191"/>
      <c r="S299" s="191"/>
    </row>
    <row r="300" spans="5:19" x14ac:dyDescent="0.3">
      <c r="E300" s="165"/>
      <c r="F300" s="165"/>
      <c r="G300" s="165"/>
      <c r="H300" s="165"/>
      <c r="I300" s="191"/>
      <c r="J300" s="191"/>
      <c r="K300" s="191"/>
      <c r="L300" s="165"/>
      <c r="M300" s="165"/>
      <c r="N300" s="165"/>
      <c r="O300" s="165"/>
      <c r="P300" s="165"/>
      <c r="Q300" s="191"/>
      <c r="R300" s="191"/>
      <c r="S300" s="191"/>
    </row>
    <row r="301" spans="5:19" x14ac:dyDescent="0.3">
      <c r="E301" s="165"/>
      <c r="F301" s="165"/>
      <c r="G301" s="165"/>
      <c r="H301" s="165"/>
      <c r="I301" s="191"/>
      <c r="J301" s="191"/>
      <c r="K301" s="191"/>
      <c r="L301" s="165"/>
      <c r="M301" s="165"/>
      <c r="N301" s="165"/>
      <c r="O301" s="165"/>
      <c r="P301" s="165"/>
      <c r="Q301" s="191"/>
      <c r="R301" s="191"/>
      <c r="S301" s="191"/>
    </row>
    <row r="302" spans="5:19" x14ac:dyDescent="0.3">
      <c r="E302" s="165"/>
      <c r="F302" s="165"/>
      <c r="G302" s="165"/>
      <c r="H302" s="165"/>
      <c r="I302" s="191"/>
      <c r="J302" s="191"/>
      <c r="K302" s="191"/>
      <c r="L302" s="165"/>
      <c r="M302" s="165"/>
      <c r="N302" s="165"/>
      <c r="O302" s="165"/>
      <c r="P302" s="165"/>
      <c r="Q302" s="191"/>
      <c r="R302" s="191"/>
      <c r="S302" s="191"/>
    </row>
    <row r="303" spans="5:19" x14ac:dyDescent="0.3">
      <c r="E303" s="165"/>
      <c r="F303" s="165"/>
      <c r="G303" s="165"/>
      <c r="H303" s="165"/>
      <c r="I303" s="191"/>
      <c r="J303" s="191"/>
      <c r="K303" s="191"/>
      <c r="L303" s="165"/>
      <c r="M303" s="165"/>
      <c r="N303" s="165"/>
      <c r="O303" s="165"/>
      <c r="P303" s="165"/>
      <c r="Q303" s="191"/>
      <c r="R303" s="191"/>
      <c r="S303" s="191"/>
    </row>
    <row r="304" spans="5:19" x14ac:dyDescent="0.3">
      <c r="E304" s="165"/>
      <c r="F304" s="165"/>
      <c r="G304" s="165"/>
      <c r="H304" s="165"/>
      <c r="I304" s="191"/>
      <c r="J304" s="191"/>
      <c r="K304" s="191"/>
      <c r="L304" s="165"/>
      <c r="M304" s="165"/>
      <c r="N304" s="165"/>
      <c r="O304" s="165"/>
      <c r="P304" s="165"/>
      <c r="Q304" s="191"/>
      <c r="R304" s="191"/>
      <c r="S304" s="191"/>
    </row>
    <row r="305" spans="5:19" x14ac:dyDescent="0.3">
      <c r="E305" s="165"/>
      <c r="F305" s="165"/>
      <c r="G305" s="165"/>
      <c r="H305" s="165"/>
      <c r="I305" s="191"/>
      <c r="J305" s="191"/>
      <c r="K305" s="191"/>
      <c r="L305" s="165"/>
      <c r="M305" s="165"/>
      <c r="N305" s="165"/>
      <c r="O305" s="165"/>
      <c r="P305" s="165"/>
      <c r="Q305" s="191"/>
      <c r="R305" s="191"/>
      <c r="S305" s="191"/>
    </row>
    <row r="306" spans="5:19" x14ac:dyDescent="0.3">
      <c r="E306" s="165"/>
      <c r="F306" s="165"/>
      <c r="G306" s="165"/>
      <c r="H306" s="165"/>
      <c r="I306" s="191"/>
      <c r="J306" s="191"/>
      <c r="K306" s="191"/>
      <c r="L306" s="165"/>
      <c r="M306" s="165"/>
      <c r="N306" s="165"/>
      <c r="O306" s="165"/>
      <c r="P306" s="165"/>
      <c r="Q306" s="191"/>
      <c r="R306" s="191"/>
      <c r="S306" s="191"/>
    </row>
    <row r="307" spans="5:19" x14ac:dyDescent="0.3">
      <c r="E307" s="165"/>
      <c r="F307" s="165"/>
      <c r="G307" s="165"/>
      <c r="H307" s="165"/>
      <c r="I307" s="191"/>
      <c r="J307" s="191"/>
      <c r="K307" s="191"/>
      <c r="L307" s="165"/>
      <c r="M307" s="165"/>
      <c r="N307" s="165"/>
      <c r="O307" s="165"/>
      <c r="P307" s="165"/>
      <c r="Q307" s="191"/>
      <c r="R307" s="191"/>
      <c r="S307" s="191"/>
    </row>
    <row r="308" spans="5:19" x14ac:dyDescent="0.3">
      <c r="E308" s="165"/>
      <c r="F308" s="165"/>
      <c r="G308" s="165"/>
      <c r="H308" s="165"/>
      <c r="I308" s="191"/>
      <c r="J308" s="191"/>
      <c r="K308" s="191"/>
      <c r="L308" s="165"/>
      <c r="M308" s="165"/>
      <c r="N308" s="165"/>
      <c r="O308" s="165"/>
      <c r="P308" s="165"/>
      <c r="Q308" s="191"/>
      <c r="R308" s="191"/>
      <c r="S308" s="191"/>
    </row>
    <row r="309" spans="5:19" x14ac:dyDescent="0.3">
      <c r="E309" s="165"/>
      <c r="F309" s="165"/>
      <c r="G309" s="165"/>
      <c r="H309" s="165"/>
      <c r="I309" s="191"/>
      <c r="J309" s="191"/>
      <c r="K309" s="191"/>
      <c r="L309" s="165"/>
      <c r="M309" s="165"/>
      <c r="N309" s="165"/>
      <c r="O309" s="165"/>
      <c r="P309" s="165"/>
      <c r="Q309" s="191"/>
      <c r="R309" s="191"/>
      <c r="S309" s="191"/>
    </row>
    <row r="310" spans="5:19" x14ac:dyDescent="0.3">
      <c r="E310" s="165"/>
      <c r="F310" s="165"/>
      <c r="G310" s="165"/>
      <c r="H310" s="165"/>
      <c r="I310" s="191"/>
      <c r="J310" s="191"/>
      <c r="K310" s="191"/>
      <c r="L310" s="165"/>
      <c r="M310" s="165"/>
      <c r="N310" s="165"/>
      <c r="O310" s="165"/>
      <c r="P310" s="165"/>
      <c r="Q310" s="191"/>
      <c r="R310" s="191"/>
      <c r="S310" s="191"/>
    </row>
    <row r="311" spans="5:19" x14ac:dyDescent="0.3">
      <c r="E311" s="165"/>
      <c r="F311" s="165"/>
      <c r="G311" s="165"/>
      <c r="H311" s="165"/>
      <c r="I311" s="191"/>
      <c r="J311" s="191"/>
      <c r="K311" s="191"/>
      <c r="L311" s="165"/>
      <c r="M311" s="165"/>
      <c r="N311" s="165"/>
      <c r="O311" s="165"/>
      <c r="P311" s="165"/>
      <c r="Q311" s="191"/>
      <c r="R311" s="191"/>
      <c r="S311" s="191"/>
    </row>
    <row r="312" spans="5:19" x14ac:dyDescent="0.3">
      <c r="E312" s="165"/>
      <c r="F312" s="165"/>
      <c r="G312" s="165"/>
      <c r="H312" s="165"/>
      <c r="I312" s="191"/>
      <c r="J312" s="191"/>
      <c r="K312" s="191"/>
      <c r="L312" s="165"/>
      <c r="M312" s="165"/>
      <c r="N312" s="165"/>
      <c r="O312" s="165"/>
      <c r="P312" s="165"/>
      <c r="Q312" s="191"/>
      <c r="R312" s="191"/>
      <c r="S312" s="191"/>
    </row>
    <row r="313" spans="5:19" x14ac:dyDescent="0.3">
      <c r="E313" s="165"/>
      <c r="F313" s="165"/>
      <c r="G313" s="165"/>
      <c r="H313" s="165"/>
      <c r="I313" s="191"/>
      <c r="J313" s="191"/>
      <c r="K313" s="191"/>
      <c r="L313" s="165"/>
      <c r="M313" s="165"/>
      <c r="N313" s="165"/>
      <c r="O313" s="165"/>
      <c r="P313" s="165"/>
      <c r="Q313" s="191"/>
      <c r="R313" s="191"/>
      <c r="S313" s="191"/>
    </row>
    <row r="314" spans="5:19" x14ac:dyDescent="0.3">
      <c r="E314" s="165"/>
      <c r="F314" s="165"/>
      <c r="G314" s="165"/>
      <c r="H314" s="165"/>
      <c r="I314" s="191"/>
      <c r="J314" s="191"/>
      <c r="K314" s="191"/>
      <c r="L314" s="165"/>
      <c r="M314" s="165"/>
      <c r="N314" s="165"/>
      <c r="O314" s="165"/>
      <c r="P314" s="165"/>
      <c r="Q314" s="191"/>
      <c r="R314" s="191"/>
      <c r="S314" s="191"/>
    </row>
    <row r="315" spans="5:19" x14ac:dyDescent="0.3">
      <c r="E315" s="165"/>
      <c r="F315" s="165"/>
      <c r="G315" s="165"/>
      <c r="H315" s="165"/>
      <c r="I315" s="191"/>
      <c r="J315" s="191"/>
      <c r="K315" s="191"/>
      <c r="L315" s="165"/>
      <c r="M315" s="165"/>
      <c r="N315" s="165"/>
      <c r="O315" s="165"/>
      <c r="P315" s="165"/>
      <c r="Q315" s="191"/>
      <c r="R315" s="191"/>
      <c r="S315" s="191"/>
    </row>
    <row r="316" spans="5:19" x14ac:dyDescent="0.3">
      <c r="E316" s="165"/>
      <c r="F316" s="165"/>
      <c r="G316" s="165"/>
      <c r="H316" s="165"/>
      <c r="I316" s="191"/>
      <c r="J316" s="191"/>
      <c r="K316" s="191"/>
      <c r="L316" s="165"/>
      <c r="M316" s="165"/>
      <c r="N316" s="165"/>
      <c r="O316" s="165"/>
      <c r="P316" s="165"/>
      <c r="Q316" s="191"/>
      <c r="R316" s="191"/>
      <c r="S316" s="191"/>
    </row>
    <row r="317" spans="5:19" x14ac:dyDescent="0.3">
      <c r="E317" s="165"/>
      <c r="F317" s="165"/>
      <c r="G317" s="165"/>
      <c r="H317" s="165"/>
      <c r="I317" s="191"/>
      <c r="J317" s="191"/>
      <c r="K317" s="191"/>
      <c r="L317" s="165"/>
      <c r="M317" s="165"/>
      <c r="N317" s="165"/>
      <c r="O317" s="165"/>
      <c r="P317" s="165"/>
      <c r="Q317" s="191"/>
      <c r="R317" s="191"/>
      <c r="S317" s="191"/>
    </row>
    <row r="318" spans="5:19" x14ac:dyDescent="0.3">
      <c r="E318" s="165"/>
      <c r="F318" s="165"/>
      <c r="G318" s="165"/>
      <c r="H318" s="165"/>
      <c r="I318" s="191"/>
      <c r="J318" s="191"/>
      <c r="K318" s="191"/>
      <c r="L318" s="165"/>
      <c r="M318" s="165"/>
      <c r="N318" s="165"/>
      <c r="O318" s="165"/>
      <c r="P318" s="165"/>
      <c r="Q318" s="191"/>
      <c r="R318" s="191"/>
      <c r="S318" s="191"/>
    </row>
    <row r="319" spans="5:19" x14ac:dyDescent="0.3">
      <c r="E319" s="165"/>
      <c r="F319" s="165"/>
      <c r="G319" s="165"/>
      <c r="H319" s="165"/>
      <c r="I319" s="191"/>
      <c r="J319" s="191"/>
      <c r="K319" s="191"/>
      <c r="L319" s="165"/>
      <c r="M319" s="165"/>
      <c r="N319" s="165"/>
      <c r="O319" s="165"/>
      <c r="P319" s="165"/>
      <c r="Q319" s="191"/>
      <c r="R319" s="191"/>
      <c r="S319" s="191"/>
    </row>
    <row r="320" spans="5:19" x14ac:dyDescent="0.3">
      <c r="E320" s="165"/>
      <c r="F320" s="165"/>
      <c r="G320" s="165"/>
      <c r="H320" s="165"/>
      <c r="I320" s="191"/>
      <c r="J320" s="191"/>
      <c r="K320" s="191"/>
      <c r="L320" s="165"/>
      <c r="M320" s="165"/>
      <c r="N320" s="165"/>
      <c r="O320" s="165"/>
      <c r="P320" s="165"/>
      <c r="Q320" s="191"/>
      <c r="R320" s="191"/>
      <c r="S320" s="191"/>
    </row>
    <row r="321" spans="5:19" x14ac:dyDescent="0.3">
      <c r="E321" s="165"/>
      <c r="F321" s="165"/>
      <c r="G321" s="165"/>
      <c r="H321" s="165"/>
      <c r="I321" s="191"/>
      <c r="J321" s="191"/>
      <c r="K321" s="191"/>
      <c r="L321" s="165"/>
      <c r="M321" s="165"/>
      <c r="N321" s="165"/>
      <c r="O321" s="165"/>
      <c r="P321" s="165"/>
      <c r="Q321" s="191"/>
      <c r="R321" s="191"/>
      <c r="S321" s="191"/>
    </row>
    <row r="322" spans="5:19" x14ac:dyDescent="0.3">
      <c r="E322" s="165"/>
      <c r="F322" s="165"/>
      <c r="G322" s="165"/>
      <c r="H322" s="165"/>
      <c r="I322" s="191"/>
      <c r="J322" s="191"/>
      <c r="K322" s="191"/>
      <c r="L322" s="165"/>
      <c r="M322" s="165"/>
      <c r="N322" s="165"/>
      <c r="O322" s="165"/>
      <c r="P322" s="165"/>
      <c r="Q322" s="191"/>
      <c r="R322" s="191"/>
      <c r="S322" s="191"/>
    </row>
    <row r="323" spans="5:19" x14ac:dyDescent="0.3">
      <c r="E323" s="165"/>
      <c r="F323" s="165"/>
      <c r="G323" s="165"/>
      <c r="H323" s="165"/>
      <c r="I323" s="191"/>
      <c r="J323" s="191"/>
      <c r="K323" s="191"/>
      <c r="L323" s="165"/>
      <c r="M323" s="165"/>
      <c r="N323" s="165"/>
      <c r="O323" s="165"/>
      <c r="P323" s="165"/>
      <c r="Q323" s="191"/>
      <c r="R323" s="191"/>
      <c r="S323" s="191"/>
    </row>
    <row r="324" spans="5:19" x14ac:dyDescent="0.3">
      <c r="E324" s="165"/>
      <c r="F324" s="165"/>
      <c r="G324" s="165"/>
      <c r="H324" s="165"/>
      <c r="I324" s="191"/>
      <c r="J324" s="191"/>
      <c r="K324" s="191"/>
      <c r="L324" s="165"/>
      <c r="M324" s="165"/>
      <c r="N324" s="165"/>
      <c r="O324" s="165"/>
      <c r="P324" s="165"/>
      <c r="Q324" s="191"/>
      <c r="R324" s="191"/>
      <c r="S324" s="191"/>
    </row>
    <row r="325" spans="5:19" x14ac:dyDescent="0.3">
      <c r="E325" s="165"/>
      <c r="F325" s="165"/>
      <c r="G325" s="165"/>
      <c r="H325" s="165"/>
      <c r="I325" s="191"/>
      <c r="J325" s="191"/>
      <c r="K325" s="191"/>
      <c r="L325" s="165"/>
      <c r="M325" s="165"/>
      <c r="N325" s="165"/>
      <c r="O325" s="165"/>
      <c r="P325" s="165"/>
      <c r="Q325" s="191"/>
      <c r="R325" s="191"/>
      <c r="S325" s="191"/>
    </row>
    <row r="326" spans="5:19" x14ac:dyDescent="0.3">
      <c r="E326" s="165"/>
      <c r="F326" s="165"/>
      <c r="G326" s="165"/>
      <c r="H326" s="165"/>
      <c r="I326" s="191"/>
      <c r="J326" s="191"/>
      <c r="K326" s="191"/>
      <c r="L326" s="165"/>
      <c r="M326" s="165"/>
      <c r="N326" s="165"/>
      <c r="O326" s="165"/>
      <c r="P326" s="165"/>
      <c r="Q326" s="191"/>
      <c r="R326" s="191"/>
      <c r="S326" s="191"/>
    </row>
    <row r="327" spans="5:19" x14ac:dyDescent="0.3">
      <c r="E327" s="165"/>
      <c r="F327" s="165"/>
      <c r="G327" s="165"/>
      <c r="H327" s="165"/>
      <c r="I327" s="191"/>
      <c r="J327" s="191"/>
      <c r="K327" s="191"/>
      <c r="L327" s="165"/>
      <c r="M327" s="165"/>
      <c r="N327" s="165"/>
      <c r="O327" s="165"/>
      <c r="P327" s="165"/>
      <c r="Q327" s="191"/>
      <c r="R327" s="191"/>
      <c r="S327" s="191"/>
    </row>
    <row r="328" spans="5:19" x14ac:dyDescent="0.3">
      <c r="E328" s="165"/>
      <c r="F328" s="165"/>
      <c r="G328" s="165"/>
      <c r="H328" s="165"/>
      <c r="I328" s="191"/>
      <c r="J328" s="191"/>
      <c r="K328" s="191"/>
      <c r="L328" s="165"/>
      <c r="M328" s="165"/>
      <c r="N328" s="165"/>
      <c r="O328" s="165"/>
      <c r="P328" s="165"/>
      <c r="Q328" s="191"/>
      <c r="R328" s="191"/>
      <c r="S328" s="191"/>
    </row>
    <row r="329" spans="5:19" x14ac:dyDescent="0.3">
      <c r="E329" s="165"/>
      <c r="F329" s="165"/>
      <c r="G329" s="165"/>
      <c r="H329" s="165"/>
      <c r="I329" s="191"/>
      <c r="J329" s="191"/>
      <c r="K329" s="191"/>
      <c r="L329" s="165"/>
      <c r="M329" s="165"/>
      <c r="N329" s="165"/>
      <c r="O329" s="165"/>
      <c r="P329" s="165"/>
      <c r="Q329" s="191"/>
      <c r="R329" s="191"/>
      <c r="S329" s="191"/>
    </row>
    <row r="330" spans="5:19" x14ac:dyDescent="0.3">
      <c r="E330" s="165"/>
      <c r="F330" s="165"/>
      <c r="G330" s="165"/>
      <c r="H330" s="165"/>
      <c r="I330" s="191"/>
      <c r="J330" s="191"/>
      <c r="K330" s="191"/>
      <c r="L330" s="165"/>
      <c r="M330" s="165"/>
      <c r="N330" s="165"/>
      <c r="O330" s="165"/>
      <c r="P330" s="165"/>
      <c r="Q330" s="191"/>
      <c r="R330" s="191"/>
      <c r="S330" s="191"/>
    </row>
    <row r="331" spans="5:19" x14ac:dyDescent="0.3">
      <c r="E331" s="165"/>
      <c r="F331" s="165"/>
      <c r="G331" s="165"/>
      <c r="H331" s="165"/>
      <c r="I331" s="191"/>
      <c r="J331" s="191"/>
      <c r="K331" s="191"/>
      <c r="L331" s="165"/>
      <c r="M331" s="165"/>
      <c r="N331" s="165"/>
      <c r="O331" s="165"/>
      <c r="P331" s="165"/>
      <c r="Q331" s="191"/>
      <c r="R331" s="191"/>
      <c r="S331" s="191"/>
    </row>
    <row r="332" spans="5:19" x14ac:dyDescent="0.3">
      <c r="E332" s="165"/>
      <c r="F332" s="165"/>
      <c r="G332" s="165"/>
      <c r="H332" s="165"/>
      <c r="I332" s="191"/>
      <c r="J332" s="191"/>
      <c r="K332" s="191"/>
      <c r="L332" s="165"/>
      <c r="M332" s="165"/>
      <c r="N332" s="165"/>
      <c r="O332" s="165"/>
      <c r="P332" s="165"/>
      <c r="Q332" s="191"/>
      <c r="R332" s="191"/>
      <c r="S332" s="191"/>
    </row>
    <row r="333" spans="5:19" x14ac:dyDescent="0.3">
      <c r="E333" s="165"/>
      <c r="F333" s="165"/>
      <c r="G333" s="165"/>
      <c r="H333" s="165"/>
      <c r="I333" s="191"/>
      <c r="J333" s="191"/>
      <c r="K333" s="191"/>
      <c r="L333" s="165"/>
      <c r="M333" s="165"/>
      <c r="N333" s="165"/>
      <c r="O333" s="165"/>
      <c r="P333" s="165"/>
      <c r="Q333" s="191"/>
      <c r="R333" s="191"/>
      <c r="S333" s="191"/>
    </row>
    <row r="334" spans="5:19" x14ac:dyDescent="0.3">
      <c r="E334" s="165"/>
      <c r="F334" s="165"/>
      <c r="G334" s="165"/>
      <c r="H334" s="165"/>
      <c r="I334" s="191"/>
      <c r="J334" s="191"/>
      <c r="K334" s="191"/>
      <c r="L334" s="165"/>
      <c r="M334" s="165"/>
      <c r="N334" s="165"/>
      <c r="O334" s="165"/>
      <c r="P334" s="165"/>
      <c r="Q334" s="191"/>
      <c r="R334" s="191"/>
      <c r="S334" s="191"/>
    </row>
    <row r="335" spans="5:19" x14ac:dyDescent="0.3">
      <c r="E335" s="165"/>
      <c r="F335" s="165"/>
      <c r="G335" s="165"/>
      <c r="H335" s="165"/>
      <c r="I335" s="191"/>
      <c r="J335" s="191"/>
      <c r="K335" s="191"/>
      <c r="L335" s="165"/>
      <c r="M335" s="165"/>
      <c r="N335" s="165"/>
      <c r="O335" s="165"/>
      <c r="P335" s="165"/>
      <c r="Q335" s="191"/>
      <c r="R335" s="191"/>
      <c r="S335" s="191"/>
    </row>
    <row r="336" spans="5:19" x14ac:dyDescent="0.3">
      <c r="E336" s="165"/>
      <c r="F336" s="165"/>
      <c r="G336" s="165"/>
      <c r="H336" s="165"/>
      <c r="I336" s="191"/>
      <c r="J336" s="191"/>
      <c r="K336" s="191"/>
      <c r="L336" s="165"/>
      <c r="M336" s="165"/>
      <c r="N336" s="165"/>
      <c r="O336" s="165"/>
      <c r="P336" s="165"/>
      <c r="Q336" s="191"/>
      <c r="R336" s="191"/>
      <c r="S336" s="191"/>
    </row>
    <row r="337" spans="5:19" x14ac:dyDescent="0.3">
      <c r="E337" s="165"/>
      <c r="F337" s="165"/>
      <c r="G337" s="165"/>
      <c r="H337" s="165"/>
      <c r="I337" s="191"/>
      <c r="J337" s="191"/>
      <c r="K337" s="191"/>
      <c r="L337" s="165"/>
      <c r="M337" s="165"/>
      <c r="N337" s="165"/>
      <c r="O337" s="165"/>
      <c r="P337" s="165"/>
      <c r="Q337" s="191"/>
      <c r="R337" s="191"/>
      <c r="S337" s="191"/>
    </row>
    <row r="338" spans="5:19" x14ac:dyDescent="0.3">
      <c r="E338" s="165"/>
      <c r="F338" s="165"/>
      <c r="G338" s="165"/>
      <c r="H338" s="165"/>
      <c r="I338" s="191"/>
      <c r="J338" s="191"/>
      <c r="K338" s="191"/>
      <c r="L338" s="165"/>
      <c r="M338" s="165"/>
      <c r="N338" s="165"/>
      <c r="O338" s="165"/>
      <c r="P338" s="165"/>
      <c r="Q338" s="191"/>
      <c r="R338" s="191"/>
      <c r="S338" s="191"/>
    </row>
    <row r="339" spans="5:19" x14ac:dyDescent="0.3">
      <c r="E339" s="165"/>
      <c r="F339" s="165"/>
      <c r="G339" s="165"/>
      <c r="H339" s="165"/>
      <c r="I339" s="191"/>
      <c r="J339" s="191"/>
      <c r="K339" s="191"/>
      <c r="L339" s="165"/>
      <c r="M339" s="165"/>
      <c r="N339" s="165"/>
      <c r="O339" s="165"/>
      <c r="P339" s="165"/>
      <c r="Q339" s="191"/>
      <c r="R339" s="191"/>
      <c r="S339" s="191"/>
    </row>
    <row r="340" spans="5:19" x14ac:dyDescent="0.3">
      <c r="E340" s="165"/>
      <c r="F340" s="165"/>
      <c r="G340" s="165"/>
      <c r="H340" s="165"/>
      <c r="I340" s="191"/>
      <c r="J340" s="191"/>
      <c r="K340" s="191"/>
      <c r="L340" s="165"/>
      <c r="M340" s="165"/>
      <c r="N340" s="165"/>
      <c r="O340" s="165"/>
      <c r="P340" s="165"/>
      <c r="Q340" s="191"/>
      <c r="R340" s="191"/>
      <c r="S340" s="191"/>
    </row>
    <row r="341" spans="5:19" x14ac:dyDescent="0.3">
      <c r="E341" s="165"/>
      <c r="F341" s="165"/>
      <c r="G341" s="165"/>
      <c r="H341" s="165"/>
      <c r="I341" s="191"/>
      <c r="J341" s="191"/>
      <c r="K341" s="191"/>
      <c r="L341" s="165"/>
      <c r="M341" s="165"/>
      <c r="N341" s="165"/>
      <c r="O341" s="165"/>
      <c r="P341" s="165"/>
      <c r="Q341" s="191"/>
      <c r="R341" s="191"/>
      <c r="S341" s="191"/>
    </row>
    <row r="342" spans="5:19" x14ac:dyDescent="0.3">
      <c r="E342" s="165"/>
      <c r="F342" s="165"/>
      <c r="G342" s="165"/>
      <c r="H342" s="165"/>
      <c r="I342" s="191"/>
      <c r="J342" s="191"/>
      <c r="K342" s="191"/>
      <c r="L342" s="165"/>
      <c r="M342" s="165"/>
      <c r="N342" s="165"/>
      <c r="O342" s="165"/>
      <c r="P342" s="165"/>
      <c r="Q342" s="191"/>
      <c r="R342" s="191"/>
      <c r="S342" s="191"/>
    </row>
    <row r="343" spans="5:19" x14ac:dyDescent="0.3">
      <c r="E343" s="165"/>
      <c r="F343" s="165"/>
      <c r="G343" s="165"/>
      <c r="H343" s="165"/>
      <c r="I343" s="191"/>
      <c r="J343" s="191"/>
      <c r="K343" s="191"/>
      <c r="L343" s="165"/>
      <c r="M343" s="165"/>
      <c r="N343" s="165"/>
      <c r="O343" s="165"/>
      <c r="P343" s="165"/>
      <c r="Q343" s="191"/>
      <c r="R343" s="191"/>
      <c r="S343" s="191"/>
    </row>
    <row r="344" spans="5:19" x14ac:dyDescent="0.3">
      <c r="E344" s="165"/>
      <c r="F344" s="165"/>
      <c r="G344" s="165"/>
      <c r="H344" s="165"/>
      <c r="I344" s="191"/>
      <c r="J344" s="191"/>
      <c r="K344" s="191"/>
      <c r="L344" s="165"/>
      <c r="M344" s="165"/>
      <c r="N344" s="165"/>
      <c r="O344" s="165"/>
      <c r="P344" s="165"/>
      <c r="Q344" s="191"/>
      <c r="R344" s="191"/>
      <c r="S344" s="191"/>
    </row>
    <row r="345" spans="5:19" x14ac:dyDescent="0.3">
      <c r="E345" s="165"/>
      <c r="F345" s="165"/>
      <c r="G345" s="165"/>
      <c r="H345" s="165"/>
      <c r="I345" s="191"/>
      <c r="J345" s="191"/>
      <c r="K345" s="191"/>
      <c r="L345" s="165"/>
      <c r="M345" s="165"/>
      <c r="N345" s="165"/>
      <c r="O345" s="165"/>
      <c r="P345" s="165"/>
      <c r="Q345" s="191"/>
      <c r="R345" s="191"/>
      <c r="S345" s="191"/>
    </row>
    <row r="346" spans="5:19" x14ac:dyDescent="0.3">
      <c r="E346" s="165"/>
      <c r="F346" s="165"/>
      <c r="G346" s="165"/>
      <c r="H346" s="165"/>
      <c r="I346" s="191"/>
      <c r="J346" s="191"/>
      <c r="K346" s="191"/>
      <c r="L346" s="165"/>
      <c r="M346" s="165"/>
      <c r="N346" s="165"/>
      <c r="O346" s="165"/>
      <c r="P346" s="165"/>
      <c r="Q346" s="191"/>
      <c r="R346" s="191"/>
      <c r="S346" s="191"/>
    </row>
    <row r="347" spans="5:19" x14ac:dyDescent="0.3">
      <c r="E347" s="165"/>
      <c r="F347" s="165"/>
      <c r="G347" s="165"/>
      <c r="H347" s="165"/>
      <c r="I347" s="191"/>
      <c r="J347" s="191"/>
      <c r="K347" s="191"/>
      <c r="L347" s="165"/>
      <c r="M347" s="165"/>
      <c r="N347" s="165"/>
      <c r="O347" s="165"/>
      <c r="P347" s="165"/>
      <c r="Q347" s="191"/>
      <c r="R347" s="191"/>
      <c r="S347" s="191"/>
    </row>
    <row r="348" spans="5:19" x14ac:dyDescent="0.3">
      <c r="E348" s="165"/>
      <c r="F348" s="165"/>
      <c r="G348" s="165"/>
      <c r="H348" s="165"/>
      <c r="I348" s="191"/>
      <c r="J348" s="191"/>
      <c r="K348" s="191"/>
      <c r="L348" s="165"/>
      <c r="M348" s="165"/>
      <c r="N348" s="165"/>
      <c r="O348" s="165"/>
      <c r="P348" s="165"/>
      <c r="Q348" s="191"/>
      <c r="R348" s="191"/>
      <c r="S348" s="191"/>
    </row>
    <row r="349" spans="5:19" x14ac:dyDescent="0.3">
      <c r="E349" s="165"/>
      <c r="F349" s="165"/>
      <c r="G349" s="165"/>
      <c r="H349" s="165"/>
      <c r="I349" s="191"/>
      <c r="J349" s="191"/>
      <c r="K349" s="191"/>
      <c r="L349" s="165"/>
      <c r="M349" s="165"/>
      <c r="N349" s="165"/>
      <c r="O349" s="165"/>
      <c r="P349" s="165"/>
      <c r="Q349" s="191"/>
      <c r="R349" s="191"/>
      <c r="S349" s="191"/>
    </row>
    <row r="350" spans="5:19" x14ac:dyDescent="0.3">
      <c r="E350" s="165"/>
      <c r="F350" s="165"/>
      <c r="G350" s="165"/>
      <c r="H350" s="165"/>
      <c r="I350" s="191"/>
      <c r="J350" s="191"/>
      <c r="K350" s="191"/>
      <c r="L350" s="165"/>
      <c r="M350" s="165"/>
      <c r="N350" s="165"/>
      <c r="O350" s="165"/>
      <c r="P350" s="165"/>
      <c r="Q350" s="191"/>
      <c r="R350" s="191"/>
      <c r="S350" s="191"/>
    </row>
    <row r="351" spans="5:19" x14ac:dyDescent="0.3">
      <c r="E351" s="165"/>
      <c r="F351" s="165"/>
      <c r="G351" s="165"/>
      <c r="H351" s="165"/>
      <c r="I351" s="191"/>
      <c r="J351" s="191"/>
      <c r="K351" s="191"/>
      <c r="L351" s="165"/>
      <c r="M351" s="165"/>
      <c r="N351" s="165"/>
      <c r="O351" s="165"/>
      <c r="P351" s="165"/>
      <c r="Q351" s="191"/>
      <c r="R351" s="191"/>
      <c r="S351" s="191"/>
    </row>
    <row r="352" spans="5:19" x14ac:dyDescent="0.3">
      <c r="E352" s="165"/>
      <c r="F352" s="165"/>
      <c r="G352" s="165"/>
      <c r="H352" s="165"/>
      <c r="I352" s="191"/>
      <c r="J352" s="191"/>
      <c r="K352" s="191"/>
      <c r="L352" s="165"/>
      <c r="M352" s="165"/>
      <c r="N352" s="165"/>
      <c r="O352" s="165"/>
      <c r="P352" s="165"/>
      <c r="Q352" s="191"/>
      <c r="R352" s="191"/>
      <c r="S352" s="191"/>
    </row>
    <row r="353" spans="5:19" x14ac:dyDescent="0.3">
      <c r="E353" s="165"/>
      <c r="F353" s="165"/>
      <c r="G353" s="165"/>
      <c r="H353" s="165"/>
      <c r="I353" s="191"/>
      <c r="J353" s="191"/>
      <c r="K353" s="191"/>
      <c r="L353" s="165"/>
      <c r="M353" s="165"/>
      <c r="N353" s="165"/>
      <c r="O353" s="165"/>
      <c r="P353" s="165"/>
      <c r="Q353" s="191"/>
      <c r="R353" s="191"/>
      <c r="S353" s="191"/>
    </row>
    <row r="354" spans="5:19" x14ac:dyDescent="0.3">
      <c r="E354" s="165"/>
      <c r="F354" s="165"/>
      <c r="G354" s="165"/>
      <c r="H354" s="165"/>
      <c r="I354" s="191"/>
      <c r="J354" s="191"/>
      <c r="K354" s="191"/>
      <c r="L354" s="165"/>
      <c r="M354" s="165"/>
      <c r="N354" s="165"/>
      <c r="O354" s="165"/>
      <c r="P354" s="165"/>
      <c r="Q354" s="191"/>
      <c r="R354" s="191"/>
      <c r="S354" s="191"/>
    </row>
    <row r="355" spans="5:19" x14ac:dyDescent="0.3">
      <c r="E355" s="165"/>
      <c r="F355" s="165"/>
      <c r="G355" s="165"/>
      <c r="H355" s="165"/>
      <c r="I355" s="191"/>
      <c r="J355" s="191"/>
      <c r="K355" s="191"/>
      <c r="L355" s="165"/>
      <c r="M355" s="165"/>
      <c r="N355" s="165"/>
      <c r="O355" s="165"/>
      <c r="P355" s="165"/>
      <c r="Q355" s="191"/>
      <c r="R355" s="191"/>
      <c r="S355" s="191"/>
    </row>
    <row r="356" spans="5:19" x14ac:dyDescent="0.3">
      <c r="E356" s="165"/>
      <c r="F356" s="165"/>
      <c r="G356" s="165"/>
      <c r="H356" s="165"/>
      <c r="I356" s="191"/>
      <c r="J356" s="191"/>
      <c r="K356" s="191"/>
      <c r="L356" s="165"/>
      <c r="M356" s="165"/>
      <c r="N356" s="165"/>
      <c r="O356" s="165"/>
      <c r="P356" s="165"/>
      <c r="Q356" s="191"/>
      <c r="R356" s="191"/>
      <c r="S356" s="191"/>
    </row>
    <row r="357" spans="5:19" x14ac:dyDescent="0.3">
      <c r="E357" s="165"/>
      <c r="F357" s="165"/>
      <c r="G357" s="165"/>
      <c r="H357" s="165"/>
      <c r="I357" s="191"/>
      <c r="J357" s="191"/>
      <c r="K357" s="191"/>
      <c r="L357" s="165"/>
      <c r="M357" s="165"/>
      <c r="N357" s="165"/>
      <c r="O357" s="165"/>
      <c r="P357" s="165"/>
      <c r="Q357" s="191"/>
      <c r="R357" s="191"/>
      <c r="S357" s="191"/>
    </row>
    <row r="358" spans="5:19" x14ac:dyDescent="0.3">
      <c r="E358" s="165"/>
      <c r="F358" s="165"/>
      <c r="G358" s="165"/>
      <c r="H358" s="165"/>
      <c r="I358" s="191"/>
      <c r="J358" s="191"/>
      <c r="K358" s="191"/>
      <c r="L358" s="165"/>
      <c r="M358" s="165"/>
      <c r="N358" s="165"/>
      <c r="O358" s="165"/>
      <c r="P358" s="165"/>
      <c r="Q358" s="191"/>
      <c r="R358" s="191"/>
      <c r="S358" s="191"/>
    </row>
    <row r="359" spans="5:19" x14ac:dyDescent="0.3">
      <c r="E359" s="165"/>
      <c r="F359" s="165"/>
      <c r="G359" s="165"/>
      <c r="H359" s="165"/>
      <c r="I359" s="191"/>
      <c r="J359" s="191"/>
      <c r="K359" s="191"/>
      <c r="L359" s="165"/>
      <c r="M359" s="165"/>
      <c r="N359" s="165"/>
      <c r="O359" s="165"/>
      <c r="P359" s="165"/>
      <c r="Q359" s="191"/>
      <c r="R359" s="191"/>
      <c r="S359" s="191"/>
    </row>
    <row r="360" spans="5:19" x14ac:dyDescent="0.3">
      <c r="E360" s="165"/>
      <c r="F360" s="165"/>
      <c r="G360" s="165"/>
      <c r="H360" s="165"/>
      <c r="I360" s="191"/>
      <c r="J360" s="191"/>
      <c r="K360" s="191"/>
      <c r="L360" s="165"/>
      <c r="M360" s="165"/>
      <c r="N360" s="165"/>
      <c r="O360" s="165"/>
      <c r="P360" s="165"/>
      <c r="Q360" s="191"/>
      <c r="R360" s="191"/>
      <c r="S360" s="191"/>
    </row>
    <row r="361" spans="5:19" x14ac:dyDescent="0.3">
      <c r="E361" s="165"/>
      <c r="F361" s="165"/>
      <c r="G361" s="165"/>
      <c r="H361" s="165"/>
      <c r="I361" s="191"/>
      <c r="J361" s="191"/>
      <c r="K361" s="191"/>
      <c r="L361" s="165"/>
      <c r="M361" s="165"/>
      <c r="N361" s="165"/>
      <c r="O361" s="165"/>
      <c r="P361" s="165"/>
      <c r="Q361" s="191"/>
      <c r="R361" s="191"/>
      <c r="S361" s="191"/>
    </row>
    <row r="362" spans="5:19" x14ac:dyDescent="0.3">
      <c r="E362" s="165"/>
      <c r="F362" s="165"/>
      <c r="G362" s="165"/>
      <c r="H362" s="165"/>
      <c r="I362" s="191"/>
      <c r="J362" s="191"/>
      <c r="K362" s="191"/>
      <c r="L362" s="165"/>
      <c r="M362" s="165"/>
      <c r="N362" s="165"/>
      <c r="O362" s="165"/>
      <c r="P362" s="165"/>
      <c r="Q362" s="191"/>
      <c r="R362" s="191"/>
      <c r="S362" s="191"/>
    </row>
    <row r="363" spans="5:19" x14ac:dyDescent="0.3">
      <c r="E363" s="165"/>
      <c r="F363" s="165"/>
      <c r="G363" s="165"/>
      <c r="H363" s="165"/>
      <c r="I363" s="191"/>
      <c r="J363" s="191"/>
      <c r="K363" s="191"/>
      <c r="L363" s="165"/>
      <c r="M363" s="165"/>
      <c r="N363" s="165"/>
      <c r="O363" s="165"/>
      <c r="P363" s="165"/>
      <c r="Q363" s="191"/>
      <c r="R363" s="191"/>
      <c r="S363" s="191"/>
    </row>
    <row r="364" spans="5:19" x14ac:dyDescent="0.3">
      <c r="E364" s="165"/>
      <c r="F364" s="165"/>
      <c r="G364" s="165"/>
      <c r="H364" s="165"/>
      <c r="I364" s="191"/>
      <c r="J364" s="191"/>
      <c r="K364" s="191"/>
      <c r="L364" s="165"/>
      <c r="M364" s="165"/>
      <c r="N364" s="165"/>
      <c r="O364" s="165"/>
      <c r="P364" s="165"/>
      <c r="Q364" s="191"/>
      <c r="R364" s="191"/>
      <c r="S364" s="191"/>
    </row>
    <row r="365" spans="5:19" x14ac:dyDescent="0.3">
      <c r="E365" s="165"/>
      <c r="F365" s="165"/>
      <c r="G365" s="165"/>
      <c r="H365" s="165"/>
      <c r="I365" s="191"/>
      <c r="J365" s="191"/>
      <c r="K365" s="191"/>
      <c r="L365" s="165"/>
      <c r="M365" s="165"/>
      <c r="N365" s="165"/>
      <c r="O365" s="165"/>
      <c r="P365" s="165"/>
      <c r="Q365" s="191"/>
      <c r="R365" s="191"/>
      <c r="S365" s="191"/>
    </row>
    <row r="366" spans="5:19" x14ac:dyDescent="0.3">
      <c r="E366" s="165"/>
      <c r="F366" s="165"/>
      <c r="G366" s="165"/>
      <c r="H366" s="165"/>
      <c r="I366" s="191"/>
      <c r="J366" s="191"/>
      <c r="K366" s="191"/>
      <c r="L366" s="165"/>
      <c r="M366" s="165"/>
      <c r="N366" s="165"/>
      <c r="O366" s="165"/>
      <c r="P366" s="165"/>
      <c r="Q366" s="191"/>
      <c r="R366" s="191"/>
      <c r="S366" s="191"/>
    </row>
    <row r="367" spans="5:19" x14ac:dyDescent="0.3">
      <c r="E367" s="165"/>
      <c r="F367" s="165"/>
      <c r="G367" s="165"/>
      <c r="H367" s="165"/>
      <c r="I367" s="191"/>
      <c r="J367" s="191"/>
      <c r="K367" s="191"/>
      <c r="L367" s="165"/>
      <c r="M367" s="165"/>
      <c r="N367" s="165"/>
      <c r="O367" s="165"/>
      <c r="P367" s="165"/>
      <c r="Q367" s="191"/>
      <c r="R367" s="191"/>
      <c r="S367" s="191"/>
    </row>
    <row r="368" spans="5:19" x14ac:dyDescent="0.3">
      <c r="E368" s="165"/>
      <c r="F368" s="165"/>
      <c r="G368" s="165"/>
      <c r="H368" s="165"/>
      <c r="I368" s="191"/>
      <c r="J368" s="191"/>
      <c r="K368" s="191"/>
      <c r="L368" s="165"/>
      <c r="M368" s="165"/>
      <c r="N368" s="165"/>
      <c r="O368" s="165"/>
      <c r="P368" s="165"/>
      <c r="Q368" s="191"/>
      <c r="R368" s="191"/>
      <c r="S368" s="191"/>
    </row>
    <row r="369" spans="5:19" x14ac:dyDescent="0.3">
      <c r="E369" s="165"/>
      <c r="F369" s="165"/>
      <c r="G369" s="165"/>
      <c r="H369" s="165"/>
      <c r="I369" s="191"/>
      <c r="J369" s="191"/>
      <c r="K369" s="191"/>
      <c r="L369" s="165"/>
      <c r="M369" s="165"/>
      <c r="N369" s="165"/>
      <c r="O369" s="165"/>
      <c r="P369" s="165"/>
      <c r="Q369" s="191"/>
      <c r="R369" s="191"/>
      <c r="S369" s="191"/>
    </row>
    <row r="370" spans="5:19" x14ac:dyDescent="0.3">
      <c r="E370" s="165"/>
      <c r="F370" s="165"/>
      <c r="G370" s="165"/>
      <c r="H370" s="165"/>
      <c r="I370" s="191"/>
      <c r="J370" s="191"/>
      <c r="K370" s="191"/>
      <c r="L370" s="165"/>
      <c r="M370" s="165"/>
      <c r="N370" s="165"/>
      <c r="O370" s="165"/>
      <c r="P370" s="165"/>
      <c r="Q370" s="191"/>
      <c r="R370" s="191"/>
      <c r="S370" s="191"/>
    </row>
    <row r="371" spans="5:19" x14ac:dyDescent="0.3">
      <c r="E371" s="165"/>
      <c r="F371" s="165"/>
      <c r="G371" s="165"/>
      <c r="H371" s="165"/>
      <c r="I371" s="191"/>
      <c r="J371" s="191"/>
      <c r="K371" s="191"/>
      <c r="L371" s="165"/>
      <c r="M371" s="165"/>
      <c r="N371" s="165"/>
      <c r="O371" s="165"/>
      <c r="P371" s="165"/>
      <c r="Q371" s="191"/>
      <c r="R371" s="191"/>
      <c r="S371" s="191"/>
    </row>
    <row r="372" spans="5:19" x14ac:dyDescent="0.3">
      <c r="E372" s="165"/>
      <c r="F372" s="165"/>
      <c r="G372" s="165"/>
      <c r="H372" s="165"/>
      <c r="I372" s="191"/>
      <c r="J372" s="191"/>
      <c r="K372" s="191"/>
      <c r="L372" s="165"/>
      <c r="M372" s="165"/>
      <c r="N372" s="165"/>
      <c r="O372" s="165"/>
      <c r="P372" s="165"/>
      <c r="Q372" s="191"/>
      <c r="R372" s="191"/>
      <c r="S372" s="191"/>
    </row>
    <row r="373" spans="5:19" x14ac:dyDescent="0.3">
      <c r="E373" s="165"/>
      <c r="F373" s="165"/>
      <c r="G373" s="165"/>
      <c r="H373" s="165"/>
      <c r="I373" s="191"/>
      <c r="J373" s="191"/>
      <c r="K373" s="191"/>
      <c r="L373" s="165"/>
      <c r="M373" s="165"/>
      <c r="N373" s="165"/>
      <c r="O373" s="165"/>
      <c r="P373" s="165"/>
      <c r="Q373" s="191"/>
      <c r="R373" s="191"/>
      <c r="S373" s="191"/>
    </row>
    <row r="374" spans="5:19" x14ac:dyDescent="0.3">
      <c r="E374" s="165"/>
      <c r="F374" s="165"/>
      <c r="G374" s="165"/>
      <c r="H374" s="165"/>
      <c r="I374" s="191"/>
      <c r="J374" s="191"/>
      <c r="K374" s="191"/>
      <c r="L374" s="165"/>
      <c r="M374" s="165"/>
      <c r="N374" s="165"/>
      <c r="O374" s="165"/>
      <c r="P374" s="165"/>
      <c r="Q374" s="191"/>
      <c r="R374" s="191"/>
      <c r="S374" s="191"/>
    </row>
    <row r="375" spans="5:19" x14ac:dyDescent="0.3">
      <c r="E375" s="165"/>
      <c r="F375" s="165"/>
      <c r="G375" s="165"/>
      <c r="H375" s="165"/>
      <c r="I375" s="191"/>
      <c r="J375" s="191"/>
      <c r="K375" s="191"/>
      <c r="L375" s="165"/>
      <c r="M375" s="165"/>
      <c r="N375" s="165"/>
      <c r="O375" s="165"/>
      <c r="P375" s="165"/>
      <c r="Q375" s="191"/>
      <c r="R375" s="191"/>
      <c r="S375" s="191"/>
    </row>
    <row r="376" spans="5:19" x14ac:dyDescent="0.3">
      <c r="E376" s="165"/>
      <c r="F376" s="165"/>
      <c r="G376" s="165"/>
      <c r="H376" s="165"/>
      <c r="I376" s="191"/>
      <c r="J376" s="191"/>
      <c r="K376" s="191"/>
      <c r="L376" s="165"/>
      <c r="M376" s="165"/>
      <c r="N376" s="165"/>
      <c r="O376" s="165"/>
      <c r="P376" s="165"/>
      <c r="Q376" s="191"/>
      <c r="R376" s="191"/>
      <c r="S376" s="191"/>
    </row>
    <row r="377" spans="5:19" x14ac:dyDescent="0.3">
      <c r="E377" s="165"/>
      <c r="F377" s="165"/>
      <c r="G377" s="165"/>
      <c r="H377" s="165"/>
      <c r="I377" s="191"/>
      <c r="J377" s="191"/>
      <c r="K377" s="191"/>
      <c r="L377" s="165"/>
      <c r="M377" s="165"/>
      <c r="N377" s="165"/>
      <c r="O377" s="165"/>
      <c r="P377" s="165"/>
      <c r="Q377" s="191"/>
      <c r="R377" s="191"/>
      <c r="S377" s="191"/>
    </row>
    <row r="378" spans="5:19" x14ac:dyDescent="0.3">
      <c r="E378" s="165"/>
      <c r="F378" s="165"/>
      <c r="G378" s="165"/>
      <c r="H378" s="165"/>
      <c r="I378" s="191"/>
      <c r="J378" s="191"/>
      <c r="K378" s="191"/>
      <c r="L378" s="165"/>
      <c r="M378" s="165"/>
      <c r="N378" s="165"/>
      <c r="O378" s="165"/>
      <c r="P378" s="165"/>
      <c r="Q378" s="191"/>
      <c r="R378" s="191"/>
      <c r="S378" s="191"/>
    </row>
    <row r="379" spans="5:19" x14ac:dyDescent="0.3">
      <c r="E379" s="165"/>
      <c r="F379" s="165"/>
      <c r="G379" s="165"/>
      <c r="H379" s="165"/>
      <c r="I379" s="191"/>
      <c r="J379" s="191"/>
      <c r="K379" s="191"/>
      <c r="L379" s="165"/>
      <c r="M379" s="165"/>
      <c r="N379" s="165"/>
      <c r="O379" s="165"/>
      <c r="P379" s="165"/>
      <c r="Q379" s="191"/>
      <c r="R379" s="191"/>
      <c r="S379" s="191"/>
    </row>
    <row r="380" spans="5:19" x14ac:dyDescent="0.3">
      <c r="E380" s="165"/>
      <c r="F380" s="165"/>
      <c r="G380" s="165"/>
      <c r="H380" s="165"/>
      <c r="I380" s="191"/>
      <c r="J380" s="191"/>
      <c r="K380" s="191"/>
      <c r="L380" s="165"/>
      <c r="M380" s="165"/>
      <c r="N380" s="165"/>
      <c r="O380" s="165"/>
      <c r="P380" s="165"/>
      <c r="Q380" s="191"/>
      <c r="R380" s="191"/>
      <c r="S380" s="191"/>
    </row>
    <row r="381" spans="5:19" x14ac:dyDescent="0.3">
      <c r="E381" s="165"/>
      <c r="F381" s="165"/>
      <c r="G381" s="165"/>
      <c r="H381" s="165"/>
      <c r="I381" s="191"/>
      <c r="J381" s="191"/>
      <c r="K381" s="191"/>
      <c r="L381" s="165"/>
      <c r="M381" s="165"/>
      <c r="N381" s="165"/>
      <c r="O381" s="165"/>
      <c r="P381" s="165"/>
      <c r="Q381" s="191"/>
      <c r="R381" s="191"/>
      <c r="S381" s="191"/>
    </row>
    <row r="382" spans="5:19" x14ac:dyDescent="0.3">
      <c r="E382" s="165"/>
      <c r="F382" s="165"/>
      <c r="G382" s="165"/>
      <c r="H382" s="165"/>
      <c r="I382" s="191"/>
      <c r="J382" s="191"/>
      <c r="K382" s="191"/>
      <c r="L382" s="165"/>
      <c r="M382" s="165"/>
      <c r="N382" s="165"/>
      <c r="O382" s="165"/>
      <c r="P382" s="165"/>
      <c r="Q382" s="191"/>
      <c r="R382" s="191"/>
      <c r="S382" s="191"/>
    </row>
    <row r="383" spans="5:19" x14ac:dyDescent="0.3">
      <c r="E383" s="165"/>
      <c r="F383" s="165"/>
      <c r="G383" s="165"/>
      <c r="H383" s="165"/>
      <c r="I383" s="191"/>
      <c r="J383" s="191"/>
      <c r="K383" s="191"/>
      <c r="L383" s="165"/>
      <c r="M383" s="165"/>
      <c r="N383" s="165"/>
      <c r="O383" s="165"/>
      <c r="P383" s="165"/>
      <c r="Q383" s="191"/>
      <c r="R383" s="191"/>
      <c r="S383" s="191"/>
    </row>
    <row r="384" spans="5:19" x14ac:dyDescent="0.3">
      <c r="E384" s="165"/>
      <c r="F384" s="165"/>
      <c r="G384" s="165"/>
      <c r="H384" s="165"/>
      <c r="I384" s="191"/>
      <c r="J384" s="191"/>
      <c r="K384" s="191"/>
      <c r="L384" s="165"/>
      <c r="M384" s="165"/>
      <c r="N384" s="165"/>
      <c r="O384" s="165"/>
      <c r="P384" s="165"/>
      <c r="Q384" s="191"/>
      <c r="R384" s="191"/>
      <c r="S384" s="191"/>
    </row>
    <row r="385" spans="5:19" x14ac:dyDescent="0.3">
      <c r="E385" s="165"/>
      <c r="F385" s="165"/>
      <c r="G385" s="165"/>
      <c r="H385" s="165"/>
      <c r="I385" s="191"/>
      <c r="J385" s="191"/>
      <c r="K385" s="191"/>
      <c r="L385" s="165"/>
      <c r="M385" s="165"/>
      <c r="N385" s="165"/>
      <c r="O385" s="165"/>
      <c r="P385" s="165"/>
      <c r="Q385" s="191"/>
      <c r="R385" s="191"/>
      <c r="S385" s="191"/>
    </row>
    <row r="386" spans="5:19" x14ac:dyDescent="0.3">
      <c r="E386" s="165"/>
      <c r="F386" s="165"/>
      <c r="G386" s="165"/>
      <c r="H386" s="165"/>
      <c r="I386" s="191"/>
      <c r="J386" s="191"/>
      <c r="K386" s="191"/>
      <c r="L386" s="165"/>
      <c r="M386" s="165"/>
      <c r="N386" s="165"/>
      <c r="O386" s="165"/>
      <c r="P386" s="165"/>
      <c r="Q386" s="191"/>
      <c r="R386" s="191"/>
      <c r="S386" s="191"/>
    </row>
    <row r="387" spans="5:19" x14ac:dyDescent="0.3">
      <c r="E387" s="165"/>
      <c r="F387" s="165"/>
      <c r="G387" s="165"/>
      <c r="H387" s="165"/>
      <c r="I387" s="191"/>
      <c r="J387" s="191"/>
      <c r="K387" s="191"/>
      <c r="L387" s="165"/>
      <c r="M387" s="165"/>
      <c r="N387" s="165"/>
      <c r="O387" s="165"/>
      <c r="P387" s="165"/>
      <c r="Q387" s="191"/>
      <c r="R387" s="191"/>
      <c r="S387" s="191"/>
    </row>
    <row r="388" spans="5:19" x14ac:dyDescent="0.3">
      <c r="E388" s="165"/>
      <c r="F388" s="165"/>
      <c r="G388" s="165"/>
      <c r="H388" s="165"/>
      <c r="I388" s="191"/>
      <c r="J388" s="191"/>
      <c r="K388" s="191"/>
      <c r="L388" s="165"/>
      <c r="M388" s="165"/>
      <c r="N388" s="165"/>
      <c r="O388" s="165"/>
      <c r="P388" s="165"/>
      <c r="Q388" s="191"/>
      <c r="R388" s="191"/>
      <c r="S388" s="191"/>
    </row>
    <row r="389" spans="5:19" x14ac:dyDescent="0.3">
      <c r="E389" s="165"/>
      <c r="F389" s="165"/>
      <c r="G389" s="165"/>
      <c r="H389" s="165"/>
      <c r="I389" s="191"/>
      <c r="J389" s="191"/>
      <c r="K389" s="191"/>
      <c r="L389" s="165"/>
      <c r="M389" s="165"/>
      <c r="N389" s="165"/>
      <c r="O389" s="165"/>
      <c r="P389" s="165"/>
      <c r="Q389" s="191"/>
      <c r="R389" s="191"/>
      <c r="S389" s="191"/>
    </row>
    <row r="390" spans="5:19" x14ac:dyDescent="0.3">
      <c r="E390" s="165"/>
      <c r="F390" s="165"/>
      <c r="G390" s="165"/>
      <c r="H390" s="165"/>
      <c r="I390" s="191"/>
      <c r="J390" s="191"/>
      <c r="K390" s="191"/>
      <c r="L390" s="165"/>
      <c r="M390" s="165"/>
      <c r="N390" s="165"/>
      <c r="O390" s="165"/>
      <c r="P390" s="165"/>
      <c r="Q390" s="191"/>
      <c r="R390" s="191"/>
      <c r="S390" s="191"/>
    </row>
    <row r="391" spans="5:19" x14ac:dyDescent="0.3">
      <c r="E391" s="165"/>
      <c r="F391" s="165"/>
      <c r="G391" s="165"/>
      <c r="H391" s="165"/>
      <c r="I391" s="191"/>
      <c r="J391" s="191"/>
      <c r="K391" s="191"/>
      <c r="L391" s="165"/>
      <c r="M391" s="165"/>
      <c r="N391" s="165"/>
      <c r="O391" s="165"/>
      <c r="P391" s="165"/>
      <c r="Q391" s="191"/>
      <c r="R391" s="191"/>
      <c r="S391" s="191"/>
    </row>
    <row r="392" spans="5:19" x14ac:dyDescent="0.3">
      <c r="E392" s="165"/>
      <c r="F392" s="165"/>
      <c r="G392" s="165"/>
      <c r="H392" s="165"/>
      <c r="I392" s="191"/>
      <c r="J392" s="191"/>
      <c r="K392" s="191"/>
      <c r="L392" s="165"/>
      <c r="M392" s="165"/>
      <c r="N392" s="165"/>
      <c r="O392" s="165"/>
      <c r="P392" s="165"/>
      <c r="Q392" s="191"/>
      <c r="R392" s="191"/>
      <c r="S392" s="191"/>
    </row>
    <row r="393" spans="5:19" x14ac:dyDescent="0.3">
      <c r="E393" s="165"/>
      <c r="F393" s="165"/>
      <c r="G393" s="165"/>
      <c r="H393" s="165"/>
      <c r="I393" s="191"/>
      <c r="J393" s="191"/>
      <c r="K393" s="191"/>
      <c r="L393" s="165"/>
      <c r="M393" s="165"/>
      <c r="N393" s="165"/>
      <c r="O393" s="165"/>
      <c r="P393" s="165"/>
      <c r="Q393" s="191"/>
      <c r="R393" s="191"/>
      <c r="S393" s="191"/>
    </row>
    <row r="394" spans="5:19" x14ac:dyDescent="0.3">
      <c r="E394" s="165"/>
      <c r="F394" s="165"/>
      <c r="G394" s="165"/>
      <c r="H394" s="165"/>
      <c r="I394" s="191"/>
      <c r="J394" s="191"/>
      <c r="K394" s="191"/>
      <c r="L394" s="165"/>
      <c r="M394" s="165"/>
      <c r="N394" s="165"/>
      <c r="O394" s="165"/>
      <c r="P394" s="165"/>
      <c r="Q394" s="191"/>
      <c r="R394" s="191"/>
      <c r="S394" s="191"/>
    </row>
    <row r="395" spans="5:19" x14ac:dyDescent="0.3">
      <c r="E395" s="165"/>
      <c r="F395" s="165"/>
      <c r="G395" s="165"/>
      <c r="H395" s="165"/>
      <c r="I395" s="191"/>
      <c r="J395" s="191"/>
      <c r="K395" s="191"/>
      <c r="L395" s="165"/>
      <c r="M395" s="165"/>
      <c r="N395" s="165"/>
      <c r="O395" s="165"/>
      <c r="P395" s="165"/>
      <c r="Q395" s="191"/>
      <c r="R395" s="191"/>
      <c r="S395" s="191"/>
    </row>
    <row r="396" spans="5:19" x14ac:dyDescent="0.3">
      <c r="E396" s="165"/>
      <c r="F396" s="165"/>
      <c r="G396" s="165"/>
      <c r="H396" s="165"/>
      <c r="I396" s="191"/>
      <c r="J396" s="191"/>
      <c r="K396" s="191"/>
      <c r="L396" s="165"/>
      <c r="M396" s="165"/>
      <c r="N396" s="165"/>
      <c r="O396" s="165"/>
      <c r="P396" s="165"/>
      <c r="Q396" s="191"/>
      <c r="R396" s="191"/>
      <c r="S396" s="191"/>
    </row>
    <row r="397" spans="5:19" x14ac:dyDescent="0.3">
      <c r="E397" s="165"/>
      <c r="F397" s="165"/>
      <c r="G397" s="165"/>
      <c r="H397" s="165"/>
      <c r="I397" s="191"/>
      <c r="J397" s="191"/>
      <c r="K397" s="191"/>
      <c r="L397" s="165"/>
      <c r="M397" s="165"/>
      <c r="N397" s="165"/>
      <c r="O397" s="165"/>
      <c r="P397" s="165"/>
      <c r="Q397" s="191"/>
      <c r="R397" s="191"/>
      <c r="S397" s="191"/>
    </row>
    <row r="398" spans="5:19" x14ac:dyDescent="0.3">
      <c r="E398" s="165"/>
      <c r="F398" s="165"/>
      <c r="G398" s="165"/>
      <c r="H398" s="165"/>
      <c r="I398" s="191"/>
      <c r="J398" s="191"/>
      <c r="K398" s="191"/>
      <c r="L398" s="165"/>
      <c r="M398" s="165"/>
      <c r="N398" s="165"/>
      <c r="O398" s="165"/>
      <c r="P398" s="165"/>
      <c r="Q398" s="191"/>
      <c r="R398" s="191"/>
      <c r="S398" s="191"/>
    </row>
    <row r="399" spans="5:19" x14ac:dyDescent="0.3">
      <c r="E399" s="165"/>
      <c r="F399" s="165"/>
      <c r="G399" s="165"/>
      <c r="H399" s="165"/>
      <c r="I399" s="191"/>
      <c r="J399" s="191"/>
      <c r="K399" s="191"/>
      <c r="L399" s="165"/>
      <c r="M399" s="165"/>
      <c r="N399" s="165"/>
      <c r="O399" s="165"/>
      <c r="P399" s="165"/>
      <c r="Q399" s="191"/>
      <c r="R399" s="191"/>
      <c r="S399" s="191"/>
    </row>
    <row r="400" spans="5:19" x14ac:dyDescent="0.3">
      <c r="E400" s="165"/>
      <c r="F400" s="165"/>
      <c r="G400" s="165"/>
      <c r="H400" s="165"/>
      <c r="I400" s="191"/>
      <c r="J400" s="191"/>
      <c r="K400" s="191"/>
      <c r="L400" s="165"/>
      <c r="M400" s="165"/>
      <c r="N400" s="165"/>
      <c r="O400" s="165"/>
      <c r="P400" s="165"/>
      <c r="Q400" s="191"/>
      <c r="R400" s="191"/>
      <c r="S400" s="191"/>
    </row>
    <row r="401" spans="5:19" x14ac:dyDescent="0.3">
      <c r="E401" s="165"/>
      <c r="F401" s="165"/>
      <c r="G401" s="165"/>
      <c r="H401" s="165"/>
      <c r="I401" s="191"/>
      <c r="J401" s="191"/>
      <c r="K401" s="191"/>
      <c r="L401" s="165"/>
      <c r="M401" s="165"/>
      <c r="N401" s="165"/>
      <c r="O401" s="165"/>
      <c r="P401" s="165"/>
      <c r="Q401" s="191"/>
      <c r="R401" s="191"/>
      <c r="S401" s="191"/>
    </row>
    <row r="402" spans="5:19" x14ac:dyDescent="0.3">
      <c r="E402" s="165"/>
      <c r="F402" s="165"/>
      <c r="G402" s="165"/>
      <c r="H402" s="165"/>
      <c r="I402" s="191"/>
      <c r="J402" s="191"/>
      <c r="K402" s="191"/>
      <c r="L402" s="165"/>
      <c r="M402" s="165"/>
      <c r="N402" s="165"/>
      <c r="O402" s="165"/>
      <c r="P402" s="165"/>
      <c r="Q402" s="191"/>
      <c r="R402" s="191"/>
      <c r="S402" s="191"/>
    </row>
    <row r="403" spans="5:19" x14ac:dyDescent="0.3">
      <c r="E403" s="165"/>
      <c r="F403" s="165"/>
      <c r="G403" s="165"/>
      <c r="H403" s="165"/>
      <c r="I403" s="191"/>
      <c r="J403" s="191"/>
      <c r="K403" s="191"/>
      <c r="L403" s="165"/>
      <c r="M403" s="165"/>
      <c r="N403" s="165"/>
      <c r="O403" s="165"/>
      <c r="P403" s="165"/>
      <c r="Q403" s="191"/>
      <c r="R403" s="191"/>
      <c r="S403" s="191"/>
    </row>
    <row r="404" spans="5:19" x14ac:dyDescent="0.3">
      <c r="E404" s="165"/>
      <c r="F404" s="165"/>
      <c r="G404" s="165"/>
      <c r="H404" s="165"/>
      <c r="I404" s="191"/>
      <c r="J404" s="191"/>
      <c r="K404" s="191"/>
      <c r="L404" s="165"/>
      <c r="M404" s="165"/>
      <c r="N404" s="165"/>
      <c r="O404" s="165"/>
      <c r="P404" s="165"/>
      <c r="Q404" s="191"/>
      <c r="R404" s="191"/>
      <c r="S404" s="191"/>
    </row>
    <row r="405" spans="5:19" x14ac:dyDescent="0.3">
      <c r="E405" s="165"/>
      <c r="F405" s="165"/>
      <c r="G405" s="165"/>
      <c r="H405" s="165"/>
      <c r="I405" s="191"/>
      <c r="J405" s="191"/>
      <c r="K405" s="191"/>
      <c r="L405" s="165"/>
      <c r="M405" s="165"/>
      <c r="N405" s="165"/>
      <c r="O405" s="165"/>
      <c r="P405" s="165"/>
      <c r="Q405" s="191"/>
      <c r="R405" s="191"/>
      <c r="S405" s="191"/>
    </row>
    <row r="406" spans="5:19" x14ac:dyDescent="0.3">
      <c r="E406" s="165"/>
      <c r="F406" s="165"/>
      <c r="G406" s="165"/>
      <c r="H406" s="165"/>
      <c r="I406" s="191"/>
      <c r="J406" s="191"/>
      <c r="K406" s="191"/>
      <c r="L406" s="165"/>
      <c r="M406" s="165"/>
      <c r="N406" s="165"/>
      <c r="O406" s="165"/>
      <c r="P406" s="165"/>
      <c r="Q406" s="191"/>
      <c r="R406" s="191"/>
      <c r="S406" s="191"/>
    </row>
    <row r="407" spans="5:19" x14ac:dyDescent="0.3">
      <c r="E407" s="165"/>
      <c r="F407" s="165"/>
      <c r="G407" s="165"/>
      <c r="H407" s="165"/>
      <c r="I407" s="191"/>
      <c r="J407" s="191"/>
      <c r="K407" s="191"/>
      <c r="L407" s="165"/>
      <c r="M407" s="165"/>
      <c r="N407" s="165"/>
      <c r="O407" s="165"/>
      <c r="P407" s="165"/>
      <c r="Q407" s="191"/>
      <c r="R407" s="191"/>
      <c r="S407" s="191"/>
    </row>
    <row r="408" spans="5:19" x14ac:dyDescent="0.3">
      <c r="E408" s="165"/>
      <c r="F408" s="165"/>
      <c r="G408" s="165"/>
      <c r="H408" s="165"/>
      <c r="I408" s="191"/>
      <c r="J408" s="191"/>
      <c r="K408" s="191"/>
      <c r="L408" s="165"/>
      <c r="M408" s="165"/>
      <c r="N408" s="165"/>
      <c r="O408" s="165"/>
      <c r="P408" s="165"/>
      <c r="Q408" s="191"/>
      <c r="R408" s="191"/>
      <c r="S408" s="191"/>
    </row>
    <row r="409" spans="5:19" x14ac:dyDescent="0.3">
      <c r="E409" s="165"/>
      <c r="F409" s="165"/>
      <c r="G409" s="165"/>
      <c r="H409" s="165"/>
      <c r="I409" s="191"/>
      <c r="J409" s="191"/>
      <c r="K409" s="191"/>
      <c r="L409" s="165"/>
      <c r="M409" s="165"/>
      <c r="N409" s="165"/>
      <c r="O409" s="165"/>
      <c r="P409" s="165"/>
      <c r="Q409" s="191"/>
      <c r="R409" s="191"/>
      <c r="S409" s="191"/>
    </row>
  </sheetData>
  <mergeCells count="7">
    <mergeCell ref="T121:T122"/>
    <mergeCell ref="N4:P4"/>
    <mergeCell ref="Q4:S4"/>
    <mergeCell ref="E5:G5"/>
    <mergeCell ref="I5:K5"/>
    <mergeCell ref="N5:P5"/>
    <mergeCell ref="Q5:S5"/>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563"/>
  <sheetViews>
    <sheetView workbookViewId="0">
      <selection activeCell="H5" sqref="H5"/>
    </sheetView>
  </sheetViews>
  <sheetFormatPr defaultColWidth="9.109375" defaultRowHeight="13.8" x14ac:dyDescent="0.3"/>
  <cols>
    <col min="1" max="1" width="9.109375" style="39"/>
    <col min="3" max="3" width="35.33203125" style="39" customWidth="1"/>
    <col min="4" max="4" width="6.6640625" customWidth="1"/>
    <col min="5" max="5" width="9.33203125" style="242" customWidth="1"/>
    <col min="6" max="6" width="16.109375" style="4" customWidth="1"/>
    <col min="7" max="7" width="14.109375" style="4" customWidth="1"/>
    <col min="8" max="8" width="11.88671875" style="21" customWidth="1"/>
    <col min="10" max="10" width="12.44140625" style="7" bestFit="1" customWidth="1"/>
    <col min="11" max="11" width="12.6640625" style="7" bestFit="1" customWidth="1"/>
    <col min="12" max="12" width="15.109375" customWidth="1"/>
  </cols>
  <sheetData>
    <row r="1" spans="1:12" x14ac:dyDescent="0.3">
      <c r="C1" s="38" t="str">
        <f>+'Standing Data'!D4</f>
        <v>NAME OF COUNCIL</v>
      </c>
      <c r="D1" s="6"/>
    </row>
    <row r="2" spans="1:12" x14ac:dyDescent="0.3">
      <c r="C2" s="38" t="s">
        <v>708</v>
      </c>
      <c r="D2" s="6"/>
    </row>
    <row r="3" spans="1:12" x14ac:dyDescent="0.3">
      <c r="C3" s="38" t="str">
        <f>+'Standing Data'!D20</f>
        <v>Balance Sheet as at 31 March 2026</v>
      </c>
      <c r="D3" s="6"/>
    </row>
    <row r="5" spans="1:12" ht="41.4" x14ac:dyDescent="0.3">
      <c r="A5" s="39" t="s">
        <v>448</v>
      </c>
      <c r="C5" s="38" t="s">
        <v>716</v>
      </c>
      <c r="D5" s="29" t="s">
        <v>200</v>
      </c>
      <c r="E5" s="5" t="s">
        <v>444</v>
      </c>
      <c r="F5" s="95">
        <f>+'Standing Data'!D44</f>
        <v>46112</v>
      </c>
      <c r="G5" s="95">
        <f>'Standing Data'!D72</f>
        <v>45747</v>
      </c>
      <c r="H5" s="95">
        <f>'Standing Data'!D76</f>
        <v>45382</v>
      </c>
      <c r="I5" s="101"/>
      <c r="J5" s="95">
        <f>+'Standing Data'!D44</f>
        <v>46112</v>
      </c>
      <c r="K5" s="95">
        <f>'Standing Data'!D72</f>
        <v>45747</v>
      </c>
      <c r="L5" s="95">
        <f>'Standing Data'!D76</f>
        <v>45382</v>
      </c>
    </row>
    <row r="6" spans="1:12" ht="14.4" x14ac:dyDescent="0.3">
      <c r="A6" s="39" t="s">
        <v>448</v>
      </c>
      <c r="C6" s="45" t="s">
        <v>672</v>
      </c>
      <c r="D6" s="14"/>
      <c r="E6" s="5"/>
      <c r="F6" s="22"/>
      <c r="G6" s="22"/>
      <c r="H6" s="24"/>
      <c r="J6" s="22"/>
      <c r="K6" s="22"/>
    </row>
    <row r="7" spans="1:12" ht="27.6" x14ac:dyDescent="0.3">
      <c r="A7" s="250" t="str">
        <f>IF(AND(F7=0,G7=0),"Do Not Print","Print")</f>
        <v>Do Not Print</v>
      </c>
      <c r="B7" s="249" t="s">
        <v>890</v>
      </c>
      <c r="C7" s="250" t="s">
        <v>673</v>
      </c>
      <c r="D7" s="249"/>
      <c r="E7" s="251" t="s">
        <v>709</v>
      </c>
      <c r="F7" s="255">
        <f t="shared" ref="F7:F20" si="0">VLOOKUP($C7,LASS,8,0)</f>
        <v>0</v>
      </c>
      <c r="G7" s="257">
        <f t="shared" ref="G7:G20" si="1">VLOOKUP($C7,LASS,14,0)</f>
        <v>0</v>
      </c>
      <c r="H7" s="198"/>
      <c r="I7" s="165"/>
      <c r="J7" s="165">
        <f t="shared" ref="J7:K22" si="2">ROUND(F7,0)</f>
        <v>0</v>
      </c>
      <c r="K7" s="165">
        <f t="shared" si="2"/>
        <v>0</v>
      </c>
      <c r="L7" s="165"/>
    </row>
    <row r="8" spans="1:12" ht="27.6" x14ac:dyDescent="0.3">
      <c r="A8" s="250" t="str">
        <f t="shared" ref="A8:A75" si="3">IF(AND(F8=0,G8=0),"Do Not Print","Print")</f>
        <v>Do Not Print</v>
      </c>
      <c r="B8" s="249" t="s">
        <v>890</v>
      </c>
      <c r="C8" s="250" t="s">
        <v>101</v>
      </c>
      <c r="D8" s="249"/>
      <c r="E8" s="251" t="s">
        <v>709</v>
      </c>
      <c r="F8" s="255">
        <f t="shared" si="0"/>
        <v>0</v>
      </c>
      <c r="G8" s="257">
        <f t="shared" si="1"/>
        <v>0</v>
      </c>
      <c r="H8" s="198"/>
      <c r="I8" s="165"/>
      <c r="J8" s="165">
        <f t="shared" si="2"/>
        <v>0</v>
      </c>
      <c r="K8" s="165">
        <f t="shared" si="2"/>
        <v>0</v>
      </c>
      <c r="L8" s="165"/>
    </row>
    <row r="9" spans="1:12" ht="27.6" x14ac:dyDescent="0.3">
      <c r="A9" s="250" t="str">
        <f t="shared" si="3"/>
        <v>Do Not Print</v>
      </c>
      <c r="B9" s="249" t="s">
        <v>890</v>
      </c>
      <c r="C9" s="250" t="s">
        <v>972</v>
      </c>
      <c r="D9" s="249"/>
      <c r="E9" s="251" t="s">
        <v>709</v>
      </c>
      <c r="F9" s="255">
        <f t="shared" si="0"/>
        <v>0</v>
      </c>
      <c r="G9" s="257">
        <f t="shared" si="1"/>
        <v>0</v>
      </c>
      <c r="H9" s="198"/>
      <c r="I9" s="165"/>
      <c r="J9" s="165">
        <f t="shared" si="2"/>
        <v>0</v>
      </c>
      <c r="K9" s="165">
        <f t="shared" si="2"/>
        <v>0</v>
      </c>
      <c r="L9" s="165"/>
    </row>
    <row r="10" spans="1:12" ht="27.6" x14ac:dyDescent="0.3">
      <c r="A10" s="250" t="str">
        <f t="shared" si="3"/>
        <v>Do Not Print</v>
      </c>
      <c r="B10" s="249" t="s">
        <v>890</v>
      </c>
      <c r="C10" s="250" t="s">
        <v>974</v>
      </c>
      <c r="D10" s="249"/>
      <c r="E10" s="251" t="s">
        <v>709</v>
      </c>
      <c r="F10" s="255">
        <f t="shared" si="0"/>
        <v>0</v>
      </c>
      <c r="G10" s="257">
        <f t="shared" si="1"/>
        <v>0</v>
      </c>
      <c r="H10" s="198"/>
      <c r="I10" s="165"/>
      <c r="J10" s="165">
        <f t="shared" si="2"/>
        <v>0</v>
      </c>
      <c r="K10" s="165">
        <f t="shared" si="2"/>
        <v>0</v>
      </c>
      <c r="L10" s="165"/>
    </row>
    <row r="11" spans="1:12" ht="27.6" x14ac:dyDescent="0.3">
      <c r="A11" s="250" t="str">
        <f t="shared" si="3"/>
        <v>Do Not Print</v>
      </c>
      <c r="B11" s="249" t="s">
        <v>890</v>
      </c>
      <c r="C11" s="250" t="s">
        <v>975</v>
      </c>
      <c r="D11" s="249"/>
      <c r="E11" s="251" t="s">
        <v>709</v>
      </c>
      <c r="F11" s="255">
        <f t="shared" si="0"/>
        <v>0</v>
      </c>
      <c r="G11" s="257">
        <f t="shared" si="1"/>
        <v>0</v>
      </c>
      <c r="H11" s="198"/>
      <c r="I11" s="165"/>
      <c r="J11" s="165">
        <f t="shared" si="2"/>
        <v>0</v>
      </c>
      <c r="K11" s="165">
        <f t="shared" si="2"/>
        <v>0</v>
      </c>
      <c r="L11" s="165"/>
    </row>
    <row r="12" spans="1:12" ht="41.4" x14ac:dyDescent="0.3">
      <c r="A12" s="250" t="str">
        <f t="shared" si="3"/>
        <v>Do Not Print</v>
      </c>
      <c r="B12" s="249" t="s">
        <v>890</v>
      </c>
      <c r="C12" s="250" t="s">
        <v>976</v>
      </c>
      <c r="D12" s="249"/>
      <c r="E12" s="251" t="s">
        <v>709</v>
      </c>
      <c r="F12" s="255">
        <f t="shared" si="0"/>
        <v>0</v>
      </c>
      <c r="G12" s="257">
        <f t="shared" si="1"/>
        <v>0</v>
      </c>
      <c r="H12" s="198"/>
      <c r="I12" s="165"/>
      <c r="J12" s="165">
        <f t="shared" si="2"/>
        <v>0</v>
      </c>
      <c r="K12" s="165">
        <f t="shared" si="2"/>
        <v>0</v>
      </c>
      <c r="L12" s="165"/>
    </row>
    <row r="13" spans="1:12" ht="27.6" x14ac:dyDescent="0.3">
      <c r="A13" s="250" t="str">
        <f t="shared" si="3"/>
        <v>Do Not Print</v>
      </c>
      <c r="B13" s="249" t="s">
        <v>890</v>
      </c>
      <c r="C13" s="250" t="s">
        <v>674</v>
      </c>
      <c r="D13" s="249"/>
      <c r="E13" s="251" t="s">
        <v>709</v>
      </c>
      <c r="F13" s="255">
        <f t="shared" si="0"/>
        <v>0</v>
      </c>
      <c r="G13" s="257">
        <f t="shared" si="1"/>
        <v>0</v>
      </c>
      <c r="H13" s="198"/>
      <c r="I13" s="165"/>
      <c r="J13" s="165">
        <f t="shared" si="2"/>
        <v>0</v>
      </c>
      <c r="K13" s="165">
        <f t="shared" si="2"/>
        <v>0</v>
      </c>
      <c r="L13" s="165"/>
    </row>
    <row r="14" spans="1:12" ht="27.6" x14ac:dyDescent="0.3">
      <c r="A14" s="250" t="str">
        <f t="shared" si="3"/>
        <v>Do Not Print</v>
      </c>
      <c r="B14" s="249" t="s">
        <v>890</v>
      </c>
      <c r="C14" s="252" t="s">
        <v>978</v>
      </c>
      <c r="D14" s="249"/>
      <c r="E14" s="251" t="s">
        <v>709</v>
      </c>
      <c r="F14" s="255">
        <f t="shared" si="0"/>
        <v>0</v>
      </c>
      <c r="G14" s="257">
        <f t="shared" si="1"/>
        <v>0</v>
      </c>
      <c r="H14" s="198"/>
      <c r="I14" s="165"/>
      <c r="J14" s="165">
        <f t="shared" si="2"/>
        <v>0</v>
      </c>
      <c r="K14" s="165">
        <f t="shared" si="2"/>
        <v>0</v>
      </c>
      <c r="L14" s="165"/>
    </row>
    <row r="15" spans="1:12" ht="27.6" x14ac:dyDescent="0.3">
      <c r="A15" s="250" t="str">
        <f t="shared" si="3"/>
        <v>Do Not Print</v>
      </c>
      <c r="B15" s="249" t="s">
        <v>890</v>
      </c>
      <c r="C15" s="252" t="s">
        <v>984</v>
      </c>
      <c r="D15" s="249"/>
      <c r="E15" s="251" t="s">
        <v>709</v>
      </c>
      <c r="F15" s="255">
        <f t="shared" si="0"/>
        <v>0</v>
      </c>
      <c r="G15" s="257">
        <f t="shared" si="1"/>
        <v>0</v>
      </c>
      <c r="H15" s="198"/>
      <c r="I15" s="165"/>
      <c r="J15" s="165">
        <f t="shared" si="2"/>
        <v>0</v>
      </c>
      <c r="K15" s="165">
        <f t="shared" si="2"/>
        <v>0</v>
      </c>
      <c r="L15" s="165"/>
    </row>
    <row r="16" spans="1:12" ht="27.6" x14ac:dyDescent="0.3">
      <c r="A16" s="250" t="str">
        <f t="shared" si="3"/>
        <v>Do Not Print</v>
      </c>
      <c r="B16" s="249" t="s">
        <v>890</v>
      </c>
      <c r="C16" s="252" t="s">
        <v>987</v>
      </c>
      <c r="D16" s="249"/>
      <c r="E16" s="251" t="s">
        <v>709</v>
      </c>
      <c r="F16" s="255">
        <f t="shared" si="0"/>
        <v>0</v>
      </c>
      <c r="G16" s="257">
        <f t="shared" si="1"/>
        <v>0</v>
      </c>
      <c r="H16" s="198"/>
      <c r="I16" s="165"/>
      <c r="J16" s="165">
        <f t="shared" si="2"/>
        <v>0</v>
      </c>
      <c r="K16" s="165">
        <f t="shared" si="2"/>
        <v>0</v>
      </c>
      <c r="L16" s="165"/>
    </row>
    <row r="17" spans="1:12" ht="27.6" x14ac:dyDescent="0.3">
      <c r="A17" s="250" t="str">
        <f t="shared" si="3"/>
        <v>Do Not Print</v>
      </c>
      <c r="B17" s="249" t="s">
        <v>890</v>
      </c>
      <c r="C17" s="252" t="s">
        <v>994</v>
      </c>
      <c r="D17" s="249"/>
      <c r="E17" s="251" t="s">
        <v>709</v>
      </c>
      <c r="F17" s="255">
        <f t="shared" si="0"/>
        <v>0</v>
      </c>
      <c r="G17" s="257">
        <f t="shared" si="1"/>
        <v>0</v>
      </c>
      <c r="H17" s="198"/>
      <c r="I17" s="165"/>
      <c r="J17" s="165">
        <f t="shared" si="2"/>
        <v>0</v>
      </c>
      <c r="K17" s="165">
        <f t="shared" si="2"/>
        <v>0</v>
      </c>
      <c r="L17" s="165"/>
    </row>
    <row r="18" spans="1:12" ht="27.6" x14ac:dyDescent="0.3">
      <c r="A18" s="250" t="str">
        <f t="shared" si="3"/>
        <v>Do Not Print</v>
      </c>
      <c r="B18" s="249" t="s">
        <v>890</v>
      </c>
      <c r="C18" s="250" t="s">
        <v>676</v>
      </c>
      <c r="D18" s="249"/>
      <c r="E18" s="251" t="s">
        <v>709</v>
      </c>
      <c r="F18" s="255">
        <f t="shared" si="0"/>
        <v>0</v>
      </c>
      <c r="G18" s="257">
        <f t="shared" si="1"/>
        <v>0</v>
      </c>
      <c r="H18" s="198"/>
      <c r="I18" s="165"/>
      <c r="J18" s="165">
        <f t="shared" si="2"/>
        <v>0</v>
      </c>
      <c r="K18" s="165">
        <f t="shared" si="2"/>
        <v>0</v>
      </c>
      <c r="L18" s="165"/>
    </row>
    <row r="19" spans="1:12" ht="27.6" x14ac:dyDescent="0.3">
      <c r="A19" s="250" t="str">
        <f t="shared" si="3"/>
        <v>Do Not Print</v>
      </c>
      <c r="B19" s="249" t="s">
        <v>890</v>
      </c>
      <c r="C19" s="250" t="s">
        <v>101</v>
      </c>
      <c r="D19" s="249"/>
      <c r="E19" s="251" t="s">
        <v>709</v>
      </c>
      <c r="F19" s="255">
        <f t="shared" si="0"/>
        <v>0</v>
      </c>
      <c r="G19" s="257">
        <f t="shared" si="1"/>
        <v>0</v>
      </c>
      <c r="H19" s="198"/>
      <c r="I19" s="165"/>
      <c r="J19" s="165">
        <f t="shared" si="2"/>
        <v>0</v>
      </c>
      <c r="K19" s="165">
        <f t="shared" si="2"/>
        <v>0</v>
      </c>
      <c r="L19" s="165"/>
    </row>
    <row r="20" spans="1:12" ht="27.6" x14ac:dyDescent="0.3">
      <c r="A20" s="250" t="str">
        <f t="shared" si="3"/>
        <v>Do Not Print</v>
      </c>
      <c r="B20" s="249" t="s">
        <v>890</v>
      </c>
      <c r="C20" s="250" t="s">
        <v>675</v>
      </c>
      <c r="D20" s="249"/>
      <c r="E20" s="251" t="s">
        <v>709</v>
      </c>
      <c r="F20" s="255">
        <f t="shared" si="0"/>
        <v>0</v>
      </c>
      <c r="G20" s="257">
        <f t="shared" si="1"/>
        <v>0</v>
      </c>
      <c r="H20" s="198"/>
      <c r="I20" s="165"/>
      <c r="J20" s="165">
        <f t="shared" si="2"/>
        <v>0</v>
      </c>
      <c r="K20" s="165">
        <f t="shared" si="2"/>
        <v>0</v>
      </c>
      <c r="L20" s="165"/>
    </row>
    <row r="21" spans="1:12" ht="27.6" x14ac:dyDescent="0.3">
      <c r="A21" s="250" t="str">
        <f t="shared" si="3"/>
        <v>Do Not Print</v>
      </c>
      <c r="B21" s="249" t="s">
        <v>890</v>
      </c>
      <c r="C21" s="252" t="s">
        <v>677</v>
      </c>
      <c r="D21" s="249"/>
      <c r="E21" s="251" t="s">
        <v>709</v>
      </c>
      <c r="F21" s="255">
        <f t="shared" ref="F21:F26" si="4">-VLOOKUP($C21,LASS,8,0)</f>
        <v>0</v>
      </c>
      <c r="G21" s="257">
        <f t="shared" ref="G21:G26" si="5">-VLOOKUP($C21,LASS,14,0)</f>
        <v>0</v>
      </c>
      <c r="H21" s="198"/>
      <c r="I21" s="165"/>
      <c r="J21" s="165">
        <f t="shared" si="2"/>
        <v>0</v>
      </c>
      <c r="K21" s="165">
        <f t="shared" si="2"/>
        <v>0</v>
      </c>
      <c r="L21" s="165"/>
    </row>
    <row r="22" spans="1:12" ht="41.4" x14ac:dyDescent="0.3">
      <c r="A22" s="250" t="str">
        <f t="shared" si="3"/>
        <v>Do Not Print</v>
      </c>
      <c r="B22" s="249" t="s">
        <v>890</v>
      </c>
      <c r="C22" s="250" t="s">
        <v>111</v>
      </c>
      <c r="D22" s="249"/>
      <c r="E22" s="251" t="s">
        <v>709</v>
      </c>
      <c r="F22" s="255">
        <f t="shared" si="4"/>
        <v>0</v>
      </c>
      <c r="G22" s="257">
        <f t="shared" si="5"/>
        <v>0</v>
      </c>
      <c r="H22" s="198"/>
      <c r="I22" s="165"/>
      <c r="J22" s="165">
        <f t="shared" si="2"/>
        <v>0</v>
      </c>
      <c r="K22" s="165">
        <f>ROUND(G22,0)</f>
        <v>0</v>
      </c>
      <c r="L22" s="165"/>
    </row>
    <row r="23" spans="1:12" ht="27.6" x14ac:dyDescent="0.3">
      <c r="A23" s="250" t="str">
        <f t="shared" si="3"/>
        <v>Do Not Print</v>
      </c>
      <c r="B23" s="249" t="s">
        <v>890</v>
      </c>
      <c r="C23" s="250" t="s">
        <v>678</v>
      </c>
      <c r="D23" s="249"/>
      <c r="E23" s="251" t="s">
        <v>709</v>
      </c>
      <c r="F23" s="255">
        <f t="shared" si="4"/>
        <v>0</v>
      </c>
      <c r="G23" s="257">
        <f t="shared" si="5"/>
        <v>0</v>
      </c>
      <c r="H23" s="198"/>
      <c r="I23" s="165"/>
      <c r="J23" s="165">
        <f t="shared" ref="J23:K40" si="6">ROUND(F23,0)</f>
        <v>0</v>
      </c>
      <c r="K23" s="165">
        <f t="shared" si="6"/>
        <v>0</v>
      </c>
      <c r="L23" s="165"/>
    </row>
    <row r="24" spans="1:12" ht="27.6" x14ac:dyDescent="0.3">
      <c r="A24" s="250" t="str">
        <f t="shared" si="3"/>
        <v>Do Not Print</v>
      </c>
      <c r="B24" s="249" t="s">
        <v>890</v>
      </c>
      <c r="C24" s="252" t="s">
        <v>983</v>
      </c>
      <c r="D24" s="249"/>
      <c r="E24" s="251" t="s">
        <v>709</v>
      </c>
      <c r="F24" s="255">
        <f t="shared" si="4"/>
        <v>0</v>
      </c>
      <c r="G24" s="257">
        <f t="shared" si="5"/>
        <v>0</v>
      </c>
      <c r="H24" s="198"/>
      <c r="I24" s="165"/>
      <c r="J24" s="165">
        <f t="shared" si="6"/>
        <v>0</v>
      </c>
      <c r="K24" s="165">
        <f t="shared" si="6"/>
        <v>0</v>
      </c>
      <c r="L24" s="165"/>
    </row>
    <row r="25" spans="1:12" ht="27.6" x14ac:dyDescent="0.3">
      <c r="A25" s="250" t="str">
        <f t="shared" si="3"/>
        <v>Do Not Print</v>
      </c>
      <c r="B25" s="249" t="s">
        <v>890</v>
      </c>
      <c r="C25" s="252" t="s">
        <v>985</v>
      </c>
      <c r="D25" s="249"/>
      <c r="E25" s="251" t="s">
        <v>709</v>
      </c>
      <c r="F25" s="255">
        <f t="shared" si="4"/>
        <v>0</v>
      </c>
      <c r="G25" s="257">
        <f t="shared" si="5"/>
        <v>0</v>
      </c>
      <c r="H25" s="198"/>
      <c r="I25" s="165"/>
      <c r="J25" s="165">
        <f t="shared" si="6"/>
        <v>0</v>
      </c>
      <c r="K25" s="165">
        <f t="shared" si="6"/>
        <v>0</v>
      </c>
      <c r="L25" s="165"/>
    </row>
    <row r="26" spans="1:12" ht="27.6" x14ac:dyDescent="0.3">
      <c r="A26" s="250" t="str">
        <f t="shared" si="3"/>
        <v>Do Not Print</v>
      </c>
      <c r="B26" s="249" t="s">
        <v>890</v>
      </c>
      <c r="C26" s="250" t="s">
        <v>679</v>
      </c>
      <c r="D26" s="249"/>
      <c r="E26" s="251" t="s">
        <v>709</v>
      </c>
      <c r="F26" s="255">
        <f t="shared" si="4"/>
        <v>0</v>
      </c>
      <c r="G26" s="257">
        <f t="shared" si="5"/>
        <v>0</v>
      </c>
      <c r="H26" s="198"/>
      <c r="I26" s="165"/>
      <c r="J26" s="165">
        <f t="shared" si="6"/>
        <v>0</v>
      </c>
      <c r="K26" s="165">
        <f t="shared" si="6"/>
        <v>0</v>
      </c>
      <c r="L26" s="165"/>
    </row>
    <row r="27" spans="1:12" ht="27.6" x14ac:dyDescent="0.3">
      <c r="A27" s="250" t="str">
        <f t="shared" si="3"/>
        <v>Do Not Print</v>
      </c>
      <c r="B27" s="249" t="s">
        <v>890</v>
      </c>
      <c r="C27" s="250" t="s">
        <v>680</v>
      </c>
      <c r="D27" s="249"/>
      <c r="E27" s="251" t="s">
        <v>709</v>
      </c>
      <c r="F27" s="255">
        <f>VLOOKUP($C27,LASS,8,0)</f>
        <v>0</v>
      </c>
      <c r="G27" s="257">
        <f>VLOOKUP($C27,LASS,14,0)</f>
        <v>0</v>
      </c>
      <c r="H27" s="198"/>
      <c r="I27" s="165"/>
      <c r="J27" s="165">
        <f t="shared" si="6"/>
        <v>0</v>
      </c>
      <c r="K27" s="165">
        <f t="shared" si="6"/>
        <v>0</v>
      </c>
      <c r="L27" s="165"/>
    </row>
    <row r="28" spans="1:12" ht="27.6" x14ac:dyDescent="0.3">
      <c r="A28" s="250" t="str">
        <f t="shared" si="3"/>
        <v>Do Not Print</v>
      </c>
      <c r="B28" s="249" t="s">
        <v>890</v>
      </c>
      <c r="C28" s="252" t="s">
        <v>988</v>
      </c>
      <c r="D28" s="249"/>
      <c r="E28" s="251" t="s">
        <v>709</v>
      </c>
      <c r="F28" s="255">
        <f>VLOOKUP($C28,LASS,8,0)</f>
        <v>0</v>
      </c>
      <c r="G28" s="257">
        <f>VLOOKUP($C28,LASS,14,0)</f>
        <v>0</v>
      </c>
      <c r="H28" s="198"/>
      <c r="I28" s="165"/>
      <c r="J28" s="165">
        <f t="shared" si="6"/>
        <v>0</v>
      </c>
      <c r="K28" s="165">
        <f t="shared" si="6"/>
        <v>0</v>
      </c>
      <c r="L28" s="165"/>
    </row>
    <row r="29" spans="1:12" s="14" customFormat="1" ht="14.4" x14ac:dyDescent="0.3">
      <c r="A29" s="45" t="s">
        <v>448</v>
      </c>
      <c r="C29" s="45" t="s">
        <v>1630</v>
      </c>
      <c r="E29" s="258"/>
      <c r="F29" s="259">
        <f>SUM(F7:F17)-SUM(F18:F28)</f>
        <v>0</v>
      </c>
      <c r="G29" s="259">
        <f>SUM(G7:G17)-SUM(G18:G28)</f>
        <v>0</v>
      </c>
      <c r="H29" s="202"/>
      <c r="I29" s="197"/>
      <c r="J29" s="197">
        <f t="shared" si="6"/>
        <v>0</v>
      </c>
      <c r="K29" s="197">
        <f>ROUND(G29,0)</f>
        <v>0</v>
      </c>
      <c r="L29" s="197"/>
    </row>
    <row r="30" spans="1:12" x14ac:dyDescent="0.3">
      <c r="A30" s="39" t="s">
        <v>448</v>
      </c>
      <c r="C30" s="18"/>
      <c r="F30" s="165"/>
      <c r="G30" s="165"/>
      <c r="H30" s="198"/>
      <c r="I30" s="165"/>
      <c r="J30" s="165"/>
      <c r="K30" s="165"/>
      <c r="L30" s="165"/>
    </row>
    <row r="31" spans="1:12" ht="27.6" x14ac:dyDescent="0.3">
      <c r="A31" s="260" t="str">
        <f t="shared" si="3"/>
        <v>Do Not Print</v>
      </c>
      <c r="B31" s="248" t="s">
        <v>891</v>
      </c>
      <c r="C31" s="260" t="s">
        <v>682</v>
      </c>
      <c r="D31" s="248"/>
      <c r="E31" s="261" t="s">
        <v>709</v>
      </c>
      <c r="F31" s="254">
        <f t="shared" ref="F31:F44" si="7">VLOOKUP($C31,BASS,8,0)</f>
        <v>0</v>
      </c>
      <c r="G31" s="265">
        <f t="shared" ref="G31:G44" si="8">VLOOKUP($C31,BASS,14,0)</f>
        <v>0</v>
      </c>
      <c r="H31" s="198"/>
      <c r="I31" s="165"/>
      <c r="J31" s="165">
        <f t="shared" ref="J31:K53" si="9">ROUND(F31,0)</f>
        <v>0</v>
      </c>
      <c r="K31" s="165">
        <f t="shared" si="6"/>
        <v>0</v>
      </c>
      <c r="L31" s="165"/>
    </row>
    <row r="32" spans="1:12" ht="27.6" x14ac:dyDescent="0.3">
      <c r="A32" s="260" t="str">
        <f t="shared" si="3"/>
        <v>Do Not Print</v>
      </c>
      <c r="B32" s="248" t="s">
        <v>891</v>
      </c>
      <c r="C32" s="260" t="s">
        <v>101</v>
      </c>
      <c r="D32" s="248"/>
      <c r="E32" s="261" t="s">
        <v>709</v>
      </c>
      <c r="F32" s="254">
        <f t="shared" si="7"/>
        <v>0</v>
      </c>
      <c r="G32" s="265">
        <f t="shared" si="8"/>
        <v>0</v>
      </c>
      <c r="H32" s="198"/>
      <c r="I32" s="165"/>
      <c r="J32" s="165">
        <f t="shared" si="9"/>
        <v>0</v>
      </c>
      <c r="K32" s="165">
        <f t="shared" si="6"/>
        <v>0</v>
      </c>
      <c r="L32" s="165"/>
    </row>
    <row r="33" spans="1:12" ht="27.6" x14ac:dyDescent="0.3">
      <c r="A33" s="260" t="str">
        <f t="shared" si="3"/>
        <v>Do Not Print</v>
      </c>
      <c r="B33" s="248" t="s">
        <v>891</v>
      </c>
      <c r="C33" s="260" t="s">
        <v>989</v>
      </c>
      <c r="D33" s="248"/>
      <c r="E33" s="261" t="s">
        <v>709</v>
      </c>
      <c r="F33" s="254">
        <f t="shared" si="7"/>
        <v>0</v>
      </c>
      <c r="G33" s="265">
        <f t="shared" si="8"/>
        <v>0</v>
      </c>
      <c r="H33" s="198"/>
      <c r="I33" s="165"/>
      <c r="J33" s="165">
        <f t="shared" si="9"/>
        <v>0</v>
      </c>
      <c r="K33" s="165">
        <f t="shared" si="6"/>
        <v>0</v>
      </c>
      <c r="L33" s="165"/>
    </row>
    <row r="34" spans="1:12" ht="27.6" x14ac:dyDescent="0.3">
      <c r="A34" s="260" t="str">
        <f t="shared" si="3"/>
        <v>Do Not Print</v>
      </c>
      <c r="B34" s="248" t="s">
        <v>891</v>
      </c>
      <c r="C34" s="260" t="s">
        <v>990</v>
      </c>
      <c r="D34" s="248"/>
      <c r="E34" s="261" t="s">
        <v>709</v>
      </c>
      <c r="F34" s="254">
        <f t="shared" si="7"/>
        <v>0</v>
      </c>
      <c r="G34" s="265">
        <f t="shared" si="8"/>
        <v>0</v>
      </c>
      <c r="H34" s="198"/>
      <c r="I34" s="165"/>
      <c r="J34" s="165">
        <f t="shared" si="9"/>
        <v>0</v>
      </c>
      <c r="K34" s="165">
        <f t="shared" si="6"/>
        <v>0</v>
      </c>
      <c r="L34" s="165"/>
    </row>
    <row r="35" spans="1:12" ht="27.6" x14ac:dyDescent="0.3">
      <c r="A35" s="260" t="str">
        <f t="shared" si="3"/>
        <v>Do Not Print</v>
      </c>
      <c r="B35" s="248" t="s">
        <v>891</v>
      </c>
      <c r="C35" s="262" t="s">
        <v>991</v>
      </c>
      <c r="D35" s="248"/>
      <c r="E35" s="261" t="s">
        <v>709</v>
      </c>
      <c r="F35" s="254">
        <f t="shared" si="7"/>
        <v>0</v>
      </c>
      <c r="G35" s="265">
        <f t="shared" si="8"/>
        <v>0</v>
      </c>
      <c r="H35" s="198"/>
      <c r="I35" s="165"/>
      <c r="J35" s="165">
        <f t="shared" si="9"/>
        <v>0</v>
      </c>
      <c r="K35" s="165">
        <f t="shared" si="6"/>
        <v>0</v>
      </c>
      <c r="L35" s="165"/>
    </row>
    <row r="36" spans="1:12" ht="41.4" x14ac:dyDescent="0.3">
      <c r="A36" s="260" t="str">
        <f t="shared" si="3"/>
        <v>Do Not Print</v>
      </c>
      <c r="B36" s="248" t="s">
        <v>891</v>
      </c>
      <c r="C36" s="262" t="s">
        <v>992</v>
      </c>
      <c r="D36" s="248"/>
      <c r="E36" s="261" t="s">
        <v>709</v>
      </c>
      <c r="F36" s="254">
        <f t="shared" si="7"/>
        <v>0</v>
      </c>
      <c r="G36" s="265">
        <f t="shared" si="8"/>
        <v>0</v>
      </c>
      <c r="H36" s="198"/>
      <c r="I36" s="165"/>
      <c r="J36" s="165">
        <f t="shared" si="9"/>
        <v>0</v>
      </c>
      <c r="K36" s="165">
        <f t="shared" si="6"/>
        <v>0</v>
      </c>
      <c r="L36" s="165"/>
    </row>
    <row r="37" spans="1:12" ht="27.6" x14ac:dyDescent="0.3">
      <c r="A37" s="260" t="str">
        <f t="shared" si="3"/>
        <v>Do Not Print</v>
      </c>
      <c r="B37" s="248" t="s">
        <v>891</v>
      </c>
      <c r="C37" s="260" t="s">
        <v>683</v>
      </c>
      <c r="D37" s="248"/>
      <c r="E37" s="261" t="s">
        <v>709</v>
      </c>
      <c r="F37" s="254">
        <f t="shared" si="7"/>
        <v>0</v>
      </c>
      <c r="G37" s="265">
        <f t="shared" si="8"/>
        <v>0</v>
      </c>
      <c r="H37" s="198"/>
      <c r="I37" s="165"/>
      <c r="J37" s="165">
        <f t="shared" si="9"/>
        <v>0</v>
      </c>
      <c r="K37" s="165">
        <f t="shared" si="6"/>
        <v>0</v>
      </c>
      <c r="L37" s="165"/>
    </row>
    <row r="38" spans="1:12" ht="27.6" x14ac:dyDescent="0.3">
      <c r="A38" s="260" t="str">
        <f t="shared" si="3"/>
        <v>Do Not Print</v>
      </c>
      <c r="B38" s="248" t="s">
        <v>891</v>
      </c>
      <c r="C38" s="262" t="s">
        <v>993</v>
      </c>
      <c r="D38" s="248"/>
      <c r="E38" s="261" t="s">
        <v>709</v>
      </c>
      <c r="F38" s="254">
        <f t="shared" si="7"/>
        <v>0</v>
      </c>
      <c r="G38" s="265">
        <f t="shared" si="8"/>
        <v>0</v>
      </c>
      <c r="H38" s="198"/>
      <c r="I38" s="165"/>
      <c r="J38" s="165">
        <f t="shared" si="9"/>
        <v>0</v>
      </c>
      <c r="K38" s="165">
        <f t="shared" si="6"/>
        <v>0</v>
      </c>
      <c r="L38" s="165"/>
    </row>
    <row r="39" spans="1:12" ht="27.6" x14ac:dyDescent="0.3">
      <c r="A39" s="260" t="str">
        <f t="shared" si="3"/>
        <v>Do Not Print</v>
      </c>
      <c r="B39" s="248" t="s">
        <v>891</v>
      </c>
      <c r="C39" s="260" t="s">
        <v>684</v>
      </c>
      <c r="D39" s="248"/>
      <c r="E39" s="261" t="s">
        <v>709</v>
      </c>
      <c r="F39" s="254">
        <f t="shared" si="7"/>
        <v>0</v>
      </c>
      <c r="G39" s="265">
        <f t="shared" si="8"/>
        <v>0</v>
      </c>
      <c r="H39" s="198"/>
      <c r="I39" s="165"/>
      <c r="J39" s="165">
        <f t="shared" si="9"/>
        <v>0</v>
      </c>
      <c r="K39" s="165">
        <f t="shared" si="6"/>
        <v>0</v>
      </c>
      <c r="L39" s="165"/>
    </row>
    <row r="40" spans="1:12" ht="27.6" x14ac:dyDescent="0.3">
      <c r="A40" s="260" t="str">
        <f t="shared" si="3"/>
        <v>Do Not Print</v>
      </c>
      <c r="B40" s="248" t="s">
        <v>891</v>
      </c>
      <c r="C40" s="260" t="s">
        <v>685</v>
      </c>
      <c r="D40" s="248"/>
      <c r="E40" s="261" t="s">
        <v>709</v>
      </c>
      <c r="F40" s="254">
        <f t="shared" si="7"/>
        <v>0</v>
      </c>
      <c r="G40" s="265">
        <f t="shared" si="8"/>
        <v>0</v>
      </c>
      <c r="H40" s="198"/>
      <c r="I40" s="165"/>
      <c r="J40" s="165">
        <f t="shared" si="9"/>
        <v>0</v>
      </c>
      <c r="K40" s="165">
        <f t="shared" si="6"/>
        <v>0</v>
      </c>
      <c r="L40" s="165"/>
    </row>
    <row r="41" spans="1:12" ht="27.6" x14ac:dyDescent="0.3">
      <c r="A41" s="260" t="str">
        <f t="shared" si="3"/>
        <v>Do Not Print</v>
      </c>
      <c r="B41" s="248" t="s">
        <v>891</v>
      </c>
      <c r="C41" s="262" t="s">
        <v>994</v>
      </c>
      <c r="D41" s="248"/>
      <c r="E41" s="261" t="s">
        <v>709</v>
      </c>
      <c r="F41" s="254">
        <f t="shared" si="7"/>
        <v>0</v>
      </c>
      <c r="G41" s="265">
        <f t="shared" si="8"/>
        <v>0</v>
      </c>
      <c r="H41" s="198"/>
      <c r="I41" s="165"/>
      <c r="J41" s="165">
        <f t="shared" si="9"/>
        <v>0</v>
      </c>
      <c r="K41" s="165">
        <f t="shared" si="9"/>
        <v>0</v>
      </c>
      <c r="L41" s="165"/>
    </row>
    <row r="42" spans="1:12" ht="27.6" x14ac:dyDescent="0.3">
      <c r="A42" s="260" t="str">
        <f t="shared" si="3"/>
        <v>Do Not Print</v>
      </c>
      <c r="B42" s="248" t="s">
        <v>891</v>
      </c>
      <c r="C42" s="260" t="s">
        <v>687</v>
      </c>
      <c r="D42" s="248"/>
      <c r="E42" s="261" t="s">
        <v>709</v>
      </c>
      <c r="F42" s="254">
        <f t="shared" si="7"/>
        <v>0</v>
      </c>
      <c r="G42" s="265">
        <f t="shared" si="8"/>
        <v>0</v>
      </c>
      <c r="H42" s="198"/>
      <c r="I42" s="165"/>
      <c r="J42" s="165">
        <f t="shared" si="9"/>
        <v>0</v>
      </c>
      <c r="K42" s="165">
        <f t="shared" si="9"/>
        <v>0</v>
      </c>
      <c r="L42" s="165"/>
    </row>
    <row r="43" spans="1:12" ht="27.6" x14ac:dyDescent="0.3">
      <c r="A43" s="260" t="str">
        <f t="shared" si="3"/>
        <v>Do Not Print</v>
      </c>
      <c r="B43" s="248" t="s">
        <v>891</v>
      </c>
      <c r="C43" s="260" t="s">
        <v>101</v>
      </c>
      <c r="D43" s="248"/>
      <c r="E43" s="261" t="s">
        <v>709</v>
      </c>
      <c r="F43" s="254">
        <f t="shared" si="7"/>
        <v>0</v>
      </c>
      <c r="G43" s="265">
        <f t="shared" si="8"/>
        <v>0</v>
      </c>
      <c r="H43" s="198"/>
      <c r="I43" s="165"/>
      <c r="J43" s="165">
        <f t="shared" si="9"/>
        <v>0</v>
      </c>
      <c r="K43" s="165">
        <f t="shared" si="9"/>
        <v>0</v>
      </c>
      <c r="L43" s="165"/>
    </row>
    <row r="44" spans="1:12" ht="27.6" x14ac:dyDescent="0.3">
      <c r="A44" s="260" t="str">
        <f t="shared" si="3"/>
        <v>Do Not Print</v>
      </c>
      <c r="B44" s="248" t="s">
        <v>891</v>
      </c>
      <c r="C44" s="260" t="s">
        <v>686</v>
      </c>
      <c r="D44" s="248"/>
      <c r="E44" s="261" t="s">
        <v>709</v>
      </c>
      <c r="F44" s="254">
        <f t="shared" si="7"/>
        <v>0</v>
      </c>
      <c r="G44" s="265">
        <f t="shared" si="8"/>
        <v>0</v>
      </c>
      <c r="H44" s="198"/>
      <c r="I44" s="165"/>
      <c r="J44" s="165">
        <f t="shared" si="9"/>
        <v>0</v>
      </c>
      <c r="K44" s="165">
        <f t="shared" si="9"/>
        <v>0</v>
      </c>
      <c r="L44" s="165"/>
    </row>
    <row r="45" spans="1:12" ht="27.6" x14ac:dyDescent="0.3">
      <c r="A45" s="260" t="str">
        <f t="shared" si="3"/>
        <v>Do Not Print</v>
      </c>
      <c r="B45" s="248" t="s">
        <v>891</v>
      </c>
      <c r="C45" s="260" t="s">
        <v>688</v>
      </c>
      <c r="D45" s="248"/>
      <c r="E45" s="261" t="s">
        <v>709</v>
      </c>
      <c r="F45" s="254">
        <f t="shared" ref="F45:F50" si="10">-VLOOKUP($C45,BASS,8,0)</f>
        <v>0</v>
      </c>
      <c r="G45" s="265">
        <f t="shared" ref="G45:G50" si="11">-VLOOKUP($C45,BASS,14,0)</f>
        <v>0</v>
      </c>
      <c r="H45" s="198"/>
      <c r="I45" s="165"/>
      <c r="J45" s="165">
        <f t="shared" si="9"/>
        <v>0</v>
      </c>
      <c r="K45" s="165">
        <f t="shared" si="9"/>
        <v>0</v>
      </c>
      <c r="L45" s="165"/>
    </row>
    <row r="46" spans="1:12" ht="41.4" x14ac:dyDescent="0.3">
      <c r="A46" s="260" t="str">
        <f t="shared" si="3"/>
        <v>Do Not Print</v>
      </c>
      <c r="B46" s="248" t="s">
        <v>891</v>
      </c>
      <c r="C46" s="260" t="s">
        <v>111</v>
      </c>
      <c r="D46" s="248"/>
      <c r="E46" s="261" t="s">
        <v>709</v>
      </c>
      <c r="F46" s="254">
        <f t="shared" si="10"/>
        <v>0</v>
      </c>
      <c r="G46" s="265">
        <f t="shared" si="11"/>
        <v>0</v>
      </c>
      <c r="H46" s="198"/>
      <c r="I46" s="165"/>
      <c r="J46" s="165">
        <f t="shared" si="9"/>
        <v>0</v>
      </c>
      <c r="K46" s="165">
        <f>ROUND(G46,0)</f>
        <v>0</v>
      </c>
      <c r="L46" s="165"/>
    </row>
    <row r="47" spans="1:12" ht="27.6" x14ac:dyDescent="0.3">
      <c r="A47" s="260" t="str">
        <f t="shared" si="3"/>
        <v>Do Not Print</v>
      </c>
      <c r="B47" s="248" t="s">
        <v>891</v>
      </c>
      <c r="C47" s="260" t="s">
        <v>689</v>
      </c>
      <c r="D47" s="248"/>
      <c r="E47" s="261" t="s">
        <v>709</v>
      </c>
      <c r="F47" s="254">
        <f t="shared" si="10"/>
        <v>0</v>
      </c>
      <c r="G47" s="265">
        <f t="shared" si="11"/>
        <v>0</v>
      </c>
      <c r="H47" s="198"/>
      <c r="I47" s="165"/>
      <c r="J47" s="165">
        <f t="shared" si="9"/>
        <v>0</v>
      </c>
      <c r="K47" s="165">
        <f t="shared" si="9"/>
        <v>0</v>
      </c>
      <c r="L47" s="165"/>
    </row>
    <row r="48" spans="1:12" ht="27.6" x14ac:dyDescent="0.3">
      <c r="A48" s="260" t="str">
        <f t="shared" si="3"/>
        <v>Do Not Print</v>
      </c>
      <c r="B48" s="248" t="s">
        <v>891</v>
      </c>
      <c r="C48" s="260" t="s">
        <v>995</v>
      </c>
      <c r="D48" s="248"/>
      <c r="E48" s="261" t="s">
        <v>709</v>
      </c>
      <c r="F48" s="254">
        <f t="shared" si="10"/>
        <v>0</v>
      </c>
      <c r="G48" s="265">
        <f t="shared" si="11"/>
        <v>0</v>
      </c>
      <c r="H48" s="198"/>
      <c r="I48" s="165"/>
      <c r="J48" s="165">
        <f t="shared" si="9"/>
        <v>0</v>
      </c>
      <c r="K48" s="165">
        <f t="shared" si="9"/>
        <v>0</v>
      </c>
      <c r="L48" s="165"/>
    </row>
    <row r="49" spans="1:12" ht="27.6" x14ac:dyDescent="0.3">
      <c r="A49" s="260" t="str">
        <f t="shared" si="3"/>
        <v>Do Not Print</v>
      </c>
      <c r="B49" s="248" t="s">
        <v>891</v>
      </c>
      <c r="C49" s="262" t="s">
        <v>996</v>
      </c>
      <c r="D49" s="248"/>
      <c r="E49" s="261" t="s">
        <v>709</v>
      </c>
      <c r="F49" s="254">
        <f t="shared" si="10"/>
        <v>0</v>
      </c>
      <c r="G49" s="265">
        <f t="shared" si="11"/>
        <v>0</v>
      </c>
      <c r="H49" s="198"/>
      <c r="I49" s="165"/>
      <c r="J49" s="165">
        <f t="shared" si="9"/>
        <v>0</v>
      </c>
      <c r="K49" s="165">
        <f t="shared" si="9"/>
        <v>0</v>
      </c>
      <c r="L49" s="165"/>
    </row>
    <row r="50" spans="1:12" ht="27.6" x14ac:dyDescent="0.3">
      <c r="A50" s="260" t="str">
        <f t="shared" si="3"/>
        <v>Do Not Print</v>
      </c>
      <c r="B50" s="248" t="s">
        <v>891</v>
      </c>
      <c r="C50" s="260" t="s">
        <v>690</v>
      </c>
      <c r="D50" s="248"/>
      <c r="E50" s="261" t="s">
        <v>709</v>
      </c>
      <c r="F50" s="254">
        <f t="shared" si="10"/>
        <v>0</v>
      </c>
      <c r="G50" s="265">
        <f t="shared" si="11"/>
        <v>0</v>
      </c>
      <c r="H50" s="198"/>
      <c r="I50" s="165"/>
      <c r="J50" s="165">
        <f t="shared" si="9"/>
        <v>0</v>
      </c>
      <c r="K50" s="165">
        <f t="shared" si="9"/>
        <v>0</v>
      </c>
      <c r="L50" s="165"/>
    </row>
    <row r="51" spans="1:12" ht="27.6" x14ac:dyDescent="0.3">
      <c r="A51" s="260" t="str">
        <f t="shared" si="3"/>
        <v>Do Not Print</v>
      </c>
      <c r="B51" s="248" t="s">
        <v>891</v>
      </c>
      <c r="C51" s="260" t="s">
        <v>691</v>
      </c>
      <c r="D51" s="248"/>
      <c r="E51" s="261" t="s">
        <v>709</v>
      </c>
      <c r="F51" s="254">
        <f>VLOOKUP($C51,BASS,8,0)</f>
        <v>0</v>
      </c>
      <c r="G51" s="265">
        <f>VLOOKUP($C51,BASS,14,0)</f>
        <v>0</v>
      </c>
      <c r="H51" s="198"/>
      <c r="I51" s="165"/>
      <c r="J51" s="165">
        <f t="shared" si="9"/>
        <v>0</v>
      </c>
      <c r="K51" s="165">
        <f t="shared" si="9"/>
        <v>0</v>
      </c>
      <c r="L51" s="165"/>
    </row>
    <row r="52" spans="1:12" ht="27.6" x14ac:dyDescent="0.3">
      <c r="A52" s="260" t="str">
        <f t="shared" si="3"/>
        <v>Do Not Print</v>
      </c>
      <c r="B52" s="248" t="s">
        <v>891</v>
      </c>
      <c r="C52" s="262" t="s">
        <v>997</v>
      </c>
      <c r="D52" s="248"/>
      <c r="E52" s="261" t="s">
        <v>709</v>
      </c>
      <c r="F52" s="254">
        <f>VLOOKUP($C52,BASS,8,0)</f>
        <v>0</v>
      </c>
      <c r="G52" s="265">
        <f>VLOOKUP($C52,BASS,14,0)</f>
        <v>0</v>
      </c>
      <c r="H52" s="198"/>
      <c r="I52" s="165"/>
      <c r="J52" s="165">
        <f t="shared" si="9"/>
        <v>0</v>
      </c>
      <c r="K52" s="165">
        <f t="shared" si="9"/>
        <v>0</v>
      </c>
      <c r="L52" s="165"/>
    </row>
    <row r="53" spans="1:12" s="6" customFormat="1" ht="14.4" x14ac:dyDescent="0.3">
      <c r="A53" s="38" t="s">
        <v>448</v>
      </c>
      <c r="C53" s="45" t="s">
        <v>1631</v>
      </c>
      <c r="E53" s="243"/>
      <c r="F53" s="266">
        <f>SUM(F31:F41)-SUM(F42:F52)</f>
        <v>0</v>
      </c>
      <c r="G53" s="266">
        <f>SUM(G31:G41)-SUM(G42:G52)</f>
        <v>0</v>
      </c>
      <c r="H53" s="199"/>
      <c r="I53" s="183"/>
      <c r="J53" s="183">
        <f t="shared" si="9"/>
        <v>0</v>
      </c>
      <c r="K53" s="183">
        <f>ROUND(G53,0)</f>
        <v>0</v>
      </c>
      <c r="L53" s="183"/>
    </row>
    <row r="54" spans="1:12" x14ac:dyDescent="0.3">
      <c r="A54" s="39" t="s">
        <v>448</v>
      </c>
      <c r="C54" s="18"/>
      <c r="F54" s="165"/>
      <c r="G54" s="165"/>
      <c r="H54" s="198"/>
      <c r="I54" s="165"/>
      <c r="J54" s="165"/>
      <c r="K54" s="165"/>
      <c r="L54" s="165"/>
    </row>
    <row r="55" spans="1:12" ht="27.6" x14ac:dyDescent="0.3">
      <c r="A55" s="271" t="str">
        <f t="shared" si="3"/>
        <v>Do Not Print</v>
      </c>
      <c r="B55" s="247" t="s">
        <v>892</v>
      </c>
      <c r="C55" s="271" t="s">
        <v>692</v>
      </c>
      <c r="D55" s="247"/>
      <c r="E55" s="272" t="s">
        <v>709</v>
      </c>
      <c r="F55" s="264">
        <f t="shared" ref="F55:F68" si="12">VLOOKUP($C55,IASS,8,0)</f>
        <v>0</v>
      </c>
      <c r="G55" s="256">
        <f t="shared" ref="G55:G68" si="13">VLOOKUP($C55,IASS,14,0)</f>
        <v>0</v>
      </c>
      <c r="H55" s="198"/>
      <c r="I55" s="200"/>
      <c r="J55" s="165">
        <f t="shared" ref="J55:K77" si="14">ROUND(F55,0)</f>
        <v>0</v>
      </c>
      <c r="K55" s="165">
        <f t="shared" si="14"/>
        <v>0</v>
      </c>
      <c r="L55" s="165"/>
    </row>
    <row r="56" spans="1:12" ht="27.6" x14ac:dyDescent="0.3">
      <c r="A56" s="271" t="str">
        <f t="shared" si="3"/>
        <v>Do Not Print</v>
      </c>
      <c r="B56" s="247" t="s">
        <v>892</v>
      </c>
      <c r="C56" s="271" t="s">
        <v>101</v>
      </c>
      <c r="D56" s="247"/>
      <c r="E56" s="272" t="s">
        <v>709</v>
      </c>
      <c r="F56" s="264">
        <f t="shared" si="12"/>
        <v>0</v>
      </c>
      <c r="G56" s="256">
        <f t="shared" si="13"/>
        <v>0</v>
      </c>
      <c r="H56" s="198"/>
      <c r="I56" s="200"/>
      <c r="J56" s="165">
        <f t="shared" si="14"/>
        <v>0</v>
      </c>
      <c r="K56" s="165">
        <f t="shared" si="14"/>
        <v>0</v>
      </c>
      <c r="L56" s="165"/>
    </row>
    <row r="57" spans="1:12" ht="27.6" x14ac:dyDescent="0.3">
      <c r="A57" s="271" t="str">
        <f t="shared" si="3"/>
        <v>Do Not Print</v>
      </c>
      <c r="B57" s="247" t="s">
        <v>892</v>
      </c>
      <c r="C57" s="273" t="s">
        <v>998</v>
      </c>
      <c r="D57" s="247"/>
      <c r="E57" s="272" t="s">
        <v>709</v>
      </c>
      <c r="F57" s="264">
        <f t="shared" si="12"/>
        <v>0</v>
      </c>
      <c r="G57" s="256">
        <f t="shared" si="13"/>
        <v>0</v>
      </c>
      <c r="H57" s="198"/>
      <c r="I57" s="200"/>
      <c r="J57" s="165">
        <f t="shared" si="14"/>
        <v>0</v>
      </c>
      <c r="K57" s="165">
        <f t="shared" si="14"/>
        <v>0</v>
      </c>
      <c r="L57" s="165"/>
    </row>
    <row r="58" spans="1:12" ht="27.6" x14ac:dyDescent="0.3">
      <c r="A58" s="271" t="str">
        <f t="shared" si="3"/>
        <v>Do Not Print</v>
      </c>
      <c r="B58" s="247" t="s">
        <v>892</v>
      </c>
      <c r="C58" s="273" t="s">
        <v>999</v>
      </c>
      <c r="D58" s="247"/>
      <c r="E58" s="272" t="s">
        <v>709</v>
      </c>
      <c r="F58" s="264">
        <f t="shared" si="12"/>
        <v>0</v>
      </c>
      <c r="G58" s="256">
        <f t="shared" si="13"/>
        <v>0</v>
      </c>
      <c r="H58" s="198"/>
      <c r="I58" s="200"/>
      <c r="J58" s="165">
        <f t="shared" si="14"/>
        <v>0</v>
      </c>
      <c r="K58" s="165">
        <f t="shared" si="14"/>
        <v>0</v>
      </c>
      <c r="L58" s="165"/>
    </row>
    <row r="59" spans="1:12" ht="27.6" x14ac:dyDescent="0.3">
      <c r="A59" s="271" t="str">
        <f t="shared" si="3"/>
        <v>Do Not Print</v>
      </c>
      <c r="B59" s="247" t="s">
        <v>892</v>
      </c>
      <c r="C59" s="273" t="s">
        <v>1000</v>
      </c>
      <c r="D59" s="247"/>
      <c r="E59" s="272" t="s">
        <v>709</v>
      </c>
      <c r="F59" s="264">
        <f t="shared" si="12"/>
        <v>0</v>
      </c>
      <c r="G59" s="256">
        <f t="shared" si="13"/>
        <v>0</v>
      </c>
      <c r="H59" s="198"/>
      <c r="I59" s="200"/>
      <c r="J59" s="165">
        <f t="shared" si="14"/>
        <v>0</v>
      </c>
      <c r="K59" s="165">
        <f t="shared" si="14"/>
        <v>0</v>
      </c>
      <c r="L59" s="165"/>
    </row>
    <row r="60" spans="1:12" ht="41.4" x14ac:dyDescent="0.3">
      <c r="A60" s="271" t="str">
        <f t="shared" si="3"/>
        <v>Do Not Print</v>
      </c>
      <c r="B60" s="247" t="s">
        <v>892</v>
      </c>
      <c r="C60" s="273" t="s">
        <v>1001</v>
      </c>
      <c r="D60" s="247"/>
      <c r="E60" s="272" t="s">
        <v>709</v>
      </c>
      <c r="F60" s="264">
        <f t="shared" si="12"/>
        <v>0</v>
      </c>
      <c r="G60" s="256">
        <f t="shared" si="13"/>
        <v>0</v>
      </c>
      <c r="H60" s="198"/>
      <c r="I60" s="200"/>
      <c r="J60" s="165">
        <f t="shared" si="14"/>
        <v>0</v>
      </c>
      <c r="K60" s="165">
        <f t="shared" si="14"/>
        <v>0</v>
      </c>
      <c r="L60" s="165"/>
    </row>
    <row r="61" spans="1:12" ht="27.6" x14ac:dyDescent="0.3">
      <c r="A61" s="271" t="str">
        <f t="shared" si="3"/>
        <v>Do Not Print</v>
      </c>
      <c r="B61" s="247" t="s">
        <v>892</v>
      </c>
      <c r="C61" s="271" t="s">
        <v>693</v>
      </c>
      <c r="D61" s="247"/>
      <c r="E61" s="272" t="s">
        <v>709</v>
      </c>
      <c r="F61" s="264">
        <f t="shared" si="12"/>
        <v>0</v>
      </c>
      <c r="G61" s="256">
        <f t="shared" si="13"/>
        <v>0</v>
      </c>
      <c r="H61" s="198"/>
      <c r="I61" s="200"/>
      <c r="J61" s="165">
        <f t="shared" si="14"/>
        <v>0</v>
      </c>
      <c r="K61" s="165">
        <f t="shared" si="14"/>
        <v>0</v>
      </c>
      <c r="L61" s="165"/>
    </row>
    <row r="62" spans="1:12" ht="27.6" x14ac:dyDescent="0.3">
      <c r="A62" s="271" t="str">
        <f t="shared" si="3"/>
        <v>Do Not Print</v>
      </c>
      <c r="B62" s="247" t="s">
        <v>892</v>
      </c>
      <c r="C62" s="273" t="s">
        <v>1002</v>
      </c>
      <c r="D62" s="247"/>
      <c r="E62" s="272" t="s">
        <v>709</v>
      </c>
      <c r="F62" s="264">
        <f t="shared" si="12"/>
        <v>0</v>
      </c>
      <c r="G62" s="256">
        <f t="shared" si="13"/>
        <v>0</v>
      </c>
      <c r="H62" s="198"/>
      <c r="I62" s="200"/>
      <c r="J62" s="165">
        <f t="shared" si="14"/>
        <v>0</v>
      </c>
      <c r="K62" s="165">
        <f t="shared" si="14"/>
        <v>0</v>
      </c>
      <c r="L62" s="165"/>
    </row>
    <row r="63" spans="1:12" ht="27.6" x14ac:dyDescent="0.3">
      <c r="A63" s="271" t="str">
        <f t="shared" si="3"/>
        <v>Do Not Print</v>
      </c>
      <c r="B63" s="247" t="s">
        <v>892</v>
      </c>
      <c r="C63" s="271" t="s">
        <v>694</v>
      </c>
      <c r="D63" s="247"/>
      <c r="E63" s="272" t="s">
        <v>709</v>
      </c>
      <c r="F63" s="264">
        <f t="shared" si="12"/>
        <v>0</v>
      </c>
      <c r="G63" s="256">
        <f t="shared" si="13"/>
        <v>0</v>
      </c>
      <c r="H63" s="198"/>
      <c r="I63" s="200"/>
      <c r="J63" s="165">
        <f t="shared" si="14"/>
        <v>0</v>
      </c>
      <c r="K63" s="165">
        <f t="shared" si="14"/>
        <v>0</v>
      </c>
      <c r="L63" s="165"/>
    </row>
    <row r="64" spans="1:12" ht="27.6" x14ac:dyDescent="0.3">
      <c r="A64" s="271" t="str">
        <f t="shared" si="3"/>
        <v>Do Not Print</v>
      </c>
      <c r="B64" s="247" t="s">
        <v>892</v>
      </c>
      <c r="C64" s="271" t="s">
        <v>695</v>
      </c>
      <c r="D64" s="247"/>
      <c r="E64" s="272" t="s">
        <v>709</v>
      </c>
      <c r="F64" s="264">
        <f t="shared" si="12"/>
        <v>0</v>
      </c>
      <c r="G64" s="256">
        <f t="shared" si="13"/>
        <v>0</v>
      </c>
      <c r="H64" s="198"/>
      <c r="I64" s="200"/>
      <c r="J64" s="165">
        <f t="shared" si="14"/>
        <v>0</v>
      </c>
      <c r="K64" s="165">
        <f t="shared" si="14"/>
        <v>0</v>
      </c>
      <c r="L64" s="165"/>
    </row>
    <row r="65" spans="1:12" ht="27.6" x14ac:dyDescent="0.3">
      <c r="A65" s="271" t="str">
        <f t="shared" si="3"/>
        <v>Do Not Print</v>
      </c>
      <c r="B65" s="247" t="s">
        <v>892</v>
      </c>
      <c r="C65" s="273" t="s">
        <v>994</v>
      </c>
      <c r="D65" s="247"/>
      <c r="E65" s="272" t="s">
        <v>709</v>
      </c>
      <c r="F65" s="264">
        <f t="shared" si="12"/>
        <v>0</v>
      </c>
      <c r="G65" s="256">
        <f t="shared" si="13"/>
        <v>0</v>
      </c>
      <c r="H65" s="198"/>
      <c r="I65" s="200"/>
      <c r="J65" s="165">
        <f t="shared" si="14"/>
        <v>0</v>
      </c>
      <c r="K65" s="165">
        <f t="shared" si="14"/>
        <v>0</v>
      </c>
      <c r="L65" s="165"/>
    </row>
    <row r="66" spans="1:12" ht="27.6" x14ac:dyDescent="0.3">
      <c r="A66" s="271" t="str">
        <f t="shared" si="3"/>
        <v>Do Not Print</v>
      </c>
      <c r="B66" s="247" t="s">
        <v>892</v>
      </c>
      <c r="C66" s="271" t="s">
        <v>697</v>
      </c>
      <c r="D66" s="247"/>
      <c r="E66" s="272" t="s">
        <v>709</v>
      </c>
      <c r="F66" s="264">
        <f t="shared" si="12"/>
        <v>0</v>
      </c>
      <c r="G66" s="256">
        <f t="shared" si="13"/>
        <v>0</v>
      </c>
      <c r="H66" s="198"/>
      <c r="I66" s="200"/>
      <c r="J66" s="165">
        <f t="shared" si="14"/>
        <v>0</v>
      </c>
      <c r="K66" s="165">
        <f t="shared" si="14"/>
        <v>0</v>
      </c>
      <c r="L66" s="165"/>
    </row>
    <row r="67" spans="1:12" ht="27.6" x14ac:dyDescent="0.3">
      <c r="A67" s="271" t="str">
        <f t="shared" si="3"/>
        <v>Do Not Print</v>
      </c>
      <c r="B67" s="247" t="s">
        <v>892</v>
      </c>
      <c r="C67" s="271" t="s">
        <v>101</v>
      </c>
      <c r="D67" s="247"/>
      <c r="E67" s="272" t="s">
        <v>709</v>
      </c>
      <c r="F67" s="264">
        <f t="shared" si="12"/>
        <v>0</v>
      </c>
      <c r="G67" s="256">
        <f t="shared" si="13"/>
        <v>0</v>
      </c>
      <c r="H67" s="198"/>
      <c r="I67" s="200"/>
      <c r="J67" s="165">
        <f t="shared" si="14"/>
        <v>0</v>
      </c>
      <c r="K67" s="165">
        <f t="shared" si="14"/>
        <v>0</v>
      </c>
      <c r="L67" s="165"/>
    </row>
    <row r="68" spans="1:12" ht="27.6" x14ac:dyDescent="0.3">
      <c r="A68" s="271" t="str">
        <f t="shared" si="3"/>
        <v>Do Not Print</v>
      </c>
      <c r="B68" s="247" t="s">
        <v>892</v>
      </c>
      <c r="C68" s="271" t="s">
        <v>696</v>
      </c>
      <c r="D68" s="247"/>
      <c r="E68" s="272" t="s">
        <v>709</v>
      </c>
      <c r="F68" s="264">
        <f t="shared" si="12"/>
        <v>0</v>
      </c>
      <c r="G68" s="256">
        <f t="shared" si="13"/>
        <v>0</v>
      </c>
      <c r="H68" s="198"/>
      <c r="I68" s="200"/>
      <c r="J68" s="165">
        <f t="shared" si="14"/>
        <v>0</v>
      </c>
      <c r="K68" s="165">
        <f t="shared" si="14"/>
        <v>0</v>
      </c>
      <c r="L68" s="165"/>
    </row>
    <row r="69" spans="1:12" ht="27.6" x14ac:dyDescent="0.3">
      <c r="A69" s="271" t="str">
        <f t="shared" si="3"/>
        <v>Do Not Print</v>
      </c>
      <c r="B69" s="247" t="s">
        <v>892</v>
      </c>
      <c r="C69" s="271" t="s">
        <v>698</v>
      </c>
      <c r="D69" s="247"/>
      <c r="E69" s="272" t="s">
        <v>709</v>
      </c>
      <c r="F69" s="264">
        <f t="shared" ref="F69:F74" si="15">-VLOOKUP($C69,IASS,8,0)</f>
        <v>0</v>
      </c>
      <c r="G69" s="256">
        <f t="shared" ref="G69:G74" si="16">-VLOOKUP($C69,IASS,14,0)</f>
        <v>0</v>
      </c>
      <c r="H69" s="198"/>
      <c r="I69" s="200"/>
      <c r="J69" s="165">
        <f t="shared" si="14"/>
        <v>0</v>
      </c>
      <c r="K69" s="165">
        <f t="shared" si="14"/>
        <v>0</v>
      </c>
      <c r="L69" s="165"/>
    </row>
    <row r="70" spans="1:12" ht="41.4" x14ac:dyDescent="0.3">
      <c r="A70" s="271" t="str">
        <f t="shared" si="3"/>
        <v>Do Not Print</v>
      </c>
      <c r="B70" s="247" t="s">
        <v>892</v>
      </c>
      <c r="C70" s="271" t="s">
        <v>111</v>
      </c>
      <c r="D70" s="247"/>
      <c r="E70" s="272" t="s">
        <v>709</v>
      </c>
      <c r="F70" s="264">
        <f t="shared" si="15"/>
        <v>0</v>
      </c>
      <c r="G70" s="256">
        <f t="shared" si="16"/>
        <v>0</v>
      </c>
      <c r="H70" s="198"/>
      <c r="I70" s="200"/>
      <c r="J70" s="165">
        <f t="shared" si="14"/>
        <v>0</v>
      </c>
      <c r="K70" s="165">
        <f>ROUND(G70,0)</f>
        <v>0</v>
      </c>
      <c r="L70" s="165"/>
    </row>
    <row r="71" spans="1:12" ht="27.6" x14ac:dyDescent="0.3">
      <c r="A71" s="271" t="str">
        <f t="shared" si="3"/>
        <v>Do Not Print</v>
      </c>
      <c r="B71" s="247" t="s">
        <v>892</v>
      </c>
      <c r="C71" s="271" t="s">
        <v>699</v>
      </c>
      <c r="D71" s="247"/>
      <c r="E71" s="272" t="s">
        <v>709</v>
      </c>
      <c r="F71" s="264">
        <f t="shared" si="15"/>
        <v>0</v>
      </c>
      <c r="G71" s="256">
        <f t="shared" si="16"/>
        <v>0</v>
      </c>
      <c r="H71" s="198"/>
      <c r="I71" s="200"/>
      <c r="J71" s="165">
        <f t="shared" si="14"/>
        <v>0</v>
      </c>
      <c r="K71" s="165">
        <f t="shared" si="14"/>
        <v>0</v>
      </c>
      <c r="L71" s="165"/>
    </row>
    <row r="72" spans="1:12" ht="27.6" x14ac:dyDescent="0.3">
      <c r="A72" s="271" t="str">
        <f t="shared" si="3"/>
        <v>Do Not Print</v>
      </c>
      <c r="B72" s="247" t="s">
        <v>892</v>
      </c>
      <c r="C72" s="271" t="s">
        <v>1003</v>
      </c>
      <c r="D72" s="247"/>
      <c r="E72" s="272" t="s">
        <v>709</v>
      </c>
      <c r="F72" s="264">
        <f t="shared" si="15"/>
        <v>0</v>
      </c>
      <c r="G72" s="256">
        <f t="shared" si="16"/>
        <v>0</v>
      </c>
      <c r="H72" s="198"/>
      <c r="I72" s="200"/>
      <c r="J72" s="165">
        <f t="shared" si="14"/>
        <v>0</v>
      </c>
      <c r="K72" s="165">
        <f t="shared" si="14"/>
        <v>0</v>
      </c>
      <c r="L72" s="165"/>
    </row>
    <row r="73" spans="1:12" ht="27.6" x14ac:dyDescent="0.3">
      <c r="A73" s="271" t="str">
        <f t="shared" si="3"/>
        <v>Do Not Print</v>
      </c>
      <c r="B73" s="247" t="s">
        <v>892</v>
      </c>
      <c r="C73" s="273" t="s">
        <v>1004</v>
      </c>
      <c r="D73" s="247"/>
      <c r="E73" s="272" t="s">
        <v>709</v>
      </c>
      <c r="F73" s="264">
        <f t="shared" si="15"/>
        <v>0</v>
      </c>
      <c r="G73" s="256">
        <f t="shared" si="16"/>
        <v>0</v>
      </c>
      <c r="H73" s="198"/>
      <c r="I73" s="200"/>
      <c r="J73" s="165">
        <f t="shared" si="14"/>
        <v>0</v>
      </c>
      <c r="K73" s="165">
        <f t="shared" si="14"/>
        <v>0</v>
      </c>
      <c r="L73" s="165"/>
    </row>
    <row r="74" spans="1:12" ht="27.6" x14ac:dyDescent="0.3">
      <c r="A74" s="271" t="str">
        <f t="shared" si="3"/>
        <v>Do Not Print</v>
      </c>
      <c r="B74" s="247" t="s">
        <v>892</v>
      </c>
      <c r="C74" s="271" t="s">
        <v>700</v>
      </c>
      <c r="D74" s="247"/>
      <c r="E74" s="272" t="s">
        <v>709</v>
      </c>
      <c r="F74" s="264">
        <f t="shared" si="15"/>
        <v>0</v>
      </c>
      <c r="G74" s="256">
        <f t="shared" si="16"/>
        <v>0</v>
      </c>
      <c r="H74" s="198"/>
      <c r="I74" s="200"/>
      <c r="J74" s="165">
        <f t="shared" si="14"/>
        <v>0</v>
      </c>
      <c r="K74" s="165">
        <f t="shared" si="14"/>
        <v>0</v>
      </c>
      <c r="L74" s="165"/>
    </row>
    <row r="75" spans="1:12" ht="27.6" x14ac:dyDescent="0.3">
      <c r="A75" s="271" t="str">
        <f t="shared" si="3"/>
        <v>Do Not Print</v>
      </c>
      <c r="B75" s="247" t="s">
        <v>892</v>
      </c>
      <c r="C75" s="271" t="s">
        <v>701</v>
      </c>
      <c r="D75" s="247"/>
      <c r="E75" s="272" t="s">
        <v>709</v>
      </c>
      <c r="F75" s="264">
        <f>VLOOKUP($C75,IASS,8,0)</f>
        <v>0</v>
      </c>
      <c r="G75" s="256">
        <f>VLOOKUP($C75,IASS,14,0)</f>
        <v>0</v>
      </c>
      <c r="H75" s="198"/>
      <c r="I75" s="200"/>
      <c r="J75" s="165">
        <f t="shared" si="14"/>
        <v>0</v>
      </c>
      <c r="K75" s="165">
        <f t="shared" si="14"/>
        <v>0</v>
      </c>
      <c r="L75" s="165"/>
    </row>
    <row r="76" spans="1:12" ht="27.6" x14ac:dyDescent="0.3">
      <c r="A76" s="271" t="str">
        <f t="shared" ref="A76:A145" si="17">IF(AND(F76=0,G76=0),"Do Not Print","Print")</f>
        <v>Do Not Print</v>
      </c>
      <c r="B76" s="247" t="s">
        <v>892</v>
      </c>
      <c r="C76" s="273" t="s">
        <v>997</v>
      </c>
      <c r="D76" s="247"/>
      <c r="E76" s="272" t="s">
        <v>709</v>
      </c>
      <c r="F76" s="264">
        <f>VLOOKUP($C76,IASS,8,0)</f>
        <v>0</v>
      </c>
      <c r="G76" s="256">
        <f>VLOOKUP($C76,IASS,14,0)</f>
        <v>0</v>
      </c>
      <c r="H76" s="198"/>
      <c r="I76" s="200"/>
      <c r="J76" s="165">
        <f t="shared" si="14"/>
        <v>0</v>
      </c>
      <c r="K76" s="165">
        <f t="shared" si="14"/>
        <v>0</v>
      </c>
      <c r="L76" s="165"/>
    </row>
    <row r="77" spans="1:12" s="14" customFormat="1" ht="14.4" x14ac:dyDescent="0.3">
      <c r="A77" s="45" t="s">
        <v>448</v>
      </c>
      <c r="C77" s="45" t="s">
        <v>1632</v>
      </c>
      <c r="E77" s="258"/>
      <c r="F77" s="275">
        <f>SUM(F55:F65)-SUM(F66:F76)</f>
        <v>0</v>
      </c>
      <c r="G77" s="275">
        <f>SUM(G55:G65)-SUM(G66:G76)</f>
        <v>0</v>
      </c>
      <c r="H77" s="202"/>
      <c r="I77" s="197"/>
      <c r="J77" s="197">
        <f t="shared" si="14"/>
        <v>0</v>
      </c>
      <c r="K77" s="197">
        <f>ROUND(G77,0)</f>
        <v>0</v>
      </c>
      <c r="L77" s="197"/>
    </row>
    <row r="78" spans="1:12" x14ac:dyDescent="0.3">
      <c r="A78" s="39" t="s">
        <v>448</v>
      </c>
      <c r="C78" s="18"/>
      <c r="F78" s="165"/>
      <c r="G78" s="165"/>
      <c r="H78" s="198"/>
      <c r="I78" s="200"/>
      <c r="J78" s="165"/>
      <c r="K78" s="165"/>
      <c r="L78" s="165"/>
    </row>
    <row r="79" spans="1:12" ht="27.6" x14ac:dyDescent="0.3">
      <c r="A79" s="267" t="str">
        <f t="shared" si="17"/>
        <v>Do Not Print</v>
      </c>
      <c r="B79" s="268" t="s">
        <v>1080</v>
      </c>
      <c r="C79" s="270" t="s">
        <v>1063</v>
      </c>
      <c r="D79" s="268"/>
      <c r="E79" s="269" t="s">
        <v>709</v>
      </c>
      <c r="F79" s="280">
        <f t="shared" ref="F79:F92" si="18">VLOOKUP($C79,LNFS,8,0)</f>
        <v>0</v>
      </c>
      <c r="G79" s="263">
        <f t="shared" ref="G79:G92" si="19">VLOOKUP($C79,LNFS,14,0)</f>
        <v>0</v>
      </c>
      <c r="H79" s="198"/>
      <c r="I79" s="200"/>
      <c r="J79" s="165">
        <f t="shared" ref="J79:K101" si="20">ROUND(F79,0)</f>
        <v>0</v>
      </c>
      <c r="K79" s="165">
        <f t="shared" si="20"/>
        <v>0</v>
      </c>
      <c r="L79" s="165"/>
    </row>
    <row r="80" spans="1:12" ht="27.6" x14ac:dyDescent="0.3">
      <c r="A80" s="267" t="str">
        <f t="shared" si="17"/>
        <v>Do Not Print</v>
      </c>
      <c r="B80" s="268" t="s">
        <v>1080</v>
      </c>
      <c r="C80" s="267" t="s">
        <v>101</v>
      </c>
      <c r="D80" s="268"/>
      <c r="E80" s="269" t="s">
        <v>709</v>
      </c>
      <c r="F80" s="280">
        <f t="shared" si="18"/>
        <v>0</v>
      </c>
      <c r="G80" s="263">
        <f t="shared" si="19"/>
        <v>0</v>
      </c>
      <c r="H80" s="198"/>
      <c r="I80" s="200"/>
      <c r="J80" s="165">
        <f t="shared" si="20"/>
        <v>0</v>
      </c>
      <c r="K80" s="165">
        <f t="shared" si="20"/>
        <v>0</v>
      </c>
      <c r="L80" s="165"/>
    </row>
    <row r="81" spans="1:12" ht="27.6" x14ac:dyDescent="0.3">
      <c r="A81" s="267" t="str">
        <f t="shared" si="17"/>
        <v>Do Not Print</v>
      </c>
      <c r="B81" s="268" t="s">
        <v>1080</v>
      </c>
      <c r="C81" s="270" t="s">
        <v>1064</v>
      </c>
      <c r="D81" s="268"/>
      <c r="E81" s="269" t="s">
        <v>709</v>
      </c>
      <c r="F81" s="280">
        <f t="shared" si="18"/>
        <v>0</v>
      </c>
      <c r="G81" s="263">
        <f t="shared" si="19"/>
        <v>0</v>
      </c>
      <c r="H81" s="198"/>
      <c r="I81" s="200"/>
      <c r="J81" s="165">
        <f t="shared" si="20"/>
        <v>0</v>
      </c>
      <c r="K81" s="165">
        <f t="shared" si="20"/>
        <v>0</v>
      </c>
      <c r="L81" s="165"/>
    </row>
    <row r="82" spans="1:12" ht="27.6" x14ac:dyDescent="0.3">
      <c r="A82" s="267" t="str">
        <f t="shared" si="17"/>
        <v>Do Not Print</v>
      </c>
      <c r="B82" s="268" t="s">
        <v>1080</v>
      </c>
      <c r="C82" s="270" t="s">
        <v>1065</v>
      </c>
      <c r="D82" s="268"/>
      <c r="E82" s="269" t="s">
        <v>709</v>
      </c>
      <c r="F82" s="280">
        <f t="shared" si="18"/>
        <v>0</v>
      </c>
      <c r="G82" s="263">
        <f t="shared" si="19"/>
        <v>0</v>
      </c>
      <c r="H82" s="198"/>
      <c r="I82" s="200"/>
      <c r="J82" s="165">
        <f t="shared" si="20"/>
        <v>0</v>
      </c>
      <c r="K82" s="165">
        <f t="shared" si="20"/>
        <v>0</v>
      </c>
      <c r="L82" s="165"/>
    </row>
    <row r="83" spans="1:12" ht="27.6" x14ac:dyDescent="0.3">
      <c r="A83" s="267" t="str">
        <f t="shared" si="17"/>
        <v>Do Not Print</v>
      </c>
      <c r="B83" s="268" t="s">
        <v>1080</v>
      </c>
      <c r="C83" s="270" t="s">
        <v>1066</v>
      </c>
      <c r="D83" s="268"/>
      <c r="E83" s="269" t="s">
        <v>709</v>
      </c>
      <c r="F83" s="280">
        <f t="shared" si="18"/>
        <v>0</v>
      </c>
      <c r="G83" s="263">
        <f t="shared" si="19"/>
        <v>0</v>
      </c>
      <c r="H83" s="198"/>
      <c r="I83" s="200"/>
      <c r="J83" s="165">
        <f t="shared" si="20"/>
        <v>0</v>
      </c>
      <c r="K83" s="165">
        <f t="shared" si="20"/>
        <v>0</v>
      </c>
      <c r="L83" s="165"/>
    </row>
    <row r="84" spans="1:12" ht="41.4" x14ac:dyDescent="0.3">
      <c r="A84" s="267" t="str">
        <f t="shared" si="17"/>
        <v>Do Not Print</v>
      </c>
      <c r="B84" s="268" t="s">
        <v>1080</v>
      </c>
      <c r="C84" s="270" t="s">
        <v>1067</v>
      </c>
      <c r="D84" s="268"/>
      <c r="E84" s="269" t="s">
        <v>709</v>
      </c>
      <c r="F84" s="280">
        <f t="shared" si="18"/>
        <v>0</v>
      </c>
      <c r="G84" s="263">
        <f t="shared" si="19"/>
        <v>0</v>
      </c>
      <c r="H84" s="198"/>
      <c r="I84" s="200"/>
      <c r="J84" s="165">
        <f t="shared" si="20"/>
        <v>0</v>
      </c>
      <c r="K84" s="165">
        <f t="shared" si="20"/>
        <v>0</v>
      </c>
      <c r="L84" s="165"/>
    </row>
    <row r="85" spans="1:12" ht="27.6" x14ac:dyDescent="0.3">
      <c r="A85" s="267" t="str">
        <f t="shared" si="17"/>
        <v>Do Not Print</v>
      </c>
      <c r="B85" s="268" t="s">
        <v>1080</v>
      </c>
      <c r="C85" s="270" t="s">
        <v>1068</v>
      </c>
      <c r="D85" s="268"/>
      <c r="E85" s="269" t="s">
        <v>709</v>
      </c>
      <c r="F85" s="280">
        <f t="shared" si="18"/>
        <v>0</v>
      </c>
      <c r="G85" s="263">
        <f t="shared" si="19"/>
        <v>0</v>
      </c>
      <c r="H85" s="198"/>
      <c r="I85" s="200"/>
      <c r="J85" s="165">
        <f t="shared" si="20"/>
        <v>0</v>
      </c>
      <c r="K85" s="165">
        <f t="shared" si="20"/>
        <v>0</v>
      </c>
      <c r="L85" s="165"/>
    </row>
    <row r="86" spans="1:12" ht="27.6" x14ac:dyDescent="0.3">
      <c r="A86" s="267" t="str">
        <f t="shared" si="17"/>
        <v>Do Not Print</v>
      </c>
      <c r="B86" s="268" t="s">
        <v>1080</v>
      </c>
      <c r="C86" s="270" t="s">
        <v>1069</v>
      </c>
      <c r="D86" s="268"/>
      <c r="E86" s="269" t="s">
        <v>709</v>
      </c>
      <c r="F86" s="280">
        <f t="shared" si="18"/>
        <v>0</v>
      </c>
      <c r="G86" s="263">
        <f t="shared" si="19"/>
        <v>0</v>
      </c>
      <c r="H86" s="198"/>
      <c r="I86" s="200"/>
      <c r="J86" s="165">
        <f t="shared" si="20"/>
        <v>0</v>
      </c>
      <c r="K86" s="165">
        <f t="shared" si="20"/>
        <v>0</v>
      </c>
      <c r="L86" s="165"/>
    </row>
    <row r="87" spans="1:12" ht="27.6" x14ac:dyDescent="0.3">
      <c r="A87" s="267" t="str">
        <f t="shared" si="17"/>
        <v>Do Not Print</v>
      </c>
      <c r="B87" s="268" t="s">
        <v>1080</v>
      </c>
      <c r="C87" s="270" t="s">
        <v>1070</v>
      </c>
      <c r="D87" s="268"/>
      <c r="E87" s="269" t="s">
        <v>709</v>
      </c>
      <c r="F87" s="280">
        <f t="shared" si="18"/>
        <v>0</v>
      </c>
      <c r="G87" s="263">
        <f t="shared" si="19"/>
        <v>0</v>
      </c>
      <c r="H87" s="198"/>
      <c r="I87" s="200"/>
      <c r="J87" s="165">
        <f t="shared" si="20"/>
        <v>0</v>
      </c>
      <c r="K87" s="165">
        <f t="shared" si="20"/>
        <v>0</v>
      </c>
      <c r="L87" s="165"/>
    </row>
    <row r="88" spans="1:12" ht="27.6" x14ac:dyDescent="0.3">
      <c r="A88" s="267" t="str">
        <f t="shared" si="17"/>
        <v>Do Not Print</v>
      </c>
      <c r="B88" s="268" t="s">
        <v>1080</v>
      </c>
      <c r="C88" s="270" t="s">
        <v>1071</v>
      </c>
      <c r="D88" s="268"/>
      <c r="E88" s="269" t="s">
        <v>709</v>
      </c>
      <c r="F88" s="280">
        <f t="shared" si="18"/>
        <v>0</v>
      </c>
      <c r="G88" s="263">
        <f t="shared" si="19"/>
        <v>0</v>
      </c>
      <c r="H88" s="198"/>
      <c r="I88" s="200"/>
      <c r="J88" s="165">
        <f t="shared" si="20"/>
        <v>0</v>
      </c>
      <c r="K88" s="165">
        <f t="shared" si="20"/>
        <v>0</v>
      </c>
      <c r="L88" s="165"/>
    </row>
    <row r="89" spans="1:12" ht="27.6" x14ac:dyDescent="0.3">
      <c r="A89" s="267" t="str">
        <f t="shared" si="17"/>
        <v>Do Not Print</v>
      </c>
      <c r="B89" s="268" t="s">
        <v>1080</v>
      </c>
      <c r="C89" s="270" t="s">
        <v>994</v>
      </c>
      <c r="D89" s="268"/>
      <c r="E89" s="269" t="s">
        <v>709</v>
      </c>
      <c r="F89" s="280">
        <f t="shared" si="18"/>
        <v>0</v>
      </c>
      <c r="G89" s="263">
        <f t="shared" si="19"/>
        <v>0</v>
      </c>
      <c r="H89" s="198"/>
      <c r="I89" s="200"/>
      <c r="J89" s="165">
        <f t="shared" si="20"/>
        <v>0</v>
      </c>
      <c r="K89" s="165">
        <f t="shared" si="20"/>
        <v>0</v>
      </c>
      <c r="L89" s="165"/>
    </row>
    <row r="90" spans="1:12" ht="27.6" x14ac:dyDescent="0.3">
      <c r="A90" s="267" t="str">
        <f t="shared" si="17"/>
        <v>Do Not Print</v>
      </c>
      <c r="B90" s="268" t="s">
        <v>1080</v>
      </c>
      <c r="C90" s="270" t="s">
        <v>1072</v>
      </c>
      <c r="D90" s="268"/>
      <c r="E90" s="269" t="s">
        <v>709</v>
      </c>
      <c r="F90" s="280">
        <f t="shared" si="18"/>
        <v>0</v>
      </c>
      <c r="G90" s="263">
        <f t="shared" si="19"/>
        <v>0</v>
      </c>
      <c r="H90" s="198"/>
      <c r="I90" s="200"/>
      <c r="J90" s="165">
        <f t="shared" si="20"/>
        <v>0</v>
      </c>
      <c r="K90" s="165">
        <f t="shared" si="20"/>
        <v>0</v>
      </c>
      <c r="L90" s="165"/>
    </row>
    <row r="91" spans="1:12" ht="27.6" x14ac:dyDescent="0.3">
      <c r="A91" s="267" t="str">
        <f t="shared" si="17"/>
        <v>Do Not Print</v>
      </c>
      <c r="B91" s="268" t="s">
        <v>1080</v>
      </c>
      <c r="C91" s="267" t="s">
        <v>101</v>
      </c>
      <c r="D91" s="268"/>
      <c r="E91" s="269" t="s">
        <v>709</v>
      </c>
      <c r="F91" s="280">
        <f t="shared" si="18"/>
        <v>0</v>
      </c>
      <c r="G91" s="263">
        <f t="shared" si="19"/>
        <v>0</v>
      </c>
      <c r="H91" s="198"/>
      <c r="I91" s="200"/>
      <c r="J91" s="165">
        <f t="shared" si="20"/>
        <v>0</v>
      </c>
      <c r="K91" s="165">
        <f t="shared" si="20"/>
        <v>0</v>
      </c>
      <c r="L91" s="165"/>
    </row>
    <row r="92" spans="1:12" ht="27.6" x14ac:dyDescent="0.3">
      <c r="A92" s="267" t="str">
        <f t="shared" si="17"/>
        <v>Do Not Print</v>
      </c>
      <c r="B92" s="268" t="s">
        <v>1080</v>
      </c>
      <c r="C92" s="270" t="s">
        <v>1073</v>
      </c>
      <c r="D92" s="268"/>
      <c r="E92" s="269" t="s">
        <v>709</v>
      </c>
      <c r="F92" s="280">
        <f t="shared" si="18"/>
        <v>0</v>
      </c>
      <c r="G92" s="263">
        <f t="shared" si="19"/>
        <v>0</v>
      </c>
      <c r="H92" s="198"/>
      <c r="I92" s="200"/>
      <c r="J92" s="165">
        <f t="shared" si="20"/>
        <v>0</v>
      </c>
      <c r="K92" s="165">
        <f t="shared" si="20"/>
        <v>0</v>
      </c>
      <c r="L92" s="165"/>
    </row>
    <row r="93" spans="1:12" ht="27.6" x14ac:dyDescent="0.3">
      <c r="A93" s="267" t="str">
        <f t="shared" si="17"/>
        <v>Do Not Print</v>
      </c>
      <c r="B93" s="268" t="s">
        <v>1080</v>
      </c>
      <c r="C93" s="270" t="s">
        <v>1074</v>
      </c>
      <c r="D93" s="268"/>
      <c r="E93" s="269" t="s">
        <v>709</v>
      </c>
      <c r="F93" s="280">
        <f t="shared" ref="F93:F98" si="21">-VLOOKUP($C93,LNFS,8,0)</f>
        <v>0</v>
      </c>
      <c r="G93" s="263">
        <f t="shared" ref="G93:G98" si="22">-VLOOKUP($C93,LNFS,14,0)</f>
        <v>0</v>
      </c>
      <c r="H93" s="198"/>
      <c r="I93" s="200"/>
      <c r="J93" s="165">
        <f t="shared" si="20"/>
        <v>0</v>
      </c>
      <c r="K93" s="165">
        <f t="shared" si="20"/>
        <v>0</v>
      </c>
      <c r="L93" s="165"/>
    </row>
    <row r="94" spans="1:12" ht="41.4" x14ac:dyDescent="0.3">
      <c r="A94" s="267" t="str">
        <f t="shared" si="17"/>
        <v>Do Not Print</v>
      </c>
      <c r="B94" s="268" t="s">
        <v>1080</v>
      </c>
      <c r="C94" s="267" t="s">
        <v>111</v>
      </c>
      <c r="D94" s="268"/>
      <c r="E94" s="269" t="s">
        <v>709</v>
      </c>
      <c r="F94" s="280">
        <f t="shared" si="21"/>
        <v>0</v>
      </c>
      <c r="G94" s="263">
        <f t="shared" si="22"/>
        <v>0</v>
      </c>
      <c r="H94" s="198"/>
      <c r="I94" s="200"/>
      <c r="J94" s="165">
        <f t="shared" si="20"/>
        <v>0</v>
      </c>
      <c r="K94" s="165">
        <f>ROUND(G94,0)</f>
        <v>0</v>
      </c>
      <c r="L94" s="165"/>
    </row>
    <row r="95" spans="1:12" ht="27.6" x14ac:dyDescent="0.3">
      <c r="A95" s="267" t="str">
        <f t="shared" si="17"/>
        <v>Do Not Print</v>
      </c>
      <c r="B95" s="268" t="s">
        <v>1080</v>
      </c>
      <c r="C95" s="270" t="s">
        <v>1075</v>
      </c>
      <c r="D95" s="268"/>
      <c r="E95" s="269" t="s">
        <v>709</v>
      </c>
      <c r="F95" s="280">
        <f t="shared" si="21"/>
        <v>0</v>
      </c>
      <c r="G95" s="263">
        <f t="shared" si="22"/>
        <v>0</v>
      </c>
      <c r="H95" s="198"/>
      <c r="I95" s="200"/>
      <c r="J95" s="165">
        <f t="shared" si="20"/>
        <v>0</v>
      </c>
      <c r="K95" s="165">
        <f t="shared" si="20"/>
        <v>0</v>
      </c>
      <c r="L95" s="165"/>
    </row>
    <row r="96" spans="1:12" ht="27.6" x14ac:dyDescent="0.3">
      <c r="A96" s="267" t="str">
        <f t="shared" si="17"/>
        <v>Do Not Print</v>
      </c>
      <c r="B96" s="268" t="s">
        <v>1080</v>
      </c>
      <c r="C96" s="270" t="s">
        <v>1076</v>
      </c>
      <c r="D96" s="268"/>
      <c r="E96" s="269" t="s">
        <v>709</v>
      </c>
      <c r="F96" s="280">
        <f t="shared" si="21"/>
        <v>0</v>
      </c>
      <c r="G96" s="263">
        <f t="shared" si="22"/>
        <v>0</v>
      </c>
      <c r="H96" s="198"/>
      <c r="I96" s="200"/>
      <c r="J96" s="165">
        <f t="shared" si="20"/>
        <v>0</v>
      </c>
      <c r="K96" s="165">
        <f t="shared" si="20"/>
        <v>0</v>
      </c>
      <c r="L96" s="165"/>
    </row>
    <row r="97" spans="1:12" ht="27.6" x14ac:dyDescent="0.3">
      <c r="A97" s="267" t="str">
        <f t="shared" si="17"/>
        <v>Do Not Print</v>
      </c>
      <c r="B97" s="268" t="s">
        <v>1080</v>
      </c>
      <c r="C97" s="270" t="s">
        <v>1077</v>
      </c>
      <c r="D97" s="268"/>
      <c r="E97" s="269" t="s">
        <v>709</v>
      </c>
      <c r="F97" s="280">
        <f t="shared" si="21"/>
        <v>0</v>
      </c>
      <c r="G97" s="263">
        <f t="shared" si="22"/>
        <v>0</v>
      </c>
      <c r="H97" s="198"/>
      <c r="I97" s="200"/>
      <c r="J97" s="165">
        <f t="shared" si="20"/>
        <v>0</v>
      </c>
      <c r="K97" s="165">
        <f t="shared" si="20"/>
        <v>0</v>
      </c>
      <c r="L97" s="165"/>
    </row>
    <row r="98" spans="1:12" ht="27.6" x14ac:dyDescent="0.3">
      <c r="A98" s="267" t="str">
        <f t="shared" si="17"/>
        <v>Do Not Print</v>
      </c>
      <c r="B98" s="268" t="s">
        <v>1080</v>
      </c>
      <c r="C98" s="270" t="s">
        <v>1078</v>
      </c>
      <c r="D98" s="268"/>
      <c r="E98" s="269" t="s">
        <v>709</v>
      </c>
      <c r="F98" s="280">
        <f t="shared" si="21"/>
        <v>0</v>
      </c>
      <c r="G98" s="263">
        <f t="shared" si="22"/>
        <v>0</v>
      </c>
      <c r="H98" s="198"/>
      <c r="I98" s="200"/>
      <c r="J98" s="165">
        <f t="shared" si="20"/>
        <v>0</v>
      </c>
      <c r="K98" s="165">
        <f t="shared" si="20"/>
        <v>0</v>
      </c>
      <c r="L98" s="165"/>
    </row>
    <row r="99" spans="1:12" ht="27.6" x14ac:dyDescent="0.3">
      <c r="A99" s="267" t="str">
        <f t="shared" si="17"/>
        <v>Do Not Print</v>
      </c>
      <c r="B99" s="268" t="s">
        <v>1080</v>
      </c>
      <c r="C99" s="270" t="s">
        <v>1079</v>
      </c>
      <c r="D99" s="268"/>
      <c r="E99" s="269" t="s">
        <v>709</v>
      </c>
      <c r="F99" s="280">
        <f>VLOOKUP($C99,LNFS,8,0)</f>
        <v>0</v>
      </c>
      <c r="G99" s="263">
        <f>VLOOKUP($C99,LNFS,14,0)</f>
        <v>0</v>
      </c>
      <c r="H99" s="198"/>
      <c r="I99" s="200"/>
      <c r="J99" s="165">
        <f t="shared" si="20"/>
        <v>0</v>
      </c>
      <c r="K99" s="165">
        <f t="shared" si="20"/>
        <v>0</v>
      </c>
      <c r="L99" s="165"/>
    </row>
    <row r="100" spans="1:12" ht="27.6" x14ac:dyDescent="0.3">
      <c r="A100" s="267" t="str">
        <f t="shared" si="17"/>
        <v>Do Not Print</v>
      </c>
      <c r="B100" s="268" t="s">
        <v>1080</v>
      </c>
      <c r="C100" s="270" t="s">
        <v>997</v>
      </c>
      <c r="D100" s="268"/>
      <c r="E100" s="269" t="s">
        <v>709</v>
      </c>
      <c r="F100" s="280">
        <f>VLOOKUP($C100,LNFS,8,0)</f>
        <v>0</v>
      </c>
      <c r="G100" s="263">
        <f>VLOOKUP($C100,LNFS,14,0)</f>
        <v>0</v>
      </c>
      <c r="H100" s="198"/>
      <c r="I100" s="200"/>
      <c r="J100" s="165">
        <f t="shared" si="20"/>
        <v>0</v>
      </c>
      <c r="K100" s="165">
        <f t="shared" si="20"/>
        <v>0</v>
      </c>
      <c r="L100" s="165"/>
    </row>
    <row r="101" spans="1:12" s="14" customFormat="1" ht="14.4" x14ac:dyDescent="0.3">
      <c r="A101" s="45" t="s">
        <v>448</v>
      </c>
      <c r="C101" s="45" t="s">
        <v>1633</v>
      </c>
      <c r="E101" s="258"/>
      <c r="F101" s="274">
        <f>SUM(F79:F89)-SUM(F90:F100)</f>
        <v>0</v>
      </c>
      <c r="G101" s="274">
        <f>SUM(G79:G89)-SUM(G90:G100)</f>
        <v>0</v>
      </c>
      <c r="H101" s="202"/>
      <c r="I101" s="197"/>
      <c r="J101" s="197">
        <f t="shared" si="20"/>
        <v>0</v>
      </c>
      <c r="K101" s="197">
        <f>ROUND(G101,0)</f>
        <v>0</v>
      </c>
      <c r="L101" s="197"/>
    </row>
    <row r="102" spans="1:12" x14ac:dyDescent="0.3">
      <c r="A102" s="39" t="s">
        <v>448</v>
      </c>
      <c r="C102" s="18"/>
      <c r="F102" s="165"/>
      <c r="G102" s="165"/>
      <c r="H102" s="198"/>
      <c r="I102" s="200"/>
      <c r="J102" s="165"/>
      <c r="K102" s="165"/>
      <c r="L102" s="165"/>
    </row>
    <row r="103" spans="1:12" ht="27.6" x14ac:dyDescent="0.3">
      <c r="A103" s="276" t="str">
        <f t="shared" si="17"/>
        <v>Do Not Print</v>
      </c>
      <c r="B103" s="246" t="s">
        <v>893</v>
      </c>
      <c r="C103" s="276" t="s">
        <v>702</v>
      </c>
      <c r="D103" s="246"/>
      <c r="E103" s="278" t="s">
        <v>709</v>
      </c>
      <c r="F103" s="284">
        <f t="shared" ref="F103:F116" si="23">VLOOKUP($C103,VASS,8,0)</f>
        <v>0</v>
      </c>
      <c r="G103" s="253">
        <f t="shared" ref="G103:G116" si="24">VLOOKUP($C103,VASS,14,0)</f>
        <v>0</v>
      </c>
      <c r="H103" s="198"/>
      <c r="I103" s="200"/>
      <c r="J103" s="165">
        <f t="shared" ref="J103:K125" si="25">ROUND(F103,0)</f>
        <v>0</v>
      </c>
      <c r="K103" s="165">
        <f t="shared" si="25"/>
        <v>0</v>
      </c>
      <c r="L103" s="165"/>
    </row>
    <row r="104" spans="1:12" ht="27.6" x14ac:dyDescent="0.3">
      <c r="A104" s="276" t="str">
        <f t="shared" si="17"/>
        <v>Do Not Print</v>
      </c>
      <c r="B104" s="246" t="s">
        <v>893</v>
      </c>
      <c r="C104" s="276" t="s">
        <v>101</v>
      </c>
      <c r="D104" s="246"/>
      <c r="E104" s="278" t="s">
        <v>709</v>
      </c>
      <c r="F104" s="284">
        <f t="shared" si="23"/>
        <v>0</v>
      </c>
      <c r="G104" s="253">
        <f t="shared" si="24"/>
        <v>0</v>
      </c>
      <c r="H104" s="198"/>
      <c r="I104" s="200"/>
      <c r="J104" s="165">
        <f t="shared" si="25"/>
        <v>0</v>
      </c>
      <c r="K104" s="165">
        <f t="shared" si="25"/>
        <v>0</v>
      </c>
      <c r="L104" s="165"/>
    </row>
    <row r="105" spans="1:12" ht="27.6" x14ac:dyDescent="0.3">
      <c r="A105" s="276" t="str">
        <f t="shared" si="17"/>
        <v>Do Not Print</v>
      </c>
      <c r="B105" s="246" t="s">
        <v>893</v>
      </c>
      <c r="C105" s="277" t="s">
        <v>1005</v>
      </c>
      <c r="D105" s="246"/>
      <c r="E105" s="278" t="s">
        <v>709</v>
      </c>
      <c r="F105" s="284">
        <f t="shared" si="23"/>
        <v>0</v>
      </c>
      <c r="G105" s="253">
        <f t="shared" si="24"/>
        <v>0</v>
      </c>
      <c r="H105" s="198"/>
      <c r="I105" s="200"/>
      <c r="J105" s="165">
        <f t="shared" si="25"/>
        <v>0</v>
      </c>
      <c r="K105" s="165">
        <f t="shared" si="25"/>
        <v>0</v>
      </c>
      <c r="L105" s="165"/>
    </row>
    <row r="106" spans="1:12" ht="27.6" x14ac:dyDescent="0.3">
      <c r="A106" s="276" t="str">
        <f t="shared" si="17"/>
        <v>Do Not Print</v>
      </c>
      <c r="B106" s="246" t="s">
        <v>893</v>
      </c>
      <c r="C106" s="277" t="s">
        <v>1007</v>
      </c>
      <c r="D106" s="246"/>
      <c r="E106" s="278" t="s">
        <v>709</v>
      </c>
      <c r="F106" s="284">
        <f t="shared" si="23"/>
        <v>0</v>
      </c>
      <c r="G106" s="253">
        <f t="shared" si="24"/>
        <v>0</v>
      </c>
      <c r="H106" s="198"/>
      <c r="I106" s="200"/>
      <c r="J106" s="165">
        <f t="shared" si="25"/>
        <v>0</v>
      </c>
      <c r="K106" s="165">
        <f t="shared" si="25"/>
        <v>0</v>
      </c>
      <c r="L106" s="165"/>
    </row>
    <row r="107" spans="1:12" ht="27.6" x14ac:dyDescent="0.3">
      <c r="A107" s="276" t="str">
        <f t="shared" si="17"/>
        <v>Do Not Print</v>
      </c>
      <c r="B107" s="246" t="s">
        <v>893</v>
      </c>
      <c r="C107" s="277" t="s">
        <v>1006</v>
      </c>
      <c r="D107" s="246"/>
      <c r="E107" s="278" t="s">
        <v>709</v>
      </c>
      <c r="F107" s="284">
        <f t="shared" si="23"/>
        <v>0</v>
      </c>
      <c r="G107" s="253">
        <f t="shared" si="24"/>
        <v>0</v>
      </c>
      <c r="H107" s="198"/>
      <c r="I107" s="200"/>
      <c r="J107" s="165">
        <f t="shared" si="25"/>
        <v>0</v>
      </c>
      <c r="K107" s="165">
        <f t="shared" si="25"/>
        <v>0</v>
      </c>
      <c r="L107" s="165"/>
    </row>
    <row r="108" spans="1:12" ht="27.6" x14ac:dyDescent="0.3">
      <c r="A108" s="276" t="str">
        <f t="shared" si="17"/>
        <v>Do Not Print</v>
      </c>
      <c r="B108" s="246" t="s">
        <v>893</v>
      </c>
      <c r="C108" s="277" t="s">
        <v>1008</v>
      </c>
      <c r="D108" s="246"/>
      <c r="E108" s="278" t="s">
        <v>709</v>
      </c>
      <c r="F108" s="284">
        <f t="shared" si="23"/>
        <v>0</v>
      </c>
      <c r="G108" s="253">
        <f t="shared" si="24"/>
        <v>0</v>
      </c>
      <c r="H108" s="198"/>
      <c r="I108" s="200"/>
      <c r="J108" s="165">
        <f t="shared" si="25"/>
        <v>0</v>
      </c>
      <c r="K108" s="165">
        <f t="shared" si="25"/>
        <v>0</v>
      </c>
      <c r="L108" s="165"/>
    </row>
    <row r="109" spans="1:12" ht="41.4" x14ac:dyDescent="0.3">
      <c r="A109" s="276" t="str">
        <f t="shared" si="17"/>
        <v>Do Not Print</v>
      </c>
      <c r="B109" s="246" t="s">
        <v>893</v>
      </c>
      <c r="C109" s="277" t="s">
        <v>1009</v>
      </c>
      <c r="D109" s="246"/>
      <c r="E109" s="278" t="s">
        <v>709</v>
      </c>
      <c r="F109" s="284">
        <f t="shared" si="23"/>
        <v>0</v>
      </c>
      <c r="G109" s="253">
        <f t="shared" si="24"/>
        <v>0</v>
      </c>
      <c r="H109" s="198"/>
      <c r="I109" s="200"/>
      <c r="J109" s="165">
        <f t="shared" si="25"/>
        <v>0</v>
      </c>
      <c r="K109" s="165">
        <f t="shared" si="25"/>
        <v>0</v>
      </c>
      <c r="L109" s="165"/>
    </row>
    <row r="110" spans="1:12" ht="27.6" x14ac:dyDescent="0.3">
      <c r="A110" s="276" t="str">
        <f t="shared" si="17"/>
        <v>Do Not Print</v>
      </c>
      <c r="B110" s="246" t="s">
        <v>893</v>
      </c>
      <c r="C110" s="277" t="s">
        <v>1010</v>
      </c>
      <c r="D110" s="246"/>
      <c r="E110" s="278" t="s">
        <v>709</v>
      </c>
      <c r="F110" s="284">
        <f t="shared" si="23"/>
        <v>0</v>
      </c>
      <c r="G110" s="253">
        <f t="shared" si="24"/>
        <v>0</v>
      </c>
      <c r="H110" s="198"/>
      <c r="I110" s="200"/>
      <c r="J110" s="165">
        <f t="shared" si="25"/>
        <v>0</v>
      </c>
      <c r="K110" s="165">
        <f t="shared" si="25"/>
        <v>0</v>
      </c>
      <c r="L110" s="165"/>
    </row>
    <row r="111" spans="1:12" ht="27.6" x14ac:dyDescent="0.3">
      <c r="A111" s="276" t="str">
        <f t="shared" si="17"/>
        <v>Do Not Print</v>
      </c>
      <c r="B111" s="246" t="s">
        <v>893</v>
      </c>
      <c r="C111" s="277" t="s">
        <v>719</v>
      </c>
      <c r="D111" s="246"/>
      <c r="E111" s="278" t="s">
        <v>709</v>
      </c>
      <c r="F111" s="284">
        <f t="shared" si="23"/>
        <v>0</v>
      </c>
      <c r="G111" s="253">
        <f t="shared" si="24"/>
        <v>0</v>
      </c>
      <c r="H111" s="198"/>
      <c r="I111" s="200"/>
      <c r="J111" s="165">
        <f t="shared" si="25"/>
        <v>0</v>
      </c>
      <c r="K111" s="165">
        <f t="shared" si="25"/>
        <v>0</v>
      </c>
      <c r="L111" s="165"/>
    </row>
    <row r="112" spans="1:12" ht="27.6" x14ac:dyDescent="0.3">
      <c r="A112" s="276" t="str">
        <f t="shared" si="17"/>
        <v>Do Not Print</v>
      </c>
      <c r="B112" s="246" t="s">
        <v>893</v>
      </c>
      <c r="C112" s="276" t="s">
        <v>720</v>
      </c>
      <c r="D112" s="246"/>
      <c r="E112" s="278" t="s">
        <v>709</v>
      </c>
      <c r="F112" s="284">
        <f t="shared" si="23"/>
        <v>0</v>
      </c>
      <c r="G112" s="253">
        <f t="shared" si="24"/>
        <v>0</v>
      </c>
      <c r="H112" s="198"/>
      <c r="I112" s="200"/>
      <c r="J112" s="165">
        <f t="shared" si="25"/>
        <v>0</v>
      </c>
      <c r="K112" s="165">
        <f t="shared" si="25"/>
        <v>0</v>
      </c>
      <c r="L112" s="165"/>
    </row>
    <row r="113" spans="1:12" ht="27.6" x14ac:dyDescent="0.3">
      <c r="A113" s="276" t="str">
        <f t="shared" si="17"/>
        <v>Do Not Print</v>
      </c>
      <c r="B113" s="246" t="s">
        <v>893</v>
      </c>
      <c r="C113" s="276" t="s">
        <v>994</v>
      </c>
      <c r="D113" s="246"/>
      <c r="E113" s="278" t="s">
        <v>709</v>
      </c>
      <c r="F113" s="284">
        <f t="shared" si="23"/>
        <v>0</v>
      </c>
      <c r="G113" s="253">
        <f t="shared" si="24"/>
        <v>0</v>
      </c>
      <c r="H113" s="198"/>
      <c r="I113" s="200"/>
      <c r="J113" s="165">
        <f t="shared" si="25"/>
        <v>0</v>
      </c>
      <c r="K113" s="165">
        <f t="shared" si="25"/>
        <v>0</v>
      </c>
      <c r="L113" s="165"/>
    </row>
    <row r="114" spans="1:12" ht="27.6" x14ac:dyDescent="0.3">
      <c r="A114" s="276" t="str">
        <f t="shared" si="17"/>
        <v>Do Not Print</v>
      </c>
      <c r="B114" s="246" t="s">
        <v>893</v>
      </c>
      <c r="C114" s="276" t="s">
        <v>721</v>
      </c>
      <c r="D114" s="246"/>
      <c r="E114" s="278" t="s">
        <v>709</v>
      </c>
      <c r="F114" s="284">
        <f t="shared" si="23"/>
        <v>0</v>
      </c>
      <c r="G114" s="253">
        <f t="shared" si="24"/>
        <v>0</v>
      </c>
      <c r="H114" s="198"/>
      <c r="I114" s="200"/>
      <c r="J114" s="165">
        <f t="shared" si="25"/>
        <v>0</v>
      </c>
      <c r="K114" s="165">
        <f t="shared" si="25"/>
        <v>0</v>
      </c>
      <c r="L114" s="165"/>
    </row>
    <row r="115" spans="1:12" ht="27.6" x14ac:dyDescent="0.3">
      <c r="A115" s="276" t="str">
        <f t="shared" si="17"/>
        <v>Do Not Print</v>
      </c>
      <c r="B115" s="246" t="s">
        <v>893</v>
      </c>
      <c r="C115" s="276" t="s">
        <v>101</v>
      </c>
      <c r="D115" s="246"/>
      <c r="E115" s="278" t="s">
        <v>709</v>
      </c>
      <c r="F115" s="284">
        <f t="shared" si="23"/>
        <v>0</v>
      </c>
      <c r="G115" s="253">
        <f t="shared" si="24"/>
        <v>0</v>
      </c>
      <c r="H115" s="198"/>
      <c r="I115" s="200"/>
      <c r="J115" s="165">
        <f t="shared" si="25"/>
        <v>0</v>
      </c>
      <c r="K115" s="165">
        <f t="shared" si="25"/>
        <v>0</v>
      </c>
      <c r="L115" s="165"/>
    </row>
    <row r="116" spans="1:12" ht="27.6" x14ac:dyDescent="0.3">
      <c r="A116" s="276" t="str">
        <f t="shared" si="17"/>
        <v>Do Not Print</v>
      </c>
      <c r="B116" s="246" t="s">
        <v>893</v>
      </c>
      <c r="C116" s="276" t="s">
        <v>722</v>
      </c>
      <c r="D116" s="246"/>
      <c r="E116" s="278" t="s">
        <v>709</v>
      </c>
      <c r="F116" s="284">
        <f t="shared" si="23"/>
        <v>0</v>
      </c>
      <c r="G116" s="253">
        <f t="shared" si="24"/>
        <v>0</v>
      </c>
      <c r="H116" s="198"/>
      <c r="I116" s="200"/>
      <c r="J116" s="165">
        <f t="shared" si="25"/>
        <v>0</v>
      </c>
      <c r="K116" s="165">
        <f t="shared" si="25"/>
        <v>0</v>
      </c>
      <c r="L116" s="165"/>
    </row>
    <row r="117" spans="1:12" ht="27.6" x14ac:dyDescent="0.3">
      <c r="A117" s="276" t="str">
        <f t="shared" si="17"/>
        <v>Do Not Print</v>
      </c>
      <c r="B117" s="246" t="s">
        <v>893</v>
      </c>
      <c r="C117" s="276" t="s">
        <v>1011</v>
      </c>
      <c r="D117" s="246"/>
      <c r="E117" s="278" t="s">
        <v>709</v>
      </c>
      <c r="F117" s="284">
        <f t="shared" ref="F117:F122" si="26">-VLOOKUP($C117,VASS,8,0)</f>
        <v>0</v>
      </c>
      <c r="G117" s="253">
        <f t="shared" ref="G117:G122" si="27">-VLOOKUP($C117,VASS,14,0)</f>
        <v>0</v>
      </c>
      <c r="H117" s="198"/>
      <c r="I117" s="200"/>
      <c r="J117" s="165">
        <f t="shared" si="25"/>
        <v>0</v>
      </c>
      <c r="K117" s="165">
        <f>ROUND(G117,0)</f>
        <v>0</v>
      </c>
      <c r="L117" s="165"/>
    </row>
    <row r="118" spans="1:12" ht="41.4" x14ac:dyDescent="0.3">
      <c r="A118" s="276" t="str">
        <f t="shared" si="17"/>
        <v>Do Not Print</v>
      </c>
      <c r="B118" s="246" t="s">
        <v>893</v>
      </c>
      <c r="C118" s="276" t="s">
        <v>111</v>
      </c>
      <c r="D118" s="246"/>
      <c r="E118" s="278" t="s">
        <v>709</v>
      </c>
      <c r="F118" s="284">
        <f t="shared" si="26"/>
        <v>0</v>
      </c>
      <c r="G118" s="253">
        <f t="shared" si="27"/>
        <v>0</v>
      </c>
      <c r="H118" s="198"/>
      <c r="I118" s="200"/>
      <c r="J118" s="165">
        <f t="shared" si="25"/>
        <v>0</v>
      </c>
      <c r="K118" s="165">
        <f>ROUND(G118,0)</f>
        <v>0</v>
      </c>
      <c r="L118" s="165"/>
    </row>
    <row r="119" spans="1:12" ht="27.6" x14ac:dyDescent="0.3">
      <c r="A119" s="276" t="str">
        <f t="shared" si="17"/>
        <v>Do Not Print</v>
      </c>
      <c r="B119" s="246" t="s">
        <v>893</v>
      </c>
      <c r="C119" s="276" t="s">
        <v>1013</v>
      </c>
      <c r="D119" s="246"/>
      <c r="E119" s="278" t="s">
        <v>709</v>
      </c>
      <c r="F119" s="284">
        <f t="shared" si="26"/>
        <v>0</v>
      </c>
      <c r="G119" s="253">
        <f t="shared" si="27"/>
        <v>0</v>
      </c>
      <c r="H119" s="198"/>
      <c r="I119" s="200"/>
      <c r="J119" s="165">
        <f t="shared" si="25"/>
        <v>0</v>
      </c>
      <c r="K119" s="165">
        <f t="shared" si="25"/>
        <v>0</v>
      </c>
      <c r="L119" s="165"/>
    </row>
    <row r="120" spans="1:12" ht="27.6" x14ac:dyDescent="0.3">
      <c r="A120" s="276" t="str">
        <f t="shared" si="17"/>
        <v>Do Not Print</v>
      </c>
      <c r="B120" s="246" t="s">
        <v>893</v>
      </c>
      <c r="C120" s="276" t="s">
        <v>1012</v>
      </c>
      <c r="D120" s="246"/>
      <c r="E120" s="278" t="s">
        <v>709</v>
      </c>
      <c r="F120" s="284">
        <f t="shared" si="26"/>
        <v>0</v>
      </c>
      <c r="G120" s="253">
        <f t="shared" si="27"/>
        <v>0</v>
      </c>
      <c r="H120" s="198"/>
      <c r="I120" s="200"/>
      <c r="J120" s="165">
        <f t="shared" si="25"/>
        <v>0</v>
      </c>
      <c r="K120" s="165">
        <f t="shared" si="25"/>
        <v>0</v>
      </c>
      <c r="L120" s="165"/>
    </row>
    <row r="121" spans="1:12" ht="27.6" x14ac:dyDescent="0.3">
      <c r="A121" s="276" t="str">
        <f t="shared" si="17"/>
        <v>Do Not Print</v>
      </c>
      <c r="B121" s="246" t="s">
        <v>893</v>
      </c>
      <c r="C121" s="277" t="s">
        <v>1014</v>
      </c>
      <c r="D121" s="246"/>
      <c r="E121" s="278" t="s">
        <v>709</v>
      </c>
      <c r="F121" s="284">
        <f t="shared" si="26"/>
        <v>0</v>
      </c>
      <c r="G121" s="253">
        <f t="shared" si="27"/>
        <v>0</v>
      </c>
      <c r="H121" s="198"/>
      <c r="I121" s="200"/>
      <c r="J121" s="165">
        <f t="shared" si="25"/>
        <v>0</v>
      </c>
      <c r="K121" s="165">
        <f t="shared" si="25"/>
        <v>0</v>
      </c>
      <c r="L121" s="165"/>
    </row>
    <row r="122" spans="1:12" ht="27.6" x14ac:dyDescent="0.3">
      <c r="A122" s="276" t="str">
        <f t="shared" si="17"/>
        <v>Do Not Print</v>
      </c>
      <c r="B122" s="246" t="s">
        <v>893</v>
      </c>
      <c r="C122" s="277" t="s">
        <v>723</v>
      </c>
      <c r="D122" s="246"/>
      <c r="E122" s="278" t="s">
        <v>709</v>
      </c>
      <c r="F122" s="284">
        <f t="shared" si="26"/>
        <v>0</v>
      </c>
      <c r="G122" s="253">
        <f t="shared" si="27"/>
        <v>0</v>
      </c>
      <c r="H122" s="198"/>
      <c r="I122" s="200"/>
      <c r="J122" s="165">
        <f t="shared" si="25"/>
        <v>0</v>
      </c>
      <c r="K122" s="165">
        <f t="shared" si="25"/>
        <v>0</v>
      </c>
      <c r="L122" s="165"/>
    </row>
    <row r="123" spans="1:12" ht="27.6" x14ac:dyDescent="0.3">
      <c r="A123" s="276" t="str">
        <f t="shared" si="17"/>
        <v>Do Not Print</v>
      </c>
      <c r="B123" s="246" t="s">
        <v>893</v>
      </c>
      <c r="C123" s="276" t="s">
        <v>724</v>
      </c>
      <c r="D123" s="246"/>
      <c r="E123" s="278" t="s">
        <v>709</v>
      </c>
      <c r="F123" s="284">
        <f>VLOOKUP($C123,VASS,8,0)</f>
        <v>0</v>
      </c>
      <c r="G123" s="253">
        <f>VLOOKUP($C123,VASS,14,0)</f>
        <v>0</v>
      </c>
      <c r="H123" s="198"/>
      <c r="I123" s="200"/>
      <c r="J123" s="165">
        <f t="shared" si="25"/>
        <v>0</v>
      </c>
      <c r="K123" s="165">
        <f t="shared" si="25"/>
        <v>0</v>
      </c>
      <c r="L123" s="165"/>
    </row>
    <row r="124" spans="1:12" ht="27.6" x14ac:dyDescent="0.3">
      <c r="A124" s="276" t="str">
        <f t="shared" si="17"/>
        <v>Do Not Print</v>
      </c>
      <c r="B124" s="246" t="s">
        <v>893</v>
      </c>
      <c r="C124" s="276" t="s">
        <v>997</v>
      </c>
      <c r="D124" s="246"/>
      <c r="E124" s="278" t="s">
        <v>709</v>
      </c>
      <c r="F124" s="284">
        <f>VLOOKUP($C124,VASS,8,0)</f>
        <v>0</v>
      </c>
      <c r="G124" s="253">
        <f>VLOOKUP($C124,VASS,14,0)</f>
        <v>0</v>
      </c>
      <c r="H124" s="198"/>
      <c r="I124" s="200"/>
      <c r="J124" s="165">
        <f t="shared" si="25"/>
        <v>0</v>
      </c>
      <c r="K124" s="165">
        <f t="shared" si="25"/>
        <v>0</v>
      </c>
      <c r="L124" s="165"/>
    </row>
    <row r="125" spans="1:12" s="14" customFormat="1" ht="14.4" x14ac:dyDescent="0.3">
      <c r="A125" s="45" t="s">
        <v>448</v>
      </c>
      <c r="C125" s="45" t="s">
        <v>1634</v>
      </c>
      <c r="E125" s="258"/>
      <c r="F125" s="282">
        <f>SUM(F103:F113)-SUM(F114:F124)</f>
        <v>0</v>
      </c>
      <c r="G125" s="282">
        <f>SUM(G103:G113)-SUM(G114:G124)</f>
        <v>0</v>
      </c>
      <c r="H125" s="202"/>
      <c r="I125" s="197"/>
      <c r="J125" s="197">
        <f t="shared" si="25"/>
        <v>0</v>
      </c>
      <c r="K125" s="197">
        <f>ROUND(G125,0)</f>
        <v>0</v>
      </c>
      <c r="L125" s="197"/>
    </row>
    <row r="126" spans="1:12" x14ac:dyDescent="0.3">
      <c r="A126" s="39" t="s">
        <v>448</v>
      </c>
      <c r="F126" s="165"/>
      <c r="G126" s="165"/>
      <c r="H126" s="198"/>
      <c r="I126" s="200"/>
      <c r="J126" s="165"/>
      <c r="K126" s="165"/>
      <c r="L126" s="165"/>
    </row>
    <row r="127" spans="1:12" ht="27.6" x14ac:dyDescent="0.3">
      <c r="A127" s="285" t="str">
        <f t="shared" si="17"/>
        <v>Do Not Print</v>
      </c>
      <c r="B127" s="245" t="s">
        <v>894</v>
      </c>
      <c r="C127" s="285" t="s">
        <v>726</v>
      </c>
      <c r="D127" s="245"/>
      <c r="E127" s="286" t="s">
        <v>709</v>
      </c>
      <c r="F127" s="288">
        <f t="shared" ref="F127:F140" si="28">VLOOKUP($C127,CASS,8,0)</f>
        <v>0</v>
      </c>
      <c r="G127" s="279">
        <f t="shared" ref="G127:G140" si="29">VLOOKUP($C127,CASS,14,0)</f>
        <v>0</v>
      </c>
      <c r="H127" s="198"/>
      <c r="I127" s="200"/>
      <c r="J127" s="165">
        <f t="shared" ref="J127:K149" si="30">ROUND(F127,0)</f>
        <v>0</v>
      </c>
      <c r="K127" s="165">
        <f t="shared" si="30"/>
        <v>0</v>
      </c>
      <c r="L127" s="165"/>
    </row>
    <row r="128" spans="1:12" ht="27.6" x14ac:dyDescent="0.3">
      <c r="A128" s="285" t="str">
        <f t="shared" si="17"/>
        <v>Do Not Print</v>
      </c>
      <c r="B128" s="245" t="s">
        <v>894</v>
      </c>
      <c r="C128" s="285" t="s">
        <v>101</v>
      </c>
      <c r="D128" s="245"/>
      <c r="E128" s="286" t="s">
        <v>709</v>
      </c>
      <c r="F128" s="288">
        <f t="shared" si="28"/>
        <v>0</v>
      </c>
      <c r="G128" s="279">
        <f t="shared" si="29"/>
        <v>0</v>
      </c>
      <c r="H128" s="198"/>
      <c r="I128" s="200"/>
      <c r="J128" s="165">
        <f t="shared" si="30"/>
        <v>0</v>
      </c>
      <c r="K128" s="165">
        <f t="shared" si="30"/>
        <v>0</v>
      </c>
      <c r="L128" s="165"/>
    </row>
    <row r="129" spans="1:12" ht="27.6" x14ac:dyDescent="0.3">
      <c r="A129" s="285" t="str">
        <f t="shared" si="17"/>
        <v>Do Not Print</v>
      </c>
      <c r="B129" s="245" t="s">
        <v>894</v>
      </c>
      <c r="C129" s="287" t="s">
        <v>1015</v>
      </c>
      <c r="D129" s="245"/>
      <c r="E129" s="286" t="s">
        <v>709</v>
      </c>
      <c r="F129" s="288">
        <f t="shared" si="28"/>
        <v>0</v>
      </c>
      <c r="G129" s="279">
        <f t="shared" si="29"/>
        <v>0</v>
      </c>
      <c r="H129" s="198"/>
      <c r="I129" s="200"/>
      <c r="J129" s="165">
        <f t="shared" si="30"/>
        <v>0</v>
      </c>
      <c r="K129" s="165">
        <f t="shared" si="30"/>
        <v>0</v>
      </c>
      <c r="L129" s="165"/>
    </row>
    <row r="130" spans="1:12" ht="27.6" x14ac:dyDescent="0.3">
      <c r="A130" s="285" t="str">
        <f t="shared" si="17"/>
        <v>Do Not Print</v>
      </c>
      <c r="B130" s="245" t="s">
        <v>894</v>
      </c>
      <c r="C130" s="287" t="s">
        <v>1016</v>
      </c>
      <c r="D130" s="245"/>
      <c r="E130" s="286" t="s">
        <v>709</v>
      </c>
      <c r="F130" s="288">
        <f t="shared" si="28"/>
        <v>0</v>
      </c>
      <c r="G130" s="279">
        <f t="shared" si="29"/>
        <v>0</v>
      </c>
      <c r="H130" s="198"/>
      <c r="I130" s="200"/>
      <c r="J130" s="165">
        <f t="shared" si="30"/>
        <v>0</v>
      </c>
      <c r="K130" s="165">
        <f t="shared" si="30"/>
        <v>0</v>
      </c>
      <c r="L130" s="165"/>
    </row>
    <row r="131" spans="1:12" ht="27.6" x14ac:dyDescent="0.3">
      <c r="A131" s="285" t="str">
        <f t="shared" si="17"/>
        <v>Do Not Print</v>
      </c>
      <c r="B131" s="245" t="s">
        <v>894</v>
      </c>
      <c r="C131" s="287" t="s">
        <v>1017</v>
      </c>
      <c r="D131" s="245"/>
      <c r="E131" s="286" t="s">
        <v>709</v>
      </c>
      <c r="F131" s="288">
        <f t="shared" si="28"/>
        <v>0</v>
      </c>
      <c r="G131" s="279">
        <f t="shared" si="29"/>
        <v>0</v>
      </c>
      <c r="H131" s="198"/>
      <c r="I131" s="200"/>
      <c r="J131" s="165">
        <f t="shared" si="30"/>
        <v>0</v>
      </c>
      <c r="K131" s="165">
        <f t="shared" si="30"/>
        <v>0</v>
      </c>
      <c r="L131" s="165"/>
    </row>
    <row r="132" spans="1:12" ht="41.4" x14ac:dyDescent="0.3">
      <c r="A132" s="285" t="str">
        <f t="shared" si="17"/>
        <v>Do Not Print</v>
      </c>
      <c r="B132" s="245" t="s">
        <v>894</v>
      </c>
      <c r="C132" s="287" t="s">
        <v>1018</v>
      </c>
      <c r="D132" s="245"/>
      <c r="E132" s="286" t="s">
        <v>709</v>
      </c>
      <c r="F132" s="288">
        <f t="shared" si="28"/>
        <v>0</v>
      </c>
      <c r="G132" s="279">
        <f t="shared" si="29"/>
        <v>0</v>
      </c>
      <c r="H132" s="198"/>
      <c r="I132" s="200"/>
      <c r="J132" s="165">
        <f t="shared" si="30"/>
        <v>0</v>
      </c>
      <c r="K132" s="165">
        <f t="shared" si="30"/>
        <v>0</v>
      </c>
      <c r="L132" s="165"/>
    </row>
    <row r="133" spans="1:12" ht="27.6" x14ac:dyDescent="0.3">
      <c r="A133" s="285" t="str">
        <f t="shared" si="17"/>
        <v>Do Not Print</v>
      </c>
      <c r="B133" s="245" t="s">
        <v>894</v>
      </c>
      <c r="C133" s="285" t="s">
        <v>727</v>
      </c>
      <c r="D133" s="245"/>
      <c r="E133" s="286" t="s">
        <v>709</v>
      </c>
      <c r="F133" s="288">
        <f t="shared" si="28"/>
        <v>0</v>
      </c>
      <c r="G133" s="279">
        <f t="shared" si="29"/>
        <v>0</v>
      </c>
      <c r="H133" s="198"/>
      <c r="I133" s="200"/>
      <c r="J133" s="165">
        <f t="shared" si="30"/>
        <v>0</v>
      </c>
      <c r="K133" s="165">
        <f t="shared" si="30"/>
        <v>0</v>
      </c>
      <c r="L133" s="165"/>
    </row>
    <row r="134" spans="1:12" ht="27.6" x14ac:dyDescent="0.3">
      <c r="A134" s="285" t="str">
        <f t="shared" si="17"/>
        <v>Do Not Print</v>
      </c>
      <c r="B134" s="245" t="s">
        <v>894</v>
      </c>
      <c r="C134" s="287" t="s">
        <v>1019</v>
      </c>
      <c r="D134" s="245"/>
      <c r="E134" s="286" t="s">
        <v>709</v>
      </c>
      <c r="F134" s="288">
        <f t="shared" si="28"/>
        <v>0</v>
      </c>
      <c r="G134" s="279">
        <f t="shared" si="29"/>
        <v>0</v>
      </c>
      <c r="H134" s="198"/>
      <c r="I134" s="200"/>
      <c r="J134" s="165">
        <f t="shared" si="30"/>
        <v>0</v>
      </c>
      <c r="K134" s="165">
        <f t="shared" si="30"/>
        <v>0</v>
      </c>
      <c r="L134" s="165"/>
    </row>
    <row r="135" spans="1:12" ht="27.6" x14ac:dyDescent="0.3">
      <c r="A135" s="285" t="str">
        <f t="shared" si="17"/>
        <v>Do Not Print</v>
      </c>
      <c r="B135" s="245" t="s">
        <v>894</v>
      </c>
      <c r="C135" s="285" t="s">
        <v>728</v>
      </c>
      <c r="D135" s="245"/>
      <c r="E135" s="286" t="s">
        <v>709</v>
      </c>
      <c r="F135" s="288">
        <f t="shared" si="28"/>
        <v>0</v>
      </c>
      <c r="G135" s="279">
        <f t="shared" si="29"/>
        <v>0</v>
      </c>
      <c r="H135" s="198"/>
      <c r="I135" s="200"/>
      <c r="J135" s="165">
        <f t="shared" si="30"/>
        <v>0</v>
      </c>
      <c r="K135" s="165">
        <f t="shared" si="30"/>
        <v>0</v>
      </c>
      <c r="L135" s="165"/>
    </row>
    <row r="136" spans="1:12" ht="27.6" x14ac:dyDescent="0.3">
      <c r="A136" s="285" t="str">
        <f t="shared" si="17"/>
        <v>Do Not Print</v>
      </c>
      <c r="B136" s="245" t="s">
        <v>894</v>
      </c>
      <c r="C136" s="285" t="s">
        <v>729</v>
      </c>
      <c r="D136" s="245"/>
      <c r="E136" s="286" t="s">
        <v>709</v>
      </c>
      <c r="F136" s="288">
        <f t="shared" si="28"/>
        <v>0</v>
      </c>
      <c r="G136" s="279">
        <f t="shared" si="29"/>
        <v>0</v>
      </c>
      <c r="H136" s="198"/>
      <c r="I136" s="200"/>
      <c r="J136" s="165">
        <f t="shared" si="30"/>
        <v>0</v>
      </c>
      <c r="K136" s="165">
        <f t="shared" si="30"/>
        <v>0</v>
      </c>
      <c r="L136" s="165"/>
    </row>
    <row r="137" spans="1:12" ht="27.6" x14ac:dyDescent="0.3">
      <c r="A137" s="285" t="str">
        <f t="shared" si="17"/>
        <v>Do Not Print</v>
      </c>
      <c r="B137" s="245" t="s">
        <v>894</v>
      </c>
      <c r="C137" s="285" t="s">
        <v>994</v>
      </c>
      <c r="D137" s="245"/>
      <c r="E137" s="286" t="s">
        <v>709</v>
      </c>
      <c r="F137" s="288">
        <f t="shared" si="28"/>
        <v>0</v>
      </c>
      <c r="G137" s="279">
        <f t="shared" si="29"/>
        <v>0</v>
      </c>
      <c r="H137" s="198"/>
      <c r="I137" s="200"/>
      <c r="J137" s="165">
        <f t="shared" si="30"/>
        <v>0</v>
      </c>
      <c r="K137" s="165">
        <f t="shared" si="30"/>
        <v>0</v>
      </c>
      <c r="L137" s="165"/>
    </row>
    <row r="138" spans="1:12" ht="27.6" x14ac:dyDescent="0.3">
      <c r="A138" s="285" t="str">
        <f t="shared" si="17"/>
        <v>Do Not Print</v>
      </c>
      <c r="B138" s="245" t="s">
        <v>894</v>
      </c>
      <c r="C138" s="285" t="s">
        <v>1020</v>
      </c>
      <c r="D138" s="245"/>
      <c r="E138" s="286" t="s">
        <v>709</v>
      </c>
      <c r="F138" s="288">
        <f t="shared" si="28"/>
        <v>0</v>
      </c>
      <c r="G138" s="279">
        <f t="shared" si="29"/>
        <v>0</v>
      </c>
      <c r="H138" s="198"/>
      <c r="I138" s="200"/>
      <c r="J138" s="165">
        <f t="shared" si="30"/>
        <v>0</v>
      </c>
      <c r="K138" s="165">
        <f t="shared" si="30"/>
        <v>0</v>
      </c>
      <c r="L138" s="165"/>
    </row>
    <row r="139" spans="1:12" ht="27.6" x14ac:dyDescent="0.3">
      <c r="A139" s="285" t="str">
        <f t="shared" si="17"/>
        <v>Do Not Print</v>
      </c>
      <c r="B139" s="245" t="s">
        <v>894</v>
      </c>
      <c r="C139" s="285" t="s">
        <v>101</v>
      </c>
      <c r="D139" s="245"/>
      <c r="E139" s="286" t="s">
        <v>709</v>
      </c>
      <c r="F139" s="288">
        <f t="shared" si="28"/>
        <v>0</v>
      </c>
      <c r="G139" s="279">
        <f t="shared" si="29"/>
        <v>0</v>
      </c>
      <c r="H139" s="198"/>
      <c r="I139" s="200"/>
      <c r="J139" s="165">
        <f t="shared" si="30"/>
        <v>0</v>
      </c>
      <c r="K139" s="165">
        <f t="shared" si="30"/>
        <v>0</v>
      </c>
      <c r="L139" s="165"/>
    </row>
    <row r="140" spans="1:12" ht="27.6" x14ac:dyDescent="0.3">
      <c r="A140" s="285" t="str">
        <f t="shared" si="17"/>
        <v>Do Not Print</v>
      </c>
      <c r="B140" s="245" t="s">
        <v>894</v>
      </c>
      <c r="C140" s="285" t="s">
        <v>1021</v>
      </c>
      <c r="D140" s="245"/>
      <c r="E140" s="286" t="s">
        <v>709</v>
      </c>
      <c r="F140" s="288">
        <f t="shared" si="28"/>
        <v>0</v>
      </c>
      <c r="G140" s="279">
        <f t="shared" si="29"/>
        <v>0</v>
      </c>
      <c r="H140" s="198"/>
      <c r="I140" s="200"/>
      <c r="J140" s="165">
        <f t="shared" si="30"/>
        <v>0</v>
      </c>
      <c r="K140" s="165">
        <f t="shared" si="30"/>
        <v>0</v>
      </c>
      <c r="L140" s="165"/>
    </row>
    <row r="141" spans="1:12" ht="27.6" x14ac:dyDescent="0.3">
      <c r="A141" s="285" t="str">
        <f t="shared" si="17"/>
        <v>Do Not Print</v>
      </c>
      <c r="B141" s="245" t="s">
        <v>894</v>
      </c>
      <c r="C141" s="285" t="s">
        <v>1022</v>
      </c>
      <c r="D141" s="245"/>
      <c r="E141" s="286" t="s">
        <v>709</v>
      </c>
      <c r="F141" s="288">
        <f t="shared" ref="F141:F146" si="31">-VLOOKUP($C141,CASS,8,0)</f>
        <v>0</v>
      </c>
      <c r="G141" s="279">
        <f t="shared" ref="G141:G146" si="32">-VLOOKUP($C141,CASS,14,0)</f>
        <v>0</v>
      </c>
      <c r="H141" s="198"/>
      <c r="I141" s="200"/>
      <c r="J141" s="165">
        <f t="shared" si="30"/>
        <v>0</v>
      </c>
      <c r="K141" s="165">
        <f t="shared" si="30"/>
        <v>0</v>
      </c>
      <c r="L141" s="165"/>
    </row>
    <row r="142" spans="1:12" ht="41.4" x14ac:dyDescent="0.3">
      <c r="A142" s="285" t="str">
        <f t="shared" si="17"/>
        <v>Do Not Print</v>
      </c>
      <c r="B142" s="245" t="s">
        <v>894</v>
      </c>
      <c r="C142" s="285" t="s">
        <v>111</v>
      </c>
      <c r="D142" s="245"/>
      <c r="E142" s="286" t="s">
        <v>709</v>
      </c>
      <c r="F142" s="288">
        <f t="shared" si="31"/>
        <v>0</v>
      </c>
      <c r="G142" s="279">
        <f t="shared" si="32"/>
        <v>0</v>
      </c>
      <c r="H142" s="198"/>
      <c r="I142" s="200"/>
      <c r="J142" s="165">
        <f t="shared" si="30"/>
        <v>0</v>
      </c>
      <c r="K142" s="165">
        <f>ROUND(G142,0)</f>
        <v>0</v>
      </c>
      <c r="L142" s="165"/>
    </row>
    <row r="143" spans="1:12" ht="27.6" x14ac:dyDescent="0.3">
      <c r="A143" s="285" t="str">
        <f t="shared" si="17"/>
        <v>Do Not Print</v>
      </c>
      <c r="B143" s="245" t="s">
        <v>894</v>
      </c>
      <c r="C143" s="285" t="s">
        <v>1023</v>
      </c>
      <c r="D143" s="245"/>
      <c r="E143" s="286" t="s">
        <v>709</v>
      </c>
      <c r="F143" s="288">
        <f t="shared" si="31"/>
        <v>0</v>
      </c>
      <c r="G143" s="279">
        <f t="shared" si="32"/>
        <v>0</v>
      </c>
      <c r="H143" s="198"/>
      <c r="I143" s="200"/>
      <c r="J143" s="165">
        <f t="shared" si="30"/>
        <v>0</v>
      </c>
      <c r="K143" s="165">
        <f t="shared" si="30"/>
        <v>0</v>
      </c>
      <c r="L143" s="165"/>
    </row>
    <row r="144" spans="1:12" ht="27.6" x14ac:dyDescent="0.3">
      <c r="A144" s="285" t="str">
        <f t="shared" si="17"/>
        <v>Do Not Print</v>
      </c>
      <c r="B144" s="245" t="s">
        <v>894</v>
      </c>
      <c r="C144" s="285" t="s">
        <v>1024</v>
      </c>
      <c r="D144" s="245"/>
      <c r="E144" s="286" t="s">
        <v>709</v>
      </c>
      <c r="F144" s="288">
        <f t="shared" si="31"/>
        <v>0</v>
      </c>
      <c r="G144" s="279">
        <f t="shared" si="32"/>
        <v>0</v>
      </c>
      <c r="H144" s="198"/>
      <c r="I144" s="200"/>
      <c r="J144" s="165">
        <f t="shared" si="30"/>
        <v>0</v>
      </c>
      <c r="K144" s="165">
        <f t="shared" si="30"/>
        <v>0</v>
      </c>
      <c r="L144" s="165"/>
    </row>
    <row r="145" spans="1:12" ht="27.6" x14ac:dyDescent="0.3">
      <c r="A145" s="285" t="str">
        <f t="shared" si="17"/>
        <v>Do Not Print</v>
      </c>
      <c r="B145" s="245" t="s">
        <v>894</v>
      </c>
      <c r="C145" s="285" t="s">
        <v>1025</v>
      </c>
      <c r="D145" s="245"/>
      <c r="E145" s="286" t="s">
        <v>709</v>
      </c>
      <c r="F145" s="288">
        <f t="shared" si="31"/>
        <v>0</v>
      </c>
      <c r="G145" s="279">
        <f t="shared" si="32"/>
        <v>0</v>
      </c>
      <c r="H145" s="198"/>
      <c r="I145" s="200"/>
      <c r="J145" s="165">
        <f t="shared" si="30"/>
        <v>0</v>
      </c>
      <c r="K145" s="165">
        <f t="shared" si="30"/>
        <v>0</v>
      </c>
      <c r="L145" s="165"/>
    </row>
    <row r="146" spans="1:12" ht="27.6" x14ac:dyDescent="0.3">
      <c r="A146" s="285" t="str">
        <f t="shared" ref="A146:A224" si="33">IF(AND(F146=0,G146=0),"Do Not Print","Print")</f>
        <v>Do Not Print</v>
      </c>
      <c r="B146" s="245" t="s">
        <v>894</v>
      </c>
      <c r="C146" s="285" t="s">
        <v>1026</v>
      </c>
      <c r="D146" s="245"/>
      <c r="E146" s="286" t="s">
        <v>709</v>
      </c>
      <c r="F146" s="288">
        <f t="shared" si="31"/>
        <v>0</v>
      </c>
      <c r="G146" s="279">
        <f t="shared" si="32"/>
        <v>0</v>
      </c>
      <c r="H146" s="198"/>
      <c r="I146" s="200"/>
      <c r="J146" s="165">
        <f t="shared" si="30"/>
        <v>0</v>
      </c>
      <c r="K146" s="165">
        <f t="shared" si="30"/>
        <v>0</v>
      </c>
      <c r="L146" s="165"/>
    </row>
    <row r="147" spans="1:12" ht="27.6" x14ac:dyDescent="0.3">
      <c r="A147" s="285" t="str">
        <f t="shared" si="33"/>
        <v>Do Not Print</v>
      </c>
      <c r="B147" s="245" t="s">
        <v>894</v>
      </c>
      <c r="C147" s="285" t="s">
        <v>1027</v>
      </c>
      <c r="D147" s="245"/>
      <c r="E147" s="286" t="s">
        <v>709</v>
      </c>
      <c r="F147" s="288">
        <f>VLOOKUP($C147,CASS,8,0)</f>
        <v>0</v>
      </c>
      <c r="G147" s="279">
        <f>VLOOKUP($C147,CASS,14,0)</f>
        <v>0</v>
      </c>
      <c r="H147" s="198"/>
      <c r="I147" s="200"/>
      <c r="J147" s="165">
        <f t="shared" si="30"/>
        <v>0</v>
      </c>
      <c r="K147" s="165">
        <f t="shared" si="30"/>
        <v>0</v>
      </c>
      <c r="L147" s="165"/>
    </row>
    <row r="148" spans="1:12" ht="27.6" x14ac:dyDescent="0.3">
      <c r="A148" s="285" t="str">
        <f t="shared" si="33"/>
        <v>Do Not Print</v>
      </c>
      <c r="B148" s="245" t="s">
        <v>894</v>
      </c>
      <c r="C148" s="285" t="s">
        <v>997</v>
      </c>
      <c r="D148" s="245"/>
      <c r="E148" s="286" t="s">
        <v>709</v>
      </c>
      <c r="F148" s="288">
        <f>VLOOKUP($C148,CASS,8,0)</f>
        <v>0</v>
      </c>
      <c r="G148" s="279">
        <f>VLOOKUP($C148,CASS,14,0)</f>
        <v>0</v>
      </c>
      <c r="H148" s="198"/>
      <c r="I148" s="200"/>
      <c r="J148" s="165">
        <f t="shared" si="30"/>
        <v>0</v>
      </c>
      <c r="K148" s="165">
        <f t="shared" si="30"/>
        <v>0</v>
      </c>
      <c r="L148" s="165"/>
    </row>
    <row r="149" spans="1:12" s="14" customFormat="1" ht="14.4" x14ac:dyDescent="0.3">
      <c r="A149" s="45" t="s">
        <v>448</v>
      </c>
      <c r="C149" s="45" t="s">
        <v>1635</v>
      </c>
      <c r="E149" s="258"/>
      <c r="F149" s="281">
        <f>SUM(F127:F137)-SUM(F138:F148)</f>
        <v>0</v>
      </c>
      <c r="G149" s="281">
        <f>SUM(G127:G137)-SUM(G138:G148)</f>
        <v>0</v>
      </c>
      <c r="H149" s="202"/>
      <c r="I149" s="197"/>
      <c r="J149" s="197">
        <f t="shared" si="30"/>
        <v>0</v>
      </c>
      <c r="K149" s="197">
        <f>ROUND(G149,0)</f>
        <v>0</v>
      </c>
      <c r="L149" s="197"/>
    </row>
    <row r="150" spans="1:12" x14ac:dyDescent="0.3">
      <c r="A150" s="39" t="s">
        <v>448</v>
      </c>
      <c r="F150" s="165"/>
      <c r="G150" s="165"/>
      <c r="H150" s="198"/>
      <c r="I150" s="200"/>
      <c r="J150" s="165"/>
      <c r="K150" s="165"/>
      <c r="L150" s="165"/>
    </row>
    <row r="151" spans="1:12" ht="27.6" x14ac:dyDescent="0.3">
      <c r="A151" s="289" t="str">
        <f t="shared" si="33"/>
        <v>Do Not Print</v>
      </c>
      <c r="B151" s="290" t="s">
        <v>895</v>
      </c>
      <c r="C151" s="289" t="s">
        <v>730</v>
      </c>
      <c r="D151" s="290"/>
      <c r="E151" s="291" t="s">
        <v>709</v>
      </c>
      <c r="F151" s="293">
        <f t="shared" ref="F151:F164" si="34">VLOOKUP($C151,WASS,8,0)</f>
        <v>0</v>
      </c>
      <c r="G151" s="283">
        <f t="shared" ref="G151:G164" si="35">VLOOKUP($C151,WASS,14,0)</f>
        <v>0</v>
      </c>
      <c r="H151" s="198"/>
      <c r="I151" s="200"/>
      <c r="J151" s="165">
        <f t="shared" ref="J151:K173" si="36">ROUND(F151,0)</f>
        <v>0</v>
      </c>
      <c r="K151" s="165">
        <f t="shared" si="36"/>
        <v>0</v>
      </c>
      <c r="L151" s="165"/>
    </row>
    <row r="152" spans="1:12" ht="27.6" x14ac:dyDescent="0.3">
      <c r="A152" s="289" t="str">
        <f t="shared" si="33"/>
        <v>Do Not Print</v>
      </c>
      <c r="B152" s="290" t="s">
        <v>895</v>
      </c>
      <c r="C152" s="289" t="s">
        <v>101</v>
      </c>
      <c r="D152" s="290"/>
      <c r="E152" s="291" t="s">
        <v>709</v>
      </c>
      <c r="F152" s="293">
        <f t="shared" si="34"/>
        <v>0</v>
      </c>
      <c r="G152" s="283">
        <f t="shared" si="35"/>
        <v>0</v>
      </c>
      <c r="H152" s="198"/>
      <c r="I152" s="200"/>
      <c r="J152" s="165">
        <f t="shared" si="36"/>
        <v>0</v>
      </c>
      <c r="K152" s="165">
        <f t="shared" si="36"/>
        <v>0</v>
      </c>
      <c r="L152" s="165"/>
    </row>
    <row r="153" spans="1:12" ht="27.6" x14ac:dyDescent="0.3">
      <c r="A153" s="289" t="str">
        <f t="shared" si="33"/>
        <v>Do Not Print</v>
      </c>
      <c r="B153" s="290" t="s">
        <v>895</v>
      </c>
      <c r="C153" s="289" t="s">
        <v>731</v>
      </c>
      <c r="D153" s="290"/>
      <c r="E153" s="291" t="s">
        <v>709</v>
      </c>
      <c r="F153" s="293">
        <f t="shared" si="34"/>
        <v>0</v>
      </c>
      <c r="G153" s="283">
        <f t="shared" si="35"/>
        <v>0</v>
      </c>
      <c r="H153" s="198"/>
      <c r="I153" s="200"/>
      <c r="J153" s="165">
        <f t="shared" si="36"/>
        <v>0</v>
      </c>
      <c r="K153" s="165">
        <f t="shared" si="36"/>
        <v>0</v>
      </c>
      <c r="L153" s="165"/>
    </row>
    <row r="154" spans="1:12" ht="27.6" x14ac:dyDescent="0.3">
      <c r="A154" s="289" t="str">
        <f t="shared" si="33"/>
        <v>Do Not Print</v>
      </c>
      <c r="B154" s="290" t="s">
        <v>895</v>
      </c>
      <c r="C154" s="289" t="s">
        <v>1028</v>
      </c>
      <c r="D154" s="290"/>
      <c r="E154" s="291" t="s">
        <v>709</v>
      </c>
      <c r="F154" s="293">
        <f t="shared" si="34"/>
        <v>0</v>
      </c>
      <c r="G154" s="283">
        <f t="shared" si="35"/>
        <v>0</v>
      </c>
      <c r="H154" s="198"/>
      <c r="I154" s="200"/>
      <c r="J154" s="165">
        <f t="shared" si="36"/>
        <v>0</v>
      </c>
      <c r="K154" s="165">
        <f t="shared" si="36"/>
        <v>0</v>
      </c>
      <c r="L154" s="165"/>
    </row>
    <row r="155" spans="1:12" ht="27.6" x14ac:dyDescent="0.3">
      <c r="A155" s="289" t="str">
        <f t="shared" si="33"/>
        <v>Do Not Print</v>
      </c>
      <c r="B155" s="290" t="s">
        <v>895</v>
      </c>
      <c r="C155" s="292" t="s">
        <v>1029</v>
      </c>
      <c r="D155" s="290"/>
      <c r="E155" s="291" t="s">
        <v>709</v>
      </c>
      <c r="F155" s="293">
        <f t="shared" si="34"/>
        <v>0</v>
      </c>
      <c r="G155" s="283">
        <f t="shared" si="35"/>
        <v>0</v>
      </c>
      <c r="H155" s="198"/>
      <c r="I155" s="200"/>
      <c r="J155" s="165">
        <f t="shared" si="36"/>
        <v>0</v>
      </c>
      <c r="K155" s="165">
        <f t="shared" si="36"/>
        <v>0</v>
      </c>
      <c r="L155" s="165"/>
    </row>
    <row r="156" spans="1:12" ht="41.4" x14ac:dyDescent="0.3">
      <c r="A156" s="289" t="str">
        <f t="shared" si="33"/>
        <v>Do Not Print</v>
      </c>
      <c r="B156" s="290" t="s">
        <v>895</v>
      </c>
      <c r="C156" s="292" t="s">
        <v>1030</v>
      </c>
      <c r="D156" s="290"/>
      <c r="E156" s="291" t="s">
        <v>709</v>
      </c>
      <c r="F156" s="293">
        <f t="shared" si="34"/>
        <v>0</v>
      </c>
      <c r="G156" s="283">
        <f t="shared" si="35"/>
        <v>0</v>
      </c>
      <c r="H156" s="198"/>
      <c r="I156" s="200"/>
      <c r="J156" s="165">
        <f t="shared" si="36"/>
        <v>0</v>
      </c>
      <c r="K156" s="165">
        <f t="shared" si="36"/>
        <v>0</v>
      </c>
      <c r="L156" s="165"/>
    </row>
    <row r="157" spans="1:12" ht="27.6" x14ac:dyDescent="0.3">
      <c r="A157" s="289" t="str">
        <f t="shared" si="33"/>
        <v>Do Not Print</v>
      </c>
      <c r="B157" s="290" t="s">
        <v>895</v>
      </c>
      <c r="C157" s="289" t="s">
        <v>732</v>
      </c>
      <c r="D157" s="290"/>
      <c r="E157" s="291" t="s">
        <v>709</v>
      </c>
      <c r="F157" s="293">
        <f t="shared" si="34"/>
        <v>0</v>
      </c>
      <c r="G157" s="283">
        <f t="shared" si="35"/>
        <v>0</v>
      </c>
      <c r="H157" s="198"/>
      <c r="I157" s="200"/>
      <c r="J157" s="165">
        <f t="shared" si="36"/>
        <v>0</v>
      </c>
      <c r="K157" s="165">
        <f t="shared" si="36"/>
        <v>0</v>
      </c>
      <c r="L157" s="165"/>
    </row>
    <row r="158" spans="1:12" ht="27.6" x14ac:dyDescent="0.3">
      <c r="A158" s="289" t="str">
        <f t="shared" si="33"/>
        <v>Do Not Print</v>
      </c>
      <c r="B158" s="290" t="s">
        <v>895</v>
      </c>
      <c r="C158" s="292" t="s">
        <v>1031</v>
      </c>
      <c r="D158" s="290"/>
      <c r="E158" s="291" t="s">
        <v>709</v>
      </c>
      <c r="F158" s="293">
        <f t="shared" si="34"/>
        <v>0</v>
      </c>
      <c r="G158" s="283">
        <f t="shared" si="35"/>
        <v>0</v>
      </c>
      <c r="H158" s="198"/>
      <c r="I158" s="200"/>
      <c r="J158" s="165">
        <f t="shared" si="36"/>
        <v>0</v>
      </c>
      <c r="K158" s="165">
        <f t="shared" si="36"/>
        <v>0</v>
      </c>
      <c r="L158" s="165"/>
    </row>
    <row r="159" spans="1:12" ht="27.6" x14ac:dyDescent="0.3">
      <c r="A159" s="289" t="str">
        <f t="shared" si="33"/>
        <v>Do Not Print</v>
      </c>
      <c r="B159" s="290" t="s">
        <v>895</v>
      </c>
      <c r="C159" s="289" t="s">
        <v>733</v>
      </c>
      <c r="D159" s="290"/>
      <c r="E159" s="291" t="s">
        <v>709</v>
      </c>
      <c r="F159" s="293">
        <f t="shared" si="34"/>
        <v>0</v>
      </c>
      <c r="G159" s="283">
        <f t="shared" si="35"/>
        <v>0</v>
      </c>
      <c r="H159" s="198"/>
      <c r="I159" s="200"/>
      <c r="J159" s="165">
        <f t="shared" si="36"/>
        <v>0</v>
      </c>
      <c r="K159" s="165">
        <f t="shared" si="36"/>
        <v>0</v>
      </c>
      <c r="L159" s="165"/>
    </row>
    <row r="160" spans="1:12" ht="27.6" x14ac:dyDescent="0.3">
      <c r="A160" s="289" t="str">
        <f t="shared" si="33"/>
        <v>Do Not Print</v>
      </c>
      <c r="B160" s="290" t="s">
        <v>895</v>
      </c>
      <c r="C160" s="289" t="s">
        <v>734</v>
      </c>
      <c r="D160" s="290"/>
      <c r="E160" s="291" t="s">
        <v>709</v>
      </c>
      <c r="F160" s="293">
        <f t="shared" si="34"/>
        <v>0</v>
      </c>
      <c r="G160" s="283">
        <f t="shared" si="35"/>
        <v>0</v>
      </c>
      <c r="H160" s="198"/>
      <c r="I160" s="200"/>
      <c r="J160" s="165">
        <f t="shared" si="36"/>
        <v>0</v>
      </c>
      <c r="K160" s="165">
        <f t="shared" si="36"/>
        <v>0</v>
      </c>
      <c r="L160" s="165"/>
    </row>
    <row r="161" spans="1:12" ht="27.6" x14ac:dyDescent="0.3">
      <c r="A161" s="289" t="str">
        <f t="shared" si="33"/>
        <v>Do Not Print</v>
      </c>
      <c r="B161" s="290" t="s">
        <v>895</v>
      </c>
      <c r="C161" s="289" t="s">
        <v>994</v>
      </c>
      <c r="D161" s="290"/>
      <c r="E161" s="291" t="s">
        <v>709</v>
      </c>
      <c r="F161" s="293">
        <f t="shared" si="34"/>
        <v>0</v>
      </c>
      <c r="G161" s="283">
        <f t="shared" si="35"/>
        <v>0</v>
      </c>
      <c r="H161" s="198"/>
      <c r="I161" s="200"/>
      <c r="J161" s="165">
        <f t="shared" si="36"/>
        <v>0</v>
      </c>
      <c r="K161" s="165">
        <f t="shared" si="36"/>
        <v>0</v>
      </c>
      <c r="L161" s="165"/>
    </row>
    <row r="162" spans="1:12" ht="27.6" x14ac:dyDescent="0.3">
      <c r="A162" s="289" t="str">
        <f t="shared" si="33"/>
        <v>Do Not Print</v>
      </c>
      <c r="B162" s="290" t="s">
        <v>895</v>
      </c>
      <c r="C162" s="289" t="s">
        <v>1032</v>
      </c>
      <c r="D162" s="290"/>
      <c r="E162" s="291" t="s">
        <v>709</v>
      </c>
      <c r="F162" s="293">
        <f t="shared" si="34"/>
        <v>0</v>
      </c>
      <c r="G162" s="283">
        <f t="shared" si="35"/>
        <v>0</v>
      </c>
      <c r="H162" s="198"/>
      <c r="I162" s="200"/>
      <c r="J162" s="165">
        <f t="shared" si="36"/>
        <v>0</v>
      </c>
      <c r="K162" s="165">
        <f t="shared" si="36"/>
        <v>0</v>
      </c>
      <c r="L162" s="165"/>
    </row>
    <row r="163" spans="1:12" ht="27.6" x14ac:dyDescent="0.3">
      <c r="A163" s="289" t="str">
        <f t="shared" si="33"/>
        <v>Do Not Print</v>
      </c>
      <c r="B163" s="290" t="s">
        <v>895</v>
      </c>
      <c r="C163" s="289" t="s">
        <v>101</v>
      </c>
      <c r="D163" s="290"/>
      <c r="E163" s="291" t="s">
        <v>709</v>
      </c>
      <c r="F163" s="293">
        <f t="shared" si="34"/>
        <v>0</v>
      </c>
      <c r="G163" s="283">
        <f t="shared" si="35"/>
        <v>0</v>
      </c>
      <c r="H163" s="198"/>
      <c r="I163" s="200"/>
      <c r="J163" s="165">
        <f t="shared" si="36"/>
        <v>0</v>
      </c>
      <c r="K163" s="165">
        <f t="shared" si="36"/>
        <v>0</v>
      </c>
      <c r="L163" s="165"/>
    </row>
    <row r="164" spans="1:12" ht="27.6" x14ac:dyDescent="0.3">
      <c r="A164" s="289" t="str">
        <f t="shared" si="33"/>
        <v>Do Not Print</v>
      </c>
      <c r="B164" s="290" t="s">
        <v>895</v>
      </c>
      <c r="C164" s="289" t="s">
        <v>1033</v>
      </c>
      <c r="D164" s="290"/>
      <c r="E164" s="291" t="s">
        <v>709</v>
      </c>
      <c r="F164" s="293">
        <f t="shared" si="34"/>
        <v>0</v>
      </c>
      <c r="G164" s="283">
        <f t="shared" si="35"/>
        <v>0</v>
      </c>
      <c r="H164" s="198"/>
      <c r="I164" s="200"/>
      <c r="J164" s="165">
        <f t="shared" si="36"/>
        <v>0</v>
      </c>
      <c r="K164" s="165">
        <f t="shared" si="36"/>
        <v>0</v>
      </c>
      <c r="L164" s="165"/>
    </row>
    <row r="165" spans="1:12" ht="27.6" x14ac:dyDescent="0.3">
      <c r="A165" s="289" t="str">
        <f t="shared" si="33"/>
        <v>Do Not Print</v>
      </c>
      <c r="B165" s="290" t="s">
        <v>895</v>
      </c>
      <c r="C165" s="289" t="s">
        <v>1034</v>
      </c>
      <c r="D165" s="290"/>
      <c r="E165" s="291" t="s">
        <v>709</v>
      </c>
      <c r="F165" s="293">
        <f t="shared" ref="F165:F170" si="37">-VLOOKUP($C165,WASS,8,0)</f>
        <v>0</v>
      </c>
      <c r="G165" s="283">
        <f t="shared" ref="G165:G170" si="38">-VLOOKUP($C165,WASS,14,0)</f>
        <v>0</v>
      </c>
      <c r="H165" s="198"/>
      <c r="I165" s="200"/>
      <c r="J165" s="165">
        <f t="shared" si="36"/>
        <v>0</v>
      </c>
      <c r="K165" s="165">
        <f t="shared" si="36"/>
        <v>0</v>
      </c>
      <c r="L165" s="165"/>
    </row>
    <row r="166" spans="1:12" ht="41.4" x14ac:dyDescent="0.3">
      <c r="A166" s="289" t="str">
        <f t="shared" si="33"/>
        <v>Do Not Print</v>
      </c>
      <c r="B166" s="290" t="s">
        <v>895</v>
      </c>
      <c r="C166" s="289" t="s">
        <v>111</v>
      </c>
      <c r="D166" s="290"/>
      <c r="E166" s="291" t="s">
        <v>709</v>
      </c>
      <c r="F166" s="293">
        <f t="shared" si="37"/>
        <v>0</v>
      </c>
      <c r="G166" s="283">
        <f t="shared" si="38"/>
        <v>0</v>
      </c>
      <c r="H166" s="198"/>
      <c r="I166" s="200"/>
      <c r="J166" s="165">
        <f t="shared" si="36"/>
        <v>0</v>
      </c>
      <c r="K166" s="165">
        <f>ROUND(G166,0)</f>
        <v>0</v>
      </c>
      <c r="L166" s="165"/>
    </row>
    <row r="167" spans="1:12" ht="27.6" x14ac:dyDescent="0.3">
      <c r="A167" s="289" t="str">
        <f t="shared" si="33"/>
        <v>Do Not Print</v>
      </c>
      <c r="B167" s="290" t="s">
        <v>895</v>
      </c>
      <c r="C167" s="289" t="s">
        <v>1035</v>
      </c>
      <c r="D167" s="290"/>
      <c r="E167" s="291" t="s">
        <v>709</v>
      </c>
      <c r="F167" s="293">
        <f t="shared" si="37"/>
        <v>0</v>
      </c>
      <c r="G167" s="283">
        <f t="shared" si="38"/>
        <v>0</v>
      </c>
      <c r="H167" s="198"/>
      <c r="I167" s="200"/>
      <c r="J167" s="165">
        <f t="shared" si="36"/>
        <v>0</v>
      </c>
      <c r="K167" s="165">
        <f t="shared" si="36"/>
        <v>0</v>
      </c>
      <c r="L167" s="165"/>
    </row>
    <row r="168" spans="1:12" ht="27.6" x14ac:dyDescent="0.3">
      <c r="A168" s="289" t="str">
        <f t="shared" si="33"/>
        <v>Do Not Print</v>
      </c>
      <c r="B168" s="290" t="s">
        <v>895</v>
      </c>
      <c r="C168" s="289" t="s">
        <v>1036</v>
      </c>
      <c r="D168" s="290"/>
      <c r="E168" s="291" t="s">
        <v>709</v>
      </c>
      <c r="F168" s="293">
        <f t="shared" si="37"/>
        <v>0</v>
      </c>
      <c r="G168" s="283">
        <f t="shared" si="38"/>
        <v>0</v>
      </c>
      <c r="H168" s="198"/>
      <c r="I168" s="200"/>
      <c r="J168" s="165">
        <f t="shared" si="36"/>
        <v>0</v>
      </c>
      <c r="K168" s="165">
        <f t="shared" si="36"/>
        <v>0</v>
      </c>
      <c r="L168" s="165"/>
    </row>
    <row r="169" spans="1:12" ht="27.6" x14ac:dyDescent="0.3">
      <c r="A169" s="289" t="str">
        <f t="shared" si="33"/>
        <v>Do Not Print</v>
      </c>
      <c r="B169" s="290" t="s">
        <v>895</v>
      </c>
      <c r="C169" s="289" t="s">
        <v>1037</v>
      </c>
      <c r="D169" s="290"/>
      <c r="E169" s="291" t="s">
        <v>709</v>
      </c>
      <c r="F169" s="293">
        <f t="shared" si="37"/>
        <v>0</v>
      </c>
      <c r="G169" s="283">
        <f t="shared" si="38"/>
        <v>0</v>
      </c>
      <c r="H169" s="198"/>
      <c r="I169" s="200"/>
      <c r="J169" s="165">
        <f t="shared" si="36"/>
        <v>0</v>
      </c>
      <c r="K169" s="165">
        <f t="shared" si="36"/>
        <v>0</v>
      </c>
      <c r="L169" s="165"/>
    </row>
    <row r="170" spans="1:12" ht="27.6" x14ac:dyDescent="0.3">
      <c r="A170" s="289" t="str">
        <f t="shared" si="33"/>
        <v>Do Not Print</v>
      </c>
      <c r="B170" s="290" t="s">
        <v>895</v>
      </c>
      <c r="C170" s="289" t="s">
        <v>1038</v>
      </c>
      <c r="D170" s="290"/>
      <c r="E170" s="291" t="s">
        <v>709</v>
      </c>
      <c r="F170" s="293">
        <f t="shared" si="37"/>
        <v>0</v>
      </c>
      <c r="G170" s="283">
        <f t="shared" si="38"/>
        <v>0</v>
      </c>
      <c r="H170" s="198"/>
      <c r="I170" s="200"/>
      <c r="J170" s="165">
        <f t="shared" si="36"/>
        <v>0</v>
      </c>
      <c r="K170" s="165">
        <f t="shared" si="36"/>
        <v>0</v>
      </c>
      <c r="L170" s="165"/>
    </row>
    <row r="171" spans="1:12" ht="27.6" x14ac:dyDescent="0.3">
      <c r="A171" s="289" t="str">
        <f t="shared" si="33"/>
        <v>Do Not Print</v>
      </c>
      <c r="B171" s="290" t="s">
        <v>895</v>
      </c>
      <c r="C171" s="289" t="s">
        <v>1039</v>
      </c>
      <c r="D171" s="290"/>
      <c r="E171" s="291" t="s">
        <v>709</v>
      </c>
      <c r="F171" s="293">
        <f>VLOOKUP($C171,WASS,8,0)</f>
        <v>0</v>
      </c>
      <c r="G171" s="283">
        <f>VLOOKUP($C171,WASS,14,0)</f>
        <v>0</v>
      </c>
      <c r="H171" s="198"/>
      <c r="I171" s="200"/>
      <c r="J171" s="165">
        <f t="shared" si="36"/>
        <v>0</v>
      </c>
      <c r="K171" s="165">
        <f t="shared" si="36"/>
        <v>0</v>
      </c>
      <c r="L171" s="165"/>
    </row>
    <row r="172" spans="1:12" ht="27.6" x14ac:dyDescent="0.3">
      <c r="A172" s="289" t="str">
        <f t="shared" si="33"/>
        <v>Do Not Print</v>
      </c>
      <c r="B172" s="290" t="s">
        <v>895</v>
      </c>
      <c r="C172" s="289" t="s">
        <v>997</v>
      </c>
      <c r="D172" s="290"/>
      <c r="E172" s="291" t="s">
        <v>709</v>
      </c>
      <c r="F172" s="293">
        <f>VLOOKUP($C172,WASS,8,0)</f>
        <v>0</v>
      </c>
      <c r="G172" s="283">
        <f>VLOOKUP($C172,WASS,14,0)</f>
        <v>0</v>
      </c>
      <c r="H172" s="198"/>
      <c r="I172" s="200"/>
      <c r="J172" s="165">
        <f t="shared" si="36"/>
        <v>0</v>
      </c>
      <c r="K172" s="165">
        <f t="shared" si="36"/>
        <v>0</v>
      </c>
      <c r="L172" s="165"/>
    </row>
    <row r="173" spans="1:12" s="14" customFormat="1" ht="14.4" x14ac:dyDescent="0.3">
      <c r="A173" s="45" t="s">
        <v>448</v>
      </c>
      <c r="C173" s="45" t="s">
        <v>1636</v>
      </c>
      <c r="E173" s="258"/>
      <c r="F173" s="295">
        <f>SUM(F151:F161)-SUM(F162:F172)</f>
        <v>0</v>
      </c>
      <c r="G173" s="295">
        <f>SUM(G151:G161)-SUM(G162:G172)</f>
        <v>0</v>
      </c>
      <c r="H173" s="202"/>
      <c r="I173" s="197"/>
      <c r="J173" s="197">
        <f t="shared" si="36"/>
        <v>0</v>
      </c>
      <c r="K173" s="197">
        <f>ROUND(G173,0)</f>
        <v>0</v>
      </c>
      <c r="L173" s="197"/>
    </row>
    <row r="174" spans="1:12" x14ac:dyDescent="0.3">
      <c r="A174" s="39" t="s">
        <v>448</v>
      </c>
      <c r="F174" s="165"/>
      <c r="G174" s="165"/>
      <c r="H174" s="198"/>
      <c r="I174" s="200"/>
      <c r="J174" s="165"/>
      <c r="K174" s="165"/>
      <c r="L174" s="165"/>
    </row>
    <row r="175" spans="1:12" ht="27.6" x14ac:dyDescent="0.3">
      <c r="A175" s="296" t="str">
        <f t="shared" si="33"/>
        <v>Do Not Print</v>
      </c>
      <c r="B175" s="297" t="s">
        <v>900</v>
      </c>
      <c r="C175" s="296" t="s">
        <v>735</v>
      </c>
      <c r="D175" s="297"/>
      <c r="E175" s="298" t="s">
        <v>709</v>
      </c>
      <c r="F175" s="301">
        <f t="shared" ref="F175:F188" si="39">VLOOKUP($C175,EASS,8,0)</f>
        <v>0</v>
      </c>
      <c r="G175" s="300">
        <f t="shared" ref="G175:G188" si="40">VLOOKUP($C175,EASS,14,0)</f>
        <v>0</v>
      </c>
      <c r="H175" s="198"/>
      <c r="I175" s="200"/>
      <c r="J175" s="165">
        <f>ROUND(F175,0)</f>
        <v>0</v>
      </c>
      <c r="K175" s="165">
        <f t="shared" ref="K175:K235" si="41">ROUND(G175,0)</f>
        <v>0</v>
      </c>
      <c r="L175" s="165"/>
    </row>
    <row r="176" spans="1:12" ht="27.6" x14ac:dyDescent="0.3">
      <c r="A176" s="296" t="str">
        <f t="shared" si="33"/>
        <v>Do Not Print</v>
      </c>
      <c r="B176" s="297" t="s">
        <v>900</v>
      </c>
      <c r="C176" s="296" t="s">
        <v>101</v>
      </c>
      <c r="D176" s="297"/>
      <c r="E176" s="298" t="s">
        <v>709</v>
      </c>
      <c r="F176" s="301">
        <f t="shared" si="39"/>
        <v>0</v>
      </c>
      <c r="G176" s="300">
        <f t="shared" si="40"/>
        <v>0</v>
      </c>
      <c r="H176" s="198"/>
      <c r="I176" s="200"/>
      <c r="J176" s="165">
        <f>ROUND(F176,0)</f>
        <v>0</v>
      </c>
      <c r="K176" s="165">
        <f t="shared" si="41"/>
        <v>0</v>
      </c>
      <c r="L176" s="165"/>
    </row>
    <row r="177" spans="1:12" ht="27.6" x14ac:dyDescent="0.3">
      <c r="A177" s="296" t="str">
        <f t="shared" si="33"/>
        <v>Do Not Print</v>
      </c>
      <c r="B177" s="297" t="s">
        <v>900</v>
      </c>
      <c r="C177" s="299" t="s">
        <v>1040</v>
      </c>
      <c r="D177" s="297"/>
      <c r="E177" s="298" t="s">
        <v>709</v>
      </c>
      <c r="F177" s="301">
        <f t="shared" si="39"/>
        <v>0</v>
      </c>
      <c r="G177" s="300">
        <f t="shared" si="40"/>
        <v>0</v>
      </c>
      <c r="H177" s="198"/>
      <c r="I177" s="200"/>
      <c r="J177" s="165">
        <f>ROUND(F177,0)</f>
        <v>0</v>
      </c>
      <c r="K177" s="165">
        <f t="shared" si="41"/>
        <v>0</v>
      </c>
      <c r="L177" s="165"/>
    </row>
    <row r="178" spans="1:12" ht="27.6" x14ac:dyDescent="0.3">
      <c r="A178" s="296" t="str">
        <f t="shared" si="33"/>
        <v>Do Not Print</v>
      </c>
      <c r="B178" s="297" t="s">
        <v>900</v>
      </c>
      <c r="C178" s="296" t="s">
        <v>1095</v>
      </c>
      <c r="D178" s="297"/>
      <c r="E178" s="298" t="s">
        <v>709</v>
      </c>
      <c r="F178" s="301">
        <f t="shared" si="39"/>
        <v>0</v>
      </c>
      <c r="G178" s="300">
        <f t="shared" si="40"/>
        <v>0</v>
      </c>
      <c r="H178" s="198"/>
      <c r="I178" s="200"/>
      <c r="J178" s="165">
        <f t="shared" ref="J178:K193" si="42">ROUND(F178,0)</f>
        <v>0</v>
      </c>
      <c r="K178" s="165">
        <f t="shared" si="42"/>
        <v>0</v>
      </c>
      <c r="L178" s="165"/>
    </row>
    <row r="179" spans="1:12" ht="27.6" x14ac:dyDescent="0.3">
      <c r="A179" s="296" t="str">
        <f t="shared" si="33"/>
        <v>Do Not Print</v>
      </c>
      <c r="B179" s="297" t="s">
        <v>900</v>
      </c>
      <c r="C179" s="296" t="s">
        <v>736</v>
      </c>
      <c r="D179" s="297"/>
      <c r="E179" s="298" t="s">
        <v>709</v>
      </c>
      <c r="F179" s="301">
        <f t="shared" si="39"/>
        <v>0</v>
      </c>
      <c r="G179" s="300">
        <f t="shared" si="40"/>
        <v>0</v>
      </c>
      <c r="H179" s="198"/>
      <c r="I179" s="200"/>
      <c r="J179" s="165">
        <f t="shared" si="42"/>
        <v>0</v>
      </c>
      <c r="K179" s="165">
        <f t="shared" si="42"/>
        <v>0</v>
      </c>
      <c r="L179" s="165"/>
    </row>
    <row r="180" spans="1:12" ht="41.4" x14ac:dyDescent="0.3">
      <c r="A180" s="296" t="str">
        <f t="shared" si="33"/>
        <v>Do Not Print</v>
      </c>
      <c r="B180" s="297" t="s">
        <v>900</v>
      </c>
      <c r="C180" s="296" t="s">
        <v>1099</v>
      </c>
      <c r="D180" s="297"/>
      <c r="E180" s="298" t="s">
        <v>709</v>
      </c>
      <c r="F180" s="301">
        <f t="shared" si="39"/>
        <v>0</v>
      </c>
      <c r="G180" s="300">
        <f t="shared" si="40"/>
        <v>0</v>
      </c>
      <c r="H180" s="198"/>
      <c r="I180" s="200"/>
      <c r="J180" s="165">
        <f t="shared" si="42"/>
        <v>0</v>
      </c>
      <c r="K180" s="165">
        <f t="shared" si="42"/>
        <v>0</v>
      </c>
      <c r="L180" s="165"/>
    </row>
    <row r="181" spans="1:12" ht="27.6" x14ac:dyDescent="0.3">
      <c r="A181" s="296" t="str">
        <f t="shared" si="33"/>
        <v>Do Not Print</v>
      </c>
      <c r="B181" s="297" t="s">
        <v>900</v>
      </c>
      <c r="C181" s="296" t="s">
        <v>737</v>
      </c>
      <c r="D181" s="297"/>
      <c r="E181" s="298" t="s">
        <v>709</v>
      </c>
      <c r="F181" s="301">
        <f t="shared" si="39"/>
        <v>0</v>
      </c>
      <c r="G181" s="300">
        <f t="shared" si="40"/>
        <v>0</v>
      </c>
      <c r="H181" s="198"/>
      <c r="I181" s="200"/>
      <c r="J181" s="165">
        <f t="shared" si="42"/>
        <v>0</v>
      </c>
      <c r="K181" s="165">
        <f t="shared" si="41"/>
        <v>0</v>
      </c>
      <c r="L181" s="165"/>
    </row>
    <row r="182" spans="1:12" ht="27.6" x14ac:dyDescent="0.3">
      <c r="A182" s="296" t="str">
        <f t="shared" si="33"/>
        <v>Do Not Print</v>
      </c>
      <c r="B182" s="297" t="s">
        <v>900</v>
      </c>
      <c r="C182" s="296" t="s">
        <v>738</v>
      </c>
      <c r="D182" s="297"/>
      <c r="E182" s="298" t="s">
        <v>709</v>
      </c>
      <c r="F182" s="301">
        <f t="shared" si="39"/>
        <v>0</v>
      </c>
      <c r="G182" s="300">
        <f t="shared" si="40"/>
        <v>0</v>
      </c>
      <c r="H182" s="198"/>
      <c r="I182" s="200"/>
      <c r="J182" s="165">
        <f t="shared" si="42"/>
        <v>0</v>
      </c>
      <c r="K182" s="165">
        <f t="shared" si="41"/>
        <v>0</v>
      </c>
      <c r="L182" s="165"/>
    </row>
    <row r="183" spans="1:12" ht="27.6" x14ac:dyDescent="0.3">
      <c r="A183" s="296" t="str">
        <f t="shared" si="33"/>
        <v>Do Not Print</v>
      </c>
      <c r="B183" s="297" t="s">
        <v>900</v>
      </c>
      <c r="C183" s="296" t="s">
        <v>739</v>
      </c>
      <c r="D183" s="297"/>
      <c r="E183" s="298" t="s">
        <v>709</v>
      </c>
      <c r="F183" s="301">
        <f t="shared" si="39"/>
        <v>0</v>
      </c>
      <c r="G183" s="300">
        <f t="shared" si="40"/>
        <v>0</v>
      </c>
      <c r="H183" s="198"/>
      <c r="I183" s="200"/>
      <c r="J183" s="165">
        <f t="shared" si="42"/>
        <v>0</v>
      </c>
      <c r="K183" s="165">
        <f t="shared" si="41"/>
        <v>0</v>
      </c>
      <c r="L183" s="165"/>
    </row>
    <row r="184" spans="1:12" ht="27.6" x14ac:dyDescent="0.3">
      <c r="A184" s="296" t="str">
        <f t="shared" si="33"/>
        <v>Do Not Print</v>
      </c>
      <c r="B184" s="297" t="s">
        <v>900</v>
      </c>
      <c r="C184" s="296" t="s">
        <v>740</v>
      </c>
      <c r="D184" s="297"/>
      <c r="E184" s="298" t="s">
        <v>709</v>
      </c>
      <c r="F184" s="301">
        <f t="shared" si="39"/>
        <v>0</v>
      </c>
      <c r="G184" s="300">
        <f t="shared" si="40"/>
        <v>0</v>
      </c>
      <c r="H184" s="198"/>
      <c r="I184" s="200"/>
      <c r="J184" s="165">
        <f t="shared" si="42"/>
        <v>0</v>
      </c>
      <c r="K184" s="165">
        <f t="shared" si="41"/>
        <v>0</v>
      </c>
      <c r="L184" s="165"/>
    </row>
    <row r="185" spans="1:12" ht="27.6" x14ac:dyDescent="0.3">
      <c r="A185" s="296" t="str">
        <f t="shared" si="33"/>
        <v>Do Not Print</v>
      </c>
      <c r="B185" s="297" t="s">
        <v>900</v>
      </c>
      <c r="C185" s="296" t="s">
        <v>994</v>
      </c>
      <c r="D185" s="297"/>
      <c r="E185" s="298" t="s">
        <v>709</v>
      </c>
      <c r="F185" s="301">
        <f t="shared" si="39"/>
        <v>0</v>
      </c>
      <c r="G185" s="300">
        <f t="shared" si="40"/>
        <v>0</v>
      </c>
      <c r="H185" s="198"/>
      <c r="I185" s="200"/>
      <c r="J185" s="165">
        <f t="shared" si="42"/>
        <v>0</v>
      </c>
      <c r="K185" s="165">
        <f t="shared" si="41"/>
        <v>0</v>
      </c>
      <c r="L185" s="165"/>
    </row>
    <row r="186" spans="1:12" ht="27.6" x14ac:dyDescent="0.3">
      <c r="A186" s="296" t="str">
        <f t="shared" si="33"/>
        <v>Do Not Print</v>
      </c>
      <c r="B186" s="297" t="s">
        <v>900</v>
      </c>
      <c r="C186" s="299" t="s">
        <v>1041</v>
      </c>
      <c r="D186" s="297"/>
      <c r="E186" s="298" t="s">
        <v>709</v>
      </c>
      <c r="F186" s="301">
        <f t="shared" si="39"/>
        <v>0</v>
      </c>
      <c r="G186" s="300">
        <f t="shared" si="40"/>
        <v>0</v>
      </c>
      <c r="H186" s="198"/>
      <c r="I186" s="200"/>
      <c r="J186" s="165">
        <f t="shared" si="42"/>
        <v>0</v>
      </c>
      <c r="K186" s="165">
        <f t="shared" si="41"/>
        <v>0</v>
      </c>
      <c r="L186" s="165"/>
    </row>
    <row r="187" spans="1:12" ht="27.6" x14ac:dyDescent="0.3">
      <c r="A187" s="296" t="str">
        <f t="shared" si="33"/>
        <v>Do Not Print</v>
      </c>
      <c r="B187" s="297" t="s">
        <v>900</v>
      </c>
      <c r="C187" s="296" t="s">
        <v>101</v>
      </c>
      <c r="D187" s="297"/>
      <c r="E187" s="298" t="s">
        <v>709</v>
      </c>
      <c r="F187" s="301">
        <f t="shared" si="39"/>
        <v>0</v>
      </c>
      <c r="G187" s="300">
        <f t="shared" si="40"/>
        <v>0</v>
      </c>
      <c r="H187" s="198"/>
      <c r="I187" s="200"/>
      <c r="J187" s="165">
        <f t="shared" si="42"/>
        <v>0</v>
      </c>
      <c r="K187" s="165">
        <f t="shared" si="41"/>
        <v>0</v>
      </c>
      <c r="L187" s="165"/>
    </row>
    <row r="188" spans="1:12" ht="27.6" x14ac:dyDescent="0.3">
      <c r="A188" s="296" t="str">
        <f t="shared" si="33"/>
        <v>Do Not Print</v>
      </c>
      <c r="B188" s="297" t="s">
        <v>900</v>
      </c>
      <c r="C188" s="299" t="s">
        <v>1042</v>
      </c>
      <c r="D188" s="297"/>
      <c r="E188" s="298" t="s">
        <v>709</v>
      </c>
      <c r="F188" s="301">
        <f t="shared" si="39"/>
        <v>0</v>
      </c>
      <c r="G188" s="300">
        <f t="shared" si="40"/>
        <v>0</v>
      </c>
      <c r="H188" s="198"/>
      <c r="I188" s="200"/>
      <c r="J188" s="165">
        <f t="shared" si="42"/>
        <v>0</v>
      </c>
      <c r="K188" s="165">
        <f t="shared" si="41"/>
        <v>0</v>
      </c>
      <c r="L188" s="165"/>
    </row>
    <row r="189" spans="1:12" ht="27.6" x14ac:dyDescent="0.3">
      <c r="A189" s="296" t="str">
        <f t="shared" si="33"/>
        <v>Do Not Print</v>
      </c>
      <c r="B189" s="297" t="s">
        <v>900</v>
      </c>
      <c r="C189" s="299" t="s">
        <v>1043</v>
      </c>
      <c r="D189" s="297"/>
      <c r="E189" s="298" t="s">
        <v>709</v>
      </c>
      <c r="F189" s="301">
        <f t="shared" ref="F189:F194" si="43">-VLOOKUP($C189,EASS,8,0)</f>
        <v>0</v>
      </c>
      <c r="G189" s="300">
        <f t="shared" ref="G189:G194" si="44">-VLOOKUP($C189,EASS,14,0)</f>
        <v>0</v>
      </c>
      <c r="H189" s="198"/>
      <c r="I189" s="200"/>
      <c r="J189" s="165">
        <f t="shared" si="42"/>
        <v>0</v>
      </c>
      <c r="K189" s="165">
        <f t="shared" si="41"/>
        <v>0</v>
      </c>
      <c r="L189" s="165"/>
    </row>
    <row r="190" spans="1:12" ht="41.4" x14ac:dyDescent="0.3">
      <c r="A190" s="296" t="str">
        <f t="shared" si="33"/>
        <v>Do Not Print</v>
      </c>
      <c r="B190" s="297" t="s">
        <v>900</v>
      </c>
      <c r="C190" s="296" t="s">
        <v>111</v>
      </c>
      <c r="D190" s="297"/>
      <c r="E190" s="298" t="s">
        <v>709</v>
      </c>
      <c r="F190" s="301">
        <f t="shared" si="43"/>
        <v>0</v>
      </c>
      <c r="G190" s="300">
        <f t="shared" si="44"/>
        <v>0</v>
      </c>
      <c r="H190" s="198"/>
      <c r="I190" s="200"/>
      <c r="J190" s="165">
        <f t="shared" si="42"/>
        <v>0</v>
      </c>
      <c r="K190" s="165">
        <f>ROUND(G190,0)</f>
        <v>0</v>
      </c>
      <c r="L190" s="165"/>
    </row>
    <row r="191" spans="1:12" ht="27.6" x14ac:dyDescent="0.3">
      <c r="A191" s="296" t="str">
        <f t="shared" si="33"/>
        <v>Do Not Print</v>
      </c>
      <c r="B191" s="297" t="s">
        <v>900</v>
      </c>
      <c r="C191" s="299" t="s">
        <v>1044</v>
      </c>
      <c r="D191" s="297"/>
      <c r="E191" s="298" t="s">
        <v>709</v>
      </c>
      <c r="F191" s="301">
        <f t="shared" si="43"/>
        <v>0</v>
      </c>
      <c r="G191" s="300">
        <f t="shared" si="44"/>
        <v>0</v>
      </c>
      <c r="H191" s="198"/>
      <c r="I191" s="200"/>
      <c r="J191" s="165">
        <f t="shared" si="42"/>
        <v>0</v>
      </c>
      <c r="K191" s="165">
        <f t="shared" si="41"/>
        <v>0</v>
      </c>
      <c r="L191" s="165"/>
    </row>
    <row r="192" spans="1:12" ht="27.6" x14ac:dyDescent="0.3">
      <c r="A192" s="296" t="str">
        <f t="shared" si="33"/>
        <v>Do Not Print</v>
      </c>
      <c r="B192" s="297" t="s">
        <v>900</v>
      </c>
      <c r="C192" s="299" t="s">
        <v>1045</v>
      </c>
      <c r="D192" s="297"/>
      <c r="E192" s="298" t="s">
        <v>709</v>
      </c>
      <c r="F192" s="301">
        <f t="shared" si="43"/>
        <v>0</v>
      </c>
      <c r="G192" s="300">
        <f t="shared" si="44"/>
        <v>0</v>
      </c>
      <c r="H192" s="198"/>
      <c r="I192" s="200"/>
      <c r="J192" s="165">
        <f t="shared" si="42"/>
        <v>0</v>
      </c>
      <c r="K192" s="165">
        <f t="shared" si="41"/>
        <v>0</v>
      </c>
      <c r="L192" s="165"/>
    </row>
    <row r="193" spans="1:12" ht="27.6" x14ac:dyDescent="0.3">
      <c r="A193" s="296" t="str">
        <f t="shared" si="33"/>
        <v>Do Not Print</v>
      </c>
      <c r="B193" s="297" t="s">
        <v>900</v>
      </c>
      <c r="C193" s="299" t="s">
        <v>1046</v>
      </c>
      <c r="D193" s="297"/>
      <c r="E193" s="298" t="s">
        <v>709</v>
      </c>
      <c r="F193" s="301">
        <f t="shared" si="43"/>
        <v>0</v>
      </c>
      <c r="G193" s="300">
        <f t="shared" si="44"/>
        <v>0</v>
      </c>
      <c r="H193" s="198"/>
      <c r="I193" s="200"/>
      <c r="J193" s="165">
        <f t="shared" si="42"/>
        <v>0</v>
      </c>
      <c r="K193" s="165">
        <f t="shared" si="41"/>
        <v>0</v>
      </c>
      <c r="L193" s="165"/>
    </row>
    <row r="194" spans="1:12" ht="27.6" x14ac:dyDescent="0.3">
      <c r="A194" s="296" t="str">
        <f t="shared" si="33"/>
        <v>Do Not Print</v>
      </c>
      <c r="B194" s="297" t="s">
        <v>900</v>
      </c>
      <c r="C194" s="299" t="s">
        <v>1047</v>
      </c>
      <c r="D194" s="297"/>
      <c r="E194" s="298" t="s">
        <v>709</v>
      </c>
      <c r="F194" s="301">
        <f t="shared" si="43"/>
        <v>0</v>
      </c>
      <c r="G194" s="300">
        <f t="shared" si="44"/>
        <v>0</v>
      </c>
      <c r="H194" s="198"/>
      <c r="I194" s="200"/>
      <c r="J194" s="165">
        <f>ROUND(F194,0)</f>
        <v>0</v>
      </c>
      <c r="K194" s="165">
        <f t="shared" si="41"/>
        <v>0</v>
      </c>
      <c r="L194" s="165"/>
    </row>
    <row r="195" spans="1:12" ht="27.6" x14ac:dyDescent="0.3">
      <c r="A195" s="296" t="str">
        <f t="shared" si="33"/>
        <v>Do Not Print</v>
      </c>
      <c r="B195" s="297" t="s">
        <v>900</v>
      </c>
      <c r="C195" s="299" t="s">
        <v>1048</v>
      </c>
      <c r="D195" s="297"/>
      <c r="E195" s="298" t="s">
        <v>709</v>
      </c>
      <c r="F195" s="301">
        <f>VLOOKUP($C195,EASS,8,0)</f>
        <v>0</v>
      </c>
      <c r="G195" s="300">
        <f>VLOOKUP($C195,EASS,14,0)</f>
        <v>0</v>
      </c>
      <c r="H195" s="198"/>
      <c r="I195" s="200"/>
      <c r="J195" s="165">
        <f>ROUND(F195,0)</f>
        <v>0</v>
      </c>
      <c r="K195" s="165">
        <f t="shared" si="41"/>
        <v>0</v>
      </c>
      <c r="L195" s="165"/>
    </row>
    <row r="196" spans="1:12" ht="27.6" x14ac:dyDescent="0.3">
      <c r="A196" s="296" t="str">
        <f t="shared" si="33"/>
        <v>Do Not Print</v>
      </c>
      <c r="B196" s="297" t="s">
        <v>900</v>
      </c>
      <c r="C196" s="299" t="s">
        <v>997</v>
      </c>
      <c r="D196" s="297"/>
      <c r="E196" s="298" t="s">
        <v>709</v>
      </c>
      <c r="F196" s="301">
        <f>VLOOKUP($C196,EASS,8,0)</f>
        <v>0</v>
      </c>
      <c r="G196" s="300">
        <f>VLOOKUP($C196,EASS,14,0)</f>
        <v>0</v>
      </c>
      <c r="H196" s="198"/>
      <c r="I196" s="200"/>
      <c r="J196" s="165">
        <f>ROUND(F196,0)</f>
        <v>0</v>
      </c>
      <c r="K196" s="165">
        <f t="shared" si="41"/>
        <v>0</v>
      </c>
      <c r="L196" s="165"/>
    </row>
    <row r="197" spans="1:12" s="14" customFormat="1" ht="14.4" x14ac:dyDescent="0.3">
      <c r="A197" s="45" t="s">
        <v>448</v>
      </c>
      <c r="C197" s="45" t="s">
        <v>1637</v>
      </c>
      <c r="E197" s="258"/>
      <c r="F197" s="294">
        <f>SUM(F175:F185)-SUM(F186:F196)</f>
        <v>0</v>
      </c>
      <c r="G197" s="294">
        <f>SUM(G175:G185)-SUM(G186:G196)</f>
        <v>0</v>
      </c>
      <c r="H197" s="202"/>
      <c r="I197" s="197"/>
      <c r="J197" s="197">
        <f>ROUND(F197,0)</f>
        <v>0</v>
      </c>
      <c r="K197" s="197">
        <f>ROUND(G197,0)</f>
        <v>0</v>
      </c>
      <c r="L197" s="197"/>
    </row>
    <row r="198" spans="1:12" x14ac:dyDescent="0.3">
      <c r="A198" s="39" t="s">
        <v>448</v>
      </c>
      <c r="C198" s="18"/>
      <c r="F198" s="165"/>
      <c r="G198" s="165"/>
      <c r="H198" s="198"/>
      <c r="I198" s="200"/>
      <c r="J198" s="165"/>
      <c r="K198" s="165"/>
      <c r="L198" s="165"/>
    </row>
    <row r="199" spans="1:12" ht="27.6" x14ac:dyDescent="0.3">
      <c r="A199" s="302" t="str">
        <f t="shared" si="33"/>
        <v>Do Not Print</v>
      </c>
      <c r="B199" s="303" t="s">
        <v>897</v>
      </c>
      <c r="C199" s="302" t="s">
        <v>742</v>
      </c>
      <c r="D199" s="303"/>
      <c r="E199" s="304" t="s">
        <v>709</v>
      </c>
      <c r="F199" s="307">
        <f t="shared" ref="F199:F212" si="45">VLOOKUP($C199,HASS,8,0)</f>
        <v>0</v>
      </c>
      <c r="G199" s="306">
        <f t="shared" ref="G199:G212" si="46">VLOOKUP($C199,HASS,14,0)</f>
        <v>0</v>
      </c>
      <c r="H199" s="412"/>
      <c r="I199" s="200"/>
      <c r="J199" s="165">
        <f t="shared" ref="J199:K214" si="47">ROUND(F199,0)</f>
        <v>0</v>
      </c>
      <c r="K199" s="165">
        <f t="shared" si="41"/>
        <v>0</v>
      </c>
      <c r="L199" s="165"/>
    </row>
    <row r="200" spans="1:12" ht="27.6" x14ac:dyDescent="0.3">
      <c r="A200" s="302" t="str">
        <f t="shared" si="33"/>
        <v>Do Not Print</v>
      </c>
      <c r="B200" s="303" t="s">
        <v>897</v>
      </c>
      <c r="C200" s="302" t="s">
        <v>101</v>
      </c>
      <c r="D200" s="303"/>
      <c r="E200" s="304" t="s">
        <v>709</v>
      </c>
      <c r="F200" s="307">
        <f t="shared" si="45"/>
        <v>0</v>
      </c>
      <c r="G200" s="306">
        <f t="shared" si="46"/>
        <v>0</v>
      </c>
      <c r="H200" s="198"/>
      <c r="I200" s="200"/>
      <c r="J200" s="165">
        <f t="shared" si="47"/>
        <v>0</v>
      </c>
      <c r="K200" s="165">
        <f>ROUND(G200,0)</f>
        <v>0</v>
      </c>
      <c r="L200" s="165"/>
    </row>
    <row r="201" spans="1:12" ht="27.6" x14ac:dyDescent="0.3">
      <c r="A201" s="302" t="str">
        <f t="shared" si="33"/>
        <v>Do Not Print</v>
      </c>
      <c r="B201" s="303" t="s">
        <v>897</v>
      </c>
      <c r="C201" s="305" t="s">
        <v>1049</v>
      </c>
      <c r="D201" s="303"/>
      <c r="E201" s="304" t="s">
        <v>709</v>
      </c>
      <c r="F201" s="307">
        <f t="shared" si="45"/>
        <v>0</v>
      </c>
      <c r="G201" s="306">
        <f t="shared" si="46"/>
        <v>0</v>
      </c>
      <c r="H201" s="198"/>
      <c r="I201" s="200"/>
      <c r="J201" s="165">
        <f t="shared" si="47"/>
        <v>0</v>
      </c>
      <c r="K201" s="165">
        <f t="shared" si="41"/>
        <v>0</v>
      </c>
      <c r="L201" s="165"/>
    </row>
    <row r="202" spans="1:12" ht="27.6" x14ac:dyDescent="0.3">
      <c r="A202" s="302" t="str">
        <f t="shared" si="33"/>
        <v>Do Not Print</v>
      </c>
      <c r="B202" s="303" t="s">
        <v>897</v>
      </c>
      <c r="C202" s="302" t="s">
        <v>1050</v>
      </c>
      <c r="D202" s="303"/>
      <c r="E202" s="304" t="s">
        <v>709</v>
      </c>
      <c r="F202" s="307">
        <f t="shared" si="45"/>
        <v>0</v>
      </c>
      <c r="G202" s="306">
        <f t="shared" si="46"/>
        <v>0</v>
      </c>
      <c r="H202" s="198"/>
      <c r="I202" s="200"/>
      <c r="J202" s="165">
        <f t="shared" si="47"/>
        <v>0</v>
      </c>
      <c r="K202" s="165">
        <f t="shared" si="41"/>
        <v>0</v>
      </c>
      <c r="L202" s="165"/>
    </row>
    <row r="203" spans="1:12" ht="27.6" x14ac:dyDescent="0.3">
      <c r="A203" s="302" t="str">
        <f t="shared" si="33"/>
        <v>Do Not Print</v>
      </c>
      <c r="B203" s="303" t="s">
        <v>897</v>
      </c>
      <c r="C203" s="305" t="s">
        <v>1051</v>
      </c>
      <c r="D203" s="303"/>
      <c r="E203" s="304" t="s">
        <v>709</v>
      </c>
      <c r="F203" s="307">
        <f t="shared" si="45"/>
        <v>0</v>
      </c>
      <c r="G203" s="306">
        <f t="shared" si="46"/>
        <v>0</v>
      </c>
      <c r="H203" s="198"/>
      <c r="I203" s="200"/>
      <c r="J203" s="165">
        <f t="shared" si="47"/>
        <v>0</v>
      </c>
      <c r="K203" s="165">
        <f t="shared" si="41"/>
        <v>0</v>
      </c>
      <c r="L203" s="165"/>
    </row>
    <row r="204" spans="1:12" ht="41.4" x14ac:dyDescent="0.3">
      <c r="A204" s="302" t="str">
        <f t="shared" si="33"/>
        <v>Do Not Print</v>
      </c>
      <c r="B204" s="303" t="s">
        <v>897</v>
      </c>
      <c r="C204" s="305" t="s">
        <v>1052</v>
      </c>
      <c r="D204" s="303"/>
      <c r="E204" s="304" t="s">
        <v>709</v>
      </c>
      <c r="F204" s="307">
        <f t="shared" si="45"/>
        <v>0</v>
      </c>
      <c r="G204" s="306">
        <f t="shared" si="46"/>
        <v>0</v>
      </c>
      <c r="H204" s="198"/>
      <c r="I204" s="200"/>
      <c r="J204" s="165">
        <f t="shared" si="47"/>
        <v>0</v>
      </c>
      <c r="K204" s="165">
        <f t="shared" si="41"/>
        <v>0</v>
      </c>
      <c r="L204" s="165"/>
    </row>
    <row r="205" spans="1:12" ht="27.6" x14ac:dyDescent="0.3">
      <c r="A205" s="302" t="str">
        <f t="shared" si="33"/>
        <v>Do Not Print</v>
      </c>
      <c r="B205" s="303" t="s">
        <v>897</v>
      </c>
      <c r="C205" s="302" t="s">
        <v>743</v>
      </c>
      <c r="D205" s="303"/>
      <c r="E205" s="304" t="s">
        <v>709</v>
      </c>
      <c r="F205" s="307">
        <f t="shared" si="45"/>
        <v>0</v>
      </c>
      <c r="G205" s="306">
        <f t="shared" si="46"/>
        <v>0</v>
      </c>
      <c r="H205" s="198"/>
      <c r="I205" s="200"/>
      <c r="J205" s="165">
        <f t="shared" si="47"/>
        <v>0</v>
      </c>
      <c r="K205" s="165">
        <f t="shared" si="41"/>
        <v>0</v>
      </c>
      <c r="L205" s="165"/>
    </row>
    <row r="206" spans="1:12" ht="27.6" x14ac:dyDescent="0.3">
      <c r="A206" s="302" t="str">
        <f t="shared" si="33"/>
        <v>Do Not Print</v>
      </c>
      <c r="B206" s="303" t="s">
        <v>897</v>
      </c>
      <c r="C206" s="305" t="s">
        <v>1053</v>
      </c>
      <c r="D206" s="303"/>
      <c r="E206" s="304" t="s">
        <v>709</v>
      </c>
      <c r="F206" s="307">
        <f t="shared" si="45"/>
        <v>0</v>
      </c>
      <c r="G206" s="306">
        <f t="shared" si="46"/>
        <v>0</v>
      </c>
      <c r="H206" s="198"/>
      <c r="I206" s="200"/>
      <c r="J206" s="165">
        <f t="shared" si="47"/>
        <v>0</v>
      </c>
      <c r="K206" s="165">
        <f t="shared" si="41"/>
        <v>0</v>
      </c>
      <c r="L206" s="165"/>
    </row>
    <row r="207" spans="1:12" ht="27.6" x14ac:dyDescent="0.3">
      <c r="A207" s="302" t="str">
        <f t="shared" si="33"/>
        <v>Do Not Print</v>
      </c>
      <c r="B207" s="303" t="s">
        <v>897</v>
      </c>
      <c r="C207" s="302" t="s">
        <v>349</v>
      </c>
      <c r="D207" s="303"/>
      <c r="E207" s="304" t="s">
        <v>709</v>
      </c>
      <c r="F207" s="307">
        <f t="shared" si="45"/>
        <v>0</v>
      </c>
      <c r="G207" s="306">
        <f t="shared" si="46"/>
        <v>0</v>
      </c>
      <c r="H207" s="198"/>
      <c r="I207" s="200"/>
      <c r="J207" s="165">
        <f t="shared" si="47"/>
        <v>0</v>
      </c>
      <c r="K207" s="165">
        <f t="shared" si="41"/>
        <v>0</v>
      </c>
      <c r="L207" s="165"/>
    </row>
    <row r="208" spans="1:12" ht="27.6" x14ac:dyDescent="0.3">
      <c r="A208" s="302" t="str">
        <f t="shared" si="33"/>
        <v>Do Not Print</v>
      </c>
      <c r="B208" s="303" t="s">
        <v>897</v>
      </c>
      <c r="C208" s="302" t="s">
        <v>350</v>
      </c>
      <c r="D208" s="303"/>
      <c r="E208" s="304" t="s">
        <v>709</v>
      </c>
      <c r="F208" s="307">
        <f t="shared" si="45"/>
        <v>0</v>
      </c>
      <c r="G208" s="306">
        <f t="shared" si="46"/>
        <v>0</v>
      </c>
      <c r="H208" s="198"/>
      <c r="I208" s="200"/>
      <c r="J208" s="165">
        <f t="shared" si="47"/>
        <v>0</v>
      </c>
      <c r="K208" s="165">
        <f t="shared" si="41"/>
        <v>0</v>
      </c>
      <c r="L208" s="165"/>
    </row>
    <row r="209" spans="1:12" ht="27.6" x14ac:dyDescent="0.3">
      <c r="A209" s="302" t="str">
        <f t="shared" si="33"/>
        <v>Do Not Print</v>
      </c>
      <c r="B209" s="303" t="s">
        <v>897</v>
      </c>
      <c r="C209" s="302" t="s">
        <v>994</v>
      </c>
      <c r="D209" s="303"/>
      <c r="E209" s="304" t="s">
        <v>709</v>
      </c>
      <c r="F209" s="307">
        <f t="shared" si="45"/>
        <v>0</v>
      </c>
      <c r="G209" s="306">
        <f t="shared" si="46"/>
        <v>0</v>
      </c>
      <c r="H209" s="198"/>
      <c r="I209" s="200"/>
      <c r="J209" s="165">
        <f t="shared" si="47"/>
        <v>0</v>
      </c>
      <c r="K209" s="165">
        <f>ROUND(G209,0)</f>
        <v>0</v>
      </c>
      <c r="L209" s="165"/>
    </row>
    <row r="210" spans="1:12" ht="27.6" x14ac:dyDescent="0.3">
      <c r="A210" s="302" t="str">
        <f t="shared" si="33"/>
        <v>Do Not Print</v>
      </c>
      <c r="B210" s="303" t="s">
        <v>897</v>
      </c>
      <c r="C210" s="305" t="s">
        <v>1116</v>
      </c>
      <c r="D210" s="303"/>
      <c r="E210" s="304" t="s">
        <v>709</v>
      </c>
      <c r="F210" s="307">
        <f t="shared" si="45"/>
        <v>0</v>
      </c>
      <c r="G210" s="306">
        <f t="shared" si="46"/>
        <v>0</v>
      </c>
      <c r="H210" s="198"/>
      <c r="I210" s="200"/>
      <c r="J210" s="165">
        <f t="shared" si="47"/>
        <v>0</v>
      </c>
      <c r="K210" s="165">
        <f t="shared" si="47"/>
        <v>0</v>
      </c>
      <c r="L210" s="165"/>
    </row>
    <row r="211" spans="1:12" ht="27.6" x14ac:dyDescent="0.3">
      <c r="A211" s="302" t="str">
        <f t="shared" si="33"/>
        <v>Do Not Print</v>
      </c>
      <c r="B211" s="303" t="s">
        <v>897</v>
      </c>
      <c r="C211" s="305" t="s">
        <v>101</v>
      </c>
      <c r="D211" s="303"/>
      <c r="E211" s="304" t="s">
        <v>709</v>
      </c>
      <c r="F211" s="307">
        <f t="shared" si="45"/>
        <v>0</v>
      </c>
      <c r="G211" s="306">
        <f t="shared" si="46"/>
        <v>0</v>
      </c>
      <c r="H211" s="198"/>
      <c r="I211" s="200"/>
      <c r="J211" s="165">
        <f t="shared" si="47"/>
        <v>0</v>
      </c>
      <c r="K211" s="165">
        <f t="shared" si="47"/>
        <v>0</v>
      </c>
      <c r="L211" s="165"/>
    </row>
    <row r="212" spans="1:12" ht="27.6" x14ac:dyDescent="0.3">
      <c r="A212" s="302" t="str">
        <f t="shared" si="33"/>
        <v>Do Not Print</v>
      </c>
      <c r="B212" s="303" t="s">
        <v>897</v>
      </c>
      <c r="C212" s="305" t="s">
        <v>1117</v>
      </c>
      <c r="D212" s="303"/>
      <c r="E212" s="304" t="s">
        <v>709</v>
      </c>
      <c r="F212" s="307">
        <f t="shared" si="45"/>
        <v>0</v>
      </c>
      <c r="G212" s="306">
        <f t="shared" si="46"/>
        <v>0</v>
      </c>
      <c r="H212" s="198"/>
      <c r="I212" s="200"/>
      <c r="J212" s="165">
        <f t="shared" si="47"/>
        <v>0</v>
      </c>
      <c r="K212" s="165">
        <f t="shared" si="47"/>
        <v>0</v>
      </c>
      <c r="L212" s="165"/>
    </row>
    <row r="213" spans="1:12" ht="27.6" x14ac:dyDescent="0.3">
      <c r="A213" s="302" t="str">
        <f t="shared" si="33"/>
        <v>Do Not Print</v>
      </c>
      <c r="B213" s="303" t="s">
        <v>897</v>
      </c>
      <c r="C213" s="305" t="s">
        <v>1118</v>
      </c>
      <c r="D213" s="303"/>
      <c r="E213" s="304" t="s">
        <v>709</v>
      </c>
      <c r="F213" s="307">
        <f t="shared" ref="F213:F218" si="48">-VLOOKUP($C213,HASS,8,0)</f>
        <v>0</v>
      </c>
      <c r="G213" s="306">
        <f t="shared" ref="G213:G218" si="49">-VLOOKUP($C213,HASS,14,0)</f>
        <v>0</v>
      </c>
      <c r="H213" s="198"/>
      <c r="I213" s="200"/>
      <c r="J213" s="165">
        <f t="shared" si="47"/>
        <v>0</v>
      </c>
      <c r="K213" s="165">
        <f t="shared" si="47"/>
        <v>0</v>
      </c>
      <c r="L213" s="165"/>
    </row>
    <row r="214" spans="1:12" ht="41.4" x14ac:dyDescent="0.3">
      <c r="A214" s="302" t="str">
        <f t="shared" si="33"/>
        <v>Do Not Print</v>
      </c>
      <c r="B214" s="303" t="s">
        <v>897</v>
      </c>
      <c r="C214" s="302" t="s">
        <v>111</v>
      </c>
      <c r="D214" s="303"/>
      <c r="E214" s="304" t="s">
        <v>709</v>
      </c>
      <c r="F214" s="307">
        <f t="shared" si="48"/>
        <v>0</v>
      </c>
      <c r="G214" s="306">
        <f t="shared" si="49"/>
        <v>0</v>
      </c>
      <c r="H214" s="198"/>
      <c r="I214" s="200"/>
      <c r="J214" s="165">
        <f t="shared" si="47"/>
        <v>0</v>
      </c>
      <c r="K214" s="165">
        <f t="shared" si="47"/>
        <v>0</v>
      </c>
      <c r="L214" s="165"/>
    </row>
    <row r="215" spans="1:12" ht="27.6" x14ac:dyDescent="0.3">
      <c r="A215" s="302" t="str">
        <f t="shared" si="33"/>
        <v>Do Not Print</v>
      </c>
      <c r="B215" s="303" t="s">
        <v>897</v>
      </c>
      <c r="C215" s="305" t="s">
        <v>1119</v>
      </c>
      <c r="D215" s="303"/>
      <c r="E215" s="304" t="s">
        <v>709</v>
      </c>
      <c r="F215" s="307">
        <f t="shared" si="48"/>
        <v>0</v>
      </c>
      <c r="G215" s="306">
        <f t="shared" si="49"/>
        <v>0</v>
      </c>
      <c r="H215" s="198"/>
      <c r="I215" s="200"/>
      <c r="J215" s="165">
        <f t="shared" ref="J215:K221" si="50">ROUND(F215,0)</f>
        <v>0</v>
      </c>
      <c r="K215" s="165">
        <f t="shared" si="50"/>
        <v>0</v>
      </c>
      <c r="L215" s="165"/>
    </row>
    <row r="216" spans="1:12" ht="27.6" x14ac:dyDescent="0.3">
      <c r="A216" s="302" t="str">
        <f t="shared" si="33"/>
        <v>Do Not Print</v>
      </c>
      <c r="B216" s="303" t="s">
        <v>897</v>
      </c>
      <c r="C216" s="305" t="s">
        <v>1120</v>
      </c>
      <c r="D216" s="303"/>
      <c r="E216" s="304" t="s">
        <v>709</v>
      </c>
      <c r="F216" s="307">
        <f t="shared" si="48"/>
        <v>0</v>
      </c>
      <c r="G216" s="306">
        <f t="shared" si="49"/>
        <v>0</v>
      </c>
      <c r="H216" s="198"/>
      <c r="I216" s="200"/>
      <c r="J216" s="165">
        <f t="shared" si="50"/>
        <v>0</v>
      </c>
      <c r="K216" s="165">
        <f t="shared" si="50"/>
        <v>0</v>
      </c>
      <c r="L216" s="165"/>
    </row>
    <row r="217" spans="1:12" ht="27.6" x14ac:dyDescent="0.3">
      <c r="A217" s="302" t="str">
        <f t="shared" si="33"/>
        <v>Do Not Print</v>
      </c>
      <c r="B217" s="303" t="s">
        <v>897</v>
      </c>
      <c r="C217" s="305" t="s">
        <v>1121</v>
      </c>
      <c r="D217" s="303"/>
      <c r="E217" s="304" t="s">
        <v>709</v>
      </c>
      <c r="F217" s="307">
        <f t="shared" si="48"/>
        <v>0</v>
      </c>
      <c r="G217" s="306">
        <f t="shared" si="49"/>
        <v>0</v>
      </c>
      <c r="H217" s="198"/>
      <c r="I217" s="200"/>
      <c r="J217" s="165">
        <f t="shared" si="50"/>
        <v>0</v>
      </c>
      <c r="K217" s="165">
        <f t="shared" si="50"/>
        <v>0</v>
      </c>
      <c r="L217" s="165"/>
    </row>
    <row r="218" spans="1:12" ht="27.6" x14ac:dyDescent="0.3">
      <c r="A218" s="302" t="str">
        <f t="shared" si="33"/>
        <v>Do Not Print</v>
      </c>
      <c r="B218" s="303" t="s">
        <v>897</v>
      </c>
      <c r="C218" s="305" t="s">
        <v>1122</v>
      </c>
      <c r="D218" s="303"/>
      <c r="E218" s="304" t="s">
        <v>709</v>
      </c>
      <c r="F218" s="307">
        <f t="shared" si="48"/>
        <v>0</v>
      </c>
      <c r="G218" s="306">
        <f t="shared" si="49"/>
        <v>0</v>
      </c>
      <c r="H218" s="198"/>
      <c r="I218" s="200"/>
      <c r="J218" s="165">
        <f t="shared" si="50"/>
        <v>0</v>
      </c>
      <c r="K218" s="165">
        <f t="shared" si="50"/>
        <v>0</v>
      </c>
      <c r="L218" s="165"/>
    </row>
    <row r="219" spans="1:12" ht="27.6" x14ac:dyDescent="0.3">
      <c r="A219" s="302" t="str">
        <f t="shared" si="33"/>
        <v>Do Not Print</v>
      </c>
      <c r="B219" s="303" t="s">
        <v>897</v>
      </c>
      <c r="C219" s="305" t="s">
        <v>1123</v>
      </c>
      <c r="D219" s="303"/>
      <c r="E219" s="304" t="s">
        <v>709</v>
      </c>
      <c r="F219" s="307">
        <f>VLOOKUP($C219,HASS,8,0)</f>
        <v>0</v>
      </c>
      <c r="G219" s="306">
        <f>VLOOKUP($C219,HASS,14,0)</f>
        <v>0</v>
      </c>
      <c r="H219" s="198"/>
      <c r="I219" s="200"/>
      <c r="J219" s="165">
        <f t="shared" si="50"/>
        <v>0</v>
      </c>
      <c r="K219" s="165">
        <f t="shared" si="50"/>
        <v>0</v>
      </c>
      <c r="L219" s="165"/>
    </row>
    <row r="220" spans="1:12" ht="27.6" x14ac:dyDescent="0.3">
      <c r="A220" s="302" t="str">
        <f t="shared" si="33"/>
        <v>Do Not Print</v>
      </c>
      <c r="B220" s="303" t="s">
        <v>897</v>
      </c>
      <c r="C220" s="302" t="s">
        <v>997</v>
      </c>
      <c r="D220" s="303"/>
      <c r="E220" s="304" t="s">
        <v>709</v>
      </c>
      <c r="F220" s="307">
        <f>VLOOKUP($C220,HASS,8,0)</f>
        <v>0</v>
      </c>
      <c r="G220" s="306">
        <f>VLOOKUP($C220,HASS,14,0)</f>
        <v>0</v>
      </c>
      <c r="H220" s="198"/>
      <c r="I220" s="200"/>
      <c r="J220" s="165">
        <f t="shared" si="50"/>
        <v>0</v>
      </c>
      <c r="K220" s="165">
        <f t="shared" si="50"/>
        <v>0</v>
      </c>
      <c r="L220" s="165"/>
    </row>
    <row r="221" spans="1:12" s="14" customFormat="1" ht="14.4" x14ac:dyDescent="0.3">
      <c r="A221" s="45" t="s">
        <v>448</v>
      </c>
      <c r="C221" s="45" t="s">
        <v>1638</v>
      </c>
      <c r="E221" s="258"/>
      <c r="F221" s="308">
        <f>SUM(F199:F209)-SUM(F210:F220)</f>
        <v>0</v>
      </c>
      <c r="G221" s="308">
        <f>SUM(G199:G209)-SUM(G210:G220)</f>
        <v>0</v>
      </c>
      <c r="H221" s="202"/>
      <c r="I221" s="197"/>
      <c r="J221" s="197">
        <f t="shared" si="50"/>
        <v>0</v>
      </c>
      <c r="K221" s="197">
        <f t="shared" si="50"/>
        <v>0</v>
      </c>
      <c r="L221" s="197"/>
    </row>
    <row r="222" spans="1:12" x14ac:dyDescent="0.3">
      <c r="A222" s="39" t="s">
        <v>448</v>
      </c>
      <c r="F222" s="165"/>
      <c r="G222" s="165"/>
      <c r="H222" s="198"/>
      <c r="I222" s="200"/>
      <c r="J222" s="165"/>
      <c r="K222" s="165"/>
      <c r="L222" s="165"/>
    </row>
    <row r="223" spans="1:12" ht="27.6" x14ac:dyDescent="0.3">
      <c r="A223" s="309" t="str">
        <f t="shared" si="33"/>
        <v>Do Not Print</v>
      </c>
      <c r="B223" s="310" t="s">
        <v>898</v>
      </c>
      <c r="C223" s="309" t="s">
        <v>351</v>
      </c>
      <c r="D223" s="310"/>
      <c r="E223" s="311" t="s">
        <v>709</v>
      </c>
      <c r="F223" s="314">
        <f t="shared" ref="F223:F229" si="51">VLOOKUP($C223,IPAS,8,0)</f>
        <v>0</v>
      </c>
      <c r="G223" s="315">
        <f t="shared" ref="G223:G229" si="52">VLOOKUP($C223,IPAS,14,0)</f>
        <v>0</v>
      </c>
      <c r="H223" s="198"/>
      <c r="I223" s="200"/>
      <c r="J223" s="165">
        <f t="shared" ref="J223:J224" si="53">ROUND(F223,0)</f>
        <v>0</v>
      </c>
      <c r="K223" s="165">
        <f t="shared" si="41"/>
        <v>0</v>
      </c>
      <c r="L223" s="165"/>
    </row>
    <row r="224" spans="1:12" ht="27.6" x14ac:dyDescent="0.3">
      <c r="A224" s="309" t="str">
        <f t="shared" si="33"/>
        <v>Do Not Print</v>
      </c>
      <c r="B224" s="310" t="s">
        <v>898</v>
      </c>
      <c r="C224" s="312" t="s">
        <v>1054</v>
      </c>
      <c r="D224" s="310"/>
      <c r="E224" s="311" t="s">
        <v>709</v>
      </c>
      <c r="F224" s="314">
        <f t="shared" si="51"/>
        <v>0</v>
      </c>
      <c r="G224" s="315">
        <f t="shared" si="52"/>
        <v>0</v>
      </c>
      <c r="H224" s="198"/>
      <c r="I224" s="200"/>
      <c r="J224" s="165">
        <f t="shared" si="53"/>
        <v>0</v>
      </c>
      <c r="K224" s="165">
        <f t="shared" si="41"/>
        <v>0</v>
      </c>
      <c r="L224" s="165"/>
    </row>
    <row r="225" spans="1:12" ht="27.6" x14ac:dyDescent="0.3">
      <c r="A225" s="309" t="str">
        <f t="shared" ref="A225:A253" si="54">IF(AND(F225=0,G225=0),"Do Not Print","Print")</f>
        <v>Do Not Print</v>
      </c>
      <c r="B225" s="310" t="s">
        <v>898</v>
      </c>
      <c r="C225" s="312" t="s">
        <v>1056</v>
      </c>
      <c r="D225" s="310"/>
      <c r="E225" s="311" t="s">
        <v>709</v>
      </c>
      <c r="F225" s="314">
        <f t="shared" si="51"/>
        <v>0</v>
      </c>
      <c r="G225" s="315">
        <f t="shared" si="52"/>
        <v>0</v>
      </c>
      <c r="H225" s="198"/>
      <c r="I225" s="200"/>
      <c r="J225" s="165">
        <f>ROUND(F225,0)</f>
        <v>0</v>
      </c>
      <c r="K225" s="165">
        <f t="shared" si="41"/>
        <v>0</v>
      </c>
      <c r="L225" s="165"/>
    </row>
    <row r="226" spans="1:12" ht="27.6" x14ac:dyDescent="0.3">
      <c r="A226" s="309" t="str">
        <f t="shared" si="54"/>
        <v>Do Not Print</v>
      </c>
      <c r="B226" s="310" t="s">
        <v>898</v>
      </c>
      <c r="C226" s="312" t="s">
        <v>2673</v>
      </c>
      <c r="D226" s="310"/>
      <c r="E226" s="311" t="s">
        <v>709</v>
      </c>
      <c r="F226" s="314">
        <f t="shared" si="51"/>
        <v>0</v>
      </c>
      <c r="G226" s="315">
        <f t="shared" si="52"/>
        <v>0</v>
      </c>
      <c r="H226" s="198"/>
      <c r="I226" s="200"/>
      <c r="J226" s="165">
        <f t="shared" ref="J226:J229" si="55">ROUND(F226,0)</f>
        <v>0</v>
      </c>
      <c r="K226" s="165">
        <f t="shared" ref="K226:K229" si="56">ROUND(G226,0)</f>
        <v>0</v>
      </c>
      <c r="L226" s="165"/>
    </row>
    <row r="227" spans="1:12" ht="27.6" x14ac:dyDescent="0.3">
      <c r="A227" s="309" t="str">
        <f t="shared" si="54"/>
        <v>Do Not Print</v>
      </c>
      <c r="B227" s="310" t="s">
        <v>898</v>
      </c>
      <c r="C227" s="312" t="s">
        <v>2970</v>
      </c>
      <c r="D227" s="310"/>
      <c r="E227" s="311" t="s">
        <v>709</v>
      </c>
      <c r="F227" s="314">
        <f t="shared" si="51"/>
        <v>0</v>
      </c>
      <c r="G227" s="315">
        <f t="shared" si="52"/>
        <v>0</v>
      </c>
      <c r="H227" s="198"/>
      <c r="I227" s="200"/>
      <c r="J227" s="165">
        <f t="shared" si="55"/>
        <v>0</v>
      </c>
      <c r="K227" s="165">
        <f t="shared" si="56"/>
        <v>0</v>
      </c>
      <c r="L227" s="165"/>
    </row>
    <row r="228" spans="1:12" ht="27.6" x14ac:dyDescent="0.3">
      <c r="A228" s="309" t="str">
        <f t="shared" si="54"/>
        <v>Do Not Print</v>
      </c>
      <c r="B228" s="310" t="s">
        <v>898</v>
      </c>
      <c r="C228" s="309" t="s">
        <v>2998</v>
      </c>
      <c r="D228" s="310"/>
      <c r="E228" s="311" t="s">
        <v>709</v>
      </c>
      <c r="F228" s="314">
        <f t="shared" si="51"/>
        <v>0</v>
      </c>
      <c r="G228" s="315">
        <f t="shared" si="52"/>
        <v>0</v>
      </c>
      <c r="H228" s="198"/>
      <c r="I228" s="200"/>
      <c r="J228" s="165">
        <f t="shared" si="55"/>
        <v>0</v>
      </c>
      <c r="K228" s="165">
        <f t="shared" si="56"/>
        <v>0</v>
      </c>
      <c r="L228" s="165"/>
    </row>
    <row r="229" spans="1:12" ht="27.6" x14ac:dyDescent="0.3">
      <c r="A229" s="309" t="str">
        <f t="shared" si="54"/>
        <v>Do Not Print</v>
      </c>
      <c r="B229" s="310" t="s">
        <v>898</v>
      </c>
      <c r="C229" s="312" t="s">
        <v>2675</v>
      </c>
      <c r="D229" s="310"/>
      <c r="E229" s="311" t="s">
        <v>709</v>
      </c>
      <c r="F229" s="314">
        <f t="shared" si="51"/>
        <v>0</v>
      </c>
      <c r="G229" s="315">
        <f t="shared" si="52"/>
        <v>0</v>
      </c>
      <c r="H229" s="198"/>
      <c r="I229" s="200"/>
      <c r="J229" s="165">
        <f t="shared" si="55"/>
        <v>0</v>
      </c>
      <c r="K229" s="165">
        <f t="shared" si="56"/>
        <v>0</v>
      </c>
      <c r="L229" s="165"/>
    </row>
    <row r="230" spans="1:12" s="14" customFormat="1" ht="14.4" x14ac:dyDescent="0.3">
      <c r="A230" s="45" t="s">
        <v>448</v>
      </c>
      <c r="C230" s="45" t="s">
        <v>1639</v>
      </c>
      <c r="E230" s="258"/>
      <c r="F230" s="316">
        <f>SUM(F223:F229)</f>
        <v>0</v>
      </c>
      <c r="G230" s="316">
        <f>SUM(G223:G229)</f>
        <v>0</v>
      </c>
      <c r="H230" s="202"/>
      <c r="I230" s="197"/>
      <c r="J230" s="197">
        <f t="shared" ref="J230:K230" si="57">ROUND(F230,0)</f>
        <v>0</v>
      </c>
      <c r="K230" s="197">
        <f t="shared" si="57"/>
        <v>0</v>
      </c>
      <c r="L230" s="197"/>
    </row>
    <row r="231" spans="1:12" x14ac:dyDescent="0.3">
      <c r="A231" s="39" t="s">
        <v>448</v>
      </c>
      <c r="F231" s="165"/>
      <c r="G231" s="165"/>
      <c r="H231" s="198"/>
      <c r="I231" s="200"/>
      <c r="J231" s="165"/>
      <c r="K231" s="165"/>
      <c r="L231" s="165"/>
    </row>
    <row r="232" spans="1:12" ht="27.6" x14ac:dyDescent="0.3">
      <c r="A232" s="317" t="str">
        <f t="shared" si="54"/>
        <v>Do Not Print</v>
      </c>
      <c r="B232" s="318" t="s">
        <v>899</v>
      </c>
      <c r="C232" s="317" t="s">
        <v>355</v>
      </c>
      <c r="D232" s="318"/>
      <c r="E232" s="319" t="s">
        <v>709</v>
      </c>
      <c r="F232" s="321">
        <f t="shared" ref="F232:F245" si="58">VLOOKUP($C232,ITAS,8,0)</f>
        <v>0</v>
      </c>
      <c r="G232" s="322">
        <f t="shared" ref="G232:G245" si="59">VLOOKUP($C232,ITAS,14,0)</f>
        <v>0</v>
      </c>
      <c r="H232" s="198"/>
      <c r="I232" s="200"/>
      <c r="J232" s="165">
        <f t="shared" ref="J232:K247" si="60">ROUND(F232,0)</f>
        <v>0</v>
      </c>
      <c r="K232" s="165">
        <f t="shared" si="41"/>
        <v>0</v>
      </c>
      <c r="L232" s="165"/>
    </row>
    <row r="233" spans="1:12" ht="27.6" x14ac:dyDescent="0.3">
      <c r="A233" s="317" t="str">
        <f t="shared" si="54"/>
        <v>Do Not Print</v>
      </c>
      <c r="B233" s="318" t="s">
        <v>899</v>
      </c>
      <c r="C233" s="317" t="s">
        <v>101</v>
      </c>
      <c r="D233" s="318"/>
      <c r="E233" s="319" t="s">
        <v>709</v>
      </c>
      <c r="F233" s="321">
        <f t="shared" si="58"/>
        <v>0</v>
      </c>
      <c r="G233" s="322">
        <f t="shared" si="59"/>
        <v>0</v>
      </c>
      <c r="H233" s="198"/>
      <c r="I233" s="200"/>
      <c r="J233" s="165">
        <f t="shared" si="60"/>
        <v>0</v>
      </c>
      <c r="K233" s="165">
        <f t="shared" si="41"/>
        <v>0</v>
      </c>
      <c r="L233" s="165"/>
    </row>
    <row r="234" spans="1:12" ht="27.6" x14ac:dyDescent="0.3">
      <c r="A234" s="317" t="str">
        <f t="shared" si="54"/>
        <v>Do Not Print</v>
      </c>
      <c r="B234" s="318" t="s">
        <v>899</v>
      </c>
      <c r="C234" s="317" t="s">
        <v>356</v>
      </c>
      <c r="D234" s="318"/>
      <c r="E234" s="319" t="s">
        <v>709</v>
      </c>
      <c r="F234" s="321">
        <f t="shared" si="58"/>
        <v>0</v>
      </c>
      <c r="G234" s="322">
        <f t="shared" si="59"/>
        <v>0</v>
      </c>
      <c r="H234" s="198"/>
      <c r="I234" s="200"/>
      <c r="J234" s="165">
        <f t="shared" si="60"/>
        <v>0</v>
      </c>
      <c r="K234" s="165">
        <f t="shared" si="41"/>
        <v>0</v>
      </c>
      <c r="L234" s="165"/>
    </row>
    <row r="235" spans="1:12" ht="27.6" x14ac:dyDescent="0.3">
      <c r="A235" s="317" t="str">
        <f t="shared" si="54"/>
        <v>Do Not Print</v>
      </c>
      <c r="B235" s="318" t="s">
        <v>899</v>
      </c>
      <c r="C235" s="317" t="s">
        <v>1057</v>
      </c>
      <c r="D235" s="318"/>
      <c r="E235" s="319" t="s">
        <v>709</v>
      </c>
      <c r="F235" s="321">
        <f t="shared" si="58"/>
        <v>0</v>
      </c>
      <c r="G235" s="322">
        <f t="shared" si="59"/>
        <v>0</v>
      </c>
      <c r="H235" s="198"/>
      <c r="I235" s="200"/>
      <c r="J235" s="165">
        <f t="shared" si="60"/>
        <v>0</v>
      </c>
      <c r="K235" s="165">
        <f t="shared" si="41"/>
        <v>0</v>
      </c>
      <c r="L235" s="165"/>
    </row>
    <row r="236" spans="1:12" ht="27.6" x14ac:dyDescent="0.3">
      <c r="A236" s="317" t="str">
        <f t="shared" si="54"/>
        <v>Do Not Print</v>
      </c>
      <c r="B236" s="318" t="s">
        <v>899</v>
      </c>
      <c r="C236" s="320" t="s">
        <v>1058</v>
      </c>
      <c r="D236" s="318"/>
      <c r="E236" s="319" t="s">
        <v>709</v>
      </c>
      <c r="F236" s="321">
        <f t="shared" si="58"/>
        <v>0</v>
      </c>
      <c r="G236" s="322">
        <f t="shared" si="59"/>
        <v>0</v>
      </c>
      <c r="H236" s="198"/>
      <c r="I236" s="200"/>
      <c r="J236" s="165">
        <f t="shared" si="60"/>
        <v>0</v>
      </c>
      <c r="K236" s="165">
        <f t="shared" si="60"/>
        <v>0</v>
      </c>
      <c r="L236" s="165"/>
    </row>
    <row r="237" spans="1:12" ht="41.4" x14ac:dyDescent="0.3">
      <c r="A237" s="317" t="str">
        <f t="shared" si="54"/>
        <v>Do Not Print</v>
      </c>
      <c r="B237" s="318" t="s">
        <v>899</v>
      </c>
      <c r="C237" s="320" t="s">
        <v>1059</v>
      </c>
      <c r="D237" s="318"/>
      <c r="E237" s="319" t="s">
        <v>709</v>
      </c>
      <c r="F237" s="321">
        <f t="shared" si="58"/>
        <v>0</v>
      </c>
      <c r="G237" s="322">
        <f t="shared" si="59"/>
        <v>0</v>
      </c>
      <c r="H237" s="198"/>
      <c r="I237" s="200"/>
      <c r="J237" s="165">
        <f t="shared" si="60"/>
        <v>0</v>
      </c>
      <c r="K237" s="165">
        <f t="shared" si="60"/>
        <v>0</v>
      </c>
      <c r="L237" s="165"/>
    </row>
    <row r="238" spans="1:12" ht="27.6" x14ac:dyDescent="0.3">
      <c r="A238" s="317" t="str">
        <f t="shared" si="54"/>
        <v>Do Not Print</v>
      </c>
      <c r="B238" s="318" t="s">
        <v>899</v>
      </c>
      <c r="C238" s="317" t="s">
        <v>357</v>
      </c>
      <c r="D238" s="318"/>
      <c r="E238" s="319" t="s">
        <v>709</v>
      </c>
      <c r="F238" s="321">
        <f t="shared" si="58"/>
        <v>0</v>
      </c>
      <c r="G238" s="322">
        <f t="shared" si="59"/>
        <v>0</v>
      </c>
      <c r="H238" s="198"/>
      <c r="I238" s="200"/>
      <c r="J238" s="165">
        <f t="shared" si="60"/>
        <v>0</v>
      </c>
      <c r="K238" s="165">
        <f t="shared" si="60"/>
        <v>0</v>
      </c>
      <c r="L238" s="165"/>
    </row>
    <row r="239" spans="1:12" ht="27.6" x14ac:dyDescent="0.3">
      <c r="A239" s="317" t="str">
        <f t="shared" si="54"/>
        <v>Do Not Print</v>
      </c>
      <c r="B239" s="318" t="s">
        <v>899</v>
      </c>
      <c r="C239" s="320" t="s">
        <v>1060</v>
      </c>
      <c r="D239" s="318"/>
      <c r="E239" s="319" t="s">
        <v>709</v>
      </c>
      <c r="F239" s="321">
        <f t="shared" si="58"/>
        <v>0</v>
      </c>
      <c r="G239" s="322">
        <f t="shared" si="59"/>
        <v>0</v>
      </c>
      <c r="H239" s="198"/>
      <c r="I239" s="200"/>
      <c r="J239" s="165">
        <f t="shared" si="60"/>
        <v>0</v>
      </c>
      <c r="K239" s="165">
        <f t="shared" si="60"/>
        <v>0</v>
      </c>
      <c r="L239" s="165"/>
    </row>
    <row r="240" spans="1:12" ht="27.6" x14ac:dyDescent="0.3">
      <c r="A240" s="317" t="str">
        <f t="shared" si="54"/>
        <v>Do Not Print</v>
      </c>
      <c r="B240" s="318" t="s">
        <v>899</v>
      </c>
      <c r="C240" s="317" t="s">
        <v>358</v>
      </c>
      <c r="D240" s="318"/>
      <c r="E240" s="319" t="s">
        <v>709</v>
      </c>
      <c r="F240" s="321">
        <f t="shared" si="58"/>
        <v>0</v>
      </c>
      <c r="G240" s="322">
        <f t="shared" si="59"/>
        <v>0</v>
      </c>
      <c r="H240" s="198"/>
      <c r="I240" s="200"/>
      <c r="J240" s="165">
        <f t="shared" si="60"/>
        <v>0</v>
      </c>
      <c r="K240" s="165">
        <f t="shared" si="60"/>
        <v>0</v>
      </c>
      <c r="L240" s="165"/>
    </row>
    <row r="241" spans="1:12" ht="27.6" x14ac:dyDescent="0.3">
      <c r="A241" s="317" t="str">
        <f t="shared" si="54"/>
        <v>Do Not Print</v>
      </c>
      <c r="B241" s="318" t="s">
        <v>899</v>
      </c>
      <c r="C241" s="317" t="s">
        <v>359</v>
      </c>
      <c r="D241" s="318"/>
      <c r="E241" s="319" t="s">
        <v>709</v>
      </c>
      <c r="F241" s="321">
        <f t="shared" si="58"/>
        <v>0</v>
      </c>
      <c r="G241" s="322">
        <f t="shared" si="59"/>
        <v>0</v>
      </c>
      <c r="H241" s="198"/>
      <c r="I241" s="200"/>
      <c r="J241" s="165">
        <f t="shared" si="60"/>
        <v>0</v>
      </c>
      <c r="K241" s="165">
        <f t="shared" si="60"/>
        <v>0</v>
      </c>
      <c r="L241" s="165"/>
    </row>
    <row r="242" spans="1:12" ht="27.6" x14ac:dyDescent="0.3">
      <c r="A242" s="317" t="str">
        <f t="shared" si="54"/>
        <v>Do Not Print</v>
      </c>
      <c r="B242" s="318" t="s">
        <v>899</v>
      </c>
      <c r="C242" s="317" t="s">
        <v>994</v>
      </c>
      <c r="D242" s="318"/>
      <c r="E242" s="319" t="s">
        <v>709</v>
      </c>
      <c r="F242" s="321">
        <f t="shared" si="58"/>
        <v>0</v>
      </c>
      <c r="G242" s="322">
        <f t="shared" si="59"/>
        <v>0</v>
      </c>
      <c r="H242" s="198"/>
      <c r="I242" s="200"/>
      <c r="J242" s="165">
        <f t="shared" si="60"/>
        <v>0</v>
      </c>
      <c r="K242" s="165">
        <f t="shared" si="60"/>
        <v>0</v>
      </c>
      <c r="L242" s="165"/>
    </row>
    <row r="243" spans="1:12" ht="27.6" x14ac:dyDescent="0.3">
      <c r="A243" s="317" t="str">
        <f t="shared" si="54"/>
        <v>Do Not Print</v>
      </c>
      <c r="B243" s="318" t="s">
        <v>899</v>
      </c>
      <c r="C243" s="317" t="s">
        <v>1081</v>
      </c>
      <c r="D243" s="318"/>
      <c r="E243" s="319" t="s">
        <v>709</v>
      </c>
      <c r="F243" s="321">
        <f t="shared" si="58"/>
        <v>0</v>
      </c>
      <c r="G243" s="322">
        <f t="shared" si="59"/>
        <v>0</v>
      </c>
      <c r="H243" s="198"/>
      <c r="I243" s="200"/>
      <c r="J243" s="165">
        <f t="shared" si="60"/>
        <v>0</v>
      </c>
      <c r="K243" s="165">
        <f t="shared" si="60"/>
        <v>0</v>
      </c>
      <c r="L243" s="165"/>
    </row>
    <row r="244" spans="1:12" ht="27.6" x14ac:dyDescent="0.3">
      <c r="A244" s="317" t="str">
        <f t="shared" si="54"/>
        <v>Do Not Print</v>
      </c>
      <c r="B244" s="318" t="s">
        <v>899</v>
      </c>
      <c r="C244" s="317" t="s">
        <v>101</v>
      </c>
      <c r="D244" s="318"/>
      <c r="E244" s="319" t="s">
        <v>709</v>
      </c>
      <c r="F244" s="321">
        <f t="shared" si="58"/>
        <v>0</v>
      </c>
      <c r="G244" s="322">
        <f t="shared" si="59"/>
        <v>0</v>
      </c>
      <c r="H244" s="198"/>
      <c r="I244" s="200"/>
      <c r="J244" s="165">
        <f t="shared" si="60"/>
        <v>0</v>
      </c>
      <c r="K244" s="165">
        <f t="shared" si="60"/>
        <v>0</v>
      </c>
      <c r="L244" s="165"/>
    </row>
    <row r="245" spans="1:12" ht="27.6" x14ac:dyDescent="0.3">
      <c r="A245" s="317" t="str">
        <f t="shared" si="54"/>
        <v>Do Not Print</v>
      </c>
      <c r="B245" s="318" t="s">
        <v>899</v>
      </c>
      <c r="C245" s="317" t="s">
        <v>1082</v>
      </c>
      <c r="D245" s="318"/>
      <c r="E245" s="319" t="s">
        <v>709</v>
      </c>
      <c r="F245" s="321">
        <f t="shared" si="58"/>
        <v>0</v>
      </c>
      <c r="G245" s="322">
        <f t="shared" si="59"/>
        <v>0</v>
      </c>
      <c r="H245" s="198"/>
      <c r="I245" s="200"/>
      <c r="J245" s="165">
        <f t="shared" si="60"/>
        <v>0</v>
      </c>
      <c r="K245" s="165">
        <f t="shared" si="60"/>
        <v>0</v>
      </c>
      <c r="L245" s="165"/>
    </row>
    <row r="246" spans="1:12" ht="27.6" x14ac:dyDescent="0.3">
      <c r="A246" s="317" t="str">
        <f t="shared" si="54"/>
        <v>Do Not Print</v>
      </c>
      <c r="B246" s="318" t="s">
        <v>899</v>
      </c>
      <c r="C246" s="317" t="s">
        <v>1083</v>
      </c>
      <c r="D246" s="318"/>
      <c r="E246" s="319" t="s">
        <v>709</v>
      </c>
      <c r="F246" s="321">
        <f t="shared" ref="F246:F251" si="61">-VLOOKUP($C246,ITAS,8,0)</f>
        <v>0</v>
      </c>
      <c r="G246" s="322">
        <f t="shared" ref="G246:G251" si="62">-VLOOKUP($C246,ITAS,14,0)</f>
        <v>0</v>
      </c>
      <c r="H246" s="198"/>
      <c r="I246" s="200"/>
      <c r="J246" s="165">
        <f t="shared" si="60"/>
        <v>0</v>
      </c>
      <c r="K246" s="165">
        <f t="shared" si="60"/>
        <v>0</v>
      </c>
      <c r="L246" s="165"/>
    </row>
    <row r="247" spans="1:12" ht="41.4" x14ac:dyDescent="0.3">
      <c r="A247" s="317" t="str">
        <f t="shared" si="54"/>
        <v>Do Not Print</v>
      </c>
      <c r="B247" s="318" t="s">
        <v>899</v>
      </c>
      <c r="C247" s="317" t="s">
        <v>111</v>
      </c>
      <c r="D247" s="318"/>
      <c r="E247" s="319" t="s">
        <v>709</v>
      </c>
      <c r="F247" s="321">
        <f t="shared" si="61"/>
        <v>0</v>
      </c>
      <c r="G247" s="322">
        <f t="shared" si="62"/>
        <v>0</v>
      </c>
      <c r="H247" s="198"/>
      <c r="I247" s="200"/>
      <c r="J247" s="165">
        <f t="shared" si="60"/>
        <v>0</v>
      </c>
      <c r="K247" s="165">
        <f>ROUND(G247,0)</f>
        <v>0</v>
      </c>
      <c r="L247" s="165"/>
    </row>
    <row r="248" spans="1:12" ht="27.6" x14ac:dyDescent="0.3">
      <c r="A248" s="317" t="str">
        <f t="shared" si="54"/>
        <v>Do Not Print</v>
      </c>
      <c r="B248" s="318" t="s">
        <v>899</v>
      </c>
      <c r="C248" s="317" t="s">
        <v>1084</v>
      </c>
      <c r="D248" s="318"/>
      <c r="E248" s="319" t="s">
        <v>709</v>
      </c>
      <c r="F248" s="321">
        <f t="shared" si="61"/>
        <v>0</v>
      </c>
      <c r="G248" s="322">
        <f t="shared" si="62"/>
        <v>0</v>
      </c>
      <c r="H248" s="198"/>
      <c r="I248" s="200"/>
      <c r="J248" s="165">
        <f t="shared" ref="J248:K263" si="63">ROUND(F248,0)</f>
        <v>0</v>
      </c>
      <c r="K248" s="165">
        <f t="shared" si="63"/>
        <v>0</v>
      </c>
      <c r="L248" s="165"/>
    </row>
    <row r="249" spans="1:12" ht="27.6" x14ac:dyDescent="0.3">
      <c r="A249" s="317" t="str">
        <f t="shared" si="54"/>
        <v>Do Not Print</v>
      </c>
      <c r="B249" s="318" t="s">
        <v>899</v>
      </c>
      <c r="C249" s="317" t="s">
        <v>1085</v>
      </c>
      <c r="D249" s="318"/>
      <c r="E249" s="319" t="s">
        <v>709</v>
      </c>
      <c r="F249" s="321">
        <f t="shared" si="61"/>
        <v>0</v>
      </c>
      <c r="G249" s="322">
        <f t="shared" si="62"/>
        <v>0</v>
      </c>
      <c r="H249" s="198"/>
      <c r="I249" s="200"/>
      <c r="J249" s="165">
        <f t="shared" si="63"/>
        <v>0</v>
      </c>
      <c r="K249" s="165">
        <f t="shared" si="63"/>
        <v>0</v>
      </c>
      <c r="L249" s="165"/>
    </row>
    <row r="250" spans="1:12" ht="27.6" x14ac:dyDescent="0.3">
      <c r="A250" s="317" t="str">
        <f t="shared" si="54"/>
        <v>Do Not Print</v>
      </c>
      <c r="B250" s="318" t="s">
        <v>899</v>
      </c>
      <c r="C250" s="317" t="s">
        <v>1086</v>
      </c>
      <c r="D250" s="318"/>
      <c r="E250" s="319" t="s">
        <v>709</v>
      </c>
      <c r="F250" s="321">
        <f t="shared" si="61"/>
        <v>0</v>
      </c>
      <c r="G250" s="322">
        <f t="shared" si="62"/>
        <v>0</v>
      </c>
      <c r="H250" s="198"/>
      <c r="I250" s="200"/>
      <c r="J250" s="165">
        <f t="shared" si="63"/>
        <v>0</v>
      </c>
      <c r="K250" s="165">
        <f t="shared" si="63"/>
        <v>0</v>
      </c>
      <c r="L250" s="165"/>
    </row>
    <row r="251" spans="1:12" ht="27.6" x14ac:dyDescent="0.3">
      <c r="A251" s="317" t="str">
        <f t="shared" si="54"/>
        <v>Do Not Print</v>
      </c>
      <c r="B251" s="318" t="s">
        <v>899</v>
      </c>
      <c r="C251" s="317" t="s">
        <v>1087</v>
      </c>
      <c r="D251" s="318"/>
      <c r="E251" s="319" t="s">
        <v>709</v>
      </c>
      <c r="F251" s="321">
        <f t="shared" si="61"/>
        <v>0</v>
      </c>
      <c r="G251" s="322">
        <f t="shared" si="62"/>
        <v>0</v>
      </c>
      <c r="H251" s="198"/>
      <c r="I251" s="200"/>
      <c r="J251" s="165">
        <f t="shared" si="63"/>
        <v>0</v>
      </c>
      <c r="K251" s="165">
        <f t="shared" si="63"/>
        <v>0</v>
      </c>
      <c r="L251" s="165"/>
    </row>
    <row r="252" spans="1:12" ht="27.6" x14ac:dyDescent="0.3">
      <c r="A252" s="317" t="str">
        <f t="shared" si="54"/>
        <v>Do Not Print</v>
      </c>
      <c r="B252" s="318" t="s">
        <v>899</v>
      </c>
      <c r="C252" s="317" t="s">
        <v>1088</v>
      </c>
      <c r="D252" s="318"/>
      <c r="E252" s="319" t="s">
        <v>709</v>
      </c>
      <c r="F252" s="321">
        <f>VLOOKUP($C252,ITAS,8,0)</f>
        <v>0</v>
      </c>
      <c r="G252" s="322">
        <f>VLOOKUP($C252,ITAS,14,0)</f>
        <v>0</v>
      </c>
      <c r="H252" s="198"/>
      <c r="I252" s="200"/>
      <c r="J252" s="165">
        <f t="shared" si="63"/>
        <v>0</v>
      </c>
      <c r="K252" s="165">
        <f t="shared" si="63"/>
        <v>0</v>
      </c>
      <c r="L252" s="165"/>
    </row>
    <row r="253" spans="1:12" ht="27.6" x14ac:dyDescent="0.3">
      <c r="A253" s="317" t="str">
        <f t="shared" si="54"/>
        <v>Do Not Print</v>
      </c>
      <c r="B253" s="318" t="s">
        <v>899</v>
      </c>
      <c r="C253" s="317" t="s">
        <v>997</v>
      </c>
      <c r="D253" s="318"/>
      <c r="E253" s="319" t="s">
        <v>709</v>
      </c>
      <c r="F253" s="321">
        <f>VLOOKUP($C253,ITAS,8,0)</f>
        <v>0</v>
      </c>
      <c r="G253" s="322">
        <f>VLOOKUP($C253,ITAS,14,0)</f>
        <v>0</v>
      </c>
      <c r="H253" s="198"/>
      <c r="I253" s="200"/>
      <c r="J253" s="165">
        <f t="shared" si="63"/>
        <v>0</v>
      </c>
      <c r="K253" s="165">
        <f t="shared" si="63"/>
        <v>0</v>
      </c>
      <c r="L253" s="165"/>
    </row>
    <row r="254" spans="1:12" s="33" customFormat="1" ht="14.4" x14ac:dyDescent="0.3">
      <c r="A254" s="32" t="s">
        <v>448</v>
      </c>
      <c r="C254" s="45" t="s">
        <v>1640</v>
      </c>
      <c r="E254" s="244"/>
      <c r="F254" s="324">
        <f>SUM(F232:F242)-SUM(F243:F253)</f>
        <v>0</v>
      </c>
      <c r="G254" s="324">
        <f>SUM(G232:G242)-SUM(G243:G253)</f>
        <v>0</v>
      </c>
      <c r="H254" s="202"/>
      <c r="I254" s="197"/>
      <c r="J254" s="197">
        <f t="shared" si="63"/>
        <v>0</v>
      </c>
      <c r="K254" s="197">
        <f t="shared" si="63"/>
        <v>0</v>
      </c>
      <c r="L254" s="323"/>
    </row>
    <row r="255" spans="1:12" x14ac:dyDescent="0.3">
      <c r="A255" s="39" t="s">
        <v>448</v>
      </c>
      <c r="F255" s="165"/>
      <c r="G255" s="165"/>
      <c r="H255" s="198"/>
      <c r="I255" s="200"/>
      <c r="J255" s="165"/>
      <c r="K255" s="165"/>
      <c r="L255" s="165"/>
    </row>
    <row r="256" spans="1:12" ht="14.4" x14ac:dyDescent="0.3">
      <c r="A256" s="39" t="s">
        <v>448</v>
      </c>
      <c r="C256" s="45" t="s">
        <v>1103</v>
      </c>
      <c r="F256" s="165"/>
      <c r="G256" s="165"/>
      <c r="H256" s="198"/>
      <c r="I256" s="200"/>
      <c r="J256" s="165"/>
      <c r="K256" s="165"/>
      <c r="L256" s="165"/>
    </row>
    <row r="257" spans="1:12" ht="27.6" x14ac:dyDescent="0.3">
      <c r="A257" s="325" t="str">
        <f>IF(AND(F257=0,G257=0),"Do Not Print","Print")</f>
        <v>Do Not Print</v>
      </c>
      <c r="B257" s="326" t="s">
        <v>896</v>
      </c>
      <c r="C257" s="325" t="s">
        <v>360</v>
      </c>
      <c r="D257" s="326"/>
      <c r="E257" s="327" t="s">
        <v>709</v>
      </c>
      <c r="F257" s="330">
        <f t="shared" ref="F257:F270" si="64">VLOOKUP($C257,SASS,8,0)</f>
        <v>0</v>
      </c>
      <c r="G257" s="331">
        <f t="shared" ref="G257:G270" si="65">VLOOKUP($C257,SASS,14,0)</f>
        <v>0</v>
      </c>
      <c r="H257" s="198"/>
      <c r="I257" s="200"/>
      <c r="J257" s="165">
        <f t="shared" ref="J257:K272" si="66">ROUND(F257,0)</f>
        <v>0</v>
      </c>
      <c r="K257" s="165">
        <f t="shared" si="63"/>
        <v>0</v>
      </c>
      <c r="L257" s="165"/>
    </row>
    <row r="258" spans="1:12" ht="27.6" x14ac:dyDescent="0.3">
      <c r="A258" s="325" t="str">
        <f t="shared" ref="A258:A278" si="67">IF(AND(F258=0,G258=0),"Do Not Print","Print")</f>
        <v>Do Not Print</v>
      </c>
      <c r="B258" s="326" t="s">
        <v>896</v>
      </c>
      <c r="C258" s="325" t="s">
        <v>101</v>
      </c>
      <c r="D258" s="326"/>
      <c r="E258" s="327" t="s">
        <v>709</v>
      </c>
      <c r="F258" s="330">
        <f t="shared" si="64"/>
        <v>0</v>
      </c>
      <c r="G258" s="331">
        <f t="shared" si="65"/>
        <v>0</v>
      </c>
      <c r="H258" s="198"/>
      <c r="I258" s="200"/>
      <c r="J258" s="165">
        <f t="shared" si="66"/>
        <v>0</v>
      </c>
      <c r="K258" s="165">
        <f t="shared" si="63"/>
        <v>0</v>
      </c>
      <c r="L258" s="165"/>
    </row>
    <row r="259" spans="1:12" ht="27.6" x14ac:dyDescent="0.3">
      <c r="A259" s="325" t="str">
        <f t="shared" si="67"/>
        <v>Do Not Print</v>
      </c>
      <c r="B259" s="326" t="s">
        <v>896</v>
      </c>
      <c r="C259" s="328" t="s">
        <v>961</v>
      </c>
      <c r="D259" s="326"/>
      <c r="E259" s="327" t="s">
        <v>709</v>
      </c>
      <c r="F259" s="330">
        <f t="shared" si="64"/>
        <v>0</v>
      </c>
      <c r="G259" s="331">
        <f t="shared" si="65"/>
        <v>0</v>
      </c>
      <c r="H259" s="198"/>
      <c r="I259" s="200"/>
      <c r="J259" s="165">
        <f t="shared" si="66"/>
        <v>0</v>
      </c>
      <c r="K259" s="165">
        <f t="shared" si="63"/>
        <v>0</v>
      </c>
      <c r="L259" s="165"/>
    </row>
    <row r="260" spans="1:12" ht="13.5" customHeight="1" x14ac:dyDescent="0.3">
      <c r="A260" s="325" t="str">
        <f t="shared" si="67"/>
        <v>Do Not Print</v>
      </c>
      <c r="B260" s="326" t="s">
        <v>896</v>
      </c>
      <c r="C260" s="325" t="s">
        <v>1094</v>
      </c>
      <c r="D260" s="326"/>
      <c r="E260" s="327" t="s">
        <v>709</v>
      </c>
      <c r="F260" s="330">
        <f t="shared" si="64"/>
        <v>0</v>
      </c>
      <c r="G260" s="331">
        <f t="shared" si="65"/>
        <v>0</v>
      </c>
      <c r="H260" s="198"/>
      <c r="I260" s="200"/>
      <c r="J260" s="165">
        <f t="shared" si="66"/>
        <v>0</v>
      </c>
      <c r="K260" s="165">
        <f>ROUND(G260,0)</f>
        <v>0</v>
      </c>
      <c r="L260" s="165"/>
    </row>
    <row r="261" spans="1:12" ht="13.5" customHeight="1" x14ac:dyDescent="0.3">
      <c r="A261" s="325" t="str">
        <f t="shared" si="67"/>
        <v>Do Not Print</v>
      </c>
      <c r="B261" s="326" t="s">
        <v>896</v>
      </c>
      <c r="C261" s="325" t="s">
        <v>1096</v>
      </c>
      <c r="D261" s="326"/>
      <c r="E261" s="327" t="s">
        <v>709</v>
      </c>
      <c r="F261" s="330">
        <f t="shared" si="64"/>
        <v>0</v>
      </c>
      <c r="G261" s="331">
        <f t="shared" si="65"/>
        <v>0</v>
      </c>
      <c r="H261" s="198"/>
      <c r="I261" s="200"/>
      <c r="J261" s="165">
        <f t="shared" si="66"/>
        <v>0</v>
      </c>
      <c r="K261" s="165">
        <f>ROUND(G261,0)</f>
        <v>0</v>
      </c>
      <c r="L261" s="165"/>
    </row>
    <row r="262" spans="1:12" ht="27.6" x14ac:dyDescent="0.3">
      <c r="A262" s="325" t="str">
        <f t="shared" si="67"/>
        <v>Do Not Print</v>
      </c>
      <c r="B262" s="326" t="s">
        <v>896</v>
      </c>
      <c r="C262" s="328" t="s">
        <v>962</v>
      </c>
      <c r="D262" s="326"/>
      <c r="E262" s="327" t="s">
        <v>709</v>
      </c>
      <c r="F262" s="330">
        <f t="shared" si="64"/>
        <v>0</v>
      </c>
      <c r="G262" s="331">
        <f t="shared" si="65"/>
        <v>0</v>
      </c>
      <c r="H262" s="198"/>
      <c r="I262" s="200"/>
      <c r="J262" s="165">
        <f t="shared" si="66"/>
        <v>0</v>
      </c>
      <c r="K262" s="165">
        <f t="shared" si="63"/>
        <v>0</v>
      </c>
      <c r="L262" s="165"/>
    </row>
    <row r="263" spans="1:12" ht="27.6" x14ac:dyDescent="0.3">
      <c r="A263" s="325" t="str">
        <f t="shared" si="67"/>
        <v>Do Not Print</v>
      </c>
      <c r="B263" s="326" t="s">
        <v>896</v>
      </c>
      <c r="C263" s="325" t="s">
        <v>361</v>
      </c>
      <c r="D263" s="326"/>
      <c r="E263" s="327" t="s">
        <v>709</v>
      </c>
      <c r="F263" s="330">
        <f t="shared" si="64"/>
        <v>0</v>
      </c>
      <c r="G263" s="331">
        <f t="shared" si="65"/>
        <v>0</v>
      </c>
      <c r="H263" s="198"/>
      <c r="I263" s="200"/>
      <c r="J263" s="165">
        <f t="shared" si="66"/>
        <v>0</v>
      </c>
      <c r="K263" s="165">
        <f t="shared" si="63"/>
        <v>0</v>
      </c>
      <c r="L263" s="165"/>
    </row>
    <row r="264" spans="1:12" ht="27.6" x14ac:dyDescent="0.3">
      <c r="A264" s="325" t="str">
        <f t="shared" si="67"/>
        <v>Do Not Print</v>
      </c>
      <c r="B264" s="326" t="s">
        <v>896</v>
      </c>
      <c r="C264" s="328" t="s">
        <v>1061</v>
      </c>
      <c r="D264" s="326"/>
      <c r="E264" s="327" t="s">
        <v>709</v>
      </c>
      <c r="F264" s="330">
        <f t="shared" si="64"/>
        <v>0</v>
      </c>
      <c r="G264" s="331">
        <f t="shared" si="65"/>
        <v>0</v>
      </c>
      <c r="H264" s="198"/>
      <c r="I264" s="200"/>
      <c r="J264" s="165">
        <f t="shared" si="66"/>
        <v>0</v>
      </c>
      <c r="K264" s="165">
        <f t="shared" si="66"/>
        <v>0</v>
      </c>
      <c r="L264" s="165"/>
    </row>
    <row r="265" spans="1:12" ht="27.6" x14ac:dyDescent="0.3">
      <c r="A265" s="325" t="str">
        <f t="shared" si="67"/>
        <v>Do Not Print</v>
      </c>
      <c r="B265" s="326" t="s">
        <v>896</v>
      </c>
      <c r="C265" s="325" t="s">
        <v>362</v>
      </c>
      <c r="D265" s="326"/>
      <c r="E265" s="327" t="s">
        <v>709</v>
      </c>
      <c r="F265" s="330">
        <f t="shared" si="64"/>
        <v>0</v>
      </c>
      <c r="G265" s="331">
        <f t="shared" si="65"/>
        <v>0</v>
      </c>
      <c r="H265" s="198"/>
      <c r="I265" s="200"/>
      <c r="J265" s="165">
        <f t="shared" si="66"/>
        <v>0</v>
      </c>
      <c r="K265" s="165">
        <f t="shared" si="66"/>
        <v>0</v>
      </c>
      <c r="L265" s="165"/>
    </row>
    <row r="266" spans="1:12" ht="27.6" x14ac:dyDescent="0.3">
      <c r="A266" s="325" t="str">
        <f t="shared" si="67"/>
        <v>Do Not Print</v>
      </c>
      <c r="B266" s="326" t="s">
        <v>896</v>
      </c>
      <c r="C266" s="325" t="s">
        <v>363</v>
      </c>
      <c r="D266" s="326"/>
      <c r="E266" s="327" t="s">
        <v>709</v>
      </c>
      <c r="F266" s="330">
        <f t="shared" si="64"/>
        <v>0</v>
      </c>
      <c r="G266" s="331">
        <f t="shared" si="65"/>
        <v>0</v>
      </c>
      <c r="H266" s="198"/>
      <c r="I266" s="200"/>
      <c r="J266" s="165">
        <f t="shared" si="66"/>
        <v>0</v>
      </c>
      <c r="K266" s="165">
        <f t="shared" si="66"/>
        <v>0</v>
      </c>
      <c r="L266" s="165"/>
    </row>
    <row r="267" spans="1:12" ht="27.6" x14ac:dyDescent="0.3">
      <c r="A267" s="325" t="str">
        <f t="shared" si="67"/>
        <v>Do Not Print</v>
      </c>
      <c r="B267" s="326" t="s">
        <v>896</v>
      </c>
      <c r="C267" s="325" t="s">
        <v>1100</v>
      </c>
      <c r="D267" s="326"/>
      <c r="E267" s="327" t="s">
        <v>709</v>
      </c>
      <c r="F267" s="330">
        <f t="shared" si="64"/>
        <v>0</v>
      </c>
      <c r="G267" s="331">
        <f t="shared" si="65"/>
        <v>0</v>
      </c>
      <c r="H267" s="198"/>
      <c r="I267" s="200"/>
      <c r="J267" s="165">
        <f t="shared" si="66"/>
        <v>0</v>
      </c>
      <c r="K267" s="165">
        <f>ROUND(G267,0)</f>
        <v>0</v>
      </c>
      <c r="L267" s="165"/>
    </row>
    <row r="268" spans="1:12" ht="27.6" x14ac:dyDescent="0.3">
      <c r="A268" s="325" t="str">
        <f t="shared" si="67"/>
        <v>Do Not Print</v>
      </c>
      <c r="B268" s="326" t="s">
        <v>896</v>
      </c>
      <c r="C268" s="328" t="s">
        <v>1124</v>
      </c>
      <c r="D268" s="326"/>
      <c r="E268" s="327" t="s">
        <v>709</v>
      </c>
      <c r="F268" s="330">
        <f t="shared" si="64"/>
        <v>0</v>
      </c>
      <c r="G268" s="331">
        <f t="shared" si="65"/>
        <v>0</v>
      </c>
      <c r="H268" s="198"/>
      <c r="I268" s="200"/>
      <c r="J268" s="165">
        <f t="shared" si="66"/>
        <v>0</v>
      </c>
      <c r="K268" s="165">
        <f t="shared" si="66"/>
        <v>0</v>
      </c>
      <c r="L268" s="165"/>
    </row>
    <row r="269" spans="1:12" ht="27.6" x14ac:dyDescent="0.3">
      <c r="A269" s="325" t="str">
        <f t="shared" si="67"/>
        <v>Do Not Print</v>
      </c>
      <c r="B269" s="326" t="s">
        <v>896</v>
      </c>
      <c r="C269" s="329" t="s">
        <v>101</v>
      </c>
      <c r="D269" s="326"/>
      <c r="E269" s="327" t="s">
        <v>709</v>
      </c>
      <c r="F269" s="330">
        <f t="shared" si="64"/>
        <v>0</v>
      </c>
      <c r="G269" s="331">
        <f t="shared" si="65"/>
        <v>0</v>
      </c>
      <c r="H269" s="198"/>
      <c r="I269" s="200"/>
      <c r="J269" s="165">
        <f t="shared" si="66"/>
        <v>0</v>
      </c>
      <c r="K269" s="165">
        <f t="shared" si="66"/>
        <v>0</v>
      </c>
      <c r="L269" s="165"/>
    </row>
    <row r="270" spans="1:12" ht="27.6" x14ac:dyDescent="0.3">
      <c r="A270" s="325" t="str">
        <f t="shared" si="67"/>
        <v>Do Not Print</v>
      </c>
      <c r="B270" s="326" t="s">
        <v>896</v>
      </c>
      <c r="C270" s="328" t="s">
        <v>1125</v>
      </c>
      <c r="D270" s="326"/>
      <c r="E270" s="327" t="s">
        <v>709</v>
      </c>
      <c r="F270" s="330">
        <f t="shared" si="64"/>
        <v>0</v>
      </c>
      <c r="G270" s="331">
        <f t="shared" si="65"/>
        <v>0</v>
      </c>
      <c r="H270" s="198"/>
      <c r="I270" s="200"/>
      <c r="J270" s="165">
        <f t="shared" si="66"/>
        <v>0</v>
      </c>
      <c r="K270" s="165">
        <f t="shared" si="66"/>
        <v>0</v>
      </c>
      <c r="L270" s="165"/>
    </row>
    <row r="271" spans="1:12" ht="27.6" x14ac:dyDescent="0.3">
      <c r="A271" s="325" t="str">
        <f t="shared" si="67"/>
        <v>Do Not Print</v>
      </c>
      <c r="B271" s="326" t="s">
        <v>896</v>
      </c>
      <c r="C271" s="328" t="s">
        <v>1126</v>
      </c>
      <c r="D271" s="326"/>
      <c r="E271" s="327" t="s">
        <v>709</v>
      </c>
      <c r="F271" s="330">
        <f t="shared" ref="F271:F276" si="68">-VLOOKUP($C271,SASS,8,0)</f>
        <v>0</v>
      </c>
      <c r="G271" s="331">
        <f t="shared" ref="G271:G276" si="69">-VLOOKUP($C271,SASS,14,0)</f>
        <v>0</v>
      </c>
      <c r="H271" s="198"/>
      <c r="I271" s="200"/>
      <c r="J271" s="165">
        <f t="shared" si="66"/>
        <v>0</v>
      </c>
      <c r="K271" s="165">
        <f t="shared" si="66"/>
        <v>0</v>
      </c>
      <c r="L271" s="165"/>
    </row>
    <row r="272" spans="1:12" ht="41.4" x14ac:dyDescent="0.3">
      <c r="A272" s="325" t="str">
        <f t="shared" si="67"/>
        <v>Do Not Print</v>
      </c>
      <c r="B272" s="326" t="s">
        <v>896</v>
      </c>
      <c r="C272" s="325" t="s">
        <v>111</v>
      </c>
      <c r="D272" s="326"/>
      <c r="E272" s="327" t="s">
        <v>709</v>
      </c>
      <c r="F272" s="330">
        <f t="shared" si="68"/>
        <v>0</v>
      </c>
      <c r="G272" s="331">
        <f t="shared" si="69"/>
        <v>0</v>
      </c>
      <c r="H272" s="198"/>
      <c r="I272" s="200"/>
      <c r="J272" s="165">
        <f t="shared" si="66"/>
        <v>0</v>
      </c>
      <c r="K272" s="165">
        <f t="shared" si="66"/>
        <v>0</v>
      </c>
      <c r="L272" s="165"/>
    </row>
    <row r="273" spans="1:12" ht="27.6" x14ac:dyDescent="0.3">
      <c r="A273" s="325" t="str">
        <f t="shared" si="67"/>
        <v>Do Not Print</v>
      </c>
      <c r="B273" s="326" t="s">
        <v>896</v>
      </c>
      <c r="C273" s="328" t="s">
        <v>1131</v>
      </c>
      <c r="D273" s="326"/>
      <c r="E273" s="327" t="s">
        <v>709</v>
      </c>
      <c r="F273" s="330">
        <f t="shared" si="68"/>
        <v>0</v>
      </c>
      <c r="G273" s="331">
        <f t="shared" si="69"/>
        <v>0</v>
      </c>
      <c r="H273" s="198"/>
      <c r="I273" s="200"/>
      <c r="J273" s="165">
        <f t="shared" ref="J273:K281" si="70">ROUND(F273,0)</f>
        <v>0</v>
      </c>
      <c r="K273" s="165">
        <f t="shared" si="70"/>
        <v>0</v>
      </c>
      <c r="L273" s="165"/>
    </row>
    <row r="274" spans="1:12" ht="27.6" x14ac:dyDescent="0.3">
      <c r="A274" s="325" t="str">
        <f t="shared" si="67"/>
        <v>Do Not Print</v>
      </c>
      <c r="B274" s="326" t="s">
        <v>896</v>
      </c>
      <c r="C274" s="328" t="s">
        <v>1127</v>
      </c>
      <c r="D274" s="326"/>
      <c r="E274" s="327" t="s">
        <v>709</v>
      </c>
      <c r="F274" s="330">
        <f t="shared" si="68"/>
        <v>0</v>
      </c>
      <c r="G274" s="331">
        <f t="shared" si="69"/>
        <v>0</v>
      </c>
      <c r="H274" s="198"/>
      <c r="I274" s="200"/>
      <c r="J274" s="165">
        <f t="shared" si="70"/>
        <v>0</v>
      </c>
      <c r="K274" s="165">
        <f t="shared" si="70"/>
        <v>0</v>
      </c>
      <c r="L274" s="165"/>
    </row>
    <row r="275" spans="1:12" ht="27.6" x14ac:dyDescent="0.3">
      <c r="A275" s="325" t="str">
        <f t="shared" si="67"/>
        <v>Do Not Print</v>
      </c>
      <c r="B275" s="326" t="s">
        <v>896</v>
      </c>
      <c r="C275" s="328" t="s">
        <v>1128</v>
      </c>
      <c r="D275" s="326"/>
      <c r="E275" s="327" t="s">
        <v>709</v>
      </c>
      <c r="F275" s="330">
        <f t="shared" si="68"/>
        <v>0</v>
      </c>
      <c r="G275" s="331">
        <f t="shared" si="69"/>
        <v>0</v>
      </c>
      <c r="H275" s="198"/>
      <c r="I275" s="200"/>
      <c r="J275" s="165">
        <f t="shared" si="70"/>
        <v>0</v>
      </c>
      <c r="K275" s="165">
        <f t="shared" si="70"/>
        <v>0</v>
      </c>
      <c r="L275" s="165"/>
    </row>
    <row r="276" spans="1:12" ht="27.6" x14ac:dyDescent="0.3">
      <c r="A276" s="325" t="str">
        <f t="shared" si="67"/>
        <v>Do Not Print</v>
      </c>
      <c r="B276" s="326" t="s">
        <v>896</v>
      </c>
      <c r="C276" s="328" t="s">
        <v>1129</v>
      </c>
      <c r="D276" s="326"/>
      <c r="E276" s="327" t="s">
        <v>709</v>
      </c>
      <c r="F276" s="330">
        <f t="shared" si="68"/>
        <v>0</v>
      </c>
      <c r="G276" s="331">
        <f t="shared" si="69"/>
        <v>0</v>
      </c>
      <c r="H276" s="198"/>
      <c r="I276" s="200"/>
      <c r="J276" s="165">
        <f t="shared" si="70"/>
        <v>0</v>
      </c>
      <c r="K276" s="165">
        <f t="shared" si="70"/>
        <v>0</v>
      </c>
      <c r="L276" s="165"/>
    </row>
    <row r="277" spans="1:12" ht="27.6" x14ac:dyDescent="0.3">
      <c r="A277" s="325" t="str">
        <f t="shared" si="67"/>
        <v>Do Not Print</v>
      </c>
      <c r="B277" s="326" t="s">
        <v>896</v>
      </c>
      <c r="C277" s="328" t="s">
        <v>1130</v>
      </c>
      <c r="D277" s="326"/>
      <c r="E277" s="327" t="s">
        <v>709</v>
      </c>
      <c r="F277" s="330">
        <f>VLOOKUP($C277,SASS,8,0)</f>
        <v>0</v>
      </c>
      <c r="G277" s="331">
        <f>VLOOKUP($C277,SASS,14,0)</f>
        <v>0</v>
      </c>
      <c r="H277" s="198"/>
      <c r="I277" s="200"/>
      <c r="J277" s="165">
        <f t="shared" si="70"/>
        <v>0</v>
      </c>
      <c r="K277" s="165">
        <f t="shared" si="70"/>
        <v>0</v>
      </c>
      <c r="L277" s="165"/>
    </row>
    <row r="278" spans="1:12" ht="27.6" x14ac:dyDescent="0.3">
      <c r="A278" s="325" t="str">
        <f t="shared" si="67"/>
        <v>Do Not Print</v>
      </c>
      <c r="B278" s="326" t="s">
        <v>896</v>
      </c>
      <c r="C278" s="325" t="s">
        <v>997</v>
      </c>
      <c r="D278" s="326"/>
      <c r="E278" s="327" t="s">
        <v>709</v>
      </c>
      <c r="F278" s="330">
        <f>VLOOKUP($C278,SASS,8,0)</f>
        <v>0</v>
      </c>
      <c r="G278" s="331">
        <f>VLOOKUP($C278,SASS,14,0)</f>
        <v>0</v>
      </c>
      <c r="H278" s="198"/>
      <c r="I278" s="200"/>
      <c r="J278" s="165">
        <f t="shared" si="70"/>
        <v>0</v>
      </c>
      <c r="K278" s="165">
        <f t="shared" si="70"/>
        <v>0</v>
      </c>
      <c r="L278" s="165"/>
    </row>
    <row r="279" spans="1:12" s="33" customFormat="1" ht="14.4" x14ac:dyDescent="0.3">
      <c r="A279" s="32" t="s">
        <v>448</v>
      </c>
      <c r="C279" s="45" t="s">
        <v>1641</v>
      </c>
      <c r="E279" s="244"/>
      <c r="F279" s="332">
        <f>SUM(F257:F278)</f>
        <v>0</v>
      </c>
      <c r="G279" s="332">
        <f>SUM(G257:G278)</f>
        <v>0</v>
      </c>
      <c r="H279" s="202"/>
      <c r="I279" s="323"/>
      <c r="J279" s="323">
        <f t="shared" si="70"/>
        <v>0</v>
      </c>
      <c r="K279" s="323">
        <f t="shared" si="70"/>
        <v>0</v>
      </c>
      <c r="L279" s="323"/>
    </row>
    <row r="280" spans="1:12" x14ac:dyDescent="0.3">
      <c r="A280" s="39" t="s">
        <v>448</v>
      </c>
      <c r="F280" s="183"/>
      <c r="G280" s="183"/>
      <c r="H280" s="201"/>
      <c r="I280" s="165"/>
      <c r="J280" s="165"/>
      <c r="K280" s="165"/>
      <c r="L280" s="165"/>
    </row>
    <row r="281" spans="1:12" s="334" customFormat="1" ht="15.6" x14ac:dyDescent="0.3">
      <c r="A281" s="333" t="s">
        <v>448</v>
      </c>
      <c r="C281" s="338" t="s">
        <v>1642</v>
      </c>
      <c r="E281" s="335"/>
      <c r="F281" s="193">
        <f>F29+F53+F77+F101+F125+F149+F173+F197+F221+F230+F254+F279</f>
        <v>0</v>
      </c>
      <c r="G281" s="193">
        <f>G29+G53+G77+G101+G125+G149+G173+G197+G221+G230+G254+G279</f>
        <v>0</v>
      </c>
      <c r="H281" s="336"/>
      <c r="I281" s="337"/>
      <c r="J281" s="337">
        <f t="shared" si="70"/>
        <v>0</v>
      </c>
      <c r="K281" s="337">
        <f t="shared" si="70"/>
        <v>0</v>
      </c>
      <c r="L281" s="337"/>
    </row>
    <row r="282" spans="1:12" ht="27.6" x14ac:dyDescent="0.3">
      <c r="A282" s="39" t="str">
        <f>IF(AND(F282=0,G282=0),"Do Not Print","Print")</f>
        <v>Do Not Print</v>
      </c>
      <c r="F282" s="183"/>
      <c r="G282" s="183"/>
      <c r="H282" s="201"/>
      <c r="I282" s="165"/>
      <c r="J282" s="165"/>
      <c r="K282" s="165"/>
      <c r="L282" s="165"/>
    </row>
    <row r="283" spans="1:12" ht="14.4" x14ac:dyDescent="0.3">
      <c r="A283" s="39" t="s">
        <v>448</v>
      </c>
      <c r="C283" s="45" t="s">
        <v>705</v>
      </c>
      <c r="F283" s="183"/>
      <c r="G283" s="183"/>
      <c r="H283" s="201"/>
      <c r="I283" s="165"/>
      <c r="J283" s="165"/>
      <c r="K283" s="165"/>
      <c r="L283" s="165"/>
    </row>
    <row r="284" spans="1:12" ht="27.6" x14ac:dyDescent="0.3">
      <c r="A284" s="339" t="str">
        <f>IF(AND(F284=0,G284=0),"Do Not Print","Print")</f>
        <v>Do Not Print</v>
      </c>
      <c r="B284" s="340" t="s">
        <v>1109</v>
      </c>
      <c r="C284" s="339" t="s">
        <v>1105</v>
      </c>
      <c r="D284" s="340"/>
      <c r="E284" s="341"/>
      <c r="F284" s="342">
        <f>VLOOKUP($C284,LTIN,8,0)</f>
        <v>0</v>
      </c>
      <c r="G284" s="343">
        <f>VLOOKUP($C284,LTIN,14,0)</f>
        <v>0</v>
      </c>
      <c r="H284" s="201"/>
      <c r="I284" s="165"/>
      <c r="J284" s="165">
        <f t="shared" ref="J284:K287" si="71">ROUND(F284,0)</f>
        <v>0</v>
      </c>
      <c r="K284" s="165">
        <f t="shared" si="71"/>
        <v>0</v>
      </c>
      <c r="L284" s="165"/>
    </row>
    <row r="285" spans="1:12" ht="27.6" x14ac:dyDescent="0.3">
      <c r="A285" s="339" t="str">
        <f>IF(AND(F285=0,G285=0),"Do Not Print","Print")</f>
        <v>Do Not Print</v>
      </c>
      <c r="B285" s="340" t="s">
        <v>1109</v>
      </c>
      <c r="C285" s="339" t="s">
        <v>1106</v>
      </c>
      <c r="D285" s="340"/>
      <c r="E285" s="341"/>
      <c r="F285" s="342">
        <f>VLOOKUP($C285,LTIN,8,0)</f>
        <v>0</v>
      </c>
      <c r="G285" s="343">
        <f>VLOOKUP($C285,LTIN,14,0)</f>
        <v>0</v>
      </c>
      <c r="H285" s="201"/>
      <c r="I285" s="165"/>
      <c r="J285" s="165">
        <f t="shared" si="71"/>
        <v>0</v>
      </c>
      <c r="K285" s="165">
        <f t="shared" si="71"/>
        <v>0</v>
      </c>
      <c r="L285" s="165"/>
    </row>
    <row r="286" spans="1:12" ht="27.6" x14ac:dyDescent="0.3">
      <c r="A286" s="339" t="str">
        <f>IF(AND(F286=0,G286=0),"Do Not Print","Print")</f>
        <v>Do Not Print</v>
      </c>
      <c r="B286" s="340" t="s">
        <v>1109</v>
      </c>
      <c r="C286" s="339" t="s">
        <v>1107</v>
      </c>
      <c r="D286" s="340"/>
      <c r="E286" s="341"/>
      <c r="F286" s="342">
        <f>VLOOKUP($C286,LTIN,8,0)</f>
        <v>0</v>
      </c>
      <c r="G286" s="343">
        <f>VLOOKUP($C286,LTIN,14,0)</f>
        <v>0</v>
      </c>
      <c r="H286" s="201"/>
      <c r="I286" s="165"/>
      <c r="J286" s="165">
        <f t="shared" si="71"/>
        <v>0</v>
      </c>
      <c r="K286" s="165">
        <f t="shared" si="71"/>
        <v>0</v>
      </c>
      <c r="L286" s="165"/>
    </row>
    <row r="287" spans="1:12" ht="27.6" x14ac:dyDescent="0.3">
      <c r="A287" s="339" t="str">
        <f>IF(AND(F287=0,G287=0),"Do Not Print","Print")</f>
        <v>Do Not Print</v>
      </c>
      <c r="B287" s="340" t="s">
        <v>1109</v>
      </c>
      <c r="C287" s="339" t="s">
        <v>1108</v>
      </c>
      <c r="D287" s="340"/>
      <c r="E287" s="341"/>
      <c r="F287" s="342">
        <f>VLOOKUP($C287,LTIN,8,0)</f>
        <v>0</v>
      </c>
      <c r="G287" s="343">
        <f>VLOOKUP($C287,LTIN,14,0)</f>
        <v>0</v>
      </c>
      <c r="H287" s="201"/>
      <c r="I287" s="165"/>
      <c r="J287" s="165">
        <f>ROUND(F287,0)</f>
        <v>0</v>
      </c>
      <c r="K287" s="165">
        <f t="shared" si="71"/>
        <v>0</v>
      </c>
      <c r="L287" s="165"/>
    </row>
    <row r="288" spans="1:12" s="14" customFormat="1" ht="14.4" x14ac:dyDescent="0.3">
      <c r="A288" s="45" t="s">
        <v>448</v>
      </c>
      <c r="C288" s="45"/>
      <c r="E288" s="258"/>
      <c r="F288" s="344">
        <f>SUM(F284:F287)</f>
        <v>0</v>
      </c>
      <c r="G288" s="344">
        <f>SUM(G284:G287)</f>
        <v>0</v>
      </c>
      <c r="H288" s="202"/>
      <c r="I288" s="197"/>
      <c r="J288" s="197">
        <f>SUM(J284:J287)</f>
        <v>0</v>
      </c>
      <c r="K288" s="197">
        <f>SUM(K284:K287)</f>
        <v>0</v>
      </c>
      <c r="L288" s="197"/>
    </row>
    <row r="289" spans="1:12" x14ac:dyDescent="0.3">
      <c r="A289" s="39" t="s">
        <v>448</v>
      </c>
      <c r="F289" s="183"/>
      <c r="G289" s="183"/>
      <c r="H289" s="201"/>
      <c r="I289" s="165"/>
      <c r="J289" s="165"/>
      <c r="K289" s="165"/>
      <c r="L289" s="165"/>
    </row>
    <row r="290" spans="1:12" s="3" customFormat="1" ht="28.8" x14ac:dyDescent="0.3">
      <c r="A290" s="18" t="str">
        <f t="shared" ref="A290:A295" si="72">IF(AND(F290=0,G290=0),"Do Not Print","Print")</f>
        <v>Do Not Print</v>
      </c>
      <c r="C290" s="45" t="s">
        <v>1101</v>
      </c>
      <c r="E290" s="50"/>
      <c r="F290" s="183"/>
      <c r="G290" s="183"/>
      <c r="H290" s="183"/>
      <c r="I290" s="185"/>
      <c r="J290" s="185"/>
      <c r="K290" s="185"/>
      <c r="L290" s="185"/>
    </row>
    <row r="291" spans="1:12" s="3" customFormat="1" ht="27.6" x14ac:dyDescent="0.3">
      <c r="A291" s="18" t="str">
        <f t="shared" si="72"/>
        <v>Do Not Print</v>
      </c>
      <c r="B291" s="3" t="s">
        <v>1647</v>
      </c>
      <c r="C291" s="18" t="s">
        <v>1644</v>
      </c>
      <c r="E291" s="50"/>
      <c r="F291" s="183">
        <f>VLOOKUP($C291,IJVA,8,0)</f>
        <v>0</v>
      </c>
      <c r="G291" s="183">
        <f>VLOOKUP($C291,IJVA,14,0)</f>
        <v>0</v>
      </c>
      <c r="H291" s="183"/>
      <c r="I291" s="185"/>
      <c r="J291" s="185">
        <f t="shared" ref="J291:K295" si="73">ROUND(F291,0)</f>
        <v>0</v>
      </c>
      <c r="K291" s="185">
        <f t="shared" si="73"/>
        <v>0</v>
      </c>
      <c r="L291" s="185"/>
    </row>
    <row r="292" spans="1:12" s="3" customFormat="1" ht="27.6" x14ac:dyDescent="0.3">
      <c r="A292" s="18" t="str">
        <f t="shared" si="72"/>
        <v>Do Not Print</v>
      </c>
      <c r="B292" s="3" t="s">
        <v>1647</v>
      </c>
      <c r="C292" s="18" t="s">
        <v>1645</v>
      </c>
      <c r="E292" s="50"/>
      <c r="F292" s="183">
        <f>VLOOKUP($C292,IJVA,8,0)</f>
        <v>0</v>
      </c>
      <c r="G292" s="183">
        <f>VLOOKUP($C292,IJVA,14,0)</f>
        <v>0</v>
      </c>
      <c r="H292" s="183"/>
      <c r="I292" s="185"/>
      <c r="J292" s="185">
        <f t="shared" si="73"/>
        <v>0</v>
      </c>
      <c r="K292" s="185">
        <f t="shared" si="73"/>
        <v>0</v>
      </c>
      <c r="L292" s="185"/>
    </row>
    <row r="293" spans="1:12" s="3" customFormat="1" ht="27.6" x14ac:dyDescent="0.3">
      <c r="A293" s="18" t="str">
        <f t="shared" si="72"/>
        <v>Do Not Print</v>
      </c>
      <c r="B293" s="3" t="s">
        <v>1647</v>
      </c>
      <c r="C293" s="18" t="s">
        <v>75</v>
      </c>
      <c r="E293" s="50"/>
      <c r="F293" s="183">
        <f>VLOOKUP($C293,IJVA,8,0)</f>
        <v>0</v>
      </c>
      <c r="G293" s="183">
        <f>VLOOKUP($C293,IJVA,14,0)</f>
        <v>0</v>
      </c>
      <c r="H293" s="183"/>
      <c r="I293" s="185"/>
      <c r="J293" s="185">
        <f t="shared" si="73"/>
        <v>0</v>
      </c>
      <c r="K293" s="185">
        <f t="shared" si="73"/>
        <v>0</v>
      </c>
      <c r="L293" s="185"/>
    </row>
    <row r="294" spans="1:12" s="3" customFormat="1" ht="27.6" x14ac:dyDescent="0.3">
      <c r="A294" s="18" t="str">
        <f t="shared" si="72"/>
        <v>Do Not Print</v>
      </c>
      <c r="B294" s="3" t="s">
        <v>1647</v>
      </c>
      <c r="C294" s="18" t="s">
        <v>76</v>
      </c>
      <c r="E294" s="50"/>
      <c r="F294" s="183">
        <f>VLOOKUP($C294,IJVA,8,0)</f>
        <v>0</v>
      </c>
      <c r="G294" s="183">
        <f>VLOOKUP($C294,IJVA,14,0)</f>
        <v>0</v>
      </c>
      <c r="H294" s="183"/>
      <c r="I294" s="185"/>
      <c r="J294" s="185">
        <f t="shared" si="73"/>
        <v>0</v>
      </c>
      <c r="K294" s="185">
        <f t="shared" si="73"/>
        <v>0</v>
      </c>
      <c r="L294" s="185"/>
    </row>
    <row r="295" spans="1:12" s="6" customFormat="1" ht="27.6" x14ac:dyDescent="0.3">
      <c r="A295" s="38" t="str">
        <f t="shared" si="72"/>
        <v>Do Not Print</v>
      </c>
      <c r="B295" s="6" t="s">
        <v>1647</v>
      </c>
      <c r="C295" s="38" t="s">
        <v>1646</v>
      </c>
      <c r="E295" s="243"/>
      <c r="F295" s="183">
        <f>SUM(F291:F294)</f>
        <v>0</v>
      </c>
      <c r="G295" s="183">
        <f>SUM(G291:G294)</f>
        <v>0</v>
      </c>
      <c r="H295" s="183"/>
      <c r="I295" s="183"/>
      <c r="J295" s="185">
        <f t="shared" si="73"/>
        <v>0</v>
      </c>
      <c r="K295" s="185">
        <f t="shared" si="73"/>
        <v>0</v>
      </c>
      <c r="L295" s="183"/>
    </row>
    <row r="296" spans="1:12" ht="27.6" x14ac:dyDescent="0.3">
      <c r="A296" s="39" t="str">
        <f>IF(AND(F296=0,G296=0),"Do Not Print","Print")</f>
        <v>Do Not Print</v>
      </c>
      <c r="F296" s="183"/>
      <c r="G296" s="183"/>
      <c r="H296" s="201"/>
      <c r="I296" s="165"/>
      <c r="J296" s="165"/>
      <c r="K296" s="165"/>
      <c r="L296" s="165"/>
    </row>
    <row r="297" spans="1:12" ht="14.4" x14ac:dyDescent="0.3">
      <c r="A297" s="39" t="s">
        <v>448</v>
      </c>
      <c r="B297" s="1"/>
      <c r="C297" s="45" t="s">
        <v>364</v>
      </c>
      <c r="D297" s="14"/>
      <c r="F297" s="165"/>
      <c r="G297" s="165"/>
      <c r="H297" s="198"/>
      <c r="I297" s="165"/>
      <c r="J297" s="165"/>
      <c r="K297" s="165"/>
      <c r="L297" s="165"/>
    </row>
    <row r="298" spans="1:12" ht="27.6" x14ac:dyDescent="0.3">
      <c r="A298" s="345" t="str">
        <f t="shared" ref="A298:A313" si="74">IF(AND(F298=0,G298=0),"Do Not Print","Print")</f>
        <v>Do Not Print</v>
      </c>
      <c r="B298" s="346" t="s">
        <v>121</v>
      </c>
      <c r="C298" s="345" t="s">
        <v>365</v>
      </c>
      <c r="D298" s="346"/>
      <c r="E298" s="347" t="s">
        <v>710</v>
      </c>
      <c r="F298" s="348">
        <f t="shared" ref="F298:F312" si="75">VLOOKUP($C298,LTDR,8,0)</f>
        <v>0</v>
      </c>
      <c r="G298" s="163">
        <f t="shared" ref="G298:G312" si="76">VLOOKUP($C298,LTDR,14,0)</f>
        <v>0</v>
      </c>
      <c r="H298" s="198"/>
      <c r="I298" s="165"/>
      <c r="J298" s="165">
        <f t="shared" ref="J298:K312" si="77">ROUND(F298,0)</f>
        <v>0</v>
      </c>
      <c r="K298" s="165">
        <f t="shared" si="77"/>
        <v>0</v>
      </c>
      <c r="L298" s="165"/>
    </row>
    <row r="299" spans="1:12" ht="27.6" x14ac:dyDescent="0.3">
      <c r="A299" s="345" t="str">
        <f t="shared" si="74"/>
        <v>Do Not Print</v>
      </c>
      <c r="B299" s="346" t="s">
        <v>121</v>
      </c>
      <c r="C299" s="345" t="s">
        <v>366</v>
      </c>
      <c r="D299" s="346"/>
      <c r="E299" s="347" t="s">
        <v>710</v>
      </c>
      <c r="F299" s="348">
        <f t="shared" si="75"/>
        <v>0</v>
      </c>
      <c r="G299" s="163">
        <f t="shared" si="76"/>
        <v>0</v>
      </c>
      <c r="H299" s="198"/>
      <c r="I299" s="165"/>
      <c r="J299" s="165">
        <f t="shared" si="77"/>
        <v>0</v>
      </c>
      <c r="K299" s="165">
        <f t="shared" si="77"/>
        <v>0</v>
      </c>
      <c r="L299" s="165"/>
    </row>
    <row r="300" spans="1:12" ht="27.6" x14ac:dyDescent="0.3">
      <c r="A300" s="345" t="str">
        <f t="shared" si="74"/>
        <v>Do Not Print</v>
      </c>
      <c r="B300" s="346" t="s">
        <v>121</v>
      </c>
      <c r="C300" s="345" t="s">
        <v>367</v>
      </c>
      <c r="D300" s="346"/>
      <c r="E300" s="347" t="s">
        <v>710</v>
      </c>
      <c r="F300" s="348">
        <f t="shared" si="75"/>
        <v>0</v>
      </c>
      <c r="G300" s="163">
        <f t="shared" si="76"/>
        <v>0</v>
      </c>
      <c r="H300" s="198"/>
      <c r="I300" s="165"/>
      <c r="J300" s="165">
        <f t="shared" si="77"/>
        <v>0</v>
      </c>
      <c r="K300" s="165">
        <f t="shared" si="77"/>
        <v>0</v>
      </c>
      <c r="L300" s="165"/>
    </row>
    <row r="301" spans="1:12" ht="27.6" x14ac:dyDescent="0.3">
      <c r="A301" s="345" t="str">
        <f t="shared" si="74"/>
        <v>Do Not Print</v>
      </c>
      <c r="B301" s="346" t="s">
        <v>121</v>
      </c>
      <c r="C301" s="345" t="s">
        <v>368</v>
      </c>
      <c r="D301" s="346"/>
      <c r="E301" s="347" t="s">
        <v>710</v>
      </c>
      <c r="F301" s="348">
        <f t="shared" si="75"/>
        <v>0</v>
      </c>
      <c r="G301" s="163">
        <f t="shared" si="76"/>
        <v>0</v>
      </c>
      <c r="H301" s="198"/>
      <c r="I301" s="165"/>
      <c r="J301" s="165">
        <f t="shared" si="77"/>
        <v>0</v>
      </c>
      <c r="K301" s="165">
        <f t="shared" si="77"/>
        <v>0</v>
      </c>
      <c r="L301" s="165"/>
    </row>
    <row r="302" spans="1:12" ht="27.6" x14ac:dyDescent="0.3">
      <c r="A302" s="345" t="str">
        <f t="shared" si="74"/>
        <v>Do Not Print</v>
      </c>
      <c r="B302" s="346" t="s">
        <v>121</v>
      </c>
      <c r="C302" s="345" t="s">
        <v>369</v>
      </c>
      <c r="D302" s="346"/>
      <c r="E302" s="347" t="s">
        <v>710</v>
      </c>
      <c r="F302" s="348">
        <f t="shared" si="75"/>
        <v>0</v>
      </c>
      <c r="G302" s="163">
        <f t="shared" si="76"/>
        <v>0</v>
      </c>
      <c r="H302" s="198"/>
      <c r="I302" s="165"/>
      <c r="J302" s="165">
        <f t="shared" si="77"/>
        <v>0</v>
      </c>
      <c r="K302" s="165">
        <f t="shared" si="77"/>
        <v>0</v>
      </c>
      <c r="L302" s="165"/>
    </row>
    <row r="303" spans="1:12" ht="27.6" x14ac:dyDescent="0.3">
      <c r="A303" s="345" t="str">
        <f t="shared" si="74"/>
        <v>Do Not Print</v>
      </c>
      <c r="B303" s="346" t="s">
        <v>121</v>
      </c>
      <c r="C303" s="345" t="s">
        <v>665</v>
      </c>
      <c r="D303" s="346"/>
      <c r="E303" s="347" t="s">
        <v>710</v>
      </c>
      <c r="F303" s="348">
        <f t="shared" si="75"/>
        <v>0</v>
      </c>
      <c r="G303" s="163">
        <f t="shared" si="76"/>
        <v>0</v>
      </c>
      <c r="H303" s="198"/>
      <c r="I303" s="165"/>
      <c r="J303" s="165">
        <f t="shared" si="77"/>
        <v>0</v>
      </c>
      <c r="K303" s="165">
        <f t="shared" si="77"/>
        <v>0</v>
      </c>
      <c r="L303" s="165"/>
    </row>
    <row r="304" spans="1:12" ht="27.6" x14ac:dyDescent="0.3">
      <c r="A304" s="345" t="str">
        <f t="shared" si="74"/>
        <v>Do Not Print</v>
      </c>
      <c r="B304" s="346" t="s">
        <v>121</v>
      </c>
      <c r="C304" s="345" t="s">
        <v>519</v>
      </c>
      <c r="D304" s="346"/>
      <c r="E304" s="347" t="s">
        <v>710</v>
      </c>
      <c r="F304" s="348">
        <f t="shared" si="75"/>
        <v>0</v>
      </c>
      <c r="G304" s="163">
        <f t="shared" si="76"/>
        <v>0</v>
      </c>
      <c r="H304" s="198"/>
      <c r="I304" s="165"/>
      <c r="J304" s="165">
        <f t="shared" si="77"/>
        <v>0</v>
      </c>
      <c r="K304" s="165">
        <f t="shared" si="77"/>
        <v>0</v>
      </c>
      <c r="L304" s="165"/>
    </row>
    <row r="305" spans="1:12" ht="27.6" x14ac:dyDescent="0.3">
      <c r="A305" s="345" t="str">
        <f t="shared" si="74"/>
        <v>Do Not Print</v>
      </c>
      <c r="B305" s="346" t="s">
        <v>121</v>
      </c>
      <c r="C305" s="345" t="s">
        <v>520</v>
      </c>
      <c r="D305" s="346"/>
      <c r="E305" s="347" t="s">
        <v>710</v>
      </c>
      <c r="F305" s="348">
        <f t="shared" si="75"/>
        <v>0</v>
      </c>
      <c r="G305" s="163">
        <f t="shared" si="76"/>
        <v>0</v>
      </c>
      <c r="H305" s="198"/>
      <c r="I305" s="165"/>
      <c r="J305" s="165">
        <f t="shared" si="77"/>
        <v>0</v>
      </c>
      <c r="K305" s="165">
        <f t="shared" si="77"/>
        <v>0</v>
      </c>
      <c r="L305" s="165"/>
    </row>
    <row r="306" spans="1:12" ht="27.6" x14ac:dyDescent="0.3">
      <c r="A306" s="345" t="str">
        <f t="shared" si="74"/>
        <v>Do Not Print</v>
      </c>
      <c r="B306" s="346" t="s">
        <v>121</v>
      </c>
      <c r="C306" s="345" t="s">
        <v>521</v>
      </c>
      <c r="D306" s="346"/>
      <c r="E306" s="347" t="s">
        <v>710</v>
      </c>
      <c r="F306" s="348">
        <f t="shared" si="75"/>
        <v>0</v>
      </c>
      <c r="G306" s="163">
        <f t="shared" si="76"/>
        <v>0</v>
      </c>
      <c r="H306" s="198"/>
      <c r="I306" s="165"/>
      <c r="J306" s="165">
        <f t="shared" si="77"/>
        <v>0</v>
      </c>
      <c r="K306" s="165">
        <f t="shared" si="77"/>
        <v>0</v>
      </c>
      <c r="L306" s="165"/>
    </row>
    <row r="307" spans="1:12" ht="27.6" x14ac:dyDescent="0.3">
      <c r="A307" s="345" t="str">
        <f t="shared" si="74"/>
        <v>Do Not Print</v>
      </c>
      <c r="B307" s="346" t="s">
        <v>121</v>
      </c>
      <c r="C307" s="345" t="s">
        <v>370</v>
      </c>
      <c r="D307" s="346"/>
      <c r="E307" s="347" t="s">
        <v>710</v>
      </c>
      <c r="F307" s="348">
        <f t="shared" si="75"/>
        <v>0</v>
      </c>
      <c r="G307" s="163">
        <f t="shared" si="76"/>
        <v>0</v>
      </c>
      <c r="H307" s="198"/>
      <c r="I307" s="165"/>
      <c r="J307" s="165">
        <f t="shared" si="77"/>
        <v>0</v>
      </c>
      <c r="K307" s="165">
        <f t="shared" si="77"/>
        <v>0</v>
      </c>
      <c r="L307" s="165"/>
    </row>
    <row r="308" spans="1:12" ht="27.6" x14ac:dyDescent="0.3">
      <c r="A308" s="345" t="str">
        <f t="shared" si="74"/>
        <v>Do Not Print</v>
      </c>
      <c r="B308" s="346" t="s">
        <v>121</v>
      </c>
      <c r="C308" s="345" t="s">
        <v>2812</v>
      </c>
      <c r="D308" s="346"/>
      <c r="E308" s="347" t="s">
        <v>710</v>
      </c>
      <c r="F308" s="348">
        <f t="shared" si="75"/>
        <v>0</v>
      </c>
      <c r="G308" s="163">
        <f t="shared" si="76"/>
        <v>0</v>
      </c>
      <c r="H308" s="198"/>
      <c r="I308" s="165"/>
      <c r="J308" s="165">
        <f t="shared" si="77"/>
        <v>0</v>
      </c>
      <c r="K308" s="165">
        <f t="shared" si="77"/>
        <v>0</v>
      </c>
      <c r="L308" s="165"/>
    </row>
    <row r="309" spans="1:12" ht="27.6" x14ac:dyDescent="0.3">
      <c r="A309" s="345" t="str">
        <f t="shared" si="74"/>
        <v>Do Not Print</v>
      </c>
      <c r="B309" s="346" t="s">
        <v>121</v>
      </c>
      <c r="C309" s="345" t="s">
        <v>371</v>
      </c>
      <c r="D309" s="346"/>
      <c r="E309" s="347" t="s">
        <v>710</v>
      </c>
      <c r="F309" s="348">
        <f t="shared" si="75"/>
        <v>0</v>
      </c>
      <c r="G309" s="163">
        <f t="shared" si="76"/>
        <v>0</v>
      </c>
      <c r="H309" s="198"/>
      <c r="I309" s="165"/>
      <c r="J309" s="165">
        <f t="shared" si="77"/>
        <v>0</v>
      </c>
      <c r="K309" s="165">
        <f t="shared" si="77"/>
        <v>0</v>
      </c>
      <c r="L309" s="165"/>
    </row>
    <row r="310" spans="1:12" ht="27.6" x14ac:dyDescent="0.3">
      <c r="A310" s="345" t="str">
        <f t="shared" si="74"/>
        <v>Do Not Print</v>
      </c>
      <c r="B310" s="346" t="s">
        <v>121</v>
      </c>
      <c r="C310" s="345" t="s">
        <v>372</v>
      </c>
      <c r="D310" s="346"/>
      <c r="E310" s="347" t="s">
        <v>710</v>
      </c>
      <c r="F310" s="348">
        <f t="shared" si="75"/>
        <v>0</v>
      </c>
      <c r="G310" s="163">
        <f t="shared" si="76"/>
        <v>0</v>
      </c>
      <c r="H310" s="198"/>
      <c r="I310" s="165"/>
      <c r="J310" s="165">
        <f>ROUND(F310,0)</f>
        <v>0</v>
      </c>
      <c r="K310" s="165">
        <f>ROUND(G310,0)</f>
        <v>0</v>
      </c>
      <c r="L310" s="165"/>
    </row>
    <row r="311" spans="1:12" ht="27.6" x14ac:dyDescent="0.3">
      <c r="A311" s="345" t="str">
        <f t="shared" si="74"/>
        <v>Do Not Print</v>
      </c>
      <c r="B311" s="346" t="s">
        <v>121</v>
      </c>
      <c r="C311" s="345" t="s">
        <v>373</v>
      </c>
      <c r="D311" s="346"/>
      <c r="E311" s="347" t="s">
        <v>710</v>
      </c>
      <c r="F311" s="348">
        <f t="shared" si="75"/>
        <v>0</v>
      </c>
      <c r="G311" s="163">
        <f t="shared" si="76"/>
        <v>0</v>
      </c>
      <c r="H311" s="198"/>
      <c r="I311" s="165"/>
      <c r="J311" s="165">
        <f t="shared" si="77"/>
        <v>0</v>
      </c>
      <c r="K311" s="165">
        <f t="shared" si="77"/>
        <v>0</v>
      </c>
      <c r="L311" s="165"/>
    </row>
    <row r="312" spans="1:12" ht="27.6" x14ac:dyDescent="0.3">
      <c r="A312" s="345" t="str">
        <f t="shared" si="74"/>
        <v>Do Not Print</v>
      </c>
      <c r="B312" s="346" t="s">
        <v>121</v>
      </c>
      <c r="C312" s="345" t="s">
        <v>374</v>
      </c>
      <c r="D312" s="346"/>
      <c r="E312" s="347" t="s">
        <v>710</v>
      </c>
      <c r="F312" s="348">
        <f t="shared" si="75"/>
        <v>0</v>
      </c>
      <c r="G312" s="163">
        <f t="shared" si="76"/>
        <v>0</v>
      </c>
      <c r="H312" s="198"/>
      <c r="I312" s="165"/>
      <c r="J312" s="165">
        <f>ROUND(F312,0)</f>
        <v>0</v>
      </c>
      <c r="K312" s="165">
        <f t="shared" si="77"/>
        <v>0</v>
      </c>
      <c r="L312" s="165"/>
    </row>
    <row r="313" spans="1:12" ht="27.6" x14ac:dyDescent="0.3">
      <c r="A313" s="345" t="str">
        <f t="shared" si="74"/>
        <v>Do Not Print</v>
      </c>
      <c r="B313" s="346" t="s">
        <v>121</v>
      </c>
      <c r="C313" s="1235" t="s">
        <v>2750</v>
      </c>
      <c r="D313" s="346"/>
      <c r="E313" s="347"/>
      <c r="F313" s="348">
        <f>VLOOKUP($C313,LTDR,8,0)</f>
        <v>0</v>
      </c>
      <c r="G313" s="163">
        <f>VLOOKUP($C313,LTDR,14,0)</f>
        <v>0</v>
      </c>
      <c r="H313" s="198"/>
      <c r="I313" s="165"/>
      <c r="J313" s="165">
        <f>ROUND(F313,0)</f>
        <v>0</v>
      </c>
      <c r="K313" s="165">
        <f t="shared" ref="K313" si="78">ROUND(G313,0)</f>
        <v>0</v>
      </c>
      <c r="L313" s="165"/>
    </row>
    <row r="314" spans="1:12" ht="27.6" x14ac:dyDescent="0.3">
      <c r="A314" s="39" t="str">
        <f>IF(AND(F314=0,G314=0),"Do Not Print","Print")</f>
        <v>Do Not Print</v>
      </c>
      <c r="F314" s="349">
        <f>SUM(F298:F313)</f>
        <v>0</v>
      </c>
      <c r="G314" s="349">
        <f>SUM(G298:G313)</f>
        <v>0</v>
      </c>
      <c r="H314" s="201"/>
      <c r="I314" s="165"/>
      <c r="J314" s="165">
        <f>SUM(J298:J313)</f>
        <v>0</v>
      </c>
      <c r="K314" s="165">
        <f>SUM(K298:K313)</f>
        <v>0</v>
      </c>
      <c r="L314" s="165"/>
    </row>
    <row r="315" spans="1:12" ht="27.6" x14ac:dyDescent="0.3">
      <c r="A315" s="39" t="str">
        <f t="shared" ref="A315:A322" si="79">IF(AND(F315=0,G315=0),"Do Not Print","Print")</f>
        <v>Do Not Print</v>
      </c>
      <c r="F315" s="183"/>
      <c r="G315" s="183"/>
      <c r="H315" s="201"/>
      <c r="I315" s="165"/>
      <c r="J315" s="165"/>
      <c r="K315" s="165"/>
      <c r="L315" s="165"/>
    </row>
    <row r="316" spans="1:12" ht="27.6" x14ac:dyDescent="0.3">
      <c r="A316" s="39" t="str">
        <f t="shared" si="79"/>
        <v>Do Not Print</v>
      </c>
      <c r="B316" s="346" t="s">
        <v>2752</v>
      </c>
      <c r="C316" s="39" t="s">
        <v>2363</v>
      </c>
      <c r="F316" s="183">
        <f>VLOOKUP($C316,LTCA,8,0)</f>
        <v>0</v>
      </c>
      <c r="G316" s="183">
        <f>VLOOKUP($C316,LTCA,14,0)</f>
        <v>0</v>
      </c>
      <c r="H316" s="201"/>
      <c r="I316" s="165"/>
      <c r="J316" s="165">
        <f>ROUND(F316,0)</f>
        <v>0</v>
      </c>
      <c r="K316" s="165">
        <f>ROUND(G316,0)</f>
        <v>0</v>
      </c>
      <c r="L316" s="165"/>
    </row>
    <row r="317" spans="1:12" ht="27.6" x14ac:dyDescent="0.3">
      <c r="A317" s="39" t="str">
        <f t="shared" si="79"/>
        <v>Do Not Print</v>
      </c>
      <c r="F317" s="183">
        <f>F316</f>
        <v>0</v>
      </c>
      <c r="G317" s="183">
        <f>G316</f>
        <v>0</v>
      </c>
      <c r="H317" s="201"/>
      <c r="I317" s="165"/>
      <c r="J317" s="165">
        <f>J316</f>
        <v>0</v>
      </c>
      <c r="K317" s="165">
        <f>K316</f>
        <v>0</v>
      </c>
      <c r="L317" s="165"/>
    </row>
    <row r="318" spans="1:12" ht="27.6" x14ac:dyDescent="0.3">
      <c r="A318" s="39" t="str">
        <f t="shared" si="79"/>
        <v>Do Not Print</v>
      </c>
      <c r="F318" s="183"/>
      <c r="G318" s="183"/>
      <c r="H318" s="201"/>
      <c r="I318" s="165"/>
      <c r="J318" s="165"/>
      <c r="K318" s="165"/>
      <c r="L318" s="165"/>
    </row>
    <row r="319" spans="1:12" ht="27.6" x14ac:dyDescent="0.3">
      <c r="A319" s="39" t="str">
        <f t="shared" si="79"/>
        <v>Do Not Print</v>
      </c>
      <c r="B319" t="s">
        <v>2753</v>
      </c>
      <c r="C319" s="39" t="s">
        <v>2692</v>
      </c>
      <c r="F319" s="183">
        <f>VLOOKUP($C319,LTCC,8,0)</f>
        <v>0</v>
      </c>
      <c r="G319" s="183">
        <f>VLOOKUP($C319,LTCC,14,0)</f>
        <v>0</v>
      </c>
      <c r="H319" s="201"/>
      <c r="I319" s="165"/>
      <c r="J319" s="165">
        <f>ROUND(F319,0)</f>
        <v>0</v>
      </c>
      <c r="K319" s="165">
        <f>ROUND(G319,0)</f>
        <v>0</v>
      </c>
      <c r="L319" s="165"/>
    </row>
    <row r="320" spans="1:12" ht="27.6" x14ac:dyDescent="0.3">
      <c r="A320" s="39" t="str">
        <f t="shared" si="79"/>
        <v>Do Not Print</v>
      </c>
      <c r="F320" s="183">
        <f>F319</f>
        <v>0</v>
      </c>
      <c r="G320" s="183">
        <f>G319</f>
        <v>0</v>
      </c>
      <c r="H320" s="201"/>
      <c r="I320" s="165"/>
      <c r="J320" s="165">
        <f>J319</f>
        <v>0</v>
      </c>
      <c r="K320" s="165">
        <f>K319</f>
        <v>0</v>
      </c>
      <c r="L320" s="165"/>
    </row>
    <row r="321" spans="1:12" ht="27.6" x14ac:dyDescent="0.3">
      <c r="A321" s="39" t="str">
        <f t="shared" si="79"/>
        <v>Do Not Print</v>
      </c>
      <c r="F321" s="183"/>
      <c r="G321" s="183"/>
      <c r="H321" s="201"/>
      <c r="I321" s="165"/>
      <c r="J321" s="165"/>
      <c r="K321" s="165"/>
      <c r="L321" s="165"/>
    </row>
    <row r="322" spans="1:12" ht="27.6" x14ac:dyDescent="0.3">
      <c r="A322" s="39" t="str">
        <f t="shared" si="79"/>
        <v>Do Not Print</v>
      </c>
      <c r="C322" s="45" t="s">
        <v>589</v>
      </c>
      <c r="D322" s="14"/>
      <c r="F322" s="197">
        <f>F279+F314+F317+F320</f>
        <v>0</v>
      </c>
      <c r="G322" s="197">
        <f>G279+G314</f>
        <v>0</v>
      </c>
      <c r="H322" s="202"/>
      <c r="I322" s="165"/>
      <c r="J322" s="165">
        <f>J279+J314+J317+J320</f>
        <v>0</v>
      </c>
      <c r="K322" s="165">
        <f>K279+K314+K317+K320</f>
        <v>0</v>
      </c>
      <c r="L322" s="165"/>
    </row>
    <row r="323" spans="1:12" ht="14.4" x14ac:dyDescent="0.3">
      <c r="A323" s="39" t="s">
        <v>448</v>
      </c>
      <c r="C323" s="45"/>
      <c r="D323" s="14"/>
      <c r="F323" s="197"/>
      <c r="G323" s="197"/>
      <c r="H323" s="202"/>
      <c r="I323" s="165"/>
      <c r="J323" s="165"/>
      <c r="K323" s="165"/>
      <c r="L323" s="165"/>
    </row>
    <row r="324" spans="1:12" ht="27.6" x14ac:dyDescent="0.3">
      <c r="A324" s="39" t="str">
        <f>IF(AND(F324=0,G324=0),"Do Not Print","Print")</f>
        <v>Do Not Print</v>
      </c>
      <c r="C324" s="45" t="s">
        <v>454</v>
      </c>
      <c r="F324" s="183"/>
      <c r="G324" s="183"/>
      <c r="H324" s="201"/>
      <c r="I324" s="165"/>
      <c r="J324" s="165"/>
      <c r="K324" s="165"/>
      <c r="L324" s="165"/>
    </row>
    <row r="325" spans="1:12" ht="27.6" x14ac:dyDescent="0.3">
      <c r="A325" s="39" t="str">
        <f>IF(AND(F325=0,G325=0),"Do Not Print","Print")</f>
        <v>Do Not Print</v>
      </c>
      <c r="B325" t="s">
        <v>1110</v>
      </c>
      <c r="C325" s="39" t="s">
        <v>1105</v>
      </c>
      <c r="F325" s="165">
        <f>VLOOKUP($C325,STIN,8,0)</f>
        <v>0</v>
      </c>
      <c r="G325" s="165">
        <f>VLOOKUP($C325,STIN,14,0)</f>
        <v>0</v>
      </c>
      <c r="H325" s="201"/>
      <c r="I325" s="165"/>
      <c r="J325" s="165">
        <f t="shared" ref="J325:K328" si="80">ROUND(F325,0)</f>
        <v>0</v>
      </c>
      <c r="K325" s="165">
        <f t="shared" si="80"/>
        <v>0</v>
      </c>
      <c r="L325" s="165"/>
    </row>
    <row r="326" spans="1:12" ht="27.6" x14ac:dyDescent="0.3">
      <c r="A326" s="39" t="str">
        <f>IF(AND(F326=0,G326=0),"Do Not Print","Print")</f>
        <v>Do Not Print</v>
      </c>
      <c r="B326" t="s">
        <v>1110</v>
      </c>
      <c r="C326" s="39" t="s">
        <v>1106</v>
      </c>
      <c r="F326" s="165">
        <f>VLOOKUP($C326,STIN,8,0)</f>
        <v>0</v>
      </c>
      <c r="G326" s="165">
        <f>VLOOKUP($C326,STIN,14,0)</f>
        <v>0</v>
      </c>
      <c r="H326" s="201"/>
      <c r="I326" s="165"/>
      <c r="J326" s="165">
        <f t="shared" si="80"/>
        <v>0</v>
      </c>
      <c r="K326" s="165">
        <f t="shared" si="80"/>
        <v>0</v>
      </c>
      <c r="L326" s="165"/>
    </row>
    <row r="327" spans="1:12" ht="27.6" x14ac:dyDescent="0.3">
      <c r="A327" s="39" t="str">
        <f>IF(AND(F327=0,G327=0),"Do Not Print","Print")</f>
        <v>Do Not Print</v>
      </c>
      <c r="B327" t="s">
        <v>1110</v>
      </c>
      <c r="C327" s="39" t="s">
        <v>1107</v>
      </c>
      <c r="F327" s="165">
        <f>VLOOKUP($C327,STIN,8,0)</f>
        <v>0</v>
      </c>
      <c r="G327" s="165">
        <f>VLOOKUP($C327,STIN,14,0)</f>
        <v>0</v>
      </c>
      <c r="H327" s="201"/>
      <c r="I327" s="165"/>
      <c r="J327" s="165">
        <f t="shared" si="80"/>
        <v>0</v>
      </c>
      <c r="K327" s="165">
        <f t="shared" si="80"/>
        <v>0</v>
      </c>
      <c r="L327" s="165"/>
    </row>
    <row r="328" spans="1:12" ht="27.6" x14ac:dyDescent="0.3">
      <c r="A328" s="39" t="str">
        <f>IF(AND(F328=0,G328=0),"Do Not Print","Print")</f>
        <v>Do Not Print</v>
      </c>
      <c r="B328" t="s">
        <v>1110</v>
      </c>
      <c r="C328" s="39" t="s">
        <v>1108</v>
      </c>
      <c r="F328" s="165">
        <f>VLOOKUP($C328,STIN,8,0)</f>
        <v>0</v>
      </c>
      <c r="G328" s="165">
        <f>VLOOKUP($C328,STIN,14,0)</f>
        <v>0</v>
      </c>
      <c r="H328" s="201"/>
      <c r="I328" s="165"/>
      <c r="J328" s="165">
        <f t="shared" si="80"/>
        <v>0</v>
      </c>
      <c r="K328" s="165">
        <f t="shared" si="80"/>
        <v>0</v>
      </c>
      <c r="L328" s="165"/>
    </row>
    <row r="329" spans="1:12" x14ac:dyDescent="0.3">
      <c r="A329" s="39" t="s">
        <v>448</v>
      </c>
      <c r="F329" s="183">
        <f>SUM(F325:F328)</f>
        <v>0</v>
      </c>
      <c r="G329" s="183">
        <f>SUM(G325:G328)</f>
        <v>0</v>
      </c>
      <c r="H329" s="201"/>
      <c r="I329" s="165"/>
      <c r="J329" s="165">
        <f>SUM(J325:J328)</f>
        <v>0</v>
      </c>
      <c r="K329" s="165">
        <f>SUM(K325:K328)</f>
        <v>0</v>
      </c>
      <c r="L329" s="165"/>
    </row>
    <row r="330" spans="1:12" ht="14.4" x14ac:dyDescent="0.3">
      <c r="A330" s="39" t="s">
        <v>448</v>
      </c>
      <c r="C330" s="45"/>
      <c r="D330" s="14"/>
      <c r="F330" s="197"/>
      <c r="G330" s="197"/>
      <c r="H330" s="202"/>
      <c r="I330" s="165"/>
      <c r="J330" s="165"/>
      <c r="K330" s="165"/>
      <c r="L330" s="165"/>
    </row>
    <row r="331" spans="1:12" x14ac:dyDescent="0.3">
      <c r="A331" s="39" t="s">
        <v>448</v>
      </c>
      <c r="F331" s="165"/>
      <c r="G331" s="165"/>
      <c r="H331" s="198"/>
      <c r="I331" s="165"/>
      <c r="J331" s="165"/>
      <c r="K331" s="165"/>
      <c r="L331" s="165"/>
    </row>
    <row r="332" spans="1:12" ht="27.6" x14ac:dyDescent="0.3">
      <c r="A332" s="39" t="str">
        <f t="shared" ref="A332:A439" si="81">IF(AND(F332=0,G332=0),"Do Not Print","Print")</f>
        <v>Do Not Print</v>
      </c>
      <c r="B332" t="s">
        <v>122</v>
      </c>
      <c r="C332" s="45" t="s">
        <v>296</v>
      </c>
      <c r="D332" s="14"/>
      <c r="F332" s="183"/>
      <c r="G332" s="183"/>
      <c r="H332" s="201"/>
      <c r="I332" s="165"/>
      <c r="J332" s="165"/>
      <c r="K332" s="165"/>
      <c r="L332" s="165"/>
    </row>
    <row r="333" spans="1:12" ht="14.4" x14ac:dyDescent="0.3">
      <c r="A333" s="350" t="s">
        <v>448</v>
      </c>
      <c r="B333" s="351" t="s">
        <v>122</v>
      </c>
      <c r="C333" s="350" t="str">
        <f>'Input - BS'!$H$281</f>
        <v>Central Stores</v>
      </c>
      <c r="D333" s="352"/>
      <c r="E333" s="353"/>
      <c r="F333" s="354">
        <f t="shared" ref="F333:F338" si="82">VLOOKUP($C333,STCK,8,0)</f>
        <v>0</v>
      </c>
      <c r="G333" s="355">
        <f t="shared" ref="G333:G338" si="83">VLOOKUP($C333,STCK,14,0)</f>
        <v>0</v>
      </c>
      <c r="H333" s="356">
        <f t="shared" ref="H333:H338" si="84">VLOOKUP($C333,STCK,20,0)</f>
        <v>0</v>
      </c>
      <c r="I333" s="165"/>
      <c r="J333" s="165">
        <f t="shared" ref="J333:L338" si="85">ROUND(F333,0)</f>
        <v>0</v>
      </c>
      <c r="K333" s="165">
        <f t="shared" si="85"/>
        <v>0</v>
      </c>
      <c r="L333" s="165">
        <f t="shared" si="85"/>
        <v>0</v>
      </c>
    </row>
    <row r="334" spans="1:12" ht="27.6" x14ac:dyDescent="0.3">
      <c r="A334" s="350" t="str">
        <f t="shared" si="81"/>
        <v>Do Not Print</v>
      </c>
      <c r="B334" s="351" t="s">
        <v>122</v>
      </c>
      <c r="C334" s="350" t="str">
        <f>'Input - BS'!$H$282</f>
        <v xml:space="preserve">Other </v>
      </c>
      <c r="D334" s="352"/>
      <c r="E334" s="353"/>
      <c r="F334" s="354">
        <f t="shared" si="82"/>
        <v>0</v>
      </c>
      <c r="G334" s="355">
        <f t="shared" si="83"/>
        <v>0</v>
      </c>
      <c r="H334" s="356">
        <f t="shared" si="84"/>
        <v>0</v>
      </c>
      <c r="I334" s="165"/>
      <c r="J334" s="165">
        <f t="shared" si="85"/>
        <v>0</v>
      </c>
      <c r="K334" s="165">
        <f t="shared" si="85"/>
        <v>0</v>
      </c>
      <c r="L334" s="165">
        <f t="shared" si="85"/>
        <v>0</v>
      </c>
    </row>
    <row r="335" spans="1:12" ht="27.6" x14ac:dyDescent="0.3">
      <c r="A335" s="350" t="str">
        <f t="shared" si="81"/>
        <v>Do Not Print</v>
      </c>
      <c r="B335" s="351" t="s">
        <v>122</v>
      </c>
      <c r="C335" s="350" t="str">
        <f>'Input - BS'!$H283</f>
        <v>Inventories 3</v>
      </c>
      <c r="D335" s="352"/>
      <c r="E335" s="353"/>
      <c r="F335" s="354">
        <f t="shared" si="82"/>
        <v>0</v>
      </c>
      <c r="G335" s="355">
        <f t="shared" si="83"/>
        <v>0</v>
      </c>
      <c r="H335" s="356">
        <f t="shared" si="84"/>
        <v>0</v>
      </c>
      <c r="I335" s="165"/>
      <c r="J335" s="165">
        <f t="shared" si="85"/>
        <v>0</v>
      </c>
      <c r="K335" s="165">
        <f t="shared" si="85"/>
        <v>0</v>
      </c>
      <c r="L335" s="165">
        <f t="shared" si="85"/>
        <v>0</v>
      </c>
    </row>
    <row r="336" spans="1:12" ht="27.6" x14ac:dyDescent="0.3">
      <c r="A336" s="350" t="str">
        <f t="shared" si="81"/>
        <v>Do Not Print</v>
      </c>
      <c r="B336" s="351" t="s">
        <v>122</v>
      </c>
      <c r="C336" s="350" t="str">
        <f>'Input - BS'!$H284</f>
        <v>Inventories 4</v>
      </c>
      <c r="D336" s="352"/>
      <c r="E336" s="353"/>
      <c r="F336" s="354">
        <f t="shared" si="82"/>
        <v>0</v>
      </c>
      <c r="G336" s="355">
        <f t="shared" si="83"/>
        <v>0</v>
      </c>
      <c r="H336" s="356">
        <f t="shared" si="84"/>
        <v>0</v>
      </c>
      <c r="I336" s="165"/>
      <c r="J336" s="165">
        <f t="shared" si="85"/>
        <v>0</v>
      </c>
      <c r="K336" s="165">
        <f t="shared" si="85"/>
        <v>0</v>
      </c>
      <c r="L336" s="165">
        <f t="shared" si="85"/>
        <v>0</v>
      </c>
    </row>
    <row r="337" spans="1:12" ht="27.6" x14ac:dyDescent="0.3">
      <c r="A337" s="350" t="str">
        <f t="shared" si="81"/>
        <v>Do Not Print</v>
      </c>
      <c r="B337" s="351" t="s">
        <v>122</v>
      </c>
      <c r="C337" s="350" t="str">
        <f>'Input - BS'!$H285</f>
        <v>Inventories 5</v>
      </c>
      <c r="D337" s="352"/>
      <c r="E337" s="353"/>
      <c r="F337" s="354">
        <f t="shared" si="82"/>
        <v>0</v>
      </c>
      <c r="G337" s="355">
        <f t="shared" si="83"/>
        <v>0</v>
      </c>
      <c r="H337" s="356">
        <f t="shared" si="84"/>
        <v>0</v>
      </c>
      <c r="I337" s="165"/>
      <c r="J337" s="165">
        <f t="shared" si="85"/>
        <v>0</v>
      </c>
      <c r="K337" s="165">
        <f t="shared" si="85"/>
        <v>0</v>
      </c>
      <c r="L337" s="165">
        <f t="shared" si="85"/>
        <v>0</v>
      </c>
    </row>
    <row r="338" spans="1:12" ht="27.6" x14ac:dyDescent="0.3">
      <c r="A338" s="350" t="str">
        <f t="shared" si="81"/>
        <v>Do Not Print</v>
      </c>
      <c r="B338" s="351" t="s">
        <v>122</v>
      </c>
      <c r="C338" s="350" t="str">
        <f>'Input - BS'!$H286</f>
        <v>Inventories 6</v>
      </c>
      <c r="D338" s="352"/>
      <c r="E338" s="353"/>
      <c r="F338" s="354">
        <f t="shared" si="82"/>
        <v>0</v>
      </c>
      <c r="G338" s="355">
        <f t="shared" si="83"/>
        <v>0</v>
      </c>
      <c r="H338" s="356">
        <f t="shared" si="84"/>
        <v>0</v>
      </c>
      <c r="I338" s="165"/>
      <c r="J338" s="165">
        <f t="shared" si="85"/>
        <v>0</v>
      </c>
      <c r="K338" s="165">
        <f t="shared" si="85"/>
        <v>0</v>
      </c>
      <c r="L338" s="165">
        <f t="shared" si="85"/>
        <v>0</v>
      </c>
    </row>
    <row r="339" spans="1:12" s="33" customFormat="1" ht="28.8" x14ac:dyDescent="0.3">
      <c r="A339" s="32" t="str">
        <f t="shared" si="81"/>
        <v>Do Not Print</v>
      </c>
      <c r="C339" s="32"/>
      <c r="D339" s="14"/>
      <c r="E339" s="244"/>
      <c r="F339" s="357">
        <f>SUM(F333:F338)</f>
        <v>0</v>
      </c>
      <c r="G339" s="357">
        <f>SUM(G333:G338)</f>
        <v>0</v>
      </c>
      <c r="H339" s="357">
        <f>SUM(H333:H338)</f>
        <v>0</v>
      </c>
      <c r="I339" s="323"/>
      <c r="J339" s="323">
        <f>ROUND(F339,0)</f>
        <v>0</v>
      </c>
      <c r="K339" s="323">
        <f>ROUND(G339,0)</f>
        <v>0</v>
      </c>
      <c r="L339" s="323">
        <f>ROUND(H339,0)</f>
        <v>0</v>
      </c>
    </row>
    <row r="340" spans="1:12" ht="27.6" x14ac:dyDescent="0.3">
      <c r="A340" s="39" t="str">
        <f t="shared" si="81"/>
        <v>Do Not Print</v>
      </c>
      <c r="D340" s="14"/>
      <c r="F340" s="183"/>
      <c r="G340" s="183"/>
      <c r="H340" s="198"/>
      <c r="I340" s="165"/>
      <c r="J340" s="165"/>
      <c r="K340" s="165"/>
      <c r="L340" s="165"/>
    </row>
    <row r="341" spans="1:12" x14ac:dyDescent="0.3">
      <c r="A341" s="39" t="s">
        <v>448</v>
      </c>
      <c r="C341" s="38" t="s">
        <v>583</v>
      </c>
      <c r="D341" s="6"/>
      <c r="F341" s="165"/>
      <c r="G341" s="165"/>
      <c r="H341" s="198"/>
      <c r="I341" s="165"/>
      <c r="J341" s="165"/>
      <c r="K341" s="165"/>
      <c r="L341" s="165"/>
    </row>
    <row r="342" spans="1:12" ht="27.6" x14ac:dyDescent="0.3">
      <c r="A342" s="358" t="str">
        <f t="shared" si="81"/>
        <v>Do Not Print</v>
      </c>
      <c r="B342" s="359" t="s">
        <v>123</v>
      </c>
      <c r="C342" s="358" t="s">
        <v>365</v>
      </c>
      <c r="D342" s="359"/>
      <c r="E342" s="360" t="s">
        <v>710</v>
      </c>
      <c r="F342" s="313">
        <f t="shared" ref="F342:F358" si="86">VLOOKUP($C342,STDRS,8,0)</f>
        <v>0</v>
      </c>
      <c r="G342" s="361">
        <f t="shared" ref="G342:G358" si="87">VLOOKUP($C342,STDRS,14,0)</f>
        <v>0</v>
      </c>
      <c r="H342" s="315">
        <f t="shared" ref="H342:H358" si="88">VLOOKUP($C342,STDRS,20,0)</f>
        <v>0</v>
      </c>
      <c r="I342" s="165"/>
      <c r="J342" s="165">
        <f t="shared" ref="J342:L357" si="89">ROUND(F342,0)</f>
        <v>0</v>
      </c>
      <c r="K342" s="165">
        <f t="shared" si="89"/>
        <v>0</v>
      </c>
      <c r="L342" s="165">
        <f t="shared" si="89"/>
        <v>0</v>
      </c>
    </row>
    <row r="343" spans="1:12" ht="27.6" x14ac:dyDescent="0.3">
      <c r="A343" s="358" t="str">
        <f t="shared" si="81"/>
        <v>Do Not Print</v>
      </c>
      <c r="B343" s="359" t="s">
        <v>123</v>
      </c>
      <c r="C343" s="358" t="s">
        <v>366</v>
      </c>
      <c r="D343" s="359"/>
      <c r="E343" s="360" t="s">
        <v>710</v>
      </c>
      <c r="F343" s="313">
        <f t="shared" si="86"/>
        <v>0</v>
      </c>
      <c r="G343" s="361">
        <f t="shared" si="87"/>
        <v>0</v>
      </c>
      <c r="H343" s="315">
        <f t="shared" si="88"/>
        <v>0</v>
      </c>
      <c r="I343" s="165"/>
      <c r="J343" s="165">
        <f t="shared" si="89"/>
        <v>0</v>
      </c>
      <c r="K343" s="165">
        <f t="shared" si="89"/>
        <v>0</v>
      </c>
      <c r="L343" s="165">
        <f t="shared" si="89"/>
        <v>0</v>
      </c>
    </row>
    <row r="344" spans="1:12" ht="27.6" x14ac:dyDescent="0.3">
      <c r="A344" s="358" t="str">
        <f t="shared" si="81"/>
        <v>Do Not Print</v>
      </c>
      <c r="B344" s="359" t="s">
        <v>123</v>
      </c>
      <c r="C344" s="358" t="s">
        <v>367</v>
      </c>
      <c r="D344" s="359"/>
      <c r="E344" s="360" t="s">
        <v>710</v>
      </c>
      <c r="F344" s="313">
        <f t="shared" si="86"/>
        <v>0</v>
      </c>
      <c r="G344" s="361">
        <f t="shared" si="87"/>
        <v>0</v>
      </c>
      <c r="H344" s="315">
        <f t="shared" si="88"/>
        <v>0</v>
      </c>
      <c r="I344" s="165"/>
      <c r="J344" s="165">
        <f t="shared" si="89"/>
        <v>0</v>
      </c>
      <c r="K344" s="165">
        <f t="shared" si="89"/>
        <v>0</v>
      </c>
      <c r="L344" s="165">
        <f t="shared" si="89"/>
        <v>0</v>
      </c>
    </row>
    <row r="345" spans="1:12" ht="27.6" x14ac:dyDescent="0.3">
      <c r="A345" s="358" t="str">
        <f t="shared" si="81"/>
        <v>Do Not Print</v>
      </c>
      <c r="B345" s="359" t="s">
        <v>123</v>
      </c>
      <c r="C345" s="358" t="s">
        <v>368</v>
      </c>
      <c r="D345" s="359"/>
      <c r="E345" s="360" t="s">
        <v>710</v>
      </c>
      <c r="F345" s="313">
        <f t="shared" si="86"/>
        <v>0</v>
      </c>
      <c r="G345" s="361">
        <f t="shared" si="87"/>
        <v>0</v>
      </c>
      <c r="H345" s="315">
        <f t="shared" si="88"/>
        <v>0</v>
      </c>
      <c r="I345" s="165"/>
      <c r="J345" s="165">
        <f t="shared" si="89"/>
        <v>0</v>
      </c>
      <c r="K345" s="165">
        <f t="shared" si="89"/>
        <v>0</v>
      </c>
      <c r="L345" s="165">
        <f t="shared" si="89"/>
        <v>0</v>
      </c>
    </row>
    <row r="346" spans="1:12" ht="27.6" x14ac:dyDescent="0.3">
      <c r="A346" s="358" t="str">
        <f t="shared" si="81"/>
        <v>Do Not Print</v>
      </c>
      <c r="B346" s="359" t="s">
        <v>123</v>
      </c>
      <c r="C346" s="358" t="s">
        <v>372</v>
      </c>
      <c r="D346" s="359"/>
      <c r="E346" s="360" t="s">
        <v>710</v>
      </c>
      <c r="F346" s="313">
        <f t="shared" si="86"/>
        <v>0</v>
      </c>
      <c r="G346" s="361">
        <f t="shared" si="87"/>
        <v>0</v>
      </c>
      <c r="H346" s="315">
        <f t="shared" si="88"/>
        <v>0</v>
      </c>
      <c r="I346" s="165"/>
      <c r="J346" s="165">
        <f t="shared" si="89"/>
        <v>0</v>
      </c>
      <c r="K346" s="165">
        <f t="shared" si="89"/>
        <v>0</v>
      </c>
      <c r="L346" s="165">
        <f t="shared" si="89"/>
        <v>0</v>
      </c>
    </row>
    <row r="347" spans="1:12" ht="27.6" x14ac:dyDescent="0.3">
      <c r="A347" s="358" t="str">
        <f t="shared" si="81"/>
        <v>Do Not Print</v>
      </c>
      <c r="B347" s="359" t="s">
        <v>123</v>
      </c>
      <c r="C347" s="358" t="s">
        <v>369</v>
      </c>
      <c r="D347" s="359"/>
      <c r="E347" s="360" t="s">
        <v>710</v>
      </c>
      <c r="F347" s="313">
        <f t="shared" si="86"/>
        <v>0</v>
      </c>
      <c r="G347" s="361">
        <f t="shared" si="87"/>
        <v>0</v>
      </c>
      <c r="H347" s="315">
        <f t="shared" si="88"/>
        <v>0</v>
      </c>
      <c r="I347" s="165"/>
      <c r="J347" s="165">
        <f t="shared" si="89"/>
        <v>0</v>
      </c>
      <c r="K347" s="165">
        <f t="shared" si="89"/>
        <v>0</v>
      </c>
      <c r="L347" s="165">
        <f t="shared" si="89"/>
        <v>0</v>
      </c>
    </row>
    <row r="348" spans="1:12" ht="27.6" x14ac:dyDescent="0.3">
      <c r="A348" s="358" t="str">
        <f t="shared" si="81"/>
        <v>Do Not Print</v>
      </c>
      <c r="B348" s="359" t="s">
        <v>123</v>
      </c>
      <c r="C348" s="358" t="s">
        <v>665</v>
      </c>
      <c r="D348" s="359"/>
      <c r="E348" s="360" t="s">
        <v>710</v>
      </c>
      <c r="F348" s="313">
        <f t="shared" si="86"/>
        <v>0</v>
      </c>
      <c r="G348" s="361">
        <f t="shared" si="87"/>
        <v>0</v>
      </c>
      <c r="H348" s="315">
        <f t="shared" si="88"/>
        <v>0</v>
      </c>
      <c r="I348" s="165"/>
      <c r="J348" s="165">
        <f t="shared" si="89"/>
        <v>0</v>
      </c>
      <c r="K348" s="165">
        <f t="shared" si="89"/>
        <v>0</v>
      </c>
      <c r="L348" s="165">
        <f t="shared" si="89"/>
        <v>0</v>
      </c>
    </row>
    <row r="349" spans="1:12" ht="27.6" x14ac:dyDescent="0.3">
      <c r="A349" s="358" t="str">
        <f>IF(AND(F349=0,G349=0),"Do Not Print","Print")</f>
        <v>Do Not Print</v>
      </c>
      <c r="B349" s="359" t="s">
        <v>123</v>
      </c>
      <c r="C349" s="358" t="s">
        <v>519</v>
      </c>
      <c r="D349" s="359"/>
      <c r="E349" s="360" t="s">
        <v>710</v>
      </c>
      <c r="F349" s="313">
        <f t="shared" si="86"/>
        <v>0</v>
      </c>
      <c r="G349" s="361">
        <f t="shared" si="87"/>
        <v>0</v>
      </c>
      <c r="H349" s="315">
        <f t="shared" si="88"/>
        <v>0</v>
      </c>
      <c r="I349" s="165"/>
      <c r="J349" s="165">
        <f t="shared" si="89"/>
        <v>0</v>
      </c>
      <c r="K349" s="165">
        <f t="shared" si="89"/>
        <v>0</v>
      </c>
      <c r="L349" s="165">
        <f t="shared" si="89"/>
        <v>0</v>
      </c>
    </row>
    <row r="350" spans="1:12" ht="27.6" x14ac:dyDescent="0.3">
      <c r="A350" s="358" t="str">
        <f>IF(AND(F350=0,G350=0),"Do Not Print","Print")</f>
        <v>Do Not Print</v>
      </c>
      <c r="B350" s="359" t="s">
        <v>123</v>
      </c>
      <c r="C350" s="358" t="s">
        <v>520</v>
      </c>
      <c r="D350" s="359"/>
      <c r="E350" s="360" t="s">
        <v>710</v>
      </c>
      <c r="F350" s="313">
        <f t="shared" si="86"/>
        <v>0</v>
      </c>
      <c r="G350" s="361">
        <f t="shared" si="87"/>
        <v>0</v>
      </c>
      <c r="H350" s="315">
        <f t="shared" si="88"/>
        <v>0</v>
      </c>
      <c r="I350" s="165"/>
      <c r="J350" s="165">
        <f t="shared" si="89"/>
        <v>0</v>
      </c>
      <c r="K350" s="165">
        <f t="shared" si="89"/>
        <v>0</v>
      </c>
      <c r="L350" s="165">
        <f t="shared" si="89"/>
        <v>0</v>
      </c>
    </row>
    <row r="351" spans="1:12" ht="27.6" x14ac:dyDescent="0.3">
      <c r="A351" s="358" t="str">
        <f>IF(AND(F351=0,G351=0),"Do Not Print","Print")</f>
        <v>Do Not Print</v>
      </c>
      <c r="B351" s="359" t="s">
        <v>123</v>
      </c>
      <c r="C351" s="358" t="s">
        <v>521</v>
      </c>
      <c r="D351" s="359"/>
      <c r="E351" s="360" t="s">
        <v>710</v>
      </c>
      <c r="F351" s="313">
        <f t="shared" si="86"/>
        <v>0</v>
      </c>
      <c r="G351" s="361">
        <f t="shared" si="87"/>
        <v>0</v>
      </c>
      <c r="H351" s="315">
        <f t="shared" si="88"/>
        <v>0</v>
      </c>
      <c r="I351" s="165"/>
      <c r="J351" s="165">
        <f t="shared" si="89"/>
        <v>0</v>
      </c>
      <c r="K351" s="165">
        <f t="shared" si="89"/>
        <v>0</v>
      </c>
      <c r="L351" s="165">
        <f t="shared" si="89"/>
        <v>0</v>
      </c>
    </row>
    <row r="352" spans="1:12" ht="27.6" x14ac:dyDescent="0.3">
      <c r="A352" s="358" t="str">
        <f t="shared" si="81"/>
        <v>Do Not Print</v>
      </c>
      <c r="B352" s="359" t="s">
        <v>123</v>
      </c>
      <c r="C352" s="358" t="s">
        <v>377</v>
      </c>
      <c r="D352" s="359"/>
      <c r="E352" s="360" t="s">
        <v>710</v>
      </c>
      <c r="F352" s="313">
        <f t="shared" si="86"/>
        <v>0</v>
      </c>
      <c r="G352" s="361">
        <f t="shared" si="87"/>
        <v>0</v>
      </c>
      <c r="H352" s="315">
        <f t="shared" si="88"/>
        <v>0</v>
      </c>
      <c r="I352" s="165"/>
      <c r="J352" s="165">
        <f t="shared" si="89"/>
        <v>0</v>
      </c>
      <c r="K352" s="165">
        <f t="shared" si="89"/>
        <v>0</v>
      </c>
      <c r="L352" s="165">
        <f t="shared" si="89"/>
        <v>0</v>
      </c>
    </row>
    <row r="353" spans="1:12" ht="27.6" x14ac:dyDescent="0.3">
      <c r="A353" s="358" t="str">
        <f t="shared" si="81"/>
        <v>Do Not Print</v>
      </c>
      <c r="B353" s="359" t="s">
        <v>123</v>
      </c>
      <c r="C353" s="358" t="s">
        <v>378</v>
      </c>
      <c r="D353" s="359"/>
      <c r="E353" s="360" t="s">
        <v>710</v>
      </c>
      <c r="F353" s="313">
        <f t="shared" si="86"/>
        <v>0</v>
      </c>
      <c r="G353" s="361">
        <f t="shared" si="87"/>
        <v>0</v>
      </c>
      <c r="H353" s="315">
        <f t="shared" si="88"/>
        <v>0</v>
      </c>
      <c r="I353" s="165"/>
      <c r="J353" s="165">
        <f t="shared" si="89"/>
        <v>0</v>
      </c>
      <c r="K353" s="165">
        <f t="shared" si="89"/>
        <v>0</v>
      </c>
      <c r="L353" s="165">
        <f t="shared" si="89"/>
        <v>0</v>
      </c>
    </row>
    <row r="354" spans="1:12" ht="27.6" x14ac:dyDescent="0.3">
      <c r="A354" s="358" t="str">
        <f t="shared" si="81"/>
        <v>Do Not Print</v>
      </c>
      <c r="B354" s="359" t="s">
        <v>123</v>
      </c>
      <c r="C354" s="358" t="s">
        <v>2812</v>
      </c>
      <c r="D354" s="359"/>
      <c r="E354" s="360" t="s">
        <v>710</v>
      </c>
      <c r="F354" s="313">
        <f t="shared" si="86"/>
        <v>0</v>
      </c>
      <c r="G354" s="361">
        <f t="shared" si="87"/>
        <v>0</v>
      </c>
      <c r="H354" s="315">
        <f t="shared" si="88"/>
        <v>0</v>
      </c>
      <c r="I354" s="165"/>
      <c r="J354" s="165">
        <f t="shared" si="89"/>
        <v>0</v>
      </c>
      <c r="K354" s="165">
        <f t="shared" si="89"/>
        <v>0</v>
      </c>
      <c r="L354" s="165">
        <f t="shared" si="89"/>
        <v>0</v>
      </c>
    </row>
    <row r="355" spans="1:12" ht="27.6" x14ac:dyDescent="0.3">
      <c r="A355" s="358" t="str">
        <f t="shared" si="81"/>
        <v>Do Not Print</v>
      </c>
      <c r="B355" s="359" t="s">
        <v>123</v>
      </c>
      <c r="C355" s="358" t="s">
        <v>379</v>
      </c>
      <c r="D355" s="359"/>
      <c r="E355" s="360" t="s">
        <v>710</v>
      </c>
      <c r="F355" s="313">
        <f t="shared" si="86"/>
        <v>0</v>
      </c>
      <c r="G355" s="361">
        <f t="shared" si="87"/>
        <v>0</v>
      </c>
      <c r="H355" s="315">
        <f t="shared" si="88"/>
        <v>0</v>
      </c>
      <c r="I355" s="165"/>
      <c r="J355" s="165">
        <f t="shared" si="89"/>
        <v>0</v>
      </c>
      <c r="K355" s="165">
        <f t="shared" si="89"/>
        <v>0</v>
      </c>
      <c r="L355" s="165">
        <f t="shared" si="89"/>
        <v>0</v>
      </c>
    </row>
    <row r="356" spans="1:12" ht="27.6" x14ac:dyDescent="0.3">
      <c r="A356" s="358" t="str">
        <f t="shared" si="81"/>
        <v>Do Not Print</v>
      </c>
      <c r="B356" s="359" t="s">
        <v>123</v>
      </c>
      <c r="C356" s="358" t="s">
        <v>380</v>
      </c>
      <c r="D356" s="359"/>
      <c r="E356" s="360" t="s">
        <v>710</v>
      </c>
      <c r="F356" s="313">
        <f t="shared" si="86"/>
        <v>0</v>
      </c>
      <c r="G356" s="361">
        <f t="shared" si="87"/>
        <v>0</v>
      </c>
      <c r="H356" s="315">
        <f t="shared" si="88"/>
        <v>0</v>
      </c>
      <c r="I356" s="165"/>
      <c r="J356" s="165">
        <f>ROUND(F356,0)</f>
        <v>0</v>
      </c>
      <c r="K356" s="165">
        <f>ROUND(G356,0)</f>
        <v>0</v>
      </c>
      <c r="L356" s="165">
        <f>ROUND(H356,0)</f>
        <v>0</v>
      </c>
    </row>
    <row r="357" spans="1:12" ht="27.6" x14ac:dyDescent="0.3">
      <c r="A357" s="358" t="str">
        <f t="shared" si="81"/>
        <v>Do Not Print</v>
      </c>
      <c r="B357" s="359" t="s">
        <v>123</v>
      </c>
      <c r="C357" s="358" t="s">
        <v>381</v>
      </c>
      <c r="D357" s="359"/>
      <c r="E357" s="360" t="s">
        <v>710</v>
      </c>
      <c r="F357" s="313">
        <f t="shared" si="86"/>
        <v>0</v>
      </c>
      <c r="G357" s="361">
        <f t="shared" si="87"/>
        <v>0</v>
      </c>
      <c r="H357" s="315">
        <f t="shared" si="88"/>
        <v>0</v>
      </c>
      <c r="I357" s="165"/>
      <c r="J357" s="165">
        <f t="shared" si="89"/>
        <v>0</v>
      </c>
      <c r="K357" s="165">
        <f t="shared" si="89"/>
        <v>0</v>
      </c>
      <c r="L357" s="165">
        <f t="shared" si="89"/>
        <v>0</v>
      </c>
    </row>
    <row r="358" spans="1:12" ht="27.6" x14ac:dyDescent="0.3">
      <c r="A358" s="358" t="str">
        <f t="shared" si="81"/>
        <v>Do Not Print</v>
      </c>
      <c r="B358" s="359" t="s">
        <v>123</v>
      </c>
      <c r="C358" s="1233" t="s">
        <v>2750</v>
      </c>
      <c r="D358" s="359"/>
      <c r="E358" s="360" t="s">
        <v>710</v>
      </c>
      <c r="F358" s="313">
        <f t="shared" si="86"/>
        <v>0</v>
      </c>
      <c r="G358" s="361">
        <f t="shared" si="87"/>
        <v>0</v>
      </c>
      <c r="H358" s="315">
        <f t="shared" si="88"/>
        <v>0</v>
      </c>
      <c r="I358" s="165"/>
      <c r="J358" s="165">
        <f t="shared" ref="J358" si="90">ROUND(F358,0)</f>
        <v>0</v>
      </c>
      <c r="K358" s="165">
        <f t="shared" ref="K358" si="91">ROUND(G358,0)</f>
        <v>0</v>
      </c>
      <c r="L358" s="165">
        <f t="shared" ref="L358" si="92">ROUND(H358,0)</f>
        <v>0</v>
      </c>
    </row>
    <row r="359" spans="1:12" s="33" customFormat="1" ht="28.8" x14ac:dyDescent="0.3">
      <c r="A359" s="32" t="str">
        <f t="shared" si="81"/>
        <v>Do Not Print</v>
      </c>
      <c r="C359" s="32"/>
      <c r="E359" s="244"/>
      <c r="F359" s="362">
        <f>SUM(F342:F358)</f>
        <v>0</v>
      </c>
      <c r="G359" s="362">
        <f t="shared" ref="G359:H359" si="93">SUM(G342:G358)</f>
        <v>0</v>
      </c>
      <c r="H359" s="362">
        <f t="shared" si="93"/>
        <v>0</v>
      </c>
      <c r="I359" s="323"/>
      <c r="J359" s="323">
        <f>SUM(J342:J358)</f>
        <v>0</v>
      </c>
      <c r="K359" s="323">
        <f t="shared" ref="K359:L359" si="94">SUM(K342:K358)</f>
        <v>0</v>
      </c>
      <c r="L359" s="323">
        <f t="shared" si="94"/>
        <v>0</v>
      </c>
    </row>
    <row r="360" spans="1:12" ht="27.6" x14ac:dyDescent="0.3">
      <c r="A360" s="39" t="str">
        <f t="shared" si="81"/>
        <v>Do Not Print</v>
      </c>
      <c r="F360" s="183"/>
      <c r="G360" s="183"/>
      <c r="H360" s="201"/>
      <c r="I360" s="165"/>
      <c r="J360" s="165"/>
      <c r="K360" s="165"/>
      <c r="L360" s="165"/>
    </row>
    <row r="361" spans="1:12" ht="14.4" x14ac:dyDescent="0.3">
      <c r="A361" s="39" t="s">
        <v>448</v>
      </c>
      <c r="C361" s="45" t="s">
        <v>382</v>
      </c>
      <c r="D361" s="14"/>
      <c r="F361" s="165"/>
      <c r="G361" s="165"/>
      <c r="H361" s="198"/>
      <c r="I361" s="165"/>
      <c r="J361" s="165"/>
      <c r="K361" s="165"/>
      <c r="L361" s="165"/>
    </row>
    <row r="362" spans="1:12" ht="27.6" x14ac:dyDescent="0.3">
      <c r="A362" s="363" t="str">
        <f t="shared" si="81"/>
        <v>Do Not Print</v>
      </c>
      <c r="B362" s="364" t="s">
        <v>124</v>
      </c>
      <c r="C362" s="363" t="s">
        <v>383</v>
      </c>
      <c r="D362" s="364"/>
      <c r="E362" s="365" t="s">
        <v>711</v>
      </c>
      <c r="F362" s="366">
        <f>VLOOKUP($C362,CACE,8,0)</f>
        <v>0</v>
      </c>
      <c r="G362" s="367">
        <f>VLOOKUP($C362,CACE,14,0)</f>
        <v>0</v>
      </c>
      <c r="H362" s="355">
        <f>VLOOKUP($C362,CACE,20,0)</f>
        <v>0</v>
      </c>
      <c r="I362" s="165"/>
      <c r="J362" s="165">
        <f t="shared" ref="J362:L363" si="95">ROUND(F362,0)</f>
        <v>0</v>
      </c>
      <c r="K362" s="165">
        <f t="shared" si="95"/>
        <v>0</v>
      </c>
      <c r="L362" s="165">
        <f t="shared" si="95"/>
        <v>0</v>
      </c>
    </row>
    <row r="363" spans="1:12" ht="27.6" x14ac:dyDescent="0.3">
      <c r="A363" s="363" t="str">
        <f t="shared" si="81"/>
        <v>Do Not Print</v>
      </c>
      <c r="B363" s="364" t="s">
        <v>124</v>
      </c>
      <c r="C363" s="363" t="s">
        <v>384</v>
      </c>
      <c r="D363" s="364"/>
      <c r="E363" s="365" t="s">
        <v>711</v>
      </c>
      <c r="F363" s="366">
        <f>VLOOKUP($C363,CACE,8,0)</f>
        <v>0</v>
      </c>
      <c r="G363" s="367">
        <f>VLOOKUP($C363,CACE,14,0)</f>
        <v>0</v>
      </c>
      <c r="H363" s="355">
        <f>VLOOKUP($C363,CACE,20,0)</f>
        <v>0</v>
      </c>
      <c r="I363" s="165"/>
      <c r="J363" s="165">
        <f t="shared" si="95"/>
        <v>0</v>
      </c>
      <c r="K363" s="165">
        <f t="shared" si="95"/>
        <v>0</v>
      </c>
      <c r="L363" s="165">
        <f t="shared" si="95"/>
        <v>0</v>
      </c>
    </row>
    <row r="364" spans="1:12" s="33" customFormat="1" ht="28.8" x14ac:dyDescent="0.3">
      <c r="A364" s="32" t="str">
        <f t="shared" si="81"/>
        <v>Do Not Print</v>
      </c>
      <c r="C364" s="32"/>
      <c r="E364" s="244"/>
      <c r="F364" s="368">
        <f>SUM(F362:F363)</f>
        <v>0</v>
      </c>
      <c r="G364" s="368">
        <f>SUM(G362:G363)</f>
        <v>0</v>
      </c>
      <c r="H364" s="368">
        <f>SUM(H362:H363)</f>
        <v>0</v>
      </c>
      <c r="I364" s="323"/>
      <c r="J364" s="323">
        <f>SUM(J362:J363)</f>
        <v>0</v>
      </c>
      <c r="K364" s="323">
        <f>SUM(K362:K363)</f>
        <v>0</v>
      </c>
      <c r="L364" s="323">
        <f>SUM(L362:L363)</f>
        <v>0</v>
      </c>
    </row>
    <row r="365" spans="1:12" ht="27.6" x14ac:dyDescent="0.3">
      <c r="A365" s="39" t="str">
        <f t="shared" si="81"/>
        <v>Do Not Print</v>
      </c>
      <c r="F365" s="183"/>
      <c r="G365" s="183"/>
      <c r="H365" s="201"/>
      <c r="I365" s="165"/>
      <c r="J365" s="165"/>
      <c r="K365" s="165"/>
      <c r="L365" s="165"/>
    </row>
    <row r="366" spans="1:12" ht="27.6" x14ac:dyDescent="0.3">
      <c r="A366" s="39" t="str">
        <f t="shared" si="81"/>
        <v>Do Not Print</v>
      </c>
      <c r="C366" s="45" t="s">
        <v>1560</v>
      </c>
      <c r="F366" s="183"/>
      <c r="G366" s="183"/>
      <c r="H366" s="201"/>
      <c r="I366" s="165"/>
      <c r="J366" s="165"/>
      <c r="K366" s="165"/>
      <c r="L366" s="165"/>
    </row>
    <row r="367" spans="1:12" ht="27.6" x14ac:dyDescent="0.3">
      <c r="A367" s="369" t="str">
        <f t="shared" si="81"/>
        <v>Do Not Print</v>
      </c>
      <c r="B367" s="370" t="s">
        <v>1561</v>
      </c>
      <c r="C367" s="369" t="s">
        <v>360</v>
      </c>
      <c r="D367" s="370"/>
      <c r="E367" s="371"/>
      <c r="F367" s="374">
        <f t="shared" ref="F367:F376" si="96">VLOOKUP($C367,CSASS,8,0)</f>
        <v>0</v>
      </c>
      <c r="G367" s="375">
        <f t="shared" ref="G367:G377" si="97">VLOOKUP($C367,CSASS,14,0)</f>
        <v>0</v>
      </c>
      <c r="H367" s="201"/>
      <c r="I367" s="165"/>
      <c r="J367" s="165">
        <f>ROUND(F367,0)</f>
        <v>0</v>
      </c>
      <c r="K367" s="165">
        <f>ROUND(G367,0)</f>
        <v>0</v>
      </c>
      <c r="L367" s="165"/>
    </row>
    <row r="368" spans="1:12" ht="27.6" x14ac:dyDescent="0.3">
      <c r="A368" s="369" t="str">
        <f t="shared" si="81"/>
        <v>Do Not Print</v>
      </c>
      <c r="B368" s="370" t="s">
        <v>1561</v>
      </c>
      <c r="C368" s="372" t="s">
        <v>101</v>
      </c>
      <c r="D368" s="370"/>
      <c r="E368" s="371"/>
      <c r="F368" s="374">
        <f t="shared" si="96"/>
        <v>0</v>
      </c>
      <c r="G368" s="375">
        <f t="shared" si="97"/>
        <v>0</v>
      </c>
      <c r="H368" s="201"/>
      <c r="I368" s="165"/>
      <c r="J368" s="165">
        <f t="shared" ref="J368:K378" si="98">ROUND(F368,0)</f>
        <v>0</v>
      </c>
      <c r="K368" s="165">
        <f t="shared" si="98"/>
        <v>0</v>
      </c>
      <c r="L368" s="165"/>
    </row>
    <row r="369" spans="1:12" ht="27.6" x14ac:dyDescent="0.3">
      <c r="A369" s="369" t="str">
        <f t="shared" si="81"/>
        <v>Do Not Print</v>
      </c>
      <c r="B369" s="370" t="s">
        <v>1561</v>
      </c>
      <c r="C369" s="369" t="s">
        <v>961</v>
      </c>
      <c r="D369" s="370"/>
      <c r="E369" s="371"/>
      <c r="F369" s="374">
        <f t="shared" si="96"/>
        <v>0</v>
      </c>
      <c r="G369" s="375">
        <f t="shared" si="97"/>
        <v>0</v>
      </c>
      <c r="H369" s="201"/>
      <c r="I369" s="165"/>
      <c r="J369" s="165">
        <f t="shared" si="98"/>
        <v>0</v>
      </c>
      <c r="K369" s="165">
        <f t="shared" si="98"/>
        <v>0</v>
      </c>
      <c r="L369" s="165"/>
    </row>
    <row r="370" spans="1:12" ht="27.6" x14ac:dyDescent="0.3">
      <c r="A370" s="369" t="str">
        <f t="shared" si="81"/>
        <v>Do Not Print</v>
      </c>
      <c r="B370" s="370" t="s">
        <v>1561</v>
      </c>
      <c r="C370" s="373" t="s">
        <v>1094</v>
      </c>
      <c r="D370" s="370"/>
      <c r="E370" s="371"/>
      <c r="F370" s="374">
        <f t="shared" si="96"/>
        <v>0</v>
      </c>
      <c r="G370" s="375">
        <f t="shared" si="97"/>
        <v>0</v>
      </c>
      <c r="H370" s="201"/>
      <c r="I370" s="165"/>
      <c r="J370" s="165">
        <f t="shared" si="98"/>
        <v>0</v>
      </c>
      <c r="K370" s="165">
        <f t="shared" si="98"/>
        <v>0</v>
      </c>
      <c r="L370" s="165"/>
    </row>
    <row r="371" spans="1:12" ht="27.6" x14ac:dyDescent="0.3">
      <c r="A371" s="369" t="str">
        <f t="shared" si="81"/>
        <v>Do Not Print</v>
      </c>
      <c r="B371" s="370" t="s">
        <v>1561</v>
      </c>
      <c r="C371" s="373" t="s">
        <v>1096</v>
      </c>
      <c r="D371" s="370"/>
      <c r="E371" s="371"/>
      <c r="F371" s="374">
        <f t="shared" si="96"/>
        <v>0</v>
      </c>
      <c r="G371" s="375">
        <f t="shared" si="97"/>
        <v>0</v>
      </c>
      <c r="H371" s="201"/>
      <c r="I371" s="165"/>
      <c r="J371" s="165">
        <f t="shared" si="98"/>
        <v>0</v>
      </c>
      <c r="K371" s="165">
        <f t="shared" si="98"/>
        <v>0</v>
      </c>
      <c r="L371" s="165"/>
    </row>
    <row r="372" spans="1:12" ht="27.6" x14ac:dyDescent="0.3">
      <c r="A372" s="369" t="str">
        <f t="shared" si="81"/>
        <v>Do Not Print</v>
      </c>
      <c r="B372" s="370" t="s">
        <v>1561</v>
      </c>
      <c r="C372" s="369" t="s">
        <v>962</v>
      </c>
      <c r="D372" s="370"/>
      <c r="E372" s="371"/>
      <c r="F372" s="374">
        <f t="shared" si="96"/>
        <v>0</v>
      </c>
      <c r="G372" s="375">
        <f t="shared" si="97"/>
        <v>0</v>
      </c>
      <c r="H372" s="201"/>
      <c r="I372" s="165"/>
      <c r="J372" s="165">
        <f t="shared" si="98"/>
        <v>0</v>
      </c>
      <c r="K372" s="165">
        <f t="shared" si="98"/>
        <v>0</v>
      </c>
      <c r="L372" s="165"/>
    </row>
    <row r="373" spans="1:12" ht="27.6" x14ac:dyDescent="0.3">
      <c r="A373" s="369" t="str">
        <f t="shared" si="81"/>
        <v>Do Not Print</v>
      </c>
      <c r="B373" s="370" t="s">
        <v>1561</v>
      </c>
      <c r="C373" s="373" t="s">
        <v>361</v>
      </c>
      <c r="D373" s="370"/>
      <c r="E373" s="371"/>
      <c r="F373" s="374">
        <f t="shared" si="96"/>
        <v>0</v>
      </c>
      <c r="G373" s="375">
        <f t="shared" si="97"/>
        <v>0</v>
      </c>
      <c r="H373" s="201"/>
      <c r="I373" s="165"/>
      <c r="J373" s="165">
        <f t="shared" si="98"/>
        <v>0</v>
      </c>
      <c r="K373" s="165">
        <f t="shared" si="98"/>
        <v>0</v>
      </c>
      <c r="L373" s="165"/>
    </row>
    <row r="374" spans="1:12" ht="27.6" x14ac:dyDescent="0.3">
      <c r="A374" s="369" t="str">
        <f t="shared" si="81"/>
        <v>Do Not Print</v>
      </c>
      <c r="B374" s="370" t="s">
        <v>1561</v>
      </c>
      <c r="C374" s="369" t="s">
        <v>1061</v>
      </c>
      <c r="D374" s="370"/>
      <c r="E374" s="371"/>
      <c r="F374" s="374">
        <f t="shared" si="96"/>
        <v>0</v>
      </c>
      <c r="G374" s="375">
        <f t="shared" si="97"/>
        <v>0</v>
      </c>
      <c r="H374" s="201"/>
      <c r="I374" s="165"/>
      <c r="J374" s="165">
        <f t="shared" si="98"/>
        <v>0</v>
      </c>
      <c r="K374" s="165">
        <f t="shared" si="98"/>
        <v>0</v>
      </c>
      <c r="L374" s="165"/>
    </row>
    <row r="375" spans="1:12" ht="27.6" x14ac:dyDescent="0.3">
      <c r="A375" s="369" t="str">
        <f t="shared" si="81"/>
        <v>Do Not Print</v>
      </c>
      <c r="B375" s="370" t="s">
        <v>1561</v>
      </c>
      <c r="C375" s="369" t="s">
        <v>362</v>
      </c>
      <c r="D375" s="370"/>
      <c r="E375" s="371"/>
      <c r="F375" s="374">
        <f t="shared" si="96"/>
        <v>0</v>
      </c>
      <c r="G375" s="375">
        <f t="shared" si="97"/>
        <v>0</v>
      </c>
      <c r="H375" s="201"/>
      <c r="I375" s="165"/>
      <c r="J375" s="165">
        <f t="shared" si="98"/>
        <v>0</v>
      </c>
      <c r="K375" s="165">
        <f t="shared" si="98"/>
        <v>0</v>
      </c>
      <c r="L375" s="165"/>
    </row>
    <row r="376" spans="1:12" ht="27.6" x14ac:dyDescent="0.3">
      <c r="A376" s="369" t="str">
        <f t="shared" si="81"/>
        <v>Do Not Print</v>
      </c>
      <c r="B376" s="370" t="s">
        <v>1561</v>
      </c>
      <c r="C376" s="369" t="s">
        <v>363</v>
      </c>
      <c r="D376" s="370"/>
      <c r="E376" s="371"/>
      <c r="F376" s="374">
        <f t="shared" si="96"/>
        <v>0</v>
      </c>
      <c r="G376" s="375">
        <f>VLOOKUP($C376,CSASS,14,0)</f>
        <v>0</v>
      </c>
      <c r="H376" s="201"/>
      <c r="I376" s="165"/>
      <c r="J376" s="165">
        <f t="shared" si="98"/>
        <v>0</v>
      </c>
      <c r="K376" s="165">
        <f t="shared" si="98"/>
        <v>0</v>
      </c>
      <c r="L376" s="165"/>
    </row>
    <row r="377" spans="1:12" ht="27.6" x14ac:dyDescent="0.3">
      <c r="A377" s="369" t="str">
        <f t="shared" si="81"/>
        <v>Do Not Print</v>
      </c>
      <c r="B377" s="370" t="s">
        <v>1561</v>
      </c>
      <c r="C377" s="369" t="s">
        <v>1100</v>
      </c>
      <c r="D377" s="370"/>
      <c r="E377" s="371"/>
      <c r="F377" s="374">
        <f>VLOOKUP($C377,CSASS,8,0)</f>
        <v>0</v>
      </c>
      <c r="G377" s="375">
        <f t="shared" si="97"/>
        <v>0</v>
      </c>
      <c r="H377" s="201"/>
      <c r="I377" s="165"/>
      <c r="J377" s="165">
        <f>ROUND(F377,0)</f>
        <v>0</v>
      </c>
      <c r="K377" s="165">
        <f t="shared" si="98"/>
        <v>0</v>
      </c>
      <c r="L377" s="165"/>
    </row>
    <row r="378" spans="1:12" ht="27.6" x14ac:dyDescent="0.3">
      <c r="A378" s="39" t="str">
        <f t="shared" si="81"/>
        <v>Do Not Print</v>
      </c>
      <c r="C378" s="45"/>
      <c r="F378" s="376">
        <f>SUM(F367:F377)</f>
        <v>0</v>
      </c>
      <c r="G378" s="376">
        <f>SUM(G367:G377)</f>
        <v>0</v>
      </c>
      <c r="H378" s="201"/>
      <c r="I378" s="165"/>
      <c r="J378" s="165">
        <f t="shared" si="98"/>
        <v>0</v>
      </c>
      <c r="K378" s="165">
        <f t="shared" si="98"/>
        <v>0</v>
      </c>
      <c r="L378" s="165"/>
    </row>
    <row r="379" spans="1:12" ht="27.6" x14ac:dyDescent="0.3">
      <c r="A379" s="39" t="str">
        <f t="shared" si="81"/>
        <v>Do Not Print</v>
      </c>
      <c r="C379" s="45"/>
      <c r="F379" s="197"/>
      <c r="G379" s="197"/>
      <c r="H379" s="201"/>
      <c r="I379" s="165"/>
      <c r="J379" s="165"/>
      <c r="K379" s="165"/>
      <c r="L379" s="165"/>
    </row>
    <row r="380" spans="1:12" ht="27.6" x14ac:dyDescent="0.3">
      <c r="A380" s="39" t="str">
        <f t="shared" si="81"/>
        <v>Do Not Print</v>
      </c>
      <c r="B380" s="370" t="s">
        <v>2754</v>
      </c>
      <c r="C380" s="45" t="s">
        <v>2363</v>
      </c>
      <c r="F380" s="197">
        <f>VLOOKUP($C380,CASSCA,8,0)</f>
        <v>0</v>
      </c>
      <c r="G380" s="197">
        <f>VLOOKUP($C380,CASSCA,14,0)</f>
        <v>0</v>
      </c>
      <c r="H380" s="201"/>
      <c r="I380" s="165"/>
      <c r="J380" s="165">
        <f>ROUND(F380,0)</f>
        <v>0</v>
      </c>
      <c r="K380" s="165">
        <f>ROUND(G380,0)</f>
        <v>0</v>
      </c>
      <c r="L380" s="165"/>
    </row>
    <row r="381" spans="1:12" ht="27.6" x14ac:dyDescent="0.3">
      <c r="A381" s="39" t="str">
        <f t="shared" si="81"/>
        <v>Do Not Print</v>
      </c>
      <c r="C381" s="45"/>
      <c r="F381" s="197">
        <f>F380</f>
        <v>0</v>
      </c>
      <c r="G381" s="197">
        <f>G380</f>
        <v>0</v>
      </c>
      <c r="H381" s="201"/>
      <c r="I381" s="165"/>
      <c r="J381" s="165">
        <f>J380</f>
        <v>0</v>
      </c>
      <c r="K381" s="165">
        <f>K380</f>
        <v>0</v>
      </c>
      <c r="L381" s="165"/>
    </row>
    <row r="382" spans="1:12" ht="27.6" x14ac:dyDescent="0.3">
      <c r="A382" s="39" t="str">
        <f t="shared" si="81"/>
        <v>Do Not Print</v>
      </c>
      <c r="C382" s="45"/>
      <c r="F382" s="197"/>
      <c r="G382" s="197"/>
      <c r="H382" s="201"/>
      <c r="I382" s="165"/>
      <c r="J382" s="165"/>
      <c r="K382" s="165"/>
      <c r="L382" s="165"/>
    </row>
    <row r="383" spans="1:12" ht="27.6" x14ac:dyDescent="0.3">
      <c r="A383" s="39" t="str">
        <f t="shared" si="81"/>
        <v>Do Not Print</v>
      </c>
      <c r="B383" t="s">
        <v>2755</v>
      </c>
      <c r="C383" s="45" t="s">
        <v>2692</v>
      </c>
      <c r="F383" s="197">
        <f>VLOOKUP($C383,CASSCC,8,0)</f>
        <v>0</v>
      </c>
      <c r="G383" s="197">
        <f>VLOOKUP($C383,CASSCC,14,0)</f>
        <v>0</v>
      </c>
      <c r="H383" s="201"/>
      <c r="I383" s="165"/>
      <c r="J383" s="165">
        <f>ROUND(F383,0)</f>
        <v>0</v>
      </c>
      <c r="K383" s="165">
        <f>ROUND(G383,0)</f>
        <v>0</v>
      </c>
      <c r="L383" s="165"/>
    </row>
    <row r="384" spans="1:12" ht="27.6" x14ac:dyDescent="0.3">
      <c r="A384" s="39" t="str">
        <f t="shared" si="81"/>
        <v>Do Not Print</v>
      </c>
      <c r="C384" s="45"/>
      <c r="F384" s="197">
        <f>F383</f>
        <v>0</v>
      </c>
      <c r="G384" s="197">
        <f>G383</f>
        <v>0</v>
      </c>
      <c r="H384" s="201"/>
      <c r="I384" s="165"/>
      <c r="J384" s="165">
        <f>J383</f>
        <v>0</v>
      </c>
      <c r="K384" s="165">
        <f>K383</f>
        <v>0</v>
      </c>
      <c r="L384" s="165"/>
    </row>
    <row r="385" spans="1:12" ht="27.6" x14ac:dyDescent="0.3">
      <c r="A385" s="39" t="str">
        <f t="shared" si="81"/>
        <v>Do Not Print</v>
      </c>
      <c r="C385" s="45"/>
      <c r="F385" s="197"/>
      <c r="G385" s="197"/>
      <c r="H385" s="201"/>
      <c r="I385" s="165"/>
      <c r="J385" s="165"/>
      <c r="K385" s="165"/>
      <c r="L385" s="165"/>
    </row>
    <row r="386" spans="1:12" ht="27.6" x14ac:dyDescent="0.3">
      <c r="A386" s="39" t="str">
        <f t="shared" si="81"/>
        <v>Do Not Print</v>
      </c>
      <c r="C386" s="45" t="s">
        <v>375</v>
      </c>
      <c r="D386" s="14"/>
      <c r="E386" s="244"/>
      <c r="F386" s="197">
        <f>F339+F359+F364+F378+F381+F384</f>
        <v>0</v>
      </c>
      <c r="G386" s="197">
        <f>G339+G359+G364+G378+G381+G384</f>
        <v>0</v>
      </c>
      <c r="H386" s="202"/>
      <c r="I386" s="165"/>
      <c r="J386" s="165">
        <f>J332+J359+J364+J378+J381+J384</f>
        <v>0</v>
      </c>
      <c r="K386" s="165">
        <f>K332+K359+K364+K378+K381+K384</f>
        <v>0</v>
      </c>
      <c r="L386" s="165"/>
    </row>
    <row r="387" spans="1:12" x14ac:dyDescent="0.3">
      <c r="A387" s="39" t="s">
        <v>448</v>
      </c>
      <c r="F387" s="165"/>
      <c r="G387" s="165"/>
      <c r="H387" s="198"/>
      <c r="I387" s="165"/>
      <c r="J387" s="165"/>
      <c r="K387" s="165"/>
      <c r="L387" s="165"/>
    </row>
    <row r="388" spans="1:12" ht="28.8" x14ac:dyDescent="0.3">
      <c r="A388" s="39" t="str">
        <f t="shared" si="81"/>
        <v>Do Not Print</v>
      </c>
      <c r="C388" s="45" t="s">
        <v>584</v>
      </c>
      <c r="D388" s="14"/>
      <c r="F388" s="165"/>
      <c r="G388" s="165"/>
      <c r="H388" s="198"/>
      <c r="I388" s="165"/>
      <c r="J388" s="165"/>
      <c r="K388" s="165"/>
      <c r="L388" s="165"/>
    </row>
    <row r="389" spans="1:12" ht="27.6" x14ac:dyDescent="0.3">
      <c r="A389" s="377" t="str">
        <f t="shared" si="81"/>
        <v>Do Not Print</v>
      </c>
      <c r="B389" s="378" t="s">
        <v>125</v>
      </c>
      <c r="C389" s="377" t="s">
        <v>386</v>
      </c>
      <c r="D389" s="378"/>
      <c r="E389" s="379" t="s">
        <v>711</v>
      </c>
      <c r="F389" s="380">
        <f>VLOOKUP($C389,BAOD,8,0)</f>
        <v>0</v>
      </c>
      <c r="G389" s="381">
        <f>VLOOKUP($C389,BAOD,14,0)</f>
        <v>0</v>
      </c>
      <c r="H389" s="382">
        <f>VLOOKUP($C389,BAOD,20,0)</f>
        <v>0</v>
      </c>
      <c r="I389" s="165"/>
      <c r="J389" s="165">
        <f t="shared" ref="J389:L390" si="99">ROUND(F389,0)</f>
        <v>0</v>
      </c>
      <c r="K389" s="165">
        <f t="shared" si="99"/>
        <v>0</v>
      </c>
      <c r="L389" s="165">
        <f t="shared" si="99"/>
        <v>0</v>
      </c>
    </row>
    <row r="390" spans="1:12" ht="27.6" x14ac:dyDescent="0.3">
      <c r="A390" s="377" t="str">
        <f t="shared" si="81"/>
        <v>Do Not Print</v>
      </c>
      <c r="B390" s="378" t="s">
        <v>126</v>
      </c>
      <c r="C390" s="377" t="s">
        <v>388</v>
      </c>
      <c r="D390" s="378"/>
      <c r="E390" s="379" t="s">
        <v>711</v>
      </c>
      <c r="F390" s="380">
        <f>VLOOKUP($C390,STLN,8,0)</f>
        <v>0</v>
      </c>
      <c r="G390" s="381">
        <f>VLOOKUP($C390,STLN,14,0)</f>
        <v>0</v>
      </c>
      <c r="H390" s="382">
        <f>VLOOKUP($C390,STLN,20,0)</f>
        <v>0</v>
      </c>
      <c r="I390" s="165"/>
      <c r="J390" s="165">
        <f t="shared" si="99"/>
        <v>0</v>
      </c>
      <c r="K390" s="165">
        <f t="shared" si="99"/>
        <v>0</v>
      </c>
      <c r="L390" s="165">
        <f t="shared" si="99"/>
        <v>0</v>
      </c>
    </row>
    <row r="391" spans="1:12" s="33" customFormat="1" ht="28.8" x14ac:dyDescent="0.3">
      <c r="A391" s="32" t="str">
        <f t="shared" si="81"/>
        <v>Do Not Print</v>
      </c>
      <c r="C391" s="32"/>
      <c r="E391" s="244"/>
      <c r="F391" s="383">
        <f>SUM(F389:F390)</f>
        <v>0</v>
      </c>
      <c r="G391" s="383">
        <f>SUM(G389:G390)</f>
        <v>0</v>
      </c>
      <c r="H391" s="383">
        <f>SUM(H389:H390)</f>
        <v>0</v>
      </c>
      <c r="I391" s="323"/>
      <c r="J391" s="323">
        <f>SUM(J389:J390)</f>
        <v>0</v>
      </c>
      <c r="K391" s="323">
        <f>SUM(K389:K390)</f>
        <v>0</v>
      </c>
      <c r="L391" s="323">
        <f>SUM(L389:L390)</f>
        <v>0</v>
      </c>
    </row>
    <row r="392" spans="1:12" ht="27.6" x14ac:dyDescent="0.3">
      <c r="A392" s="39" t="str">
        <f t="shared" si="81"/>
        <v>Do Not Print</v>
      </c>
      <c r="F392" s="165"/>
      <c r="G392" s="165"/>
      <c r="H392" s="198"/>
      <c r="I392" s="165"/>
      <c r="J392" s="165"/>
      <c r="K392" s="165"/>
      <c r="L392" s="165"/>
    </row>
    <row r="393" spans="1:12" ht="14.4" x14ac:dyDescent="0.3">
      <c r="A393" s="39" t="s">
        <v>448</v>
      </c>
      <c r="C393" s="45" t="s">
        <v>585</v>
      </c>
      <c r="D393" s="14"/>
      <c r="F393" s="165"/>
      <c r="G393" s="165"/>
      <c r="H393" s="198"/>
      <c r="I393" s="165"/>
      <c r="J393" s="165"/>
      <c r="K393" s="165"/>
      <c r="L393" s="165"/>
    </row>
    <row r="394" spans="1:12" ht="27.6" x14ac:dyDescent="0.3">
      <c r="A394" s="384" t="str">
        <f t="shared" si="81"/>
        <v>Do Not Print</v>
      </c>
      <c r="B394" s="385" t="s">
        <v>128</v>
      </c>
      <c r="C394" s="384" t="s">
        <v>365</v>
      </c>
      <c r="D394" s="385"/>
      <c r="E394" s="386" t="s">
        <v>712</v>
      </c>
      <c r="F394" s="387">
        <f t="shared" ref="F394:F407" si="100">VLOOKUP($C394,STCR,8,0)</f>
        <v>0</v>
      </c>
      <c r="G394" s="388">
        <f t="shared" ref="G394:G407" si="101">VLOOKUP($C394,STCR,14,0)</f>
        <v>0</v>
      </c>
      <c r="H394" s="388">
        <f t="shared" ref="H394:H407" si="102">VLOOKUP($C394,STCR,20,0)</f>
        <v>0</v>
      </c>
      <c r="I394" s="165"/>
      <c r="J394" s="165">
        <f t="shared" ref="J394:L406" si="103">ROUND(F394,0)</f>
        <v>0</v>
      </c>
      <c r="K394" s="165">
        <f t="shared" si="103"/>
        <v>0</v>
      </c>
      <c r="L394" s="165">
        <f t="shared" si="103"/>
        <v>0</v>
      </c>
    </row>
    <row r="395" spans="1:12" ht="27.6" x14ac:dyDescent="0.3">
      <c r="A395" s="384" t="str">
        <f t="shared" si="81"/>
        <v>Do Not Print</v>
      </c>
      <c r="B395" s="385" t="s">
        <v>128</v>
      </c>
      <c r="C395" s="384" t="s">
        <v>396</v>
      </c>
      <c r="D395" s="385"/>
      <c r="E395" s="386" t="s">
        <v>712</v>
      </c>
      <c r="F395" s="387">
        <f t="shared" si="100"/>
        <v>0</v>
      </c>
      <c r="G395" s="388">
        <f t="shared" si="101"/>
        <v>0</v>
      </c>
      <c r="H395" s="388">
        <f t="shared" si="102"/>
        <v>0</v>
      </c>
      <c r="I395" s="165"/>
      <c r="J395" s="165">
        <f t="shared" si="103"/>
        <v>0</v>
      </c>
      <c r="K395" s="165">
        <f t="shared" si="103"/>
        <v>0</v>
      </c>
      <c r="L395" s="165">
        <f t="shared" si="103"/>
        <v>0</v>
      </c>
    </row>
    <row r="396" spans="1:12" ht="27.6" x14ac:dyDescent="0.3">
      <c r="A396" s="384" t="str">
        <f t="shared" si="81"/>
        <v>Do Not Print</v>
      </c>
      <c r="B396" s="385" t="s">
        <v>128</v>
      </c>
      <c r="C396" s="384" t="s">
        <v>367</v>
      </c>
      <c r="D396" s="385"/>
      <c r="E396" s="386" t="s">
        <v>712</v>
      </c>
      <c r="F396" s="387">
        <f t="shared" si="100"/>
        <v>0</v>
      </c>
      <c r="G396" s="388">
        <f t="shared" si="101"/>
        <v>0</v>
      </c>
      <c r="H396" s="388">
        <f t="shared" si="102"/>
        <v>0</v>
      </c>
      <c r="I396" s="165"/>
      <c r="J396" s="165">
        <f t="shared" si="103"/>
        <v>0</v>
      </c>
      <c r="K396" s="165">
        <f t="shared" si="103"/>
        <v>0</v>
      </c>
      <c r="L396" s="165">
        <f t="shared" si="103"/>
        <v>0</v>
      </c>
    </row>
    <row r="397" spans="1:12" ht="27.6" x14ac:dyDescent="0.3">
      <c r="A397" s="384" t="str">
        <f t="shared" si="81"/>
        <v>Do Not Print</v>
      </c>
      <c r="B397" s="385" t="s">
        <v>128</v>
      </c>
      <c r="C397" s="384" t="s">
        <v>368</v>
      </c>
      <c r="D397" s="385"/>
      <c r="E397" s="386" t="s">
        <v>712</v>
      </c>
      <c r="F397" s="387">
        <f t="shared" si="100"/>
        <v>0</v>
      </c>
      <c r="G397" s="388">
        <f t="shared" si="101"/>
        <v>0</v>
      </c>
      <c r="H397" s="388">
        <f t="shared" si="102"/>
        <v>0</v>
      </c>
      <c r="I397" s="165"/>
      <c r="J397" s="165">
        <f t="shared" si="103"/>
        <v>0</v>
      </c>
      <c r="K397" s="165">
        <f t="shared" si="103"/>
        <v>0</v>
      </c>
      <c r="L397" s="165">
        <f t="shared" si="103"/>
        <v>0</v>
      </c>
    </row>
    <row r="398" spans="1:12" ht="27.6" x14ac:dyDescent="0.3">
      <c r="A398" s="384" t="str">
        <f t="shared" si="81"/>
        <v>Do Not Print</v>
      </c>
      <c r="B398" s="385" t="s">
        <v>128</v>
      </c>
      <c r="C398" s="384" t="s">
        <v>377</v>
      </c>
      <c r="D398" s="385"/>
      <c r="E398" s="386" t="s">
        <v>712</v>
      </c>
      <c r="F398" s="387">
        <f t="shared" si="100"/>
        <v>0</v>
      </c>
      <c r="G398" s="388">
        <f t="shared" si="101"/>
        <v>0</v>
      </c>
      <c r="H398" s="388">
        <f t="shared" si="102"/>
        <v>0</v>
      </c>
      <c r="I398" s="165"/>
      <c r="J398" s="165">
        <f t="shared" si="103"/>
        <v>0</v>
      </c>
      <c r="K398" s="165">
        <f t="shared" si="103"/>
        <v>0</v>
      </c>
      <c r="L398" s="165">
        <f t="shared" si="103"/>
        <v>0</v>
      </c>
    </row>
    <row r="399" spans="1:12" ht="27.6" x14ac:dyDescent="0.3">
      <c r="A399" s="384" t="str">
        <f t="shared" si="81"/>
        <v>Do Not Print</v>
      </c>
      <c r="B399" s="385" t="s">
        <v>128</v>
      </c>
      <c r="C399" s="384" t="s">
        <v>397</v>
      </c>
      <c r="D399" s="385"/>
      <c r="E399" s="386" t="s">
        <v>712</v>
      </c>
      <c r="F399" s="387">
        <f t="shared" si="100"/>
        <v>0</v>
      </c>
      <c r="G399" s="388">
        <f t="shared" si="101"/>
        <v>0</v>
      </c>
      <c r="H399" s="388">
        <f t="shared" si="102"/>
        <v>0</v>
      </c>
      <c r="I399" s="165"/>
      <c r="J399" s="165">
        <f t="shared" si="103"/>
        <v>0</v>
      </c>
      <c r="K399" s="165">
        <f t="shared" si="103"/>
        <v>0</v>
      </c>
      <c r="L399" s="165">
        <f t="shared" si="103"/>
        <v>0</v>
      </c>
    </row>
    <row r="400" spans="1:12" ht="27.6" x14ac:dyDescent="0.3">
      <c r="A400" s="384" t="str">
        <f t="shared" si="81"/>
        <v>Do Not Print</v>
      </c>
      <c r="B400" s="385" t="s">
        <v>128</v>
      </c>
      <c r="C400" s="384" t="s">
        <v>398</v>
      </c>
      <c r="D400" s="385"/>
      <c r="E400" s="386" t="s">
        <v>712</v>
      </c>
      <c r="F400" s="387">
        <f t="shared" si="100"/>
        <v>0</v>
      </c>
      <c r="G400" s="388">
        <f t="shared" si="101"/>
        <v>0</v>
      </c>
      <c r="H400" s="388">
        <f t="shared" si="102"/>
        <v>0</v>
      </c>
      <c r="I400" s="165"/>
      <c r="J400" s="165">
        <f t="shared" si="103"/>
        <v>0</v>
      </c>
      <c r="K400" s="165">
        <f t="shared" si="103"/>
        <v>0</v>
      </c>
      <c r="L400" s="165">
        <f t="shared" si="103"/>
        <v>0</v>
      </c>
    </row>
    <row r="401" spans="1:12" ht="27.6" x14ac:dyDescent="0.3">
      <c r="A401" s="384" t="str">
        <f t="shared" si="81"/>
        <v>Do Not Print</v>
      </c>
      <c r="B401" s="385" t="s">
        <v>128</v>
      </c>
      <c r="C401" s="384" t="s">
        <v>399</v>
      </c>
      <c r="D401" s="385"/>
      <c r="E401" s="386" t="s">
        <v>712</v>
      </c>
      <c r="F401" s="387">
        <f t="shared" si="100"/>
        <v>0</v>
      </c>
      <c r="G401" s="388">
        <f t="shared" si="101"/>
        <v>0</v>
      </c>
      <c r="H401" s="388">
        <f t="shared" si="102"/>
        <v>0</v>
      </c>
      <c r="I401" s="165"/>
      <c r="J401" s="165">
        <f t="shared" si="103"/>
        <v>0</v>
      </c>
      <c r="K401" s="165">
        <f t="shared" si="103"/>
        <v>0</v>
      </c>
      <c r="L401" s="165">
        <f t="shared" si="103"/>
        <v>0</v>
      </c>
    </row>
    <row r="402" spans="1:12" ht="27.6" x14ac:dyDescent="0.3">
      <c r="A402" s="384" t="str">
        <f>IF(AND(F402=0,G402=0),"Do Not Print","Print")</f>
        <v>Do Not Print</v>
      </c>
      <c r="B402" s="385" t="s">
        <v>128</v>
      </c>
      <c r="C402" s="384" t="s">
        <v>522</v>
      </c>
      <c r="D402" s="385"/>
      <c r="E402" s="386" t="s">
        <v>712</v>
      </c>
      <c r="F402" s="387">
        <f t="shared" si="100"/>
        <v>0</v>
      </c>
      <c r="G402" s="388">
        <f t="shared" si="101"/>
        <v>0</v>
      </c>
      <c r="H402" s="388">
        <f t="shared" si="102"/>
        <v>0</v>
      </c>
      <c r="I402" s="165"/>
      <c r="J402" s="165">
        <f t="shared" si="103"/>
        <v>0</v>
      </c>
      <c r="K402" s="165">
        <f t="shared" si="103"/>
        <v>0</v>
      </c>
      <c r="L402" s="165">
        <f t="shared" si="103"/>
        <v>0</v>
      </c>
    </row>
    <row r="403" spans="1:12" ht="27.6" x14ac:dyDescent="0.3">
      <c r="A403" s="384" t="str">
        <f>IF(AND(F403=0,G403=0),"Do Not Print","Print")</f>
        <v>Do Not Print</v>
      </c>
      <c r="B403" s="385" t="s">
        <v>128</v>
      </c>
      <c r="C403" s="384" t="s">
        <v>523</v>
      </c>
      <c r="D403" s="385"/>
      <c r="E403" s="386" t="s">
        <v>712</v>
      </c>
      <c r="F403" s="387">
        <f t="shared" si="100"/>
        <v>0</v>
      </c>
      <c r="G403" s="388">
        <f t="shared" si="101"/>
        <v>0</v>
      </c>
      <c r="H403" s="388">
        <f t="shared" si="102"/>
        <v>0</v>
      </c>
      <c r="I403" s="165"/>
      <c r="J403" s="165">
        <f t="shared" si="103"/>
        <v>0</v>
      </c>
      <c r="K403" s="165">
        <f t="shared" si="103"/>
        <v>0</v>
      </c>
      <c r="L403" s="165">
        <f t="shared" si="103"/>
        <v>0</v>
      </c>
    </row>
    <row r="404" spans="1:12" ht="27.6" x14ac:dyDescent="0.3">
      <c r="A404" s="384" t="str">
        <f t="shared" si="81"/>
        <v>Do Not Print</v>
      </c>
      <c r="B404" s="385" t="s">
        <v>128</v>
      </c>
      <c r="C404" s="384" t="s">
        <v>400</v>
      </c>
      <c r="D404" s="385"/>
      <c r="E404" s="386" t="s">
        <v>712</v>
      </c>
      <c r="F404" s="387">
        <f t="shared" si="100"/>
        <v>0</v>
      </c>
      <c r="G404" s="388">
        <f t="shared" si="101"/>
        <v>0</v>
      </c>
      <c r="H404" s="388">
        <f t="shared" si="102"/>
        <v>0</v>
      </c>
      <c r="I404" s="165"/>
      <c r="J404" s="165">
        <f t="shared" si="103"/>
        <v>0</v>
      </c>
      <c r="K404" s="165">
        <f t="shared" si="103"/>
        <v>0</v>
      </c>
      <c r="L404" s="165">
        <f t="shared" si="103"/>
        <v>0</v>
      </c>
    </row>
    <row r="405" spans="1:12" ht="27.6" x14ac:dyDescent="0.3">
      <c r="A405" s="384" t="str">
        <f t="shared" si="81"/>
        <v>Do Not Print</v>
      </c>
      <c r="B405" s="385" t="s">
        <v>128</v>
      </c>
      <c r="C405" s="384" t="s">
        <v>401</v>
      </c>
      <c r="D405" s="385"/>
      <c r="E405" s="386" t="s">
        <v>712</v>
      </c>
      <c r="F405" s="387">
        <f t="shared" si="100"/>
        <v>0</v>
      </c>
      <c r="G405" s="388">
        <f t="shared" si="101"/>
        <v>0</v>
      </c>
      <c r="H405" s="388">
        <f t="shared" si="102"/>
        <v>0</v>
      </c>
      <c r="I405" s="165"/>
      <c r="J405" s="165">
        <f>ROUND(F405,0)</f>
        <v>0</v>
      </c>
      <c r="K405" s="165">
        <f>ROUND(G405,0)-K410</f>
        <v>0</v>
      </c>
      <c r="L405" s="165">
        <f>ROUND(H405,0)</f>
        <v>0</v>
      </c>
    </row>
    <row r="406" spans="1:12" ht="27.6" x14ac:dyDescent="0.3">
      <c r="A406" s="384" t="str">
        <f t="shared" si="81"/>
        <v>Do Not Print</v>
      </c>
      <c r="B406" s="385" t="s">
        <v>128</v>
      </c>
      <c r="C406" s="384" t="s">
        <v>379</v>
      </c>
      <c r="D406" s="385"/>
      <c r="E406" s="386" t="s">
        <v>712</v>
      </c>
      <c r="F406" s="387">
        <f t="shared" si="100"/>
        <v>0</v>
      </c>
      <c r="G406" s="388">
        <f t="shared" si="101"/>
        <v>0</v>
      </c>
      <c r="H406" s="388">
        <f t="shared" si="102"/>
        <v>0</v>
      </c>
      <c r="I406" s="165"/>
      <c r="J406" s="165">
        <f t="shared" si="103"/>
        <v>0</v>
      </c>
      <c r="K406" s="165">
        <f t="shared" si="103"/>
        <v>0</v>
      </c>
      <c r="L406" s="165">
        <f t="shared" si="103"/>
        <v>0</v>
      </c>
    </row>
    <row r="407" spans="1:12" ht="27.6" x14ac:dyDescent="0.3">
      <c r="A407" s="384" t="str">
        <f t="shared" si="81"/>
        <v>Do Not Print</v>
      </c>
      <c r="B407" s="385" t="s">
        <v>128</v>
      </c>
      <c r="C407" s="1236" t="s">
        <v>2751</v>
      </c>
      <c r="D407" s="385"/>
      <c r="E407" s="386" t="s">
        <v>712</v>
      </c>
      <c r="F407" s="387">
        <f t="shared" si="100"/>
        <v>0</v>
      </c>
      <c r="G407" s="388">
        <f t="shared" si="101"/>
        <v>0</v>
      </c>
      <c r="H407" s="388">
        <f t="shared" si="102"/>
        <v>0</v>
      </c>
      <c r="I407" s="165"/>
      <c r="J407" s="165">
        <f t="shared" ref="J407" si="104">ROUND(F407,0)</f>
        <v>0</v>
      </c>
      <c r="K407" s="165">
        <f t="shared" ref="K407" si="105">ROUND(G407,0)</f>
        <v>0</v>
      </c>
      <c r="L407" s="165">
        <f t="shared" ref="L407" si="106">ROUND(H407,0)</f>
        <v>0</v>
      </c>
    </row>
    <row r="408" spans="1:12" s="33" customFormat="1" ht="28.8" x14ac:dyDescent="0.3">
      <c r="A408" s="32" t="str">
        <f t="shared" si="81"/>
        <v>Do Not Print</v>
      </c>
      <c r="C408" s="32"/>
      <c r="E408" s="244"/>
      <c r="F408" s="389">
        <f>SUM(F394:F406)</f>
        <v>0</v>
      </c>
      <c r="G408" s="389">
        <f>SUM(G394:G406)</f>
        <v>0</v>
      </c>
      <c r="H408" s="389">
        <f>SUM(H394:H406)</f>
        <v>0</v>
      </c>
      <c r="I408" s="323"/>
      <c r="J408" s="323">
        <f>SUM(J394:J406)</f>
        <v>0</v>
      </c>
      <c r="K408" s="323">
        <f>SUM(K394:K406)</f>
        <v>0</v>
      </c>
      <c r="L408" s="323">
        <f>SUM(L394:L406)</f>
        <v>0</v>
      </c>
    </row>
    <row r="409" spans="1:12" x14ac:dyDescent="0.3">
      <c r="A409" s="39" t="s">
        <v>448</v>
      </c>
      <c r="F409" s="183"/>
      <c r="G409" s="183"/>
      <c r="H409" s="201"/>
      <c r="I409" s="165"/>
      <c r="J409" s="165"/>
      <c r="K409" s="165"/>
      <c r="L409" s="165"/>
    </row>
    <row r="410" spans="1:12" ht="27.6" x14ac:dyDescent="0.3">
      <c r="A410" s="39" t="str">
        <f>IF(A431="Do Not Print","Do Not Print","Print")</f>
        <v>Do Not Print</v>
      </c>
      <c r="C410" s="45" t="s">
        <v>586</v>
      </c>
      <c r="D410" s="14"/>
      <c r="F410" s="165"/>
      <c r="G410" s="165"/>
      <c r="H410" s="198"/>
      <c r="I410" s="165"/>
      <c r="J410" s="165"/>
      <c r="K410" s="165"/>
      <c r="L410" s="165"/>
    </row>
    <row r="411" spans="1:12" ht="27.6" x14ac:dyDescent="0.3">
      <c r="A411" s="39" t="str">
        <f t="shared" si="81"/>
        <v>Do Not Print</v>
      </c>
      <c r="B411" t="s">
        <v>1828</v>
      </c>
      <c r="C411" s="39" t="s">
        <v>402</v>
      </c>
      <c r="E411" s="242" t="s">
        <v>713</v>
      </c>
      <c r="F411" s="165">
        <f>VLOOKUP($C411,STPVL,8,0)</f>
        <v>0</v>
      </c>
      <c r="G411" s="165">
        <f>VLOOKUP($C411,STPVL,14,0)</f>
        <v>0</v>
      </c>
      <c r="H411" s="198"/>
      <c r="I411" s="165"/>
      <c r="J411" s="165">
        <f t="shared" ref="J411:K426" si="107">ROUND(F411,0)</f>
        <v>0</v>
      </c>
      <c r="K411" s="165">
        <f t="shared" si="107"/>
        <v>0</v>
      </c>
      <c r="L411" s="165"/>
    </row>
    <row r="412" spans="1:12" ht="27.6" x14ac:dyDescent="0.3">
      <c r="A412" s="39" t="str">
        <f t="shared" si="81"/>
        <v>Do Not Print</v>
      </c>
      <c r="B412" t="s">
        <v>1828</v>
      </c>
      <c r="C412" s="18" t="s">
        <v>652</v>
      </c>
      <c r="E412" s="242" t="s">
        <v>713</v>
      </c>
      <c r="F412" s="165">
        <f>VLOOKUP($C412,STPVL,8,0)</f>
        <v>0</v>
      </c>
      <c r="G412" s="165">
        <f>VLOOKUP($C412,STPVL,14,0)</f>
        <v>0</v>
      </c>
      <c r="H412" s="198"/>
      <c r="I412" s="165"/>
      <c r="J412" s="165">
        <f t="shared" si="107"/>
        <v>0</v>
      </c>
      <c r="K412" s="165">
        <f t="shared" si="107"/>
        <v>0</v>
      </c>
      <c r="L412" s="165"/>
    </row>
    <row r="413" spans="1:12" ht="27.6" x14ac:dyDescent="0.3">
      <c r="A413" s="39" t="str">
        <f t="shared" si="81"/>
        <v>Do Not Print</v>
      </c>
      <c r="B413" t="s">
        <v>1828</v>
      </c>
      <c r="C413" s="18" t="s">
        <v>1115</v>
      </c>
      <c r="E413" s="242" t="s">
        <v>713</v>
      </c>
      <c r="F413" s="165">
        <f>VLOOKUP($C413,STPVL,8,0)</f>
        <v>0</v>
      </c>
      <c r="G413" s="165">
        <f>VLOOKUP($C413,STPVL,14,0)</f>
        <v>0</v>
      </c>
      <c r="H413" s="198"/>
      <c r="I413" s="165"/>
      <c r="J413" s="165">
        <f t="shared" si="107"/>
        <v>0</v>
      </c>
      <c r="K413" s="165">
        <f t="shared" si="107"/>
        <v>0</v>
      </c>
      <c r="L413" s="165"/>
    </row>
    <row r="414" spans="1:12" ht="27.6" x14ac:dyDescent="0.3">
      <c r="A414" s="39" t="str">
        <f t="shared" si="81"/>
        <v>Do Not Print</v>
      </c>
      <c r="B414" t="s">
        <v>1828</v>
      </c>
      <c r="C414" s="39" t="s">
        <v>654</v>
      </c>
      <c r="E414" s="242" t="s">
        <v>713</v>
      </c>
      <c r="F414" s="165">
        <f>VLOOKUP($C414,STPVL,8,0)</f>
        <v>0</v>
      </c>
      <c r="G414" s="165">
        <f>VLOOKUP($C414,STPVL,14,0)</f>
        <v>0</v>
      </c>
      <c r="H414" s="198"/>
      <c r="I414" s="165"/>
      <c r="J414" s="165">
        <f t="shared" si="107"/>
        <v>0</v>
      </c>
      <c r="K414" s="165">
        <f t="shared" si="107"/>
        <v>0</v>
      </c>
      <c r="L414" s="165"/>
    </row>
    <row r="415" spans="1:12" ht="27.6" x14ac:dyDescent="0.3">
      <c r="A415" s="39" t="str">
        <f t="shared" si="81"/>
        <v>Do Not Print</v>
      </c>
      <c r="B415" t="s">
        <v>1828</v>
      </c>
      <c r="C415" s="39" t="s">
        <v>655</v>
      </c>
      <c r="E415" s="242" t="s">
        <v>713</v>
      </c>
      <c r="F415" s="165">
        <f>VLOOKUP($C415,STPVL,8,0)</f>
        <v>0</v>
      </c>
      <c r="G415" s="165">
        <f>VLOOKUP($C415,STPVL,14,0)</f>
        <v>0</v>
      </c>
      <c r="H415" s="198"/>
      <c r="I415" s="165"/>
      <c r="J415" s="165">
        <f t="shared" si="107"/>
        <v>0</v>
      </c>
      <c r="K415" s="165">
        <f t="shared" si="107"/>
        <v>0</v>
      </c>
      <c r="L415" s="165"/>
    </row>
    <row r="416" spans="1:12" ht="27.6" x14ac:dyDescent="0.3">
      <c r="A416" s="39" t="str">
        <f t="shared" si="81"/>
        <v>Do Not Print</v>
      </c>
      <c r="B416" t="s">
        <v>1829</v>
      </c>
      <c r="C416" s="39" t="s">
        <v>402</v>
      </c>
      <c r="E416" s="242" t="s">
        <v>713</v>
      </c>
      <c r="F416" s="165">
        <f>VLOOKUP($C416,STPVO1,8,0)</f>
        <v>0</v>
      </c>
      <c r="G416" s="165">
        <f>VLOOKUP($C416,STPVO1,14,0)</f>
        <v>0</v>
      </c>
      <c r="H416" s="198"/>
      <c r="I416" s="165"/>
      <c r="J416" s="165">
        <f t="shared" si="107"/>
        <v>0</v>
      </c>
      <c r="K416" s="165">
        <f t="shared" si="107"/>
        <v>0</v>
      </c>
      <c r="L416" s="165"/>
    </row>
    <row r="417" spans="1:12" ht="27.6" x14ac:dyDescent="0.3">
      <c r="A417" s="39" t="str">
        <f t="shared" si="81"/>
        <v>Do Not Print</v>
      </c>
      <c r="B417" t="s">
        <v>1829</v>
      </c>
      <c r="C417" s="18" t="s">
        <v>652</v>
      </c>
      <c r="E417" s="242" t="s">
        <v>713</v>
      </c>
      <c r="F417" s="165">
        <f>VLOOKUP($C417,STPVO1,8,0)</f>
        <v>0</v>
      </c>
      <c r="G417" s="165">
        <f>VLOOKUP($C417,STPVO1,14,0)</f>
        <v>0</v>
      </c>
      <c r="H417" s="198"/>
      <c r="I417" s="165"/>
      <c r="J417" s="165">
        <f t="shared" si="107"/>
        <v>0</v>
      </c>
      <c r="K417" s="165">
        <f t="shared" si="107"/>
        <v>0</v>
      </c>
      <c r="L417" s="165"/>
    </row>
    <row r="418" spans="1:12" ht="27.6" x14ac:dyDescent="0.3">
      <c r="A418" s="39" t="str">
        <f t="shared" si="81"/>
        <v>Do Not Print</v>
      </c>
      <c r="B418" t="s">
        <v>1829</v>
      </c>
      <c r="C418" s="18" t="s">
        <v>1115</v>
      </c>
      <c r="E418" s="242" t="s">
        <v>713</v>
      </c>
      <c r="F418" s="165">
        <f>VLOOKUP($C418,STPVO1,8,0)</f>
        <v>0</v>
      </c>
      <c r="G418" s="165">
        <f>VLOOKUP($C418,STPVO1,14,0)</f>
        <v>0</v>
      </c>
      <c r="H418" s="198"/>
      <c r="I418" s="165"/>
      <c r="J418" s="165">
        <f t="shared" si="107"/>
        <v>0</v>
      </c>
      <c r="K418" s="165">
        <f t="shared" si="107"/>
        <v>0</v>
      </c>
      <c r="L418" s="165"/>
    </row>
    <row r="419" spans="1:12" ht="27.6" x14ac:dyDescent="0.3">
      <c r="A419" s="39" t="str">
        <f t="shared" si="81"/>
        <v>Do Not Print</v>
      </c>
      <c r="B419" t="s">
        <v>1829</v>
      </c>
      <c r="C419" s="39" t="s">
        <v>654</v>
      </c>
      <c r="E419" s="242" t="s">
        <v>713</v>
      </c>
      <c r="F419" s="165">
        <f>VLOOKUP($C419,STPVO1,8,0)</f>
        <v>0</v>
      </c>
      <c r="G419" s="165">
        <f>VLOOKUP($C419,STPVO1,14,0)</f>
        <v>0</v>
      </c>
      <c r="H419" s="198"/>
      <c r="I419" s="165"/>
      <c r="J419" s="165">
        <f t="shared" si="107"/>
        <v>0</v>
      </c>
      <c r="K419" s="165">
        <f t="shared" si="107"/>
        <v>0</v>
      </c>
      <c r="L419" s="165"/>
    </row>
    <row r="420" spans="1:12" ht="27.6" x14ac:dyDescent="0.3">
      <c r="A420" s="39" t="str">
        <f t="shared" si="81"/>
        <v>Do Not Print</v>
      </c>
      <c r="B420" t="s">
        <v>1829</v>
      </c>
      <c r="C420" s="39" t="s">
        <v>655</v>
      </c>
      <c r="E420" s="242" t="s">
        <v>713</v>
      </c>
      <c r="F420" s="165">
        <f>VLOOKUP($C420,STPVO1,8,0)</f>
        <v>0</v>
      </c>
      <c r="G420" s="165">
        <f>VLOOKUP($C420,STPVO1,14,0)</f>
        <v>0</v>
      </c>
      <c r="H420" s="198"/>
      <c r="I420" s="165"/>
      <c r="J420" s="165">
        <f t="shared" si="107"/>
        <v>0</v>
      </c>
      <c r="K420" s="165">
        <f t="shared" si="107"/>
        <v>0</v>
      </c>
      <c r="L420" s="165"/>
    </row>
    <row r="421" spans="1:12" ht="27.6" x14ac:dyDescent="0.3">
      <c r="A421" s="39" t="str">
        <f t="shared" si="81"/>
        <v>Do Not Print</v>
      </c>
      <c r="B421" t="s">
        <v>1830</v>
      </c>
      <c r="C421" s="39" t="s">
        <v>402</v>
      </c>
      <c r="E421" s="242" t="s">
        <v>713</v>
      </c>
      <c r="F421" s="165">
        <f>VLOOKUP($C421,STPVO2,8,0)</f>
        <v>0</v>
      </c>
      <c r="G421" s="165">
        <f>VLOOKUP($C421,STPVO2,14,0)</f>
        <v>0</v>
      </c>
      <c r="H421" s="198"/>
      <c r="I421" s="165"/>
      <c r="J421" s="165">
        <f t="shared" si="107"/>
        <v>0</v>
      </c>
      <c r="K421" s="165">
        <f t="shared" si="107"/>
        <v>0</v>
      </c>
      <c r="L421" s="165"/>
    </row>
    <row r="422" spans="1:12" ht="27.6" x14ac:dyDescent="0.3">
      <c r="A422" s="39" t="str">
        <f t="shared" si="81"/>
        <v>Do Not Print</v>
      </c>
      <c r="B422" t="s">
        <v>1830</v>
      </c>
      <c r="C422" s="18" t="s">
        <v>652</v>
      </c>
      <c r="E422" s="242" t="s">
        <v>713</v>
      </c>
      <c r="F422" s="165">
        <f>VLOOKUP($C422,STPVO2,8,0)</f>
        <v>0</v>
      </c>
      <c r="G422" s="165">
        <f>VLOOKUP($C422,STPVO2,14,0)</f>
        <v>0</v>
      </c>
      <c r="H422" s="198"/>
      <c r="I422" s="165"/>
      <c r="J422" s="165">
        <f t="shared" si="107"/>
        <v>0</v>
      </c>
      <c r="K422" s="165">
        <f t="shared" si="107"/>
        <v>0</v>
      </c>
      <c r="L422" s="165"/>
    </row>
    <row r="423" spans="1:12" ht="27.6" x14ac:dyDescent="0.3">
      <c r="A423" s="39" t="str">
        <f t="shared" si="81"/>
        <v>Do Not Print</v>
      </c>
      <c r="B423" t="s">
        <v>1830</v>
      </c>
      <c r="C423" s="18" t="s">
        <v>1115</v>
      </c>
      <c r="E423" s="242" t="s">
        <v>713</v>
      </c>
      <c r="F423" s="165">
        <f>VLOOKUP($C423,STPVO2,8,0)</f>
        <v>0</v>
      </c>
      <c r="G423" s="165">
        <f>VLOOKUP($C423,STPVO2,14,0)</f>
        <v>0</v>
      </c>
      <c r="H423" s="198"/>
      <c r="I423" s="165"/>
      <c r="J423" s="165">
        <f t="shared" si="107"/>
        <v>0</v>
      </c>
      <c r="K423" s="165">
        <f t="shared" si="107"/>
        <v>0</v>
      </c>
      <c r="L423" s="165"/>
    </row>
    <row r="424" spans="1:12" ht="27.6" x14ac:dyDescent="0.3">
      <c r="A424" s="39" t="str">
        <f t="shared" si="81"/>
        <v>Do Not Print</v>
      </c>
      <c r="B424" t="s">
        <v>1830</v>
      </c>
      <c r="C424" s="39" t="s">
        <v>654</v>
      </c>
      <c r="E424" s="242" t="s">
        <v>713</v>
      </c>
      <c r="F424" s="165">
        <f>VLOOKUP($C424,STPVO2,8,0)</f>
        <v>0</v>
      </c>
      <c r="G424" s="165">
        <f>VLOOKUP($C424,STPVO2,14,0)</f>
        <v>0</v>
      </c>
      <c r="H424" s="198"/>
      <c r="I424" s="165"/>
      <c r="J424" s="165">
        <f t="shared" si="107"/>
        <v>0</v>
      </c>
      <c r="K424" s="165">
        <f t="shared" si="107"/>
        <v>0</v>
      </c>
      <c r="L424" s="165"/>
    </row>
    <row r="425" spans="1:12" ht="27.6" x14ac:dyDescent="0.3">
      <c r="A425" s="39" t="str">
        <f t="shared" si="81"/>
        <v>Do Not Print</v>
      </c>
      <c r="B425" t="s">
        <v>1830</v>
      </c>
      <c r="C425" s="39" t="s">
        <v>655</v>
      </c>
      <c r="E425" s="242" t="s">
        <v>713</v>
      </c>
      <c r="F425" s="165">
        <f>VLOOKUP($C425,STPVO2,8,0)</f>
        <v>0</v>
      </c>
      <c r="G425" s="165">
        <f>VLOOKUP($C425,STPVO2,14,0)</f>
        <v>0</v>
      </c>
      <c r="H425" s="198"/>
      <c r="I425" s="165"/>
      <c r="J425" s="165">
        <f t="shared" si="107"/>
        <v>0</v>
      </c>
      <c r="K425" s="165">
        <f t="shared" si="107"/>
        <v>0</v>
      </c>
      <c r="L425" s="165"/>
    </row>
    <row r="426" spans="1:12" ht="27.6" x14ac:dyDescent="0.3">
      <c r="A426" s="39" t="str">
        <f t="shared" si="81"/>
        <v>Do Not Print</v>
      </c>
      <c r="B426" t="s">
        <v>1831</v>
      </c>
      <c r="C426" s="39" t="s">
        <v>402</v>
      </c>
      <c r="E426" s="242" t="s">
        <v>713</v>
      </c>
      <c r="F426" s="165">
        <f>VLOOKUP($C426,STPVO3,8,0)</f>
        <v>0</v>
      </c>
      <c r="G426" s="165">
        <f>VLOOKUP($C426,STPVO3,14,0)</f>
        <v>0</v>
      </c>
      <c r="H426" s="198"/>
      <c r="I426" s="165"/>
      <c r="J426" s="165">
        <f t="shared" si="107"/>
        <v>0</v>
      </c>
      <c r="K426" s="165">
        <f t="shared" si="107"/>
        <v>0</v>
      </c>
      <c r="L426" s="165"/>
    </row>
    <row r="427" spans="1:12" ht="27.6" x14ac:dyDescent="0.3">
      <c r="A427" s="39" t="str">
        <f t="shared" si="81"/>
        <v>Do Not Print</v>
      </c>
      <c r="B427" t="s">
        <v>1831</v>
      </c>
      <c r="C427" s="18" t="s">
        <v>652</v>
      </c>
      <c r="E427" s="242" t="s">
        <v>713</v>
      </c>
      <c r="F427" s="165">
        <f>VLOOKUP($C427,STPVO3,8,0)</f>
        <v>0</v>
      </c>
      <c r="G427" s="165">
        <f>VLOOKUP($C427,STPVO3,14,0)</f>
        <v>0</v>
      </c>
      <c r="H427" s="198"/>
      <c r="I427" s="165"/>
      <c r="J427" s="165">
        <f t="shared" ref="J427:K431" si="108">ROUND(F427,0)</f>
        <v>0</v>
      </c>
      <c r="K427" s="165">
        <f t="shared" si="108"/>
        <v>0</v>
      </c>
      <c r="L427" s="165"/>
    </row>
    <row r="428" spans="1:12" ht="27.6" x14ac:dyDescent="0.3">
      <c r="A428" s="39" t="str">
        <f t="shared" si="81"/>
        <v>Do Not Print</v>
      </c>
      <c r="B428" t="s">
        <v>1831</v>
      </c>
      <c r="C428" s="18" t="s">
        <v>1115</v>
      </c>
      <c r="E428" s="242" t="s">
        <v>713</v>
      </c>
      <c r="F428" s="165">
        <f>VLOOKUP($C428,STPVO3,8,0)</f>
        <v>0</v>
      </c>
      <c r="G428" s="165">
        <f>VLOOKUP($C428,STPVO3,14,0)</f>
        <v>0</v>
      </c>
      <c r="H428" s="198"/>
      <c r="I428" s="165"/>
      <c r="J428" s="165">
        <f t="shared" si="108"/>
        <v>0</v>
      </c>
      <c r="K428" s="165">
        <f t="shared" si="108"/>
        <v>0</v>
      </c>
      <c r="L428" s="165"/>
    </row>
    <row r="429" spans="1:12" ht="27.6" x14ac:dyDescent="0.3">
      <c r="A429" s="39" t="str">
        <f t="shared" si="81"/>
        <v>Do Not Print</v>
      </c>
      <c r="B429" t="s">
        <v>1831</v>
      </c>
      <c r="C429" s="39" t="s">
        <v>654</v>
      </c>
      <c r="E429" s="242" t="s">
        <v>713</v>
      </c>
      <c r="F429" s="165">
        <f>VLOOKUP($C429,STPVO3,8,0)</f>
        <v>0</v>
      </c>
      <c r="G429" s="165">
        <f>VLOOKUP($C429,STPVO3,14,0)</f>
        <v>0</v>
      </c>
      <c r="H429" s="198"/>
      <c r="I429" s="165"/>
      <c r="J429" s="165">
        <f t="shared" si="108"/>
        <v>0</v>
      </c>
      <c r="K429" s="165">
        <f t="shared" si="108"/>
        <v>0</v>
      </c>
      <c r="L429" s="165"/>
    </row>
    <row r="430" spans="1:12" ht="27.6" x14ac:dyDescent="0.3">
      <c r="A430" s="39" t="str">
        <f t="shared" si="81"/>
        <v>Do Not Print</v>
      </c>
      <c r="B430" t="s">
        <v>1831</v>
      </c>
      <c r="C430" s="39" t="s">
        <v>655</v>
      </c>
      <c r="E430" s="242" t="s">
        <v>713</v>
      </c>
      <c r="F430" s="165">
        <f>VLOOKUP($C430,STPVO3,8,0)</f>
        <v>0</v>
      </c>
      <c r="G430" s="165">
        <f>VLOOKUP($C430,STPVO3,14,0)</f>
        <v>0</v>
      </c>
      <c r="H430" s="198"/>
      <c r="I430" s="165"/>
      <c r="J430" s="165">
        <f>ROUND(F430,0)</f>
        <v>0</v>
      </c>
      <c r="K430" s="165">
        <f t="shared" si="108"/>
        <v>0</v>
      </c>
      <c r="L430" s="165"/>
    </row>
    <row r="431" spans="1:12" ht="27.6" x14ac:dyDescent="0.3">
      <c r="A431" s="39" t="str">
        <f t="shared" si="81"/>
        <v>Do Not Print</v>
      </c>
      <c r="F431" s="183">
        <f>F411+F412-F413-F414+F415+F416+F417-F418-F419+F420+F421+F422-F423-F424+F425+F426+F427-F428-F429+F430</f>
        <v>0</v>
      </c>
      <c r="G431" s="183">
        <f>G411+G412-G413-G414+G415+G416+G417-G418-G419+G420+G421+G422-G423-G424+G425+G426+G427-G428-G429+G430</f>
        <v>0</v>
      </c>
      <c r="H431" s="201"/>
      <c r="I431" s="165"/>
      <c r="J431" s="165">
        <f t="shared" si="108"/>
        <v>0</v>
      </c>
      <c r="K431" s="165">
        <f t="shared" si="108"/>
        <v>0</v>
      </c>
      <c r="L431" s="165"/>
    </row>
    <row r="432" spans="1:12" ht="27.6" x14ac:dyDescent="0.3">
      <c r="A432" s="39" t="str">
        <f t="shared" si="81"/>
        <v>Do Not Print</v>
      </c>
      <c r="F432" s="183"/>
      <c r="G432" s="183"/>
      <c r="H432" s="201"/>
      <c r="I432" s="165"/>
      <c r="J432" s="165"/>
      <c r="K432" s="165"/>
      <c r="L432" s="165"/>
    </row>
    <row r="433" spans="1:12" ht="27.6" x14ac:dyDescent="0.3">
      <c r="A433" s="39" t="str">
        <f t="shared" si="81"/>
        <v>Do Not Print</v>
      </c>
      <c r="B433" t="s">
        <v>2757</v>
      </c>
      <c r="C433" s="39" t="s">
        <v>2364</v>
      </c>
      <c r="F433" s="165">
        <f>VLOOKUP($C433,STCL,8,0)</f>
        <v>0</v>
      </c>
      <c r="G433" s="165">
        <f>VLOOKUP($C433,STCL,14,0)</f>
        <v>0</v>
      </c>
      <c r="H433" s="198"/>
      <c r="I433" s="165"/>
      <c r="J433" s="165">
        <f>ROUND(F433,0)</f>
        <v>0</v>
      </c>
      <c r="K433" s="165">
        <f>ROUND(G433,0)</f>
        <v>0</v>
      </c>
      <c r="L433" s="165"/>
    </row>
    <row r="434" spans="1:12" ht="27.6" x14ac:dyDescent="0.3">
      <c r="A434" s="39" t="str">
        <f t="shared" si="81"/>
        <v>Do Not Print</v>
      </c>
      <c r="F434" s="165">
        <f>F433</f>
        <v>0</v>
      </c>
      <c r="G434" s="165">
        <f>G433</f>
        <v>0</v>
      </c>
      <c r="H434" s="198"/>
      <c r="I434" s="165"/>
      <c r="J434" s="165">
        <f>J433</f>
        <v>0</v>
      </c>
      <c r="K434" s="165">
        <f>K433</f>
        <v>0</v>
      </c>
      <c r="L434" s="165"/>
    </row>
    <row r="435" spans="1:12" ht="27.6" x14ac:dyDescent="0.3">
      <c r="A435" s="39" t="str">
        <f t="shared" si="81"/>
        <v>Do Not Print</v>
      </c>
      <c r="F435" s="165"/>
      <c r="G435" s="165"/>
      <c r="H435" s="198"/>
      <c r="I435" s="165"/>
      <c r="J435" s="165"/>
      <c r="K435" s="165"/>
      <c r="L435" s="165"/>
    </row>
    <row r="436" spans="1:12" ht="27.6" x14ac:dyDescent="0.3">
      <c r="A436" s="39" t="str">
        <f t="shared" si="81"/>
        <v>Do Not Print</v>
      </c>
      <c r="C436" s="45" t="s">
        <v>385</v>
      </c>
      <c r="D436" s="14"/>
      <c r="F436" s="197">
        <f>F391+F408+F431+F434</f>
        <v>0</v>
      </c>
      <c r="G436" s="197">
        <f>G391+G408+G431+G434</f>
        <v>0</v>
      </c>
      <c r="H436" s="202"/>
      <c r="I436" s="165"/>
      <c r="J436" s="165">
        <f>J391+J408+J431+J434</f>
        <v>0</v>
      </c>
      <c r="K436" s="165">
        <f>K391+K408+K431+K434</f>
        <v>0</v>
      </c>
      <c r="L436" s="165"/>
    </row>
    <row r="437" spans="1:12" ht="27.6" x14ac:dyDescent="0.3">
      <c r="A437" s="39" t="str">
        <f t="shared" si="81"/>
        <v>Do Not Print</v>
      </c>
      <c r="C437" s="45"/>
      <c r="D437" s="14"/>
      <c r="F437" s="197"/>
      <c r="G437" s="197"/>
      <c r="H437" s="202"/>
      <c r="I437" s="165"/>
      <c r="J437" s="165"/>
      <c r="K437" s="165"/>
      <c r="L437" s="165"/>
    </row>
    <row r="438" spans="1:12" ht="14.4" x14ac:dyDescent="0.3">
      <c r="A438" s="39" t="s">
        <v>448</v>
      </c>
      <c r="C438" s="45" t="s">
        <v>390</v>
      </c>
      <c r="D438" s="14"/>
      <c r="F438" s="165"/>
      <c r="G438" s="165"/>
      <c r="H438" s="198"/>
      <c r="I438" s="165"/>
      <c r="J438" s="165"/>
      <c r="K438" s="165"/>
      <c r="L438" s="165"/>
    </row>
    <row r="439" spans="1:12" ht="27.6" x14ac:dyDescent="0.3">
      <c r="A439" s="39" t="str">
        <f t="shared" si="81"/>
        <v>Do Not Print</v>
      </c>
      <c r="B439" t="s">
        <v>127</v>
      </c>
      <c r="C439" s="39" t="s">
        <v>391</v>
      </c>
      <c r="E439" s="242" t="s">
        <v>711</v>
      </c>
      <c r="F439" s="165">
        <f>VLOOKUP($C439,LTLN,8,0)</f>
        <v>0</v>
      </c>
      <c r="G439" s="165">
        <f>VLOOKUP($C439,LTLN,14,0)</f>
        <v>0</v>
      </c>
      <c r="H439" s="198"/>
      <c r="I439" s="165"/>
      <c r="J439" s="165">
        <f t="shared" ref="J439:K441" si="109">ROUND(F439,0)</f>
        <v>0</v>
      </c>
      <c r="K439" s="165">
        <f t="shared" si="109"/>
        <v>0</v>
      </c>
      <c r="L439" s="165"/>
    </row>
    <row r="440" spans="1:12" ht="27.6" x14ac:dyDescent="0.3">
      <c r="A440" s="39" t="str">
        <f t="shared" ref="A440:A511" si="110">IF(AND(F440=0,G440=0),"Do Not Print","Print")</f>
        <v>Do Not Print</v>
      </c>
      <c r="B440" t="s">
        <v>127</v>
      </c>
      <c r="C440" s="39" t="s">
        <v>392</v>
      </c>
      <c r="E440" s="242" t="s">
        <v>711</v>
      </c>
      <c r="F440" s="165">
        <f>VLOOKUP($C440,LTLN,8,0)</f>
        <v>0</v>
      </c>
      <c r="G440" s="165">
        <f>VLOOKUP($C440,LTLN,14,0)</f>
        <v>0</v>
      </c>
      <c r="H440" s="198"/>
      <c r="I440" s="165"/>
      <c r="J440" s="165">
        <f t="shared" si="109"/>
        <v>0</v>
      </c>
      <c r="K440" s="165">
        <f t="shared" si="109"/>
        <v>0</v>
      </c>
      <c r="L440" s="165"/>
    </row>
    <row r="441" spans="1:12" ht="27.6" x14ac:dyDescent="0.3">
      <c r="A441" s="39" t="str">
        <f t="shared" si="110"/>
        <v>Do Not Print</v>
      </c>
      <c r="B441" t="s">
        <v>127</v>
      </c>
      <c r="C441" s="39" t="s">
        <v>393</v>
      </c>
      <c r="E441" s="242" t="s">
        <v>711</v>
      </c>
      <c r="F441" s="165">
        <f>VLOOKUP($C441,LTLN,8,0)</f>
        <v>0</v>
      </c>
      <c r="G441" s="165">
        <f>VLOOKUP($C441,LTLN,14,0)</f>
        <v>0</v>
      </c>
      <c r="H441" s="198"/>
      <c r="I441" s="165"/>
      <c r="J441" s="165">
        <f t="shared" si="109"/>
        <v>0</v>
      </c>
      <c r="K441" s="165">
        <f t="shared" si="109"/>
        <v>0</v>
      </c>
      <c r="L441" s="165"/>
    </row>
    <row r="442" spans="1:12" ht="27.6" x14ac:dyDescent="0.3">
      <c r="A442" s="39" t="str">
        <f t="shared" si="110"/>
        <v>Do Not Print</v>
      </c>
      <c r="B442" t="s">
        <v>127</v>
      </c>
      <c r="C442" s="39" t="s">
        <v>394</v>
      </c>
      <c r="E442" s="242" t="s">
        <v>711</v>
      </c>
      <c r="F442" s="165">
        <f>VLOOKUP($C442,LTLN,8,0)</f>
        <v>0</v>
      </c>
      <c r="G442" s="165">
        <f>VLOOKUP($C442,LTLN,14,0)</f>
        <v>0</v>
      </c>
      <c r="H442" s="198"/>
      <c r="I442" s="165"/>
      <c r="J442" s="165">
        <f>ROUND(F442,0)</f>
        <v>0</v>
      </c>
      <c r="K442" s="165">
        <f>ROUND(G442,0)</f>
        <v>0</v>
      </c>
      <c r="L442" s="165"/>
    </row>
    <row r="443" spans="1:12" x14ac:dyDescent="0.3">
      <c r="A443" s="39" t="s">
        <v>448</v>
      </c>
      <c r="F443" s="165"/>
      <c r="G443" s="165"/>
      <c r="H443" s="198"/>
      <c r="I443" s="165"/>
      <c r="J443" s="165"/>
      <c r="K443" s="165"/>
      <c r="L443" s="165"/>
    </row>
    <row r="444" spans="1:12" ht="27.6" x14ac:dyDescent="0.3">
      <c r="A444" s="39" t="str">
        <f t="shared" si="110"/>
        <v>Do Not Print</v>
      </c>
      <c r="F444" s="183">
        <f>SUM(F439:F443)</f>
        <v>0</v>
      </c>
      <c r="G444" s="183">
        <f>SUM(G439:G443)</f>
        <v>0</v>
      </c>
      <c r="H444" s="201"/>
      <c r="I444" s="165"/>
      <c r="J444" s="165">
        <f>SUM(J439:J443)</f>
        <v>0</v>
      </c>
      <c r="K444" s="165">
        <f>SUM(K439:K443)</f>
        <v>0</v>
      </c>
      <c r="L444" s="165"/>
    </row>
    <row r="445" spans="1:12" x14ac:dyDescent="0.3">
      <c r="A445" s="39" t="s">
        <v>448</v>
      </c>
      <c r="F445" s="165"/>
      <c r="G445" s="165"/>
      <c r="H445" s="198"/>
      <c r="I445" s="165"/>
      <c r="J445" s="165"/>
      <c r="K445" s="165"/>
      <c r="L445" s="165"/>
    </row>
    <row r="446" spans="1:12" ht="27.6" x14ac:dyDescent="0.3">
      <c r="A446" s="39" t="str">
        <f>IF(A458="Do Not Print","Do Not Print","Print")</f>
        <v>Do Not Print</v>
      </c>
      <c r="C446" s="45" t="s">
        <v>403</v>
      </c>
      <c r="D446" s="14"/>
      <c r="F446" s="165"/>
      <c r="G446" s="165"/>
      <c r="H446" s="198"/>
      <c r="I446" s="165"/>
      <c r="J446" s="165"/>
      <c r="K446" s="165"/>
      <c r="L446" s="165"/>
    </row>
    <row r="447" spans="1:12" ht="27.6" x14ac:dyDescent="0.3">
      <c r="A447" s="39" t="str">
        <f t="shared" si="110"/>
        <v>Do Not Print</v>
      </c>
      <c r="B447" t="s">
        <v>129</v>
      </c>
      <c r="C447" s="39" t="s">
        <v>365</v>
      </c>
      <c r="E447" s="242" t="s">
        <v>712</v>
      </c>
      <c r="F447" s="165">
        <f t="shared" ref="F447:F457" si="111">VLOOKUP($C447,LTCRS,8,0)</f>
        <v>0</v>
      </c>
      <c r="G447" s="165">
        <f t="shared" ref="G447:G457" si="112">VLOOKUP($C447,LTCRS,14,0)</f>
        <v>0</v>
      </c>
      <c r="H447" s="185">
        <f t="shared" ref="H447:H457" si="113">VLOOKUP($C447,LTCRS,20,0)</f>
        <v>0</v>
      </c>
      <c r="I447" s="165"/>
      <c r="J447" s="165">
        <f t="shared" ref="J447:L457" si="114">ROUND(F447,0)</f>
        <v>0</v>
      </c>
      <c r="K447" s="165">
        <f t="shared" si="114"/>
        <v>0</v>
      </c>
      <c r="L447" s="165">
        <f t="shared" si="114"/>
        <v>0</v>
      </c>
    </row>
    <row r="448" spans="1:12" ht="27.6" x14ac:dyDescent="0.3">
      <c r="A448" s="39" t="str">
        <f t="shared" si="110"/>
        <v>Do Not Print</v>
      </c>
      <c r="B448" t="s">
        <v>129</v>
      </c>
      <c r="C448" s="39" t="s">
        <v>396</v>
      </c>
      <c r="E448" s="242" t="s">
        <v>712</v>
      </c>
      <c r="F448" s="165">
        <f t="shared" si="111"/>
        <v>0</v>
      </c>
      <c r="G448" s="165">
        <f t="shared" si="112"/>
        <v>0</v>
      </c>
      <c r="H448" s="185">
        <f t="shared" si="113"/>
        <v>0</v>
      </c>
      <c r="I448" s="165"/>
      <c r="J448" s="165">
        <f t="shared" si="114"/>
        <v>0</v>
      </c>
      <c r="K448" s="165">
        <f t="shared" si="114"/>
        <v>0</v>
      </c>
      <c r="L448" s="165">
        <f t="shared" si="114"/>
        <v>0</v>
      </c>
    </row>
    <row r="449" spans="1:12" ht="27.6" x14ac:dyDescent="0.3">
      <c r="A449" s="39" t="str">
        <f t="shared" si="110"/>
        <v>Do Not Print</v>
      </c>
      <c r="B449" t="s">
        <v>129</v>
      </c>
      <c r="C449" s="39" t="s">
        <v>367</v>
      </c>
      <c r="E449" s="242" t="s">
        <v>712</v>
      </c>
      <c r="F449" s="165">
        <f t="shared" si="111"/>
        <v>0</v>
      </c>
      <c r="G449" s="165">
        <f t="shared" si="112"/>
        <v>0</v>
      </c>
      <c r="H449" s="185">
        <f t="shared" si="113"/>
        <v>0</v>
      </c>
      <c r="I449" s="165"/>
      <c r="J449" s="165">
        <f t="shared" si="114"/>
        <v>0</v>
      </c>
      <c r="K449" s="165">
        <f t="shared" si="114"/>
        <v>0</v>
      </c>
      <c r="L449" s="165">
        <f t="shared" si="114"/>
        <v>0</v>
      </c>
    </row>
    <row r="450" spans="1:12" ht="27.6" x14ac:dyDescent="0.3">
      <c r="A450" s="39" t="str">
        <f t="shared" si="110"/>
        <v>Do Not Print</v>
      </c>
      <c r="B450" t="s">
        <v>129</v>
      </c>
      <c r="C450" s="39" t="s">
        <v>368</v>
      </c>
      <c r="E450" s="242" t="s">
        <v>712</v>
      </c>
      <c r="F450" s="165">
        <f t="shared" si="111"/>
        <v>0</v>
      </c>
      <c r="G450" s="165">
        <f t="shared" si="112"/>
        <v>0</v>
      </c>
      <c r="H450" s="185">
        <f t="shared" si="113"/>
        <v>0</v>
      </c>
      <c r="I450" s="165"/>
      <c r="J450" s="165">
        <f t="shared" si="114"/>
        <v>0</v>
      </c>
      <c r="K450" s="165">
        <f t="shared" si="114"/>
        <v>0</v>
      </c>
      <c r="L450" s="165">
        <f t="shared" si="114"/>
        <v>0</v>
      </c>
    </row>
    <row r="451" spans="1:12" ht="27.6" x14ac:dyDescent="0.3">
      <c r="A451" s="39" t="str">
        <f t="shared" si="110"/>
        <v>Do Not Print</v>
      </c>
      <c r="B451" t="s">
        <v>129</v>
      </c>
      <c r="C451" s="39" t="s">
        <v>397</v>
      </c>
      <c r="E451" s="242" t="s">
        <v>712</v>
      </c>
      <c r="F451" s="165">
        <f t="shared" si="111"/>
        <v>0</v>
      </c>
      <c r="G451" s="165">
        <f t="shared" si="112"/>
        <v>0</v>
      </c>
      <c r="H451" s="185">
        <f t="shared" si="113"/>
        <v>0</v>
      </c>
      <c r="I451" s="165"/>
      <c r="J451" s="165">
        <f t="shared" si="114"/>
        <v>0</v>
      </c>
      <c r="K451" s="165">
        <f t="shared" si="114"/>
        <v>0</v>
      </c>
      <c r="L451" s="165">
        <f t="shared" si="114"/>
        <v>0</v>
      </c>
    </row>
    <row r="452" spans="1:12" ht="27.6" x14ac:dyDescent="0.3">
      <c r="A452" s="39" t="str">
        <f t="shared" si="110"/>
        <v>Do Not Print</v>
      </c>
      <c r="B452" t="s">
        <v>129</v>
      </c>
      <c r="C452" s="39" t="s">
        <v>398</v>
      </c>
      <c r="E452" s="242" t="s">
        <v>712</v>
      </c>
      <c r="F452" s="165">
        <f t="shared" si="111"/>
        <v>0</v>
      </c>
      <c r="G452" s="165">
        <f t="shared" si="112"/>
        <v>0</v>
      </c>
      <c r="H452" s="185">
        <f t="shared" si="113"/>
        <v>0</v>
      </c>
      <c r="I452" s="165"/>
      <c r="J452" s="165">
        <f t="shared" si="114"/>
        <v>0</v>
      </c>
      <c r="K452" s="165">
        <f t="shared" si="114"/>
        <v>0</v>
      </c>
      <c r="L452" s="165">
        <f t="shared" si="114"/>
        <v>0</v>
      </c>
    </row>
    <row r="453" spans="1:12" ht="27.6" x14ac:dyDescent="0.3">
      <c r="A453" s="39" t="str">
        <f t="shared" si="110"/>
        <v>Do Not Print</v>
      </c>
      <c r="B453" t="s">
        <v>129</v>
      </c>
      <c r="C453" s="39" t="s">
        <v>399</v>
      </c>
      <c r="E453" s="242" t="s">
        <v>712</v>
      </c>
      <c r="F453" s="165">
        <f t="shared" si="111"/>
        <v>0</v>
      </c>
      <c r="G453" s="165">
        <f t="shared" si="112"/>
        <v>0</v>
      </c>
      <c r="H453" s="185">
        <f t="shared" si="113"/>
        <v>0</v>
      </c>
      <c r="I453" s="165"/>
      <c r="J453" s="165">
        <f t="shared" si="114"/>
        <v>0</v>
      </c>
      <c r="K453" s="165">
        <f t="shared" si="114"/>
        <v>0</v>
      </c>
      <c r="L453" s="165">
        <f t="shared" si="114"/>
        <v>0</v>
      </c>
    </row>
    <row r="454" spans="1:12" ht="27.6" x14ac:dyDescent="0.3">
      <c r="A454" s="39" t="str">
        <f t="shared" si="110"/>
        <v>Do Not Print</v>
      </c>
      <c r="B454" t="s">
        <v>129</v>
      </c>
      <c r="C454" s="39" t="s">
        <v>400</v>
      </c>
      <c r="E454" s="242" t="s">
        <v>712</v>
      </c>
      <c r="F454" s="165">
        <f t="shared" si="111"/>
        <v>0</v>
      </c>
      <c r="G454" s="165">
        <f t="shared" si="112"/>
        <v>0</v>
      </c>
      <c r="H454" s="185">
        <f t="shared" si="113"/>
        <v>0</v>
      </c>
      <c r="I454" s="165"/>
      <c r="J454" s="165">
        <f t="shared" si="114"/>
        <v>0</v>
      </c>
      <c r="K454" s="165">
        <f t="shared" si="114"/>
        <v>0</v>
      </c>
      <c r="L454" s="165">
        <f t="shared" si="114"/>
        <v>0</v>
      </c>
    </row>
    <row r="455" spans="1:12" ht="27.6" x14ac:dyDescent="0.3">
      <c r="A455" s="39" t="str">
        <f t="shared" si="110"/>
        <v>Do Not Print</v>
      </c>
      <c r="B455" t="s">
        <v>129</v>
      </c>
      <c r="C455" s="39" t="s">
        <v>401</v>
      </c>
      <c r="E455" s="242" t="s">
        <v>712</v>
      </c>
      <c r="F455" s="165">
        <f t="shared" si="111"/>
        <v>0</v>
      </c>
      <c r="G455" s="165">
        <f t="shared" si="112"/>
        <v>0</v>
      </c>
      <c r="H455" s="185">
        <f t="shared" si="113"/>
        <v>0</v>
      </c>
      <c r="I455" s="165"/>
      <c r="J455" s="165">
        <f t="shared" si="114"/>
        <v>0</v>
      </c>
      <c r="K455" s="165">
        <f t="shared" si="114"/>
        <v>0</v>
      </c>
      <c r="L455" s="165">
        <f t="shared" si="114"/>
        <v>0</v>
      </c>
    </row>
    <row r="456" spans="1:12" ht="27.6" x14ac:dyDescent="0.3">
      <c r="A456" s="39" t="str">
        <f t="shared" si="110"/>
        <v>Do Not Print</v>
      </c>
      <c r="B456" t="s">
        <v>129</v>
      </c>
      <c r="C456" s="39" t="s">
        <v>379</v>
      </c>
      <c r="E456" s="242" t="s">
        <v>712</v>
      </c>
      <c r="F456" s="165">
        <f t="shared" si="111"/>
        <v>0</v>
      </c>
      <c r="G456" s="165">
        <f t="shared" si="112"/>
        <v>0</v>
      </c>
      <c r="H456" s="185">
        <f t="shared" si="113"/>
        <v>0</v>
      </c>
      <c r="I456" s="165"/>
      <c r="J456" s="165">
        <f t="shared" si="114"/>
        <v>0</v>
      </c>
      <c r="K456" s="165">
        <f t="shared" si="114"/>
        <v>0</v>
      </c>
      <c r="L456" s="165">
        <f t="shared" si="114"/>
        <v>0</v>
      </c>
    </row>
    <row r="457" spans="1:12" ht="27.6" x14ac:dyDescent="0.3">
      <c r="A457" s="39" t="str">
        <f t="shared" si="110"/>
        <v>Do Not Print</v>
      </c>
      <c r="B457" t="s">
        <v>129</v>
      </c>
      <c r="C457" s="18" t="s">
        <v>2751</v>
      </c>
      <c r="F457" s="165">
        <f t="shared" si="111"/>
        <v>0</v>
      </c>
      <c r="G457" s="165">
        <f t="shared" si="112"/>
        <v>0</v>
      </c>
      <c r="H457" s="185">
        <f t="shared" si="113"/>
        <v>0</v>
      </c>
      <c r="I457" s="165"/>
      <c r="J457" s="165">
        <f t="shared" si="114"/>
        <v>0</v>
      </c>
      <c r="K457" s="165">
        <f t="shared" ref="K457" si="115">ROUND(G457,0)</f>
        <v>0</v>
      </c>
      <c r="L457" s="165">
        <f t="shared" ref="L457" si="116">ROUND(H457,0)</f>
        <v>0</v>
      </c>
    </row>
    <row r="458" spans="1:12" ht="27.6" x14ac:dyDescent="0.3">
      <c r="A458" s="39" t="str">
        <f t="shared" si="110"/>
        <v>Do Not Print</v>
      </c>
      <c r="F458" s="183">
        <f>SUM(F447:F457)</f>
        <v>0</v>
      </c>
      <c r="G458" s="183">
        <f t="shared" ref="G458:H458" si="117">SUM(G447:G457)</f>
        <v>0</v>
      </c>
      <c r="H458" s="183">
        <f t="shared" si="117"/>
        <v>0</v>
      </c>
      <c r="I458" s="165"/>
      <c r="J458" s="165">
        <f>SUM(J447:J457)</f>
        <v>0</v>
      </c>
      <c r="K458" s="165">
        <f t="shared" ref="K458:L458" si="118">SUM(K447:K457)</f>
        <v>0</v>
      </c>
      <c r="L458" s="165">
        <f t="shared" si="118"/>
        <v>0</v>
      </c>
    </row>
    <row r="459" spans="1:12" ht="27.6" x14ac:dyDescent="0.3">
      <c r="A459" s="39" t="str">
        <f t="shared" si="110"/>
        <v>Do Not Print</v>
      </c>
      <c r="F459" s="165"/>
      <c r="G459" s="165"/>
      <c r="H459" s="198"/>
      <c r="I459" s="165"/>
      <c r="J459" s="165"/>
      <c r="K459" s="165"/>
      <c r="L459" s="165"/>
    </row>
    <row r="460" spans="1:12" ht="14.4" x14ac:dyDescent="0.3">
      <c r="A460" s="39" t="s">
        <v>448</v>
      </c>
      <c r="C460" s="45" t="s">
        <v>582</v>
      </c>
      <c r="D460" s="14"/>
      <c r="F460" s="165"/>
      <c r="G460" s="165"/>
      <c r="H460" s="198"/>
      <c r="I460" s="165"/>
      <c r="J460" s="165"/>
      <c r="K460" s="165"/>
      <c r="L460" s="165"/>
    </row>
    <row r="461" spans="1:12" ht="27.6" x14ac:dyDescent="0.3">
      <c r="A461" s="39" t="str">
        <f t="shared" si="110"/>
        <v>Do Not Print</v>
      </c>
      <c r="B461" t="s">
        <v>93</v>
      </c>
      <c r="C461" s="39" t="s">
        <v>402</v>
      </c>
      <c r="E461" s="242" t="s">
        <v>713</v>
      </c>
      <c r="F461" s="165">
        <f>VLOOKUP($C461,LTPVL,8,0)</f>
        <v>0</v>
      </c>
      <c r="G461" s="165">
        <f>VLOOKUP($C461,LTPVL,14,0)</f>
        <v>0</v>
      </c>
      <c r="H461" s="198"/>
      <c r="I461" s="165"/>
      <c r="J461" s="165">
        <f t="shared" ref="J461:K476" si="119">ROUND(F461,0)</f>
        <v>0</v>
      </c>
      <c r="K461" s="165">
        <f t="shared" si="119"/>
        <v>0</v>
      </c>
      <c r="L461" s="165"/>
    </row>
    <row r="462" spans="1:12" ht="27.6" x14ac:dyDescent="0.3">
      <c r="A462" s="39" t="str">
        <f t="shared" si="110"/>
        <v>Do Not Print</v>
      </c>
      <c r="B462" t="s">
        <v>93</v>
      </c>
      <c r="C462" s="18" t="s">
        <v>652</v>
      </c>
      <c r="E462" s="242" t="s">
        <v>713</v>
      </c>
      <c r="F462" s="165">
        <f>VLOOKUP($C462,LTPVL,8,0)</f>
        <v>0</v>
      </c>
      <c r="G462" s="165">
        <f>VLOOKUP($C462,LTPVL,14,0)</f>
        <v>0</v>
      </c>
      <c r="H462" s="198"/>
      <c r="I462" s="165"/>
      <c r="J462" s="165">
        <f t="shared" si="119"/>
        <v>0</v>
      </c>
      <c r="K462" s="165">
        <f t="shared" si="119"/>
        <v>0</v>
      </c>
      <c r="L462" s="165"/>
    </row>
    <row r="463" spans="1:12" ht="27.6" x14ac:dyDescent="0.3">
      <c r="A463" s="39" t="str">
        <f t="shared" si="110"/>
        <v>Do Not Print</v>
      </c>
      <c r="B463" t="s">
        <v>93</v>
      </c>
      <c r="C463" s="18" t="s">
        <v>1115</v>
      </c>
      <c r="E463" s="242" t="s">
        <v>713</v>
      </c>
      <c r="F463" s="165">
        <f>VLOOKUP($C463,LTPVL,8,0)</f>
        <v>0</v>
      </c>
      <c r="G463" s="165">
        <f>VLOOKUP($C463,LTPVL,14,0)</f>
        <v>0</v>
      </c>
      <c r="H463" s="198"/>
      <c r="I463" s="165"/>
      <c r="J463" s="165">
        <f t="shared" si="119"/>
        <v>0</v>
      </c>
      <c r="K463" s="165">
        <f t="shared" si="119"/>
        <v>0</v>
      </c>
      <c r="L463" s="165"/>
    </row>
    <row r="464" spans="1:12" ht="27.6" x14ac:dyDescent="0.3">
      <c r="A464" s="39" t="str">
        <f t="shared" si="110"/>
        <v>Do Not Print</v>
      </c>
      <c r="B464" t="s">
        <v>93</v>
      </c>
      <c r="C464" s="39" t="s">
        <v>654</v>
      </c>
      <c r="E464" s="242" t="s">
        <v>713</v>
      </c>
      <c r="F464" s="165">
        <f>VLOOKUP($C464,LTPVL,8,0)</f>
        <v>0</v>
      </c>
      <c r="G464" s="165">
        <f>VLOOKUP($C464,LTPVL,14,0)</f>
        <v>0</v>
      </c>
      <c r="H464" s="198"/>
      <c r="I464" s="165"/>
      <c r="J464" s="165">
        <f t="shared" si="119"/>
        <v>0</v>
      </c>
      <c r="K464" s="165">
        <f t="shared" si="119"/>
        <v>0</v>
      </c>
      <c r="L464" s="165"/>
    </row>
    <row r="465" spans="1:12" ht="27.6" x14ac:dyDescent="0.3">
      <c r="A465" s="39" t="str">
        <f>IF(AND(F465=0,G465=0),"Do Not Print","Print")</f>
        <v>Do Not Print</v>
      </c>
      <c r="B465" t="s">
        <v>93</v>
      </c>
      <c r="C465" s="39" t="s">
        <v>655</v>
      </c>
      <c r="E465" s="242" t="s">
        <v>713</v>
      </c>
      <c r="F465" s="165">
        <f>VLOOKUP($C465,LTPVL,8,0)</f>
        <v>0</v>
      </c>
      <c r="G465" s="165">
        <f>VLOOKUP($C465,LTPVL,14,0)</f>
        <v>0</v>
      </c>
      <c r="H465" s="198"/>
      <c r="I465" s="165"/>
      <c r="J465" s="165">
        <f t="shared" si="119"/>
        <v>0</v>
      </c>
      <c r="K465" s="165">
        <f t="shared" si="119"/>
        <v>0</v>
      </c>
      <c r="L465" s="165"/>
    </row>
    <row r="466" spans="1:12" ht="27.6" x14ac:dyDescent="0.3">
      <c r="A466" s="39" t="str">
        <f t="shared" si="110"/>
        <v>Do Not Print</v>
      </c>
      <c r="B466" t="s">
        <v>831</v>
      </c>
      <c r="C466" s="39" t="s">
        <v>402</v>
      </c>
      <c r="E466" s="242" t="s">
        <v>713</v>
      </c>
      <c r="F466" s="165">
        <f>VLOOKUP($C466,LTPVO1,8,0)</f>
        <v>0</v>
      </c>
      <c r="G466" s="165">
        <f>VLOOKUP($C466,LTPVO1,14,0)</f>
        <v>0</v>
      </c>
      <c r="H466" s="187"/>
      <c r="I466" s="165"/>
      <c r="J466" s="165">
        <f t="shared" si="119"/>
        <v>0</v>
      </c>
      <c r="K466" s="165">
        <f t="shared" si="119"/>
        <v>0</v>
      </c>
      <c r="L466" s="165"/>
    </row>
    <row r="467" spans="1:12" ht="27.6" x14ac:dyDescent="0.3">
      <c r="A467" s="39" t="str">
        <f t="shared" si="110"/>
        <v>Do Not Print</v>
      </c>
      <c r="B467" t="s">
        <v>831</v>
      </c>
      <c r="C467" s="18" t="s">
        <v>652</v>
      </c>
      <c r="E467" s="242" t="s">
        <v>713</v>
      </c>
      <c r="F467" s="165">
        <f>VLOOKUP($C467,LTPVO1,8,0)</f>
        <v>0</v>
      </c>
      <c r="G467" s="165">
        <f>VLOOKUP($C467,LTPVO1,14,0)</f>
        <v>0</v>
      </c>
      <c r="H467" s="187"/>
      <c r="I467" s="165"/>
      <c r="J467" s="165">
        <f t="shared" si="119"/>
        <v>0</v>
      </c>
      <c r="K467" s="165">
        <f t="shared" si="119"/>
        <v>0</v>
      </c>
      <c r="L467" s="165"/>
    </row>
    <row r="468" spans="1:12" ht="13.5" customHeight="1" x14ac:dyDescent="0.3">
      <c r="A468" s="39" t="str">
        <f t="shared" si="110"/>
        <v>Do Not Print</v>
      </c>
      <c r="B468" t="s">
        <v>831</v>
      </c>
      <c r="C468" s="18" t="s">
        <v>1115</v>
      </c>
      <c r="E468" s="242" t="s">
        <v>713</v>
      </c>
      <c r="F468" s="165">
        <f>VLOOKUP($C468,LTPVO1,8,0)</f>
        <v>0</v>
      </c>
      <c r="G468" s="165">
        <f>VLOOKUP($C468,LTPVO1,14,0)</f>
        <v>0</v>
      </c>
      <c r="H468" s="187"/>
      <c r="I468" s="165"/>
      <c r="J468" s="165">
        <f t="shared" si="119"/>
        <v>0</v>
      </c>
      <c r="K468" s="165">
        <f t="shared" si="119"/>
        <v>0</v>
      </c>
      <c r="L468" s="165"/>
    </row>
    <row r="469" spans="1:12" ht="13.5" customHeight="1" x14ac:dyDescent="0.3">
      <c r="A469" s="39" t="str">
        <f t="shared" si="110"/>
        <v>Do Not Print</v>
      </c>
      <c r="B469" t="s">
        <v>831</v>
      </c>
      <c r="C469" s="39" t="s">
        <v>654</v>
      </c>
      <c r="E469" s="242" t="s">
        <v>713</v>
      </c>
      <c r="F469" s="165">
        <f>VLOOKUP($C469,LTPVO1,8,0)</f>
        <v>0</v>
      </c>
      <c r="G469" s="165">
        <f>VLOOKUP($C469,LTPVO1,14,0)</f>
        <v>0</v>
      </c>
      <c r="H469" s="187"/>
      <c r="I469" s="165"/>
      <c r="J469" s="165">
        <f>ROUND(F469,0)</f>
        <v>0</v>
      </c>
      <c r="K469" s="165">
        <f>ROUND(G469,0)</f>
        <v>0</v>
      </c>
      <c r="L469" s="165"/>
    </row>
    <row r="470" spans="1:12" ht="13.5" customHeight="1" x14ac:dyDescent="0.3">
      <c r="A470" s="39" t="str">
        <f>IF(AND(F470=0,G470=0),"Do Not Print","Print")</f>
        <v>Do Not Print</v>
      </c>
      <c r="B470" t="s">
        <v>831</v>
      </c>
      <c r="C470" s="39" t="s">
        <v>655</v>
      </c>
      <c r="E470" s="242" t="s">
        <v>713</v>
      </c>
      <c r="F470" s="165">
        <f>VLOOKUP($C470,LTPVO1,8,0)</f>
        <v>0</v>
      </c>
      <c r="G470" s="165">
        <f>VLOOKUP($C470,LTPVO1,14,0)</f>
        <v>0</v>
      </c>
      <c r="H470" s="187"/>
      <c r="I470" s="165"/>
      <c r="J470" s="165">
        <f>ROUND(F470,0)</f>
        <v>0</v>
      </c>
      <c r="K470" s="165">
        <f>ROUND(G470,0)</f>
        <v>0</v>
      </c>
      <c r="L470" s="165"/>
    </row>
    <row r="471" spans="1:12" ht="27.6" x14ac:dyDescent="0.3">
      <c r="A471" s="39" t="str">
        <f t="shared" si="110"/>
        <v>Do Not Print</v>
      </c>
      <c r="B471" t="s">
        <v>832</v>
      </c>
      <c r="C471" s="39" t="s">
        <v>402</v>
      </c>
      <c r="E471" s="242" t="s">
        <v>713</v>
      </c>
      <c r="F471" s="165">
        <f>VLOOKUP($C471,LTPVO2,8,0)</f>
        <v>0</v>
      </c>
      <c r="G471" s="165">
        <f>VLOOKUP($C471,LTPVO2,14,0)</f>
        <v>0</v>
      </c>
      <c r="H471" s="187"/>
      <c r="I471" s="165"/>
      <c r="J471" s="165">
        <f t="shared" si="119"/>
        <v>0</v>
      </c>
      <c r="K471" s="165">
        <f t="shared" si="119"/>
        <v>0</v>
      </c>
      <c r="L471" s="165"/>
    </row>
    <row r="472" spans="1:12" ht="27.6" x14ac:dyDescent="0.3">
      <c r="A472" s="39" t="str">
        <f t="shared" si="110"/>
        <v>Do Not Print</v>
      </c>
      <c r="B472" t="s">
        <v>832</v>
      </c>
      <c r="C472" s="18" t="s">
        <v>652</v>
      </c>
      <c r="E472" s="242" t="s">
        <v>713</v>
      </c>
      <c r="F472" s="165">
        <f>VLOOKUP($C472,LTPVO2,8,0)</f>
        <v>0</v>
      </c>
      <c r="G472" s="165">
        <f>VLOOKUP($C472,LTPVO2,14,0)</f>
        <v>0</v>
      </c>
      <c r="H472" s="187"/>
      <c r="I472" s="165"/>
      <c r="J472" s="165">
        <f t="shared" si="119"/>
        <v>0</v>
      </c>
      <c r="K472" s="165">
        <f t="shared" si="119"/>
        <v>0</v>
      </c>
      <c r="L472" s="165"/>
    </row>
    <row r="473" spans="1:12" ht="27.6" x14ac:dyDescent="0.3">
      <c r="A473" s="39" t="str">
        <f t="shared" si="110"/>
        <v>Do Not Print</v>
      </c>
      <c r="B473" t="s">
        <v>832</v>
      </c>
      <c r="C473" s="18" t="s">
        <v>1115</v>
      </c>
      <c r="E473" s="242" t="s">
        <v>713</v>
      </c>
      <c r="F473" s="165">
        <f>VLOOKUP($C473,LTPVO2,8,0)</f>
        <v>0</v>
      </c>
      <c r="G473" s="165">
        <f>VLOOKUP($C473,LTPVO2,14,0)</f>
        <v>0</v>
      </c>
      <c r="H473" s="187"/>
      <c r="I473" s="165"/>
      <c r="J473" s="165">
        <f t="shared" si="119"/>
        <v>0</v>
      </c>
      <c r="K473" s="165">
        <f t="shared" si="119"/>
        <v>0</v>
      </c>
      <c r="L473" s="165"/>
    </row>
    <row r="474" spans="1:12" ht="27.6" x14ac:dyDescent="0.3">
      <c r="A474" s="39" t="str">
        <f t="shared" si="110"/>
        <v>Do Not Print</v>
      </c>
      <c r="B474" t="s">
        <v>832</v>
      </c>
      <c r="C474" s="39" t="s">
        <v>654</v>
      </c>
      <c r="E474" s="242" t="s">
        <v>713</v>
      </c>
      <c r="F474" s="165">
        <f>VLOOKUP($C474,LTPVO2,8,0)</f>
        <v>0</v>
      </c>
      <c r="G474" s="165">
        <f>VLOOKUP($C474,LTPVO2,14,0)</f>
        <v>0</v>
      </c>
      <c r="H474" s="187"/>
      <c r="I474" s="165"/>
      <c r="J474" s="165">
        <f t="shared" si="119"/>
        <v>0</v>
      </c>
      <c r="K474" s="165">
        <f t="shared" si="119"/>
        <v>0</v>
      </c>
      <c r="L474" s="165"/>
    </row>
    <row r="475" spans="1:12" ht="27.6" x14ac:dyDescent="0.3">
      <c r="A475" s="39" t="str">
        <f t="shared" si="110"/>
        <v>Do Not Print</v>
      </c>
      <c r="B475" t="s">
        <v>832</v>
      </c>
      <c r="C475" s="39" t="s">
        <v>655</v>
      </c>
      <c r="E475" s="242" t="s">
        <v>713</v>
      </c>
      <c r="F475" s="165">
        <f>VLOOKUP($C475,LTPVO2,8,0)</f>
        <v>0</v>
      </c>
      <c r="G475" s="165">
        <f>VLOOKUP($C475,LTPVO2,14,0)</f>
        <v>0</v>
      </c>
      <c r="H475" s="187"/>
      <c r="I475" s="165"/>
      <c r="J475" s="165">
        <f t="shared" si="119"/>
        <v>0</v>
      </c>
      <c r="K475" s="165">
        <f t="shared" si="119"/>
        <v>0</v>
      </c>
      <c r="L475" s="165"/>
    </row>
    <row r="476" spans="1:12" ht="27.6" x14ac:dyDescent="0.3">
      <c r="A476" s="39" t="str">
        <f t="shared" si="110"/>
        <v>Do Not Print</v>
      </c>
      <c r="B476" t="s">
        <v>833</v>
      </c>
      <c r="C476" s="39" t="s">
        <v>402</v>
      </c>
      <c r="E476" s="242" t="s">
        <v>713</v>
      </c>
      <c r="F476" s="165">
        <f>VLOOKUP($C476,LTPVO3,8,0)</f>
        <v>0</v>
      </c>
      <c r="G476" s="165">
        <f>VLOOKUP($C476,LTPVO3,14,0)</f>
        <v>0</v>
      </c>
      <c r="H476" s="187"/>
      <c r="I476" s="165"/>
      <c r="J476" s="165">
        <f t="shared" si="119"/>
        <v>0</v>
      </c>
      <c r="K476" s="165">
        <f t="shared" si="119"/>
        <v>0</v>
      </c>
      <c r="L476" s="165"/>
    </row>
    <row r="477" spans="1:12" ht="27.6" x14ac:dyDescent="0.3">
      <c r="A477" s="39" t="str">
        <f t="shared" si="110"/>
        <v>Do Not Print</v>
      </c>
      <c r="B477" t="s">
        <v>833</v>
      </c>
      <c r="C477" s="18" t="s">
        <v>652</v>
      </c>
      <c r="E477" s="242" t="s">
        <v>713</v>
      </c>
      <c r="F477" s="165">
        <f>VLOOKUP($C477,LTPVO3,8,0)</f>
        <v>0</v>
      </c>
      <c r="G477" s="165">
        <f>VLOOKUP($C477,LTPVO3,14,0)</f>
        <v>0</v>
      </c>
      <c r="H477" s="187"/>
      <c r="I477" s="165"/>
      <c r="J477" s="165">
        <f t="shared" ref="J477:K481" si="120">ROUND(F477,0)</f>
        <v>0</v>
      </c>
      <c r="K477" s="165">
        <f t="shared" si="120"/>
        <v>0</v>
      </c>
      <c r="L477" s="165"/>
    </row>
    <row r="478" spans="1:12" ht="27.6" x14ac:dyDescent="0.3">
      <c r="A478" s="39" t="str">
        <f t="shared" si="110"/>
        <v>Do Not Print</v>
      </c>
      <c r="B478" t="s">
        <v>833</v>
      </c>
      <c r="C478" s="18" t="s">
        <v>1115</v>
      </c>
      <c r="E478" s="242" t="s">
        <v>713</v>
      </c>
      <c r="F478" s="165">
        <f>VLOOKUP($C478,LTPVO3,8,0)</f>
        <v>0</v>
      </c>
      <c r="G478" s="165">
        <f>VLOOKUP($C478,LTPVO3,14,0)</f>
        <v>0</v>
      </c>
      <c r="H478" s="187"/>
      <c r="I478" s="165"/>
      <c r="J478" s="165">
        <f t="shared" si="120"/>
        <v>0</v>
      </c>
      <c r="K478" s="165">
        <f t="shared" si="120"/>
        <v>0</v>
      </c>
      <c r="L478" s="165"/>
    </row>
    <row r="479" spans="1:12" ht="27.6" x14ac:dyDescent="0.3">
      <c r="A479" s="39" t="str">
        <f t="shared" si="110"/>
        <v>Do Not Print</v>
      </c>
      <c r="B479" t="s">
        <v>833</v>
      </c>
      <c r="C479" s="39" t="s">
        <v>654</v>
      </c>
      <c r="E479" s="242" t="s">
        <v>713</v>
      </c>
      <c r="F479" s="165">
        <f>VLOOKUP($C479,LTPVO3,8,0)</f>
        <v>0</v>
      </c>
      <c r="G479" s="165">
        <f>VLOOKUP($C479,LTPVO3,14,0)</f>
        <v>0</v>
      </c>
      <c r="H479" s="187"/>
      <c r="I479" s="165"/>
      <c r="J479" s="165">
        <f t="shared" si="120"/>
        <v>0</v>
      </c>
      <c r="K479" s="165">
        <f t="shared" si="120"/>
        <v>0</v>
      </c>
      <c r="L479" s="165"/>
    </row>
    <row r="480" spans="1:12" ht="27.6" x14ac:dyDescent="0.3">
      <c r="A480" s="39" t="str">
        <f t="shared" si="110"/>
        <v>Do Not Print</v>
      </c>
      <c r="B480" t="s">
        <v>833</v>
      </c>
      <c r="C480" s="39" t="s">
        <v>655</v>
      </c>
      <c r="E480" s="242" t="s">
        <v>713</v>
      </c>
      <c r="F480" s="165">
        <f>VLOOKUP($C480,LTPVO3,8,0)</f>
        <v>0</v>
      </c>
      <c r="G480" s="165">
        <f>VLOOKUP($C480,LTPVO3,14,0)</f>
        <v>0</v>
      </c>
      <c r="H480" s="198"/>
      <c r="I480" s="165"/>
      <c r="J480" s="165">
        <f t="shared" si="120"/>
        <v>0</v>
      </c>
      <c r="K480" s="165">
        <f t="shared" si="120"/>
        <v>0</v>
      </c>
      <c r="L480" s="165"/>
    </row>
    <row r="481" spans="1:12" ht="27.6" x14ac:dyDescent="0.3">
      <c r="A481" s="39" t="str">
        <f t="shared" si="110"/>
        <v>Do Not Print</v>
      </c>
      <c r="C481" s="39" t="s">
        <v>1833</v>
      </c>
      <c r="F481" s="183">
        <f>(F461+F462-F463-F464+F465)+(F466+F467-F468-F469+F470)+(F471+F472-F473-F474+F475)+(F476+F477-F478-F479+F480)</f>
        <v>0</v>
      </c>
      <c r="G481" s="183">
        <f>(G461+G462-G463-G464+G465)+(G466+G467-G468-G469+G470)+(G471+G472-G473-G474+G475)+(G476+G477-G478-G479+G480)</f>
        <v>0</v>
      </c>
      <c r="H481" s="201"/>
      <c r="I481" s="165"/>
      <c r="J481" s="165">
        <f t="shared" si="120"/>
        <v>0</v>
      </c>
      <c r="K481" s="165">
        <f t="shared" si="120"/>
        <v>0</v>
      </c>
      <c r="L481" s="165"/>
    </row>
    <row r="482" spans="1:12" ht="27.6" x14ac:dyDescent="0.3">
      <c r="A482" s="39" t="str">
        <f t="shared" si="110"/>
        <v>Do Not Print</v>
      </c>
      <c r="F482" s="165"/>
      <c r="G482" s="165"/>
      <c r="H482" s="198"/>
      <c r="I482" s="165"/>
      <c r="J482" s="165"/>
      <c r="K482" s="165"/>
      <c r="L482" s="165"/>
    </row>
    <row r="483" spans="1:12" x14ac:dyDescent="0.3">
      <c r="A483" s="39" t="s">
        <v>448</v>
      </c>
      <c r="F483" s="165"/>
      <c r="G483" s="165"/>
      <c r="H483" s="198"/>
      <c r="I483" s="165"/>
      <c r="J483" s="165"/>
      <c r="K483" s="165"/>
      <c r="L483" s="165"/>
    </row>
    <row r="484" spans="1:12" ht="14.4" x14ac:dyDescent="0.3">
      <c r="A484" s="39" t="s">
        <v>448</v>
      </c>
      <c r="C484" s="45" t="s">
        <v>587</v>
      </c>
      <c r="D484" s="14"/>
      <c r="F484" s="165"/>
      <c r="G484" s="165"/>
      <c r="H484" s="198"/>
      <c r="I484" s="165"/>
      <c r="J484" s="165"/>
      <c r="K484" s="165"/>
      <c r="L484" s="165"/>
    </row>
    <row r="485" spans="1:12" ht="27.6" x14ac:dyDescent="0.3">
      <c r="A485" s="39" t="str">
        <f t="shared" si="110"/>
        <v>Do Not Print</v>
      </c>
      <c r="B485" t="s">
        <v>94</v>
      </c>
      <c r="C485" s="39" t="s">
        <v>406</v>
      </c>
      <c r="E485" s="242" t="s">
        <v>714</v>
      </c>
      <c r="F485" s="165">
        <f t="shared" ref="F485:F497" si="121">VLOOKUP($C485,LTPL,8,0)</f>
        <v>0</v>
      </c>
      <c r="G485" s="165">
        <f t="shared" ref="G485:G497" si="122">VLOOKUP($C485,LTPL,14,0)</f>
        <v>0</v>
      </c>
      <c r="H485" s="198"/>
      <c r="I485" s="165"/>
      <c r="J485" s="165">
        <f t="shared" ref="J485:K497" si="123">ROUND(F485,0)</f>
        <v>0</v>
      </c>
      <c r="K485" s="165">
        <f t="shared" si="123"/>
        <v>0</v>
      </c>
      <c r="L485" s="165"/>
    </row>
    <row r="486" spans="1:12" ht="27.6" x14ac:dyDescent="0.3">
      <c r="A486" s="39" t="str">
        <f t="shared" si="110"/>
        <v>Do Not Print</v>
      </c>
      <c r="B486" t="s">
        <v>94</v>
      </c>
      <c r="C486" s="39" t="s">
        <v>407</v>
      </c>
      <c r="E486" s="242" t="s">
        <v>714</v>
      </c>
      <c r="F486" s="165">
        <f t="shared" si="121"/>
        <v>0</v>
      </c>
      <c r="G486" s="165">
        <f t="shared" si="122"/>
        <v>0</v>
      </c>
      <c r="H486" s="198"/>
      <c r="I486" s="165"/>
      <c r="J486" s="165">
        <f t="shared" si="123"/>
        <v>0</v>
      </c>
      <c r="K486" s="165">
        <f t="shared" si="123"/>
        <v>0</v>
      </c>
      <c r="L486" s="165"/>
    </row>
    <row r="487" spans="1:12" ht="27.6" x14ac:dyDescent="0.3">
      <c r="A487" s="39" t="str">
        <f t="shared" si="110"/>
        <v>Do Not Print</v>
      </c>
      <c r="B487" t="s">
        <v>94</v>
      </c>
      <c r="C487" s="39" t="s">
        <v>408</v>
      </c>
      <c r="E487" s="242" t="s">
        <v>714</v>
      </c>
      <c r="F487" s="165">
        <f t="shared" si="121"/>
        <v>0</v>
      </c>
      <c r="G487" s="165">
        <f t="shared" si="122"/>
        <v>0</v>
      </c>
      <c r="H487" s="198"/>
      <c r="I487" s="165"/>
      <c r="J487" s="165">
        <f t="shared" si="123"/>
        <v>0</v>
      </c>
      <c r="K487" s="165">
        <f t="shared" si="123"/>
        <v>0</v>
      </c>
      <c r="L487" s="165"/>
    </row>
    <row r="488" spans="1:12" ht="27.6" x14ac:dyDescent="0.3">
      <c r="A488" s="39" t="str">
        <f t="shared" si="110"/>
        <v>Do Not Print</v>
      </c>
      <c r="B488" t="s">
        <v>94</v>
      </c>
      <c r="C488" s="39" t="s">
        <v>409</v>
      </c>
      <c r="E488" s="242" t="s">
        <v>714</v>
      </c>
      <c r="F488" s="165">
        <f t="shared" si="121"/>
        <v>0</v>
      </c>
      <c r="G488" s="165">
        <f t="shared" si="122"/>
        <v>0</v>
      </c>
      <c r="H488" s="198"/>
      <c r="I488" s="165"/>
      <c r="J488" s="165">
        <f t="shared" si="123"/>
        <v>0</v>
      </c>
      <c r="K488" s="165">
        <f t="shared" si="123"/>
        <v>0</v>
      </c>
      <c r="L488" s="165"/>
    </row>
    <row r="489" spans="1:12" ht="27.6" x14ac:dyDescent="0.3">
      <c r="A489" s="39" t="str">
        <f t="shared" si="110"/>
        <v>Do Not Print</v>
      </c>
      <c r="B489" t="s">
        <v>94</v>
      </c>
      <c r="C489" s="39" t="s">
        <v>2973</v>
      </c>
      <c r="E489" s="242" t="s">
        <v>714</v>
      </c>
      <c r="F489" s="165">
        <f t="shared" si="121"/>
        <v>0</v>
      </c>
      <c r="G489" s="165">
        <f t="shared" si="122"/>
        <v>0</v>
      </c>
      <c r="H489" s="198"/>
      <c r="I489" s="165"/>
      <c r="J489" s="165">
        <f t="shared" si="123"/>
        <v>0</v>
      </c>
      <c r="K489" s="165">
        <f t="shared" si="123"/>
        <v>0</v>
      </c>
      <c r="L489" s="165"/>
    </row>
    <row r="490" spans="1:12" ht="27.6" x14ac:dyDescent="0.3">
      <c r="A490" s="39" t="str">
        <f t="shared" si="110"/>
        <v>Do Not Print</v>
      </c>
      <c r="B490" t="s">
        <v>94</v>
      </c>
      <c r="C490" s="39" t="s">
        <v>2972</v>
      </c>
      <c r="E490" s="242" t="s">
        <v>714</v>
      </c>
      <c r="F490" s="165">
        <f t="shared" si="121"/>
        <v>0</v>
      </c>
      <c r="G490" s="165">
        <f t="shared" si="122"/>
        <v>0</v>
      </c>
      <c r="H490" s="198"/>
      <c r="I490" s="165"/>
      <c r="J490" s="165">
        <f t="shared" si="123"/>
        <v>0</v>
      </c>
      <c r="K490" s="165">
        <f t="shared" si="123"/>
        <v>0</v>
      </c>
      <c r="L490" s="165"/>
    </row>
    <row r="491" spans="1:12" ht="27.6" x14ac:dyDescent="0.3">
      <c r="A491" s="39" t="str">
        <f t="shared" si="110"/>
        <v>Do Not Print</v>
      </c>
      <c r="B491" t="s">
        <v>94</v>
      </c>
      <c r="C491" s="39" t="s">
        <v>2971</v>
      </c>
      <c r="E491" s="242" t="s">
        <v>714</v>
      </c>
      <c r="F491" s="165">
        <f t="shared" si="121"/>
        <v>0</v>
      </c>
      <c r="G491" s="165">
        <f t="shared" si="122"/>
        <v>0</v>
      </c>
      <c r="H491" s="198"/>
      <c r="I491" s="165"/>
      <c r="J491" s="165">
        <f t="shared" si="123"/>
        <v>0</v>
      </c>
      <c r="K491" s="165">
        <f t="shared" si="123"/>
        <v>0</v>
      </c>
      <c r="L491" s="165"/>
    </row>
    <row r="492" spans="1:12" ht="27.6" x14ac:dyDescent="0.3">
      <c r="A492" s="39" t="str">
        <f t="shared" si="110"/>
        <v>Do Not Print</v>
      </c>
      <c r="B492" t="s">
        <v>94</v>
      </c>
      <c r="C492" s="39" t="s">
        <v>496</v>
      </c>
      <c r="E492" s="242" t="s">
        <v>714</v>
      </c>
      <c r="F492" s="165">
        <f t="shared" si="121"/>
        <v>0</v>
      </c>
      <c r="G492" s="165">
        <f t="shared" si="122"/>
        <v>0</v>
      </c>
      <c r="H492" s="198"/>
      <c r="I492" s="165"/>
      <c r="J492" s="165">
        <f t="shared" si="123"/>
        <v>0</v>
      </c>
      <c r="K492" s="165">
        <f t="shared" si="123"/>
        <v>0</v>
      </c>
      <c r="L492" s="165"/>
    </row>
    <row r="493" spans="1:12" ht="27.6" x14ac:dyDescent="0.3">
      <c r="A493" s="39" t="str">
        <f t="shared" si="110"/>
        <v>Do Not Print</v>
      </c>
      <c r="B493" t="s">
        <v>94</v>
      </c>
      <c r="C493" s="39" t="s">
        <v>410</v>
      </c>
      <c r="E493" s="242" t="s">
        <v>714</v>
      </c>
      <c r="F493" s="165">
        <f t="shared" si="121"/>
        <v>0</v>
      </c>
      <c r="G493" s="165">
        <f t="shared" si="122"/>
        <v>0</v>
      </c>
      <c r="H493" s="198"/>
      <c r="I493" s="165"/>
      <c r="J493" s="165">
        <f t="shared" si="123"/>
        <v>0</v>
      </c>
      <c r="K493" s="165">
        <f t="shared" si="123"/>
        <v>0</v>
      </c>
      <c r="L493" s="165"/>
    </row>
    <row r="494" spans="1:12" ht="27.6" x14ac:dyDescent="0.3">
      <c r="A494" s="39" t="str">
        <f t="shared" si="110"/>
        <v>Do Not Print</v>
      </c>
      <c r="B494" t="s">
        <v>94</v>
      </c>
      <c r="C494" s="39" t="s">
        <v>498</v>
      </c>
      <c r="E494" s="242" t="s">
        <v>714</v>
      </c>
      <c r="F494" s="165">
        <f t="shared" si="121"/>
        <v>0</v>
      </c>
      <c r="G494" s="165">
        <f t="shared" si="122"/>
        <v>0</v>
      </c>
      <c r="H494" s="198"/>
      <c r="I494" s="165"/>
      <c r="J494" s="165">
        <f t="shared" si="123"/>
        <v>0</v>
      </c>
      <c r="K494" s="165">
        <f t="shared" si="123"/>
        <v>0</v>
      </c>
      <c r="L494" s="165"/>
    </row>
    <row r="495" spans="1:12" ht="27.6" x14ac:dyDescent="0.3">
      <c r="A495" s="39" t="str">
        <f t="shared" si="110"/>
        <v>Do Not Print</v>
      </c>
      <c r="B495" t="s">
        <v>94</v>
      </c>
      <c r="C495" s="39" t="s">
        <v>499</v>
      </c>
      <c r="E495" s="242" t="s">
        <v>714</v>
      </c>
      <c r="F495" s="165">
        <f t="shared" si="121"/>
        <v>0</v>
      </c>
      <c r="G495" s="165">
        <f t="shared" si="122"/>
        <v>0</v>
      </c>
      <c r="H495" s="198"/>
      <c r="I495" s="165"/>
      <c r="J495" s="165">
        <f t="shared" si="123"/>
        <v>0</v>
      </c>
      <c r="K495" s="165">
        <f t="shared" si="123"/>
        <v>0</v>
      </c>
      <c r="L495" s="165"/>
    </row>
    <row r="496" spans="1:12" ht="27.6" x14ac:dyDescent="0.3">
      <c r="A496" s="39" t="str">
        <f t="shared" si="110"/>
        <v>Do Not Print</v>
      </c>
      <c r="B496" t="s">
        <v>94</v>
      </c>
      <c r="C496" s="39" t="s">
        <v>411</v>
      </c>
      <c r="E496" s="242" t="s">
        <v>714</v>
      </c>
      <c r="F496" s="165">
        <f t="shared" si="121"/>
        <v>0</v>
      </c>
      <c r="G496" s="165">
        <f t="shared" si="122"/>
        <v>0</v>
      </c>
      <c r="H496" s="198"/>
      <c r="I496" s="165"/>
      <c r="J496" s="165">
        <f t="shared" si="123"/>
        <v>0</v>
      </c>
      <c r="K496" s="165">
        <f t="shared" si="123"/>
        <v>0</v>
      </c>
      <c r="L496" s="165"/>
    </row>
    <row r="497" spans="1:12" ht="27.6" x14ac:dyDescent="0.3">
      <c r="A497" s="39" t="str">
        <f t="shared" si="110"/>
        <v>Do Not Print</v>
      </c>
      <c r="B497" t="s">
        <v>94</v>
      </c>
      <c r="C497" s="39" t="s">
        <v>412</v>
      </c>
      <c r="E497" s="242" t="s">
        <v>714</v>
      </c>
      <c r="F497" s="165">
        <f t="shared" si="121"/>
        <v>0</v>
      </c>
      <c r="G497" s="165">
        <f t="shared" si="122"/>
        <v>0</v>
      </c>
      <c r="H497" s="198"/>
      <c r="I497" s="165"/>
      <c r="J497" s="165">
        <f t="shared" si="123"/>
        <v>0</v>
      </c>
      <c r="K497" s="165">
        <f t="shared" si="123"/>
        <v>0</v>
      </c>
      <c r="L497" s="165"/>
    </row>
    <row r="498" spans="1:12" ht="27.6" x14ac:dyDescent="0.3">
      <c r="A498" s="39" t="str">
        <f t="shared" si="110"/>
        <v>Do Not Print</v>
      </c>
      <c r="E498" s="242" t="s">
        <v>714</v>
      </c>
      <c r="F498" s="165">
        <f>SUM(F485:F497)</f>
        <v>0</v>
      </c>
      <c r="G498" s="165">
        <f>SUM(G485:G497)</f>
        <v>0</v>
      </c>
      <c r="H498" s="198"/>
      <c r="I498" s="165"/>
      <c r="J498" s="165">
        <f>SUM(J485:J497)</f>
        <v>0</v>
      </c>
      <c r="K498" s="165">
        <f>SUM(K485:K497)</f>
        <v>0</v>
      </c>
      <c r="L498" s="165"/>
    </row>
    <row r="499" spans="1:12" x14ac:dyDescent="0.3">
      <c r="A499" s="39" t="s">
        <v>448</v>
      </c>
      <c r="F499" s="165"/>
      <c r="G499" s="165"/>
      <c r="H499" s="198"/>
      <c r="I499" s="165"/>
      <c r="J499" s="165"/>
      <c r="K499" s="165"/>
      <c r="L499" s="165"/>
    </row>
    <row r="500" spans="1:12" ht="27.6" x14ac:dyDescent="0.3">
      <c r="A500" s="39" t="str">
        <f t="shared" si="110"/>
        <v>Do Not Print</v>
      </c>
      <c r="B500" t="s">
        <v>95</v>
      </c>
      <c r="C500" s="39" t="s">
        <v>406</v>
      </c>
      <c r="E500" s="242" t="s">
        <v>714</v>
      </c>
      <c r="F500" s="165">
        <f t="shared" ref="F500:F507" si="124">VLOOKUP($C500,LTPA,8,0)</f>
        <v>0</v>
      </c>
      <c r="G500" s="165">
        <f t="shared" ref="G500:G507" si="125">VLOOKUP($C500,LTPA,14,0)</f>
        <v>0</v>
      </c>
      <c r="H500" s="198"/>
      <c r="I500" s="165"/>
      <c r="J500" s="165">
        <f t="shared" ref="J500:K508" si="126">ROUND(F500,0)</f>
        <v>0</v>
      </c>
      <c r="K500" s="165">
        <f t="shared" si="126"/>
        <v>0</v>
      </c>
      <c r="L500" s="165"/>
    </row>
    <row r="501" spans="1:12" ht="27.6" x14ac:dyDescent="0.3">
      <c r="A501" s="39" t="str">
        <f t="shared" si="110"/>
        <v>Do Not Print</v>
      </c>
      <c r="B501" t="s">
        <v>95</v>
      </c>
      <c r="C501" s="18" t="s">
        <v>1585</v>
      </c>
      <c r="E501" s="242" t="s">
        <v>714</v>
      </c>
      <c r="F501" s="165">
        <f t="shared" si="124"/>
        <v>0</v>
      </c>
      <c r="G501" s="165">
        <f t="shared" si="125"/>
        <v>0</v>
      </c>
      <c r="H501" s="198"/>
      <c r="I501" s="165"/>
      <c r="J501" s="165">
        <f t="shared" si="126"/>
        <v>0</v>
      </c>
      <c r="K501" s="165">
        <f t="shared" si="126"/>
        <v>0</v>
      </c>
      <c r="L501" s="165"/>
    </row>
    <row r="502" spans="1:12" ht="27.6" x14ac:dyDescent="0.3">
      <c r="A502" s="39" t="str">
        <f t="shared" si="110"/>
        <v>Do Not Print</v>
      </c>
      <c r="B502" t="s">
        <v>95</v>
      </c>
      <c r="C502" s="39" t="s">
        <v>409</v>
      </c>
      <c r="E502" s="242" t="s">
        <v>714</v>
      </c>
      <c r="F502" s="165">
        <f t="shared" si="124"/>
        <v>0</v>
      </c>
      <c r="G502" s="165">
        <f t="shared" si="125"/>
        <v>0</v>
      </c>
      <c r="H502" s="198"/>
      <c r="I502" s="165"/>
      <c r="J502" s="165">
        <f t="shared" si="126"/>
        <v>0</v>
      </c>
      <c r="K502" s="165">
        <f t="shared" si="126"/>
        <v>0</v>
      </c>
      <c r="L502" s="165"/>
    </row>
    <row r="503" spans="1:12" ht="27.6" x14ac:dyDescent="0.3">
      <c r="A503" s="39" t="str">
        <f t="shared" si="110"/>
        <v>Do Not Print</v>
      </c>
      <c r="B503" t="s">
        <v>95</v>
      </c>
      <c r="C503" s="39" t="s">
        <v>415</v>
      </c>
      <c r="E503" s="242" t="s">
        <v>714</v>
      </c>
      <c r="F503" s="165">
        <f t="shared" si="124"/>
        <v>0</v>
      </c>
      <c r="G503" s="165">
        <f t="shared" si="125"/>
        <v>0</v>
      </c>
      <c r="H503" s="198"/>
      <c r="I503" s="165"/>
      <c r="J503" s="165">
        <f>ROUND(F503,0)</f>
        <v>0</v>
      </c>
      <c r="K503" s="165">
        <f>ROUND(G503,0)</f>
        <v>0</v>
      </c>
      <c r="L503" s="165"/>
    </row>
    <row r="504" spans="1:12" ht="27.6" x14ac:dyDescent="0.3">
      <c r="A504" s="39" t="str">
        <f t="shared" si="110"/>
        <v>Do Not Print</v>
      </c>
      <c r="B504" t="s">
        <v>95</v>
      </c>
      <c r="C504" s="39" t="s">
        <v>416</v>
      </c>
      <c r="E504" s="242" t="s">
        <v>714</v>
      </c>
      <c r="F504" s="165">
        <f t="shared" si="124"/>
        <v>0</v>
      </c>
      <c r="G504" s="165">
        <f t="shared" si="125"/>
        <v>0</v>
      </c>
      <c r="H504" s="198"/>
      <c r="I504" s="165"/>
      <c r="J504" s="165">
        <f t="shared" si="126"/>
        <v>0</v>
      </c>
      <c r="K504" s="165">
        <f t="shared" si="126"/>
        <v>0</v>
      </c>
      <c r="L504" s="165"/>
    </row>
    <row r="505" spans="1:12" ht="27.6" x14ac:dyDescent="0.3">
      <c r="A505" s="39" t="str">
        <f t="shared" si="110"/>
        <v>Do Not Print</v>
      </c>
      <c r="B505" t="s">
        <v>95</v>
      </c>
      <c r="C505" s="18" t="s">
        <v>2974</v>
      </c>
      <c r="E505" s="242" t="s">
        <v>714</v>
      </c>
      <c r="F505" s="165">
        <f t="shared" si="124"/>
        <v>0</v>
      </c>
      <c r="G505" s="165">
        <f t="shared" si="125"/>
        <v>0</v>
      </c>
      <c r="H505" s="198"/>
      <c r="I505" s="165"/>
      <c r="J505" s="165">
        <f t="shared" si="126"/>
        <v>0</v>
      </c>
      <c r="K505" s="165">
        <f t="shared" si="126"/>
        <v>0</v>
      </c>
      <c r="L505" s="165"/>
    </row>
    <row r="506" spans="1:12" ht="27.6" x14ac:dyDescent="0.3">
      <c r="A506" s="39" t="str">
        <f t="shared" si="110"/>
        <v>Do Not Print</v>
      </c>
      <c r="B506" t="s">
        <v>95</v>
      </c>
      <c r="C506" s="39" t="s">
        <v>504</v>
      </c>
      <c r="E506" s="242" t="s">
        <v>714</v>
      </c>
      <c r="F506" s="165">
        <f t="shared" si="124"/>
        <v>0</v>
      </c>
      <c r="G506" s="165">
        <f t="shared" si="125"/>
        <v>0</v>
      </c>
      <c r="H506" s="198"/>
      <c r="I506" s="165"/>
      <c r="J506" s="165">
        <f>ROUND(F506,0)</f>
        <v>0</v>
      </c>
      <c r="K506" s="165">
        <f>ROUND(G506,0)</f>
        <v>0</v>
      </c>
      <c r="L506" s="165"/>
    </row>
    <row r="507" spans="1:12" ht="27.6" x14ac:dyDescent="0.3">
      <c r="A507" s="39" t="str">
        <f t="shared" si="110"/>
        <v>Do Not Print</v>
      </c>
      <c r="B507" t="s">
        <v>95</v>
      </c>
      <c r="C507" s="39" t="s">
        <v>417</v>
      </c>
      <c r="E507" s="242" t="s">
        <v>714</v>
      </c>
      <c r="F507" s="165">
        <f t="shared" si="124"/>
        <v>0</v>
      </c>
      <c r="G507" s="165">
        <f t="shared" si="125"/>
        <v>0</v>
      </c>
      <c r="H507" s="198"/>
      <c r="I507" s="165"/>
      <c r="J507" s="165">
        <f t="shared" si="126"/>
        <v>0</v>
      </c>
      <c r="K507" s="165">
        <f t="shared" si="126"/>
        <v>0</v>
      </c>
      <c r="L507" s="165"/>
    </row>
    <row r="508" spans="1:12" ht="27.6" x14ac:dyDescent="0.3">
      <c r="A508" s="39" t="str">
        <f t="shared" si="110"/>
        <v>Do Not Print</v>
      </c>
      <c r="B508" t="s">
        <v>95</v>
      </c>
      <c r="C508" s="39" t="s">
        <v>418</v>
      </c>
      <c r="E508" s="242" t="s">
        <v>714</v>
      </c>
      <c r="F508" s="165">
        <f>VLOOKUP($C508,LTPA,8,0)</f>
        <v>0</v>
      </c>
      <c r="G508" s="165">
        <f>VLOOKUP($C508,LTPA,14,0)</f>
        <v>0</v>
      </c>
      <c r="H508" s="198"/>
      <c r="I508" s="165"/>
      <c r="J508" s="165">
        <f>ROUND(F508,0)</f>
        <v>0</v>
      </c>
      <c r="K508" s="165">
        <f t="shared" si="126"/>
        <v>0</v>
      </c>
      <c r="L508" s="165"/>
    </row>
    <row r="509" spans="1:12" ht="27.6" x14ac:dyDescent="0.3">
      <c r="A509" s="39" t="str">
        <f t="shared" si="110"/>
        <v>Do Not Print</v>
      </c>
      <c r="E509" s="242" t="s">
        <v>714</v>
      </c>
      <c r="F509" s="165">
        <f>SUM(F500:F508)</f>
        <v>0</v>
      </c>
      <c r="G509" s="165">
        <f>SUM(G500:G508)</f>
        <v>0</v>
      </c>
      <c r="H509" s="198"/>
      <c r="I509" s="165"/>
      <c r="J509" s="165">
        <f>SUM(J500:J508)</f>
        <v>0</v>
      </c>
      <c r="K509" s="165">
        <f>SUM(K500:K508)</f>
        <v>0</v>
      </c>
      <c r="L509" s="165"/>
    </row>
    <row r="510" spans="1:12" x14ac:dyDescent="0.3">
      <c r="A510" s="39" t="s">
        <v>448</v>
      </c>
      <c r="F510" s="165"/>
      <c r="G510" s="165"/>
      <c r="H510" s="198"/>
      <c r="I510" s="165"/>
      <c r="J510" s="165"/>
      <c r="K510" s="165"/>
      <c r="L510" s="165"/>
    </row>
    <row r="511" spans="1:12" ht="27.6" x14ac:dyDescent="0.3">
      <c r="A511" s="39" t="str">
        <f t="shared" si="110"/>
        <v>Do Not Print</v>
      </c>
      <c r="C511" s="38" t="s">
        <v>588</v>
      </c>
      <c r="D511" s="6"/>
      <c r="E511" s="242" t="s">
        <v>714</v>
      </c>
      <c r="F511" s="183">
        <f>F498-F509</f>
        <v>0</v>
      </c>
      <c r="G511" s="183">
        <f>G498-G509</f>
        <v>0</v>
      </c>
      <c r="H511" s="201"/>
      <c r="I511" s="165"/>
      <c r="J511" s="165">
        <f>J498-J509</f>
        <v>0</v>
      </c>
      <c r="K511" s="165">
        <f>K498-K509</f>
        <v>0</v>
      </c>
      <c r="L511" s="165"/>
    </row>
    <row r="512" spans="1:12" ht="27.6" x14ac:dyDescent="0.3">
      <c r="A512" s="39" t="str">
        <f t="shared" ref="A512:A558" si="127">IF(AND(F512=0,G512=0),"Do Not Print","Print")</f>
        <v>Do Not Print</v>
      </c>
      <c r="C512" s="38"/>
      <c r="D512" s="6"/>
      <c r="F512" s="183"/>
      <c r="G512" s="183"/>
      <c r="H512" s="201"/>
      <c r="I512" s="165"/>
      <c r="J512" s="165"/>
      <c r="K512" s="165"/>
      <c r="L512" s="165"/>
    </row>
    <row r="513" spans="1:12" ht="27.6" x14ac:dyDescent="0.3">
      <c r="A513" s="39" t="str">
        <f t="shared" si="127"/>
        <v>Do Not Print</v>
      </c>
      <c r="C513" s="38"/>
      <c r="D513" s="6"/>
      <c r="F513" s="183"/>
      <c r="G513" s="183"/>
      <c r="H513" s="201"/>
      <c r="I513" s="165"/>
      <c r="J513" s="165"/>
      <c r="K513" s="165"/>
      <c r="L513" s="165"/>
    </row>
    <row r="514" spans="1:12" ht="27.6" x14ac:dyDescent="0.3">
      <c r="A514" s="39" t="str">
        <f t="shared" si="127"/>
        <v>Do Not Print</v>
      </c>
      <c r="B514" t="s">
        <v>2756</v>
      </c>
      <c r="C514" s="38" t="s">
        <v>2364</v>
      </c>
      <c r="D514" s="6"/>
      <c r="F514" s="183">
        <f>VLOOKUP($C514,LTCL,8,0)</f>
        <v>0</v>
      </c>
      <c r="G514" s="183">
        <f>VLOOKUP($C514,LTCL,14,0)</f>
        <v>0</v>
      </c>
      <c r="H514" s="201"/>
      <c r="I514" s="165"/>
      <c r="J514" s="165">
        <f>ROUND(F514,0)</f>
        <v>0</v>
      </c>
      <c r="K514" s="165">
        <f>ROUND(G514,0)</f>
        <v>0</v>
      </c>
      <c r="L514" s="165"/>
    </row>
    <row r="515" spans="1:12" ht="27.6" x14ac:dyDescent="0.3">
      <c r="A515" s="39" t="str">
        <f t="shared" si="127"/>
        <v>Do Not Print</v>
      </c>
      <c r="C515" s="38"/>
      <c r="D515" s="6"/>
      <c r="F515" s="183">
        <f>F514</f>
        <v>0</v>
      </c>
      <c r="G515" s="183">
        <f>G514</f>
        <v>0</v>
      </c>
      <c r="H515" s="201"/>
      <c r="I515" s="165"/>
      <c r="J515" s="165">
        <f>J514</f>
        <v>0</v>
      </c>
      <c r="K515" s="165">
        <f>K514</f>
        <v>0</v>
      </c>
      <c r="L515" s="165"/>
    </row>
    <row r="516" spans="1:12" ht="27.6" x14ac:dyDescent="0.3">
      <c r="A516" s="39" t="str">
        <f t="shared" si="127"/>
        <v>Do Not Print</v>
      </c>
      <c r="C516" s="38"/>
      <c r="D516" s="6"/>
      <c r="F516" s="183"/>
      <c r="G516" s="183"/>
      <c r="H516" s="201"/>
      <c r="I516" s="165"/>
      <c r="J516" s="165"/>
      <c r="K516" s="165"/>
      <c r="L516" s="165"/>
    </row>
    <row r="517" spans="1:12" x14ac:dyDescent="0.3">
      <c r="A517" s="39" t="s">
        <v>448</v>
      </c>
      <c r="C517" s="38" t="s">
        <v>788</v>
      </c>
      <c r="F517" s="165"/>
      <c r="G517" s="165"/>
      <c r="H517" s="198"/>
      <c r="I517" s="165"/>
      <c r="J517" s="165"/>
      <c r="K517" s="165"/>
      <c r="L517" s="165"/>
    </row>
    <row r="518" spans="1:12" ht="27.6" x14ac:dyDescent="0.3">
      <c r="A518" s="39" t="str">
        <f t="shared" si="127"/>
        <v>Do Not Print</v>
      </c>
      <c r="B518" t="s">
        <v>130</v>
      </c>
      <c r="C518" s="39" t="s">
        <v>402</v>
      </c>
      <c r="E518" s="50" t="s">
        <v>715</v>
      </c>
      <c r="F518" s="165">
        <f>'Input - BS'!O419</f>
        <v>0</v>
      </c>
      <c r="G518" s="165">
        <f>'Input - BS'!U419</f>
        <v>0</v>
      </c>
      <c r="H518" s="198"/>
      <c r="I518" s="165"/>
      <c r="J518" s="165">
        <f t="shared" ref="J518:K520" si="128">ROUND(F518,0)</f>
        <v>0</v>
      </c>
      <c r="K518" s="165">
        <f t="shared" si="128"/>
        <v>0</v>
      </c>
      <c r="L518" s="165"/>
    </row>
    <row r="519" spans="1:12" ht="27.6" x14ac:dyDescent="0.3">
      <c r="A519" s="39" t="str">
        <f t="shared" si="127"/>
        <v>Do Not Print</v>
      </c>
      <c r="B519" t="s">
        <v>130</v>
      </c>
      <c r="C519" s="39" t="s">
        <v>1557</v>
      </c>
      <c r="E519" s="50" t="s">
        <v>715</v>
      </c>
      <c r="F519" s="165">
        <f>'Non TB - Note 12 to 24'!H306</f>
        <v>0</v>
      </c>
      <c r="G519" s="165">
        <f>'Non TB - Note 12 to 24'!I306</f>
        <v>0</v>
      </c>
      <c r="H519" s="198"/>
      <c r="I519" s="165"/>
      <c r="J519" s="165">
        <f t="shared" si="128"/>
        <v>0</v>
      </c>
      <c r="K519" s="165">
        <f t="shared" si="128"/>
        <v>0</v>
      </c>
      <c r="L519" s="165"/>
    </row>
    <row r="520" spans="1:12" ht="27.6" x14ac:dyDescent="0.3">
      <c r="A520" s="39" t="str">
        <f t="shared" si="127"/>
        <v>Do Not Print</v>
      </c>
      <c r="B520" t="s">
        <v>130</v>
      </c>
      <c r="C520" s="39" t="s">
        <v>1556</v>
      </c>
      <c r="E520" s="50" t="s">
        <v>715</v>
      </c>
      <c r="F520" s="165">
        <f>-'Det CIES'!P129</f>
        <v>0</v>
      </c>
      <c r="G520" s="165">
        <f>-'Det CIES'!S129</f>
        <v>0</v>
      </c>
      <c r="H520" s="198"/>
      <c r="I520" s="165"/>
      <c r="J520" s="165">
        <f>ROUND(F520,0)</f>
        <v>0</v>
      </c>
      <c r="K520" s="165">
        <f t="shared" si="128"/>
        <v>0</v>
      </c>
      <c r="L520" s="165"/>
    </row>
    <row r="521" spans="1:12" ht="27.6" x14ac:dyDescent="0.3">
      <c r="A521" s="39" t="str">
        <f t="shared" si="127"/>
        <v>Do Not Print</v>
      </c>
      <c r="C521" s="38" t="s">
        <v>788</v>
      </c>
      <c r="F521" s="183">
        <f>SUM(F518:F520)</f>
        <v>0</v>
      </c>
      <c r="G521" s="183">
        <f>SUM(G518:G520)</f>
        <v>0</v>
      </c>
      <c r="H521" s="201"/>
      <c r="I521" s="165"/>
      <c r="J521" s="183">
        <f>SUM(J518:J520)</f>
        <v>0</v>
      </c>
      <c r="K521" s="183">
        <f>SUM(K518:K520)</f>
        <v>0</v>
      </c>
      <c r="L521" s="165"/>
    </row>
    <row r="522" spans="1:12" x14ac:dyDescent="0.3">
      <c r="A522" s="18" t="s">
        <v>448</v>
      </c>
      <c r="F522" s="183"/>
      <c r="G522" s="183"/>
      <c r="H522" s="201"/>
      <c r="I522" s="165"/>
      <c r="J522" s="165"/>
      <c r="K522" s="165"/>
      <c r="L522" s="165"/>
    </row>
    <row r="523" spans="1:12" ht="27.6" x14ac:dyDescent="0.3">
      <c r="A523" s="39" t="str">
        <f t="shared" si="127"/>
        <v>Do Not Print</v>
      </c>
      <c r="C523" s="38" t="s">
        <v>316</v>
      </c>
      <c r="F523" s="183"/>
      <c r="G523" s="183"/>
      <c r="H523" s="201"/>
      <c r="I523" s="165"/>
      <c r="J523" s="165"/>
      <c r="K523" s="165"/>
      <c r="L523" s="165"/>
    </row>
    <row r="524" spans="1:12" ht="27.6" x14ac:dyDescent="0.3">
      <c r="A524" s="39" t="str">
        <f t="shared" si="127"/>
        <v>Do Not Print</v>
      </c>
      <c r="C524" s="39" t="s">
        <v>402</v>
      </c>
      <c r="E524" s="50" t="s">
        <v>715</v>
      </c>
      <c r="F524" s="185">
        <f>'Input - BS'!O420</f>
        <v>0</v>
      </c>
      <c r="G524" s="185">
        <f>'Input - BS'!U420</f>
        <v>0</v>
      </c>
      <c r="H524" s="201"/>
      <c r="I524" s="165"/>
      <c r="J524" s="165">
        <f t="shared" ref="J524:K527" si="129">ROUND(F524,0)</f>
        <v>0</v>
      </c>
      <c r="K524" s="165">
        <f t="shared" si="129"/>
        <v>0</v>
      </c>
      <c r="L524" s="165"/>
    </row>
    <row r="525" spans="1:12" ht="27.6" x14ac:dyDescent="0.3">
      <c r="A525" s="39" t="str">
        <f t="shared" si="127"/>
        <v>Do Not Print</v>
      </c>
      <c r="C525" s="39" t="s">
        <v>1555</v>
      </c>
      <c r="E525" s="50" t="s">
        <v>715</v>
      </c>
      <c r="F525" s="185">
        <f>'Non TB - Note 12 to 24'!H312</f>
        <v>0</v>
      </c>
      <c r="G525" s="185">
        <f>'Non TB - Note 12 to 24'!I312</f>
        <v>0</v>
      </c>
      <c r="H525" s="201"/>
      <c r="I525" s="165"/>
      <c r="J525" s="165">
        <f t="shared" si="129"/>
        <v>0</v>
      </c>
      <c r="K525" s="165">
        <f t="shared" si="129"/>
        <v>0</v>
      </c>
      <c r="L525" s="165"/>
    </row>
    <row r="526" spans="1:12" ht="27.6" x14ac:dyDescent="0.3">
      <c r="A526" s="39" t="str">
        <f t="shared" si="127"/>
        <v>Do Not Print</v>
      </c>
      <c r="C526" s="39" t="s">
        <v>1556</v>
      </c>
      <c r="E526" s="50" t="s">
        <v>715</v>
      </c>
      <c r="F526" s="185">
        <f>-'Det CIES'!P127</f>
        <v>0</v>
      </c>
      <c r="G526" s="185">
        <f>-'Det CIES'!S127</f>
        <v>0</v>
      </c>
      <c r="H526" s="201"/>
      <c r="I526" s="165"/>
      <c r="J526" s="165">
        <f t="shared" si="129"/>
        <v>0</v>
      </c>
      <c r="K526" s="165">
        <f t="shared" si="129"/>
        <v>0</v>
      </c>
      <c r="L526" s="165"/>
    </row>
    <row r="527" spans="1:12" ht="27.6" x14ac:dyDescent="0.3">
      <c r="A527" s="39" t="str">
        <f t="shared" si="127"/>
        <v>Do Not Print</v>
      </c>
      <c r="C527" s="38" t="s">
        <v>316</v>
      </c>
      <c r="F527" s="183">
        <f>SUM(F524:F526)</f>
        <v>0</v>
      </c>
      <c r="G527" s="183">
        <f>SUM(G524:G526)</f>
        <v>0</v>
      </c>
      <c r="H527" s="201"/>
      <c r="I527" s="165"/>
      <c r="J527" s="183">
        <f t="shared" si="129"/>
        <v>0</v>
      </c>
      <c r="K527" s="183">
        <f t="shared" si="129"/>
        <v>0</v>
      </c>
      <c r="L527" s="165"/>
    </row>
    <row r="528" spans="1:12" x14ac:dyDescent="0.3">
      <c r="A528" s="39" t="s">
        <v>448</v>
      </c>
      <c r="F528" s="165"/>
      <c r="G528" s="165"/>
      <c r="H528" s="198"/>
      <c r="I528" s="165"/>
      <c r="J528" s="165"/>
      <c r="K528" s="165"/>
      <c r="L528" s="165"/>
    </row>
    <row r="529" spans="1:12" ht="27.6" x14ac:dyDescent="0.3">
      <c r="A529" s="39" t="str">
        <f t="shared" si="127"/>
        <v>Do Not Print</v>
      </c>
      <c r="C529" s="38" t="s">
        <v>389</v>
      </c>
      <c r="D529" s="6"/>
      <c r="F529" s="183">
        <f>F444+F458+F481+F511+F521+F527+F515</f>
        <v>0</v>
      </c>
      <c r="G529" s="183">
        <f>G444+G458+G481+G511+G521+G527+G515</f>
        <v>0</v>
      </c>
      <c r="H529" s="201"/>
      <c r="I529" s="165"/>
      <c r="J529" s="183">
        <f>ROUND(F529,0)</f>
        <v>0</v>
      </c>
      <c r="K529" s="183">
        <f>ROUND(G529,0)</f>
        <v>0</v>
      </c>
      <c r="L529" s="165"/>
    </row>
    <row r="530" spans="1:12" x14ac:dyDescent="0.3">
      <c r="A530" s="39" t="s">
        <v>448</v>
      </c>
      <c r="C530" s="38"/>
      <c r="D530" s="6"/>
      <c r="F530" s="183"/>
      <c r="G530" s="183"/>
      <c r="H530" s="201"/>
      <c r="I530" s="165"/>
      <c r="J530" s="165"/>
      <c r="K530" s="165"/>
      <c r="L530" s="165"/>
    </row>
    <row r="531" spans="1:12" ht="27.6" x14ac:dyDescent="0.3">
      <c r="A531" s="39" t="str">
        <f t="shared" si="127"/>
        <v>Do Not Print</v>
      </c>
      <c r="C531" s="45" t="s">
        <v>590</v>
      </c>
      <c r="D531" s="14"/>
      <c r="E531" s="244"/>
      <c r="F531" s="197">
        <f>F322+F386-F436-F529</f>
        <v>0</v>
      </c>
      <c r="G531" s="197">
        <f>G322+G386-G436-G529</f>
        <v>0</v>
      </c>
      <c r="H531" s="202"/>
      <c r="I531" s="165"/>
      <c r="J531" s="183">
        <f>J322+J386-J436-J529</f>
        <v>0</v>
      </c>
      <c r="K531" s="183">
        <f>K322+K386-K436-K529</f>
        <v>0</v>
      </c>
      <c r="L531" s="165"/>
    </row>
    <row r="532" spans="1:12" x14ac:dyDescent="0.3">
      <c r="A532" s="39" t="s">
        <v>448</v>
      </c>
      <c r="F532" s="165"/>
      <c r="G532" s="165"/>
      <c r="H532" s="198"/>
      <c r="I532" s="165"/>
      <c r="J532" s="165"/>
      <c r="K532" s="165"/>
      <c r="L532" s="165"/>
    </row>
    <row r="533" spans="1:12" x14ac:dyDescent="0.3">
      <c r="A533" s="39" t="s">
        <v>448</v>
      </c>
      <c r="C533" s="38" t="s">
        <v>1497</v>
      </c>
      <c r="D533" s="6"/>
      <c r="F533" s="165"/>
      <c r="G533" s="165"/>
      <c r="H533" s="198"/>
      <c r="I533" s="165"/>
      <c r="J533" s="165"/>
      <c r="K533" s="165"/>
      <c r="L533" s="165"/>
    </row>
    <row r="534" spans="1:12" ht="27.6" x14ac:dyDescent="0.3">
      <c r="A534" s="39" t="str">
        <f t="shared" si="127"/>
        <v>Do Not Print</v>
      </c>
      <c r="B534" t="s">
        <v>131</v>
      </c>
      <c r="C534" s="39" t="s">
        <v>421</v>
      </c>
      <c r="E534" s="50" t="s">
        <v>1558</v>
      </c>
      <c r="F534" s="165">
        <f>VLOOKUP($C534,ACRR,9,0)</f>
        <v>0</v>
      </c>
      <c r="G534" s="165">
        <f>VLOOKUP($C534,ACRR,15,0)</f>
        <v>0</v>
      </c>
      <c r="H534" s="198"/>
      <c r="I534" s="165"/>
      <c r="J534" s="165">
        <f t="shared" ref="J534:K538" si="130">ROUND(F534,0)</f>
        <v>0</v>
      </c>
      <c r="K534" s="165">
        <f t="shared" si="130"/>
        <v>0</v>
      </c>
      <c r="L534" s="165"/>
    </row>
    <row r="535" spans="1:12" ht="27.6" x14ac:dyDescent="0.3">
      <c r="A535" s="39" t="str">
        <f t="shared" si="127"/>
        <v>Do Not Print</v>
      </c>
      <c r="B535" t="s">
        <v>132</v>
      </c>
      <c r="C535" s="39" t="s">
        <v>422</v>
      </c>
      <c r="E535" s="50" t="s">
        <v>1558</v>
      </c>
      <c r="F535" s="185">
        <f>VLOOKUP($C535,ACGU,9,0)</f>
        <v>0</v>
      </c>
      <c r="G535" s="165">
        <f>VLOOKUP($C535,ACGU,15,0)</f>
        <v>0</v>
      </c>
      <c r="H535" s="203"/>
      <c r="I535" s="187"/>
      <c r="J535" s="165">
        <f t="shared" si="130"/>
        <v>0</v>
      </c>
      <c r="K535" s="165">
        <f t="shared" si="130"/>
        <v>0</v>
      </c>
      <c r="L535" s="165"/>
    </row>
    <row r="536" spans="1:12" ht="27.6" x14ac:dyDescent="0.3">
      <c r="A536" s="39" t="str">
        <f t="shared" si="127"/>
        <v>Do Not Print</v>
      </c>
      <c r="B536" t="s">
        <v>133</v>
      </c>
      <c r="C536" s="39" t="s">
        <v>423</v>
      </c>
      <c r="E536" s="50" t="s">
        <v>1558</v>
      </c>
      <c r="F536" s="165">
        <f>VLOOKUP($C536,ACFR,9,0)</f>
        <v>0</v>
      </c>
      <c r="G536" s="165">
        <f>VLOOKUP($C536,ACFR,15,0)</f>
        <v>0</v>
      </c>
      <c r="H536" s="198"/>
      <c r="I536" s="165"/>
      <c r="J536" s="165">
        <f t="shared" si="130"/>
        <v>0</v>
      </c>
      <c r="K536" s="165">
        <f t="shared" si="130"/>
        <v>0</v>
      </c>
      <c r="L536" s="165"/>
    </row>
    <row r="537" spans="1:12" ht="27.6" x14ac:dyDescent="0.3">
      <c r="A537" s="39" t="str">
        <f t="shared" si="127"/>
        <v>Do Not Print</v>
      </c>
      <c r="B537" t="s">
        <v>134</v>
      </c>
      <c r="C537" s="39" t="s">
        <v>424</v>
      </c>
      <c r="E537" s="50" t="s">
        <v>1558</v>
      </c>
      <c r="F537" s="165">
        <f>VLOOKUP($C537,ARRR,9,0)</f>
        <v>0</v>
      </c>
      <c r="G537" s="165">
        <f>VLOOKUP($C537,ARRR,15,0)</f>
        <v>0</v>
      </c>
      <c r="H537" s="198"/>
      <c r="I537" s="165"/>
      <c r="J537" s="165">
        <f t="shared" si="130"/>
        <v>0</v>
      </c>
      <c r="K537" s="165">
        <f t="shared" si="130"/>
        <v>0</v>
      </c>
      <c r="L537" s="165"/>
    </row>
    <row r="538" spans="1:12" ht="27.6" x14ac:dyDescent="0.3">
      <c r="A538" s="39" t="str">
        <f t="shared" si="127"/>
        <v>Do Not Print</v>
      </c>
      <c r="B538" t="s">
        <v>135</v>
      </c>
      <c r="C538" s="39" t="s">
        <v>425</v>
      </c>
      <c r="E538" s="50" t="s">
        <v>1558</v>
      </c>
      <c r="F538" s="165">
        <f>VLOOKUP($C538,AOTR,9,0)</f>
        <v>0</v>
      </c>
      <c r="G538" s="165">
        <f>VLOOKUP($C538,AOTR,15,0)</f>
        <v>0</v>
      </c>
      <c r="H538" s="198"/>
      <c r="I538" s="165"/>
      <c r="J538" s="165">
        <f t="shared" si="130"/>
        <v>0</v>
      </c>
      <c r="K538" s="165">
        <f t="shared" si="130"/>
        <v>0</v>
      </c>
      <c r="L538" s="165"/>
    </row>
    <row r="539" spans="1:12" ht="27.6" x14ac:dyDescent="0.3">
      <c r="A539" s="39" t="str">
        <f t="shared" si="127"/>
        <v>Do Not Print</v>
      </c>
      <c r="B539" t="s">
        <v>136</v>
      </c>
      <c r="C539" s="39" t="s">
        <v>426</v>
      </c>
      <c r="E539" s="50" t="s">
        <v>1558</v>
      </c>
      <c r="F539" s="185">
        <f>VLOOKUP($C539,AGNF,9,0)</f>
        <v>0</v>
      </c>
      <c r="G539" s="165">
        <f>VLOOKUP($C539,AGNF,15,0)</f>
        <v>0</v>
      </c>
      <c r="H539" s="198"/>
      <c r="I539" s="187"/>
      <c r="J539" s="165">
        <f>ROUND(F539,0)</f>
        <v>0</v>
      </c>
      <c r="K539" s="165">
        <f>ROUND(G539,0)</f>
        <v>0</v>
      </c>
      <c r="L539" s="165"/>
    </row>
    <row r="540" spans="1:12" x14ac:dyDescent="0.3">
      <c r="A540" s="39" t="s">
        <v>448</v>
      </c>
      <c r="B540" t="s">
        <v>1836</v>
      </c>
      <c r="C540" s="39" t="s">
        <v>1834</v>
      </c>
      <c r="E540" s="50" t="s">
        <v>1558</v>
      </c>
      <c r="F540" s="185">
        <f>VLOOKUP($C540,AOUR,9,0)</f>
        <v>0</v>
      </c>
      <c r="G540" s="165">
        <f>VLOOKUP($C540,AOUR,15,0)</f>
        <v>0</v>
      </c>
      <c r="H540" s="198"/>
      <c r="I540" s="165"/>
      <c r="J540" s="165">
        <f>ROUND(F540,0)</f>
        <v>0</v>
      </c>
      <c r="K540" s="165">
        <f>ROUND(G540,0)</f>
        <v>0</v>
      </c>
      <c r="L540" s="165"/>
    </row>
    <row r="541" spans="1:12" ht="27.6" x14ac:dyDescent="0.3">
      <c r="A541" s="39" t="str">
        <f t="shared" si="127"/>
        <v>Do Not Print</v>
      </c>
      <c r="F541" s="183">
        <f>SUM(F534:F540)</f>
        <v>0</v>
      </c>
      <c r="G541" s="183">
        <f>SUM(G534:G540)</f>
        <v>0</v>
      </c>
      <c r="H541" s="201"/>
      <c r="I541" s="165"/>
      <c r="J541" s="183">
        <f>SUM(J534:J540)</f>
        <v>0</v>
      </c>
      <c r="K541" s="183">
        <f>SUM(K534:K540)</f>
        <v>0</v>
      </c>
      <c r="L541" s="165"/>
    </row>
    <row r="542" spans="1:12" ht="27.6" x14ac:dyDescent="0.3">
      <c r="A542" s="39" t="str">
        <f t="shared" si="127"/>
        <v>Do Not Print</v>
      </c>
      <c r="F542" s="183"/>
      <c r="G542" s="183"/>
      <c r="H542" s="201"/>
      <c r="I542" s="165"/>
      <c r="J542" s="165"/>
      <c r="K542" s="165"/>
      <c r="L542" s="165"/>
    </row>
    <row r="543" spans="1:12" ht="27.6" x14ac:dyDescent="0.3">
      <c r="A543" s="39" t="str">
        <f t="shared" si="127"/>
        <v>Do Not Print</v>
      </c>
      <c r="F543" s="183"/>
      <c r="G543" s="183"/>
      <c r="H543" s="201"/>
      <c r="I543" s="165"/>
      <c r="J543" s="165"/>
      <c r="K543" s="165"/>
      <c r="L543" s="165"/>
    </row>
    <row r="544" spans="1:12" x14ac:dyDescent="0.3">
      <c r="A544" s="39" t="s">
        <v>448</v>
      </c>
      <c r="C544" s="38" t="s">
        <v>1498</v>
      </c>
      <c r="D544" s="6"/>
      <c r="F544" s="165"/>
      <c r="G544" s="165"/>
      <c r="H544" s="198"/>
      <c r="I544" s="165"/>
      <c r="J544" s="165"/>
      <c r="K544" s="165"/>
      <c r="L544" s="165"/>
    </row>
    <row r="545" spans="1:12" ht="27.6" x14ac:dyDescent="0.3">
      <c r="A545" s="39" t="str">
        <f t="shared" si="127"/>
        <v>Do Not Print</v>
      </c>
      <c r="B545" t="s">
        <v>137</v>
      </c>
      <c r="C545" s="39" t="s">
        <v>428</v>
      </c>
      <c r="E545" s="50" t="s">
        <v>1558</v>
      </c>
      <c r="F545" s="165">
        <f>VLOOKUP($C545,BCAA,9,0)</f>
        <v>0</v>
      </c>
      <c r="G545" s="165">
        <f>VLOOKUP($C545,BCAA,15,0)</f>
        <v>0</v>
      </c>
      <c r="H545" s="198"/>
      <c r="I545" s="165"/>
      <c r="J545" s="165">
        <f t="shared" ref="J545:K553" si="131">ROUND(F545,0)</f>
        <v>0</v>
      </c>
      <c r="K545" s="165">
        <f t="shared" si="131"/>
        <v>0</v>
      </c>
      <c r="L545" s="165"/>
    </row>
    <row r="546" spans="1:12" ht="27.6" x14ac:dyDescent="0.3">
      <c r="A546" s="39" t="str">
        <f t="shared" si="127"/>
        <v>Do Not Print</v>
      </c>
      <c r="B546" t="s">
        <v>138</v>
      </c>
      <c r="C546" s="39" t="s">
        <v>429</v>
      </c>
      <c r="E546" s="50" t="s">
        <v>1558</v>
      </c>
      <c r="F546" s="165">
        <f>VLOOKUP($C546,BFIA,9,0)</f>
        <v>0</v>
      </c>
      <c r="G546" s="165">
        <f>VLOOKUP($C546,BFIA,15,0)</f>
        <v>0</v>
      </c>
      <c r="H546" s="198"/>
      <c r="I546" s="165"/>
      <c r="J546" s="165">
        <f t="shared" si="131"/>
        <v>0</v>
      </c>
      <c r="K546" s="165">
        <f t="shared" si="131"/>
        <v>0</v>
      </c>
      <c r="L546" s="165"/>
    </row>
    <row r="547" spans="1:12" ht="27.6" x14ac:dyDescent="0.3">
      <c r="A547" s="39" t="str">
        <f t="shared" si="127"/>
        <v>Do Not Print</v>
      </c>
      <c r="B547" t="s">
        <v>139</v>
      </c>
      <c r="C547" s="39" t="s">
        <v>430</v>
      </c>
      <c r="E547" s="50" t="s">
        <v>1558</v>
      </c>
      <c r="F547" s="165">
        <f>VLOOKUP($C547,BRVR,9,0)</f>
        <v>0</v>
      </c>
      <c r="G547" s="165">
        <f>VLOOKUP($C547,BRVR,15,0)</f>
        <v>0</v>
      </c>
      <c r="H547" s="198"/>
      <c r="I547" s="165"/>
      <c r="J547" s="165">
        <f t="shared" si="131"/>
        <v>0</v>
      </c>
      <c r="K547" s="165">
        <f t="shared" si="131"/>
        <v>0</v>
      </c>
      <c r="L547" s="165"/>
    </row>
    <row r="548" spans="1:12" ht="27.6" x14ac:dyDescent="0.3">
      <c r="A548" s="39" t="str">
        <f t="shared" si="127"/>
        <v>Do Not Print</v>
      </c>
      <c r="B548" t="s">
        <v>140</v>
      </c>
      <c r="C548" s="39" t="s">
        <v>431</v>
      </c>
      <c r="E548" s="50" t="s">
        <v>1558</v>
      </c>
      <c r="F548" s="165">
        <f>VLOOKUP($C548,BFIR,9,0)</f>
        <v>0</v>
      </c>
      <c r="G548" s="165">
        <f>VLOOKUP($C548,BFIR,15,0)</f>
        <v>0</v>
      </c>
      <c r="H548" s="198"/>
      <c r="I548" s="165"/>
      <c r="J548" s="165">
        <f t="shared" si="131"/>
        <v>0</v>
      </c>
      <c r="K548" s="165">
        <f t="shared" si="131"/>
        <v>0</v>
      </c>
      <c r="L548" s="165"/>
    </row>
    <row r="549" spans="1:12" ht="27.6" x14ac:dyDescent="0.3">
      <c r="A549" s="39" t="str">
        <f t="shared" ref="A549" si="132">IF(AND(F549=0,G549=0),"Do Not Print","Print")</f>
        <v>Do Not Print</v>
      </c>
      <c r="B549" s="3" t="s">
        <v>2770</v>
      </c>
      <c r="C549" s="18" t="s">
        <v>2769</v>
      </c>
      <c r="E549" s="50" t="s">
        <v>1558</v>
      </c>
      <c r="F549" s="165">
        <f>VLOOKUP($C549,BFIRR,9,0)</f>
        <v>0</v>
      </c>
      <c r="G549" s="165">
        <f>VLOOKUP($C549,BFIRR,15,0)</f>
        <v>0</v>
      </c>
      <c r="H549" s="198"/>
      <c r="I549" s="165"/>
      <c r="J549" s="165">
        <f t="shared" ref="J549" si="133">ROUND(F549,0)</f>
        <v>0</v>
      </c>
      <c r="K549" s="165">
        <f t="shared" ref="K549" si="134">ROUND(G549,0)</f>
        <v>0</v>
      </c>
      <c r="L549" s="165"/>
    </row>
    <row r="550" spans="1:12" ht="27.6" x14ac:dyDescent="0.3">
      <c r="A550" s="39" t="str">
        <f t="shared" si="127"/>
        <v>Do Not Print</v>
      </c>
      <c r="B550" t="s">
        <v>141</v>
      </c>
      <c r="C550" s="39" t="s">
        <v>432</v>
      </c>
      <c r="E550" s="50" t="s">
        <v>1558</v>
      </c>
      <c r="F550" s="165">
        <f>VLOOKUP($C550,BPER,9,0)</f>
        <v>0</v>
      </c>
      <c r="G550" s="165">
        <f>VLOOKUP($C550,BPER,15,0)</f>
        <v>0</v>
      </c>
      <c r="H550" s="198"/>
      <c r="I550" s="165"/>
      <c r="J550" s="165">
        <f t="shared" si="131"/>
        <v>0</v>
      </c>
      <c r="K550" s="165">
        <f t="shared" si="131"/>
        <v>0</v>
      </c>
      <c r="L550" s="165"/>
    </row>
    <row r="551" spans="1:12" ht="27.6" x14ac:dyDescent="0.3">
      <c r="A551" s="39" t="str">
        <f t="shared" si="127"/>
        <v>Do Not Print</v>
      </c>
      <c r="B551" t="s">
        <v>142</v>
      </c>
      <c r="C551" s="39" t="s">
        <v>433</v>
      </c>
      <c r="E551" s="50" t="s">
        <v>1558</v>
      </c>
      <c r="F551" s="165">
        <f>VLOOKUP($C551,BCRD,9,0)</f>
        <v>0</v>
      </c>
      <c r="G551" s="165">
        <f>VLOOKUP($C551,BCRD,15,0)</f>
        <v>0</v>
      </c>
      <c r="H551" s="198"/>
      <c r="I551" s="165"/>
      <c r="J551" s="165">
        <f t="shared" si="131"/>
        <v>0</v>
      </c>
      <c r="K551" s="165">
        <f t="shared" si="131"/>
        <v>0</v>
      </c>
      <c r="L551" s="165"/>
    </row>
    <row r="552" spans="1:12" ht="27.6" x14ac:dyDescent="0.3">
      <c r="A552" s="39" t="str">
        <f t="shared" si="127"/>
        <v>Do Not Print</v>
      </c>
      <c r="B552" t="s">
        <v>143</v>
      </c>
      <c r="C552" s="39" t="s">
        <v>434</v>
      </c>
      <c r="E552" s="50" t="s">
        <v>1558</v>
      </c>
      <c r="F552" s="165">
        <f>VLOOKUP($C552,BAAA,9,0)</f>
        <v>0</v>
      </c>
      <c r="G552" s="165">
        <f>VLOOKUP($C552,BAAA,15,0)</f>
        <v>0</v>
      </c>
      <c r="H552" s="198"/>
      <c r="I552" s="165"/>
      <c r="J552" s="165">
        <f t="shared" si="131"/>
        <v>0</v>
      </c>
      <c r="K552" s="165">
        <f t="shared" si="131"/>
        <v>0</v>
      </c>
      <c r="L552" s="165"/>
    </row>
    <row r="553" spans="1:12" ht="27.6" x14ac:dyDescent="0.3">
      <c r="A553" s="39" t="str">
        <f t="shared" si="127"/>
        <v>Do Not Print</v>
      </c>
      <c r="B553" t="s">
        <v>963</v>
      </c>
      <c r="C553" s="39" t="s">
        <v>328</v>
      </c>
      <c r="E553" s="50" t="s">
        <v>1558</v>
      </c>
      <c r="F553" s="165">
        <f>VLOOKUP($C553,BLRR,9,0)</f>
        <v>0</v>
      </c>
      <c r="G553" s="165">
        <f>VLOOKUP($C553,BLRR,15,0)</f>
        <v>0</v>
      </c>
      <c r="H553" s="198"/>
      <c r="I553" s="165"/>
      <c r="J553" s="165">
        <f t="shared" si="131"/>
        <v>0</v>
      </c>
      <c r="K553" s="165">
        <f t="shared" si="131"/>
        <v>0</v>
      </c>
      <c r="L553" s="165"/>
    </row>
    <row r="554" spans="1:12" ht="27.6" x14ac:dyDescent="0.3">
      <c r="A554" s="39" t="str">
        <f t="shared" si="127"/>
        <v>Do Not Print</v>
      </c>
      <c r="B554" t="s">
        <v>964</v>
      </c>
      <c r="C554" s="39" t="s">
        <v>965</v>
      </c>
      <c r="E554" s="50" t="s">
        <v>1558</v>
      </c>
      <c r="F554" s="165">
        <f>VLOOKUP($C554,BPDR,9,0)</f>
        <v>0</v>
      </c>
      <c r="G554" s="165">
        <f>VLOOKUP($C554,BPDR,15,0)</f>
        <v>0</v>
      </c>
      <c r="H554" s="198"/>
      <c r="I554" s="165"/>
      <c r="J554" s="165">
        <f>ROUND(F554,0)</f>
        <v>0</v>
      </c>
      <c r="K554" s="165">
        <f>ROUND(G554,0)</f>
        <v>0</v>
      </c>
      <c r="L554" s="165"/>
    </row>
    <row r="555" spans="1:12" x14ac:dyDescent="0.3">
      <c r="A555" s="39" t="s">
        <v>448</v>
      </c>
      <c r="F555" s="165"/>
      <c r="G555" s="165"/>
      <c r="H555" s="198"/>
      <c r="I555" s="165"/>
      <c r="J555" s="165"/>
      <c r="K555" s="165"/>
      <c r="L555" s="165"/>
    </row>
    <row r="556" spans="1:12" x14ac:dyDescent="0.3">
      <c r="A556" s="39" t="s">
        <v>448</v>
      </c>
      <c r="F556" s="183">
        <f>SUM(F545:F555)</f>
        <v>0</v>
      </c>
      <c r="G556" s="183">
        <f>SUM(G545:G555)</f>
        <v>0</v>
      </c>
      <c r="H556" s="201"/>
      <c r="I556" s="165"/>
      <c r="J556" s="183">
        <f>SUM(J545:J555)</f>
        <v>0</v>
      </c>
      <c r="K556" s="183">
        <f>SUM(K545:K555)</f>
        <v>0</v>
      </c>
      <c r="L556" s="165"/>
    </row>
    <row r="557" spans="1:12" x14ac:dyDescent="0.3">
      <c r="A557" s="39" t="s">
        <v>448</v>
      </c>
      <c r="F557" s="165"/>
      <c r="G557" s="165"/>
      <c r="H557" s="198"/>
      <c r="I557" s="165"/>
      <c r="J557" s="183"/>
      <c r="K557" s="183"/>
      <c r="L557" s="165"/>
    </row>
    <row r="558" spans="1:12" ht="27.6" x14ac:dyDescent="0.3">
      <c r="A558" s="39" t="str">
        <f t="shared" si="127"/>
        <v>Do Not Print</v>
      </c>
      <c r="C558" s="45" t="s">
        <v>1643</v>
      </c>
      <c r="D558" s="14"/>
      <c r="E558" s="244"/>
      <c r="F558" s="197">
        <f>F541+F556</f>
        <v>0</v>
      </c>
      <c r="G558" s="197">
        <f>G541+G556</f>
        <v>0</v>
      </c>
      <c r="H558" s="202"/>
      <c r="I558" s="165"/>
      <c r="J558" s="183">
        <f>J541+J556</f>
        <v>0</v>
      </c>
      <c r="K558" s="183">
        <f>K541+K556</f>
        <v>0</v>
      </c>
      <c r="L558" s="165"/>
    </row>
    <row r="562" spans="3:12" x14ac:dyDescent="0.3">
      <c r="C562" s="44"/>
    </row>
    <row r="563" spans="3:12" x14ac:dyDescent="0.3">
      <c r="J563" s="16"/>
      <c r="K563" s="16"/>
      <c r="L563" s="7"/>
    </row>
  </sheetData>
  <autoFilter ref="A5:L558" xr:uid="{00000000-0001-0000-1F00-000000000000}"/>
  <conditionalFormatting sqref="J282:K283 J289:K295 J324:K324 L333:L339 J333:K340 J360:K360 J387:K387 J392:K392 J409:K409 J437:K437 J445:K445 J530:K530 J560:K560">
    <cfRule type="cellIs" dxfId="2" priority="3" stopIfTrue="1" operator="notEqual">
      <formula>0</formula>
    </cfRule>
  </conditionalFormatting>
  <conditionalFormatting sqref="J511:K511">
    <cfRule type="cellIs" dxfId="1" priority="2" stopIfTrue="1" operator="notEqual">
      <formula>-J550</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pageSetUpPr fitToPage="1"/>
  </sheetPr>
  <dimension ref="A2:N190"/>
  <sheetViews>
    <sheetView topLeftCell="A189" zoomScale="90" zoomScaleNormal="90" workbookViewId="0">
      <selection activeCell="B162" sqref="B162"/>
    </sheetView>
  </sheetViews>
  <sheetFormatPr defaultColWidth="9.109375" defaultRowHeight="13.2" x14ac:dyDescent="0.25"/>
  <cols>
    <col min="1" max="1" width="14" style="401" customWidth="1"/>
    <col min="2" max="2" width="26.6640625" style="401" customWidth="1"/>
    <col min="3" max="3" width="5.6640625" style="669" customWidth="1"/>
    <col min="4" max="4" width="14" style="401" customWidth="1"/>
    <col min="5" max="5" width="14.6640625" style="401" customWidth="1"/>
    <col min="6" max="6" width="13.6640625" style="401" customWidth="1"/>
    <col min="7" max="7" width="18" style="401" customWidth="1"/>
    <col min="8" max="8" width="17.88671875" style="401" customWidth="1"/>
    <col min="9" max="9" width="18.5546875" style="401" bestFit="1" customWidth="1"/>
    <col min="10" max="10" width="1" style="401" customWidth="1"/>
    <col min="11" max="11" width="0" style="401" hidden="1" customWidth="1"/>
    <col min="12" max="12" width="11.5546875" style="401" customWidth="1"/>
    <col min="13" max="16384" width="9.109375" style="401"/>
  </cols>
  <sheetData>
    <row r="2" spans="1:11" x14ac:dyDescent="0.25">
      <c r="B2" s="401">
        <v>21.71</v>
      </c>
      <c r="C2" s="669">
        <v>4</v>
      </c>
      <c r="D2" s="401">
        <v>10.57</v>
      </c>
      <c r="E2" s="401">
        <v>10.57</v>
      </c>
      <c r="F2" s="401">
        <v>10.57</v>
      </c>
      <c r="G2" s="401">
        <v>10.57</v>
      </c>
      <c r="H2" s="401">
        <v>10.57</v>
      </c>
      <c r="I2" s="401">
        <v>10.57</v>
      </c>
      <c r="J2" s="401">
        <v>0.57999999999999996</v>
      </c>
      <c r="K2" s="401" t="s">
        <v>854</v>
      </c>
    </row>
    <row r="3" spans="1:11" x14ac:dyDescent="0.25">
      <c r="A3" s="401" t="s">
        <v>448</v>
      </c>
    </row>
    <row r="4" spans="1:11" x14ac:dyDescent="0.25">
      <c r="A4" s="401" t="s">
        <v>448</v>
      </c>
      <c r="B4" s="790"/>
      <c r="D4" s="789"/>
      <c r="E4" s="789"/>
      <c r="F4" s="789"/>
      <c r="G4" s="789"/>
      <c r="H4" s="789"/>
      <c r="I4" s="789"/>
    </row>
    <row r="5" spans="1:11" x14ac:dyDescent="0.25">
      <c r="A5" s="401" t="s">
        <v>448</v>
      </c>
      <c r="B5" s="790"/>
      <c r="D5" s="789"/>
      <c r="E5" s="789"/>
      <c r="F5" s="789"/>
      <c r="G5" s="789"/>
      <c r="H5" s="789"/>
      <c r="I5" s="789"/>
    </row>
    <row r="6" spans="1:11" x14ac:dyDescent="0.25">
      <c r="A6" s="401" t="s">
        <v>448</v>
      </c>
      <c r="B6" s="788" t="str">
        <f>'Standing Data'!D4</f>
        <v>NAME OF COUNCIL</v>
      </c>
      <c r="D6" s="789"/>
      <c r="E6" s="789"/>
      <c r="F6" s="789"/>
      <c r="G6" s="789"/>
      <c r="H6" s="789"/>
      <c r="I6" s="789"/>
    </row>
    <row r="7" spans="1:11" x14ac:dyDescent="0.25">
      <c r="A7" s="401" t="s">
        <v>448</v>
      </c>
      <c r="B7" s="467" t="str">
        <f>'Standing Data'!D14</f>
        <v>Group Comprehensive Income and Expenditure Statement for the year ended 31 March 2026</v>
      </c>
      <c r="D7" s="789"/>
      <c r="E7" s="789"/>
      <c r="F7" s="789"/>
      <c r="G7" s="789"/>
      <c r="H7" s="789"/>
      <c r="I7" s="789"/>
    </row>
    <row r="8" spans="1:11" x14ac:dyDescent="0.25">
      <c r="A8" s="401" t="s">
        <v>448</v>
      </c>
      <c r="B8" s="799"/>
      <c r="D8" s="789"/>
      <c r="E8" s="789"/>
      <c r="F8" s="789"/>
      <c r="G8" s="789"/>
      <c r="H8" s="789"/>
      <c r="I8" s="789"/>
    </row>
    <row r="9" spans="1:11" x14ac:dyDescent="0.25">
      <c r="A9" s="401" t="s">
        <v>448</v>
      </c>
      <c r="B9" s="800"/>
      <c r="C9" s="801"/>
      <c r="D9" s="1700" t="str">
        <f>'Standing Data'!D34</f>
        <v>2025/26</v>
      </c>
      <c r="E9" s="1700"/>
      <c r="F9" s="1700"/>
      <c r="G9" s="1700" t="str">
        <f>'Standing Data'!D52</f>
        <v>2024/25</v>
      </c>
      <c r="H9" s="1700"/>
      <c r="I9" s="1700"/>
    </row>
    <row r="10" spans="1:11" ht="25.2" x14ac:dyDescent="0.25">
      <c r="A10" s="401" t="s">
        <v>448</v>
      </c>
      <c r="B10" s="802"/>
      <c r="C10" s="783"/>
      <c r="D10" s="803" t="s">
        <v>340</v>
      </c>
      <c r="E10" s="803" t="s">
        <v>341</v>
      </c>
      <c r="F10" s="803" t="s">
        <v>342</v>
      </c>
      <c r="G10" s="803" t="s">
        <v>340</v>
      </c>
      <c r="H10" s="803" t="s">
        <v>341</v>
      </c>
      <c r="I10" s="803" t="s">
        <v>342</v>
      </c>
    </row>
    <row r="11" spans="1:11" x14ac:dyDescent="0.25">
      <c r="A11" s="401" t="s">
        <v>448</v>
      </c>
      <c r="B11" s="804" t="s">
        <v>160</v>
      </c>
      <c r="C11" s="783" t="s">
        <v>343</v>
      </c>
      <c r="D11" s="805" t="s">
        <v>450</v>
      </c>
      <c r="E11" s="805" t="s">
        <v>450</v>
      </c>
      <c r="F11" s="805" t="s">
        <v>450</v>
      </c>
      <c r="G11" s="805" t="s">
        <v>450</v>
      </c>
      <c r="H11" s="805" t="s">
        <v>450</v>
      </c>
      <c r="I11" s="805" t="s">
        <v>450</v>
      </c>
      <c r="J11" s="485"/>
      <c r="K11" s="485"/>
    </row>
    <row r="12" spans="1:11" x14ac:dyDescent="0.25">
      <c r="A12" s="401" t="str">
        <f t="shared" ref="A12:A31" si="0">IF(AND(F12=0,I12=0),"Do Not Print","Print")</f>
        <v>Do Not Print</v>
      </c>
      <c r="B12" s="790" t="str">
        <f>'GROUP Det Group CIES'!C7</f>
        <v>CIES Line 1</v>
      </c>
      <c r="C12" s="669">
        <f>+Checklist!E50</f>
        <v>2</v>
      </c>
      <c r="D12" s="791">
        <f>'GROUP Det Group CIES'!N7</f>
        <v>0</v>
      </c>
      <c r="E12" s="791">
        <f>'GROUP Det Group CIES'!O7</f>
        <v>0</v>
      </c>
      <c r="F12" s="791">
        <f>'GROUP Det Group CIES'!P7</f>
        <v>0</v>
      </c>
      <c r="G12" s="791">
        <f>'GROUP Det Group CIES'!Q7</f>
        <v>0</v>
      </c>
      <c r="H12" s="791">
        <f>'GROUP Det Group CIES'!R7</f>
        <v>0</v>
      </c>
      <c r="I12" s="791">
        <f>'GROUP Det Group CIES'!S7</f>
        <v>0</v>
      </c>
    </row>
    <row r="13" spans="1:11" x14ac:dyDescent="0.25">
      <c r="A13" s="401" t="str">
        <f t="shared" si="0"/>
        <v>Do Not Print</v>
      </c>
      <c r="B13" s="790" t="str">
        <f>'GROUP Det Group CIES'!C8</f>
        <v>CIES Line 2</v>
      </c>
      <c r="C13" s="669">
        <f>+Checklist!E50</f>
        <v>2</v>
      </c>
      <c r="D13" s="791">
        <f>'GROUP Det Group CIES'!N8</f>
        <v>0</v>
      </c>
      <c r="E13" s="791">
        <f>'GROUP Det Group CIES'!O8</f>
        <v>0</v>
      </c>
      <c r="F13" s="791">
        <f>'GROUP Det Group CIES'!P8</f>
        <v>0</v>
      </c>
      <c r="G13" s="791">
        <f>'GROUP Det Group CIES'!Q8</f>
        <v>0</v>
      </c>
      <c r="H13" s="791">
        <f>'GROUP Det Group CIES'!R8</f>
        <v>0</v>
      </c>
      <c r="I13" s="791">
        <f>'GROUP Det Group CIES'!S8</f>
        <v>0</v>
      </c>
    </row>
    <row r="14" spans="1:11" x14ac:dyDescent="0.25">
      <c r="A14" s="401" t="str">
        <f t="shared" si="0"/>
        <v>Do Not Print</v>
      </c>
      <c r="B14" s="790" t="str">
        <f>'GROUP Det Group CIES'!C9</f>
        <v>CIES Line 3</v>
      </c>
      <c r="C14" s="669">
        <f>+Checklist!E50</f>
        <v>2</v>
      </c>
      <c r="D14" s="791">
        <f>'GROUP Det Group CIES'!N9</f>
        <v>0</v>
      </c>
      <c r="E14" s="791">
        <f>'GROUP Det Group CIES'!O9</f>
        <v>0</v>
      </c>
      <c r="F14" s="791">
        <f>'GROUP Det Group CIES'!P9</f>
        <v>0</v>
      </c>
      <c r="G14" s="791">
        <f>'GROUP Det Group CIES'!Q9</f>
        <v>0</v>
      </c>
      <c r="H14" s="791">
        <f>'GROUP Det Group CIES'!R9</f>
        <v>0</v>
      </c>
      <c r="I14" s="791">
        <f>'GROUP Det Group CIES'!S9</f>
        <v>0</v>
      </c>
    </row>
    <row r="15" spans="1:11" x14ac:dyDescent="0.25">
      <c r="A15" s="401" t="str">
        <f t="shared" si="0"/>
        <v>Do Not Print</v>
      </c>
      <c r="B15" s="790" t="str">
        <f>'GROUP Det Group CIES'!C10</f>
        <v>CIES Line 4</v>
      </c>
      <c r="C15" s="669">
        <f>+Checklist!E50</f>
        <v>2</v>
      </c>
      <c r="D15" s="791">
        <f>'GROUP Det Group CIES'!N10</f>
        <v>0</v>
      </c>
      <c r="E15" s="791">
        <f>'GROUP Det Group CIES'!O10</f>
        <v>0</v>
      </c>
      <c r="F15" s="791">
        <f>'GROUP Det Group CIES'!P10</f>
        <v>0</v>
      </c>
      <c r="G15" s="791">
        <f>'GROUP Det Group CIES'!Q10</f>
        <v>0</v>
      </c>
      <c r="H15" s="791">
        <f>'GROUP Det Group CIES'!R10</f>
        <v>0</v>
      </c>
      <c r="I15" s="791">
        <f>'GROUP Det Group CIES'!S10</f>
        <v>0</v>
      </c>
    </row>
    <row r="16" spans="1:11" x14ac:dyDescent="0.25">
      <c r="A16" s="401" t="str">
        <f t="shared" si="0"/>
        <v>Do Not Print</v>
      </c>
      <c r="B16" s="790" t="str">
        <f>'GROUP Det Group CIES'!C11</f>
        <v>CIES Line 5</v>
      </c>
      <c r="C16" s="669">
        <f>+Checklist!E50</f>
        <v>2</v>
      </c>
      <c r="D16" s="791">
        <f>'GROUP Det Group CIES'!N11</f>
        <v>0</v>
      </c>
      <c r="E16" s="791">
        <f>'GROUP Det Group CIES'!O11</f>
        <v>0</v>
      </c>
      <c r="F16" s="791">
        <f>'GROUP Det Group CIES'!P11</f>
        <v>0</v>
      </c>
      <c r="G16" s="791">
        <f>'GROUP Det Group CIES'!Q11</f>
        <v>0</v>
      </c>
      <c r="H16" s="791">
        <f>'GROUP Det Group CIES'!R11</f>
        <v>0</v>
      </c>
      <c r="I16" s="791">
        <f>'GROUP Det Group CIES'!S11</f>
        <v>0</v>
      </c>
    </row>
    <row r="17" spans="1:9" x14ac:dyDescent="0.25">
      <c r="A17" s="401" t="str">
        <f t="shared" si="0"/>
        <v>Do Not Print</v>
      </c>
      <c r="B17" s="790" t="str">
        <f>'GROUP Det Group CIES'!C12</f>
        <v>CIES Line 6</v>
      </c>
      <c r="C17" s="669">
        <f>+Checklist!E50</f>
        <v>2</v>
      </c>
      <c r="D17" s="791">
        <f>'GROUP Det Group CIES'!N12</f>
        <v>0</v>
      </c>
      <c r="E17" s="791">
        <f>'GROUP Det Group CIES'!O12</f>
        <v>0</v>
      </c>
      <c r="F17" s="791">
        <f>'GROUP Det Group CIES'!P12</f>
        <v>0</v>
      </c>
      <c r="G17" s="791">
        <f>'GROUP Det Group CIES'!Q12</f>
        <v>0</v>
      </c>
      <c r="H17" s="791">
        <f>'GROUP Det Group CIES'!R12</f>
        <v>0</v>
      </c>
      <c r="I17" s="791">
        <f>'GROUP Det Group CIES'!S12</f>
        <v>0</v>
      </c>
    </row>
    <row r="18" spans="1:9" x14ac:dyDescent="0.25">
      <c r="A18" s="401" t="str">
        <f t="shared" si="0"/>
        <v>Do Not Print</v>
      </c>
      <c r="B18" s="790" t="str">
        <f>'GROUP Det Group CIES'!C13</f>
        <v>CIES Line 7</v>
      </c>
      <c r="C18" s="669">
        <f>+Checklist!E50</f>
        <v>2</v>
      </c>
      <c r="D18" s="791">
        <f>'GROUP Det Group CIES'!N13</f>
        <v>0</v>
      </c>
      <c r="E18" s="791">
        <f>'GROUP Det Group CIES'!O13</f>
        <v>0</v>
      </c>
      <c r="F18" s="791">
        <f>'GROUP Det Group CIES'!P13</f>
        <v>0</v>
      </c>
      <c r="G18" s="791">
        <f>'GROUP Det Group CIES'!Q13</f>
        <v>0</v>
      </c>
      <c r="H18" s="791">
        <f>'GROUP Det Group CIES'!R13</f>
        <v>0</v>
      </c>
      <c r="I18" s="791">
        <f>'GROUP Det Group CIES'!S13</f>
        <v>0</v>
      </c>
    </row>
    <row r="19" spans="1:9" x14ac:dyDescent="0.25">
      <c r="A19" s="401" t="str">
        <f t="shared" si="0"/>
        <v>Do Not Print</v>
      </c>
      <c r="B19" s="790" t="str">
        <f>'GROUP Det Group CIES'!C14</f>
        <v>CIES Line 8</v>
      </c>
      <c r="C19" s="669">
        <f>+Checklist!E50</f>
        <v>2</v>
      </c>
      <c r="D19" s="791">
        <f>'GROUP Det Group CIES'!N14</f>
        <v>0</v>
      </c>
      <c r="E19" s="791">
        <f>'GROUP Det Group CIES'!O14</f>
        <v>0</v>
      </c>
      <c r="F19" s="791">
        <f>'GROUP Det Group CIES'!P14</f>
        <v>0</v>
      </c>
      <c r="G19" s="791">
        <f>'GROUP Det Group CIES'!Q14</f>
        <v>0</v>
      </c>
      <c r="H19" s="791">
        <f>'GROUP Det Group CIES'!R14</f>
        <v>0</v>
      </c>
      <c r="I19" s="791">
        <f>'GROUP Det Group CIES'!S14</f>
        <v>0</v>
      </c>
    </row>
    <row r="20" spans="1:9" x14ac:dyDescent="0.25">
      <c r="A20" s="401" t="str">
        <f t="shared" si="0"/>
        <v>Do Not Print</v>
      </c>
      <c r="B20" s="790" t="str">
        <f>'GROUP Det Group CIES'!C15</f>
        <v>CIES Line 9</v>
      </c>
      <c r="C20" s="669">
        <f>+Checklist!E50</f>
        <v>2</v>
      </c>
      <c r="D20" s="791">
        <f>'GROUP Det Group CIES'!N15</f>
        <v>0</v>
      </c>
      <c r="E20" s="791">
        <f>'GROUP Det Group CIES'!O15</f>
        <v>0</v>
      </c>
      <c r="F20" s="791">
        <f>'GROUP Det Group CIES'!P15</f>
        <v>0</v>
      </c>
      <c r="G20" s="791">
        <f>'GROUP Det Group CIES'!Q15</f>
        <v>0</v>
      </c>
      <c r="H20" s="791">
        <f>'GROUP Det Group CIES'!R15</f>
        <v>0</v>
      </c>
      <c r="I20" s="791">
        <f>'GROUP Det Group CIES'!S15</f>
        <v>0</v>
      </c>
    </row>
    <row r="21" spans="1:9" x14ac:dyDescent="0.25">
      <c r="A21" s="401" t="str">
        <f t="shared" si="0"/>
        <v>Do Not Print</v>
      </c>
      <c r="B21" s="790" t="str">
        <f>'GROUP Det Group CIES'!C16</f>
        <v>CIES Line 10</v>
      </c>
      <c r="C21" s="669">
        <f>+Checklist!E50</f>
        <v>2</v>
      </c>
      <c r="D21" s="791">
        <f>'GROUP Det Group CIES'!N16</f>
        <v>0</v>
      </c>
      <c r="E21" s="791">
        <f>'GROUP Det Group CIES'!O16</f>
        <v>0</v>
      </c>
      <c r="F21" s="791">
        <f>'GROUP Det Group CIES'!P16</f>
        <v>0</v>
      </c>
      <c r="G21" s="791">
        <f>'GROUP Det Group CIES'!Q16</f>
        <v>0</v>
      </c>
      <c r="H21" s="791">
        <f>'GROUP Det Group CIES'!R16</f>
        <v>0</v>
      </c>
      <c r="I21" s="791">
        <f>'GROUP Det Group CIES'!S16</f>
        <v>0</v>
      </c>
    </row>
    <row r="22" spans="1:9" x14ac:dyDescent="0.25">
      <c r="A22" s="401" t="str">
        <f t="shared" si="0"/>
        <v>Do Not Print</v>
      </c>
      <c r="B22" s="790" t="str">
        <f>'GROUP Det Group CIES'!C17</f>
        <v>CIES Line 11</v>
      </c>
      <c r="C22" s="669">
        <f>+Checklist!E50</f>
        <v>2</v>
      </c>
      <c r="D22" s="791">
        <f>'GROUP Det Group CIES'!N17</f>
        <v>0</v>
      </c>
      <c r="E22" s="791">
        <f>'GROUP Det Group CIES'!O17</f>
        <v>0</v>
      </c>
      <c r="F22" s="791">
        <f>'GROUP Det Group CIES'!P17</f>
        <v>0</v>
      </c>
      <c r="G22" s="791">
        <f>'GROUP Det Group CIES'!Q17</f>
        <v>0</v>
      </c>
      <c r="H22" s="791">
        <f>'GROUP Det Group CIES'!R17</f>
        <v>0</v>
      </c>
      <c r="I22" s="791">
        <f>'GROUP Det Group CIES'!S17</f>
        <v>0</v>
      </c>
    </row>
    <row r="23" spans="1:9" x14ac:dyDescent="0.25">
      <c r="A23" s="401" t="str">
        <f t="shared" si="0"/>
        <v>Do Not Print</v>
      </c>
      <c r="B23" s="790" t="str">
        <f>'GROUP Det Group CIES'!C18</f>
        <v>CIES Line 12</v>
      </c>
      <c r="C23" s="669">
        <f>+Checklist!E50</f>
        <v>2</v>
      </c>
      <c r="D23" s="791">
        <f>'GROUP Det Group CIES'!N18</f>
        <v>0</v>
      </c>
      <c r="E23" s="791">
        <f>'GROUP Det Group CIES'!O18</f>
        <v>0</v>
      </c>
      <c r="F23" s="791">
        <f>'GROUP Det Group CIES'!P18</f>
        <v>0</v>
      </c>
      <c r="G23" s="791">
        <f>'GROUP Det Group CIES'!Q18</f>
        <v>0</v>
      </c>
      <c r="H23" s="791">
        <f>'GROUP Det Group CIES'!R18</f>
        <v>0</v>
      </c>
      <c r="I23" s="791">
        <f>'GROUP Det Group CIES'!S18</f>
        <v>0</v>
      </c>
    </row>
    <row r="24" spans="1:9" x14ac:dyDescent="0.25">
      <c r="A24" s="401" t="str">
        <f t="shared" si="0"/>
        <v>Do Not Print</v>
      </c>
      <c r="B24" s="790" t="str">
        <f>'GROUP Det Group CIES'!C19</f>
        <v>CIES Line 13</v>
      </c>
      <c r="C24" s="669">
        <f>+Checklist!E50</f>
        <v>2</v>
      </c>
      <c r="D24" s="791">
        <f>'GROUP Det Group CIES'!N19</f>
        <v>0</v>
      </c>
      <c r="E24" s="791">
        <f>'GROUP Det Group CIES'!O19</f>
        <v>0</v>
      </c>
      <c r="F24" s="791">
        <f>'GROUP Det Group CIES'!P19</f>
        <v>0</v>
      </c>
      <c r="G24" s="791">
        <f>'GROUP Det Group CIES'!Q19</f>
        <v>0</v>
      </c>
      <c r="H24" s="791">
        <f>'GROUP Det Group CIES'!R19</f>
        <v>0</v>
      </c>
      <c r="I24" s="791">
        <f>'GROUP Det Group CIES'!S19</f>
        <v>0</v>
      </c>
    </row>
    <row r="25" spans="1:9" x14ac:dyDescent="0.25">
      <c r="A25" s="401" t="str">
        <f t="shared" si="0"/>
        <v>Do Not Print</v>
      </c>
      <c r="B25" s="790" t="str">
        <f>'GROUP Det Group CIES'!C20</f>
        <v>CIES Line 14</v>
      </c>
      <c r="C25" s="669">
        <f>+Checklist!E50</f>
        <v>2</v>
      </c>
      <c r="D25" s="791">
        <f>'GROUP Det Group CIES'!N20</f>
        <v>0</v>
      </c>
      <c r="E25" s="791">
        <f>'GROUP Det Group CIES'!O20</f>
        <v>0</v>
      </c>
      <c r="F25" s="791">
        <f>'GROUP Det Group CIES'!P20</f>
        <v>0</v>
      </c>
      <c r="G25" s="791">
        <f>'GROUP Det Group CIES'!Q20</f>
        <v>0</v>
      </c>
      <c r="H25" s="791">
        <f>'GROUP Det Group CIES'!R20</f>
        <v>0</v>
      </c>
      <c r="I25" s="791">
        <f>'GROUP Det Group CIES'!S20</f>
        <v>0</v>
      </c>
    </row>
    <row r="26" spans="1:9" x14ac:dyDescent="0.25">
      <c r="A26" s="401" t="str">
        <f t="shared" si="0"/>
        <v>Do Not Print</v>
      </c>
      <c r="B26" s="790" t="str">
        <f>'GROUP Det Group CIES'!C21</f>
        <v>CIES Line 15</v>
      </c>
      <c r="C26" s="669">
        <f>+Checklist!E50</f>
        <v>2</v>
      </c>
      <c r="D26" s="791">
        <f>'GROUP Det Group CIES'!N21</f>
        <v>0</v>
      </c>
      <c r="E26" s="791">
        <f>'GROUP Det Group CIES'!O21</f>
        <v>0</v>
      </c>
      <c r="F26" s="791">
        <f>'GROUP Det Group CIES'!P21</f>
        <v>0</v>
      </c>
      <c r="G26" s="791">
        <f>'GROUP Det Group CIES'!Q21</f>
        <v>0</v>
      </c>
      <c r="H26" s="791">
        <f>'GROUP Det Group CIES'!R21</f>
        <v>0</v>
      </c>
      <c r="I26" s="791">
        <f>'GROUP Det Group CIES'!S21</f>
        <v>0</v>
      </c>
    </row>
    <row r="27" spans="1:9" x14ac:dyDescent="0.25">
      <c r="A27" s="401" t="str">
        <f t="shared" si="0"/>
        <v>Do Not Print</v>
      </c>
      <c r="B27" s="790" t="str">
        <f>'GROUP Det Group CIES'!C22</f>
        <v>CIES Line 16</v>
      </c>
      <c r="C27" s="669">
        <f>+Checklist!E50</f>
        <v>2</v>
      </c>
      <c r="D27" s="791">
        <f>'GROUP Det Group CIES'!N22</f>
        <v>0</v>
      </c>
      <c r="E27" s="791">
        <f>'GROUP Det Group CIES'!O22</f>
        <v>0</v>
      </c>
      <c r="F27" s="791">
        <f>'GROUP Det Group CIES'!P22</f>
        <v>0</v>
      </c>
      <c r="G27" s="791">
        <f>'GROUP Det Group CIES'!Q22</f>
        <v>0</v>
      </c>
      <c r="H27" s="791">
        <f>'GROUP Det Group CIES'!R22</f>
        <v>0</v>
      </c>
      <c r="I27" s="791">
        <f>'GROUP Det Group CIES'!S22</f>
        <v>0</v>
      </c>
    </row>
    <row r="28" spans="1:9" x14ac:dyDescent="0.25">
      <c r="A28" s="401" t="str">
        <f t="shared" si="0"/>
        <v>Do Not Print</v>
      </c>
      <c r="B28" s="790" t="str">
        <f>'GROUP Det Group CIES'!C23</f>
        <v>CIES Line 17</v>
      </c>
      <c r="C28" s="669">
        <f>+Checklist!E50</f>
        <v>2</v>
      </c>
      <c r="D28" s="791">
        <f>'GROUP Det Group CIES'!N23</f>
        <v>0</v>
      </c>
      <c r="E28" s="791">
        <f>'GROUP Det Group CIES'!O23</f>
        <v>0</v>
      </c>
      <c r="F28" s="791">
        <f>'GROUP Det Group CIES'!P23</f>
        <v>0</v>
      </c>
      <c r="G28" s="791">
        <f>'GROUP Det Group CIES'!Q23</f>
        <v>0</v>
      </c>
      <c r="H28" s="791">
        <f>'GROUP Det Group CIES'!R23</f>
        <v>0</v>
      </c>
      <c r="I28" s="791">
        <f>'GROUP Det Group CIES'!S23</f>
        <v>0</v>
      </c>
    </row>
    <row r="29" spans="1:9" x14ac:dyDescent="0.25">
      <c r="A29" s="401" t="str">
        <f t="shared" si="0"/>
        <v>Do Not Print</v>
      </c>
      <c r="B29" s="790" t="str">
        <f>'GROUP Det Group CIES'!C24</f>
        <v>CIES Line 18</v>
      </c>
      <c r="C29" s="669">
        <f>+Checklist!E50</f>
        <v>2</v>
      </c>
      <c r="D29" s="791">
        <f>'GROUP Det Group CIES'!N24</f>
        <v>0</v>
      </c>
      <c r="E29" s="791">
        <f>'GROUP Det Group CIES'!O24</f>
        <v>0</v>
      </c>
      <c r="F29" s="791">
        <f>'GROUP Det Group CIES'!P24</f>
        <v>0</v>
      </c>
      <c r="G29" s="791">
        <f>'GROUP Det Group CIES'!Q24</f>
        <v>0</v>
      </c>
      <c r="H29" s="791">
        <f>'GROUP Det Group CIES'!R24</f>
        <v>0</v>
      </c>
      <c r="I29" s="791">
        <f>'GROUP Det Group CIES'!S24</f>
        <v>0</v>
      </c>
    </row>
    <row r="30" spans="1:9" x14ac:dyDescent="0.25">
      <c r="A30" s="401" t="str">
        <f t="shared" si="0"/>
        <v>Do Not Print</v>
      </c>
      <c r="B30" s="790" t="str">
        <f>'GROUP Det Group CIES'!C25</f>
        <v>CIES Line 19</v>
      </c>
      <c r="C30" s="669">
        <f>+Checklist!E50</f>
        <v>2</v>
      </c>
      <c r="D30" s="791">
        <f>'GROUP Det Group CIES'!N25</f>
        <v>0</v>
      </c>
      <c r="E30" s="791">
        <f>'GROUP Det Group CIES'!O25</f>
        <v>0</v>
      </c>
      <c r="F30" s="791">
        <f>'GROUP Det Group CIES'!P25</f>
        <v>0</v>
      </c>
      <c r="G30" s="791">
        <f>'GROUP Det Group CIES'!Q25</f>
        <v>0</v>
      </c>
      <c r="H30" s="791">
        <f>'GROUP Det Group CIES'!R25</f>
        <v>0</v>
      </c>
      <c r="I30" s="791">
        <f>'GROUP Det Group CIES'!S25</f>
        <v>0</v>
      </c>
    </row>
    <row r="31" spans="1:9" x14ac:dyDescent="0.25">
      <c r="A31" s="401" t="str">
        <f t="shared" si="0"/>
        <v>Do Not Print</v>
      </c>
      <c r="B31" s="790" t="str">
        <f>'GROUP Det Group CIES'!C26</f>
        <v>CIES Line 20</v>
      </c>
      <c r="C31" s="669">
        <f>+Checklist!E50</f>
        <v>2</v>
      </c>
      <c r="D31" s="791">
        <f>'GROUP Det Group CIES'!N26</f>
        <v>0</v>
      </c>
      <c r="E31" s="791">
        <f>'GROUP Det Group CIES'!O26</f>
        <v>0</v>
      </c>
      <c r="F31" s="791">
        <f>'GROUP Det Group CIES'!P26</f>
        <v>0</v>
      </c>
      <c r="G31" s="791">
        <f>'GROUP Det Group CIES'!Q26</f>
        <v>0</v>
      </c>
      <c r="H31" s="791">
        <f>'GROUP Det Group CIES'!R26</f>
        <v>0</v>
      </c>
      <c r="I31" s="791">
        <f>'GROUP Det Group CIES'!S26</f>
        <v>0</v>
      </c>
    </row>
    <row r="32" spans="1:9" x14ac:dyDescent="0.25">
      <c r="A32" s="401" t="s">
        <v>448</v>
      </c>
      <c r="B32" s="799"/>
      <c r="D32" s="791"/>
      <c r="E32" s="791"/>
      <c r="F32" s="791"/>
      <c r="G32" s="791"/>
      <c r="H32" s="791"/>
      <c r="I32" s="791"/>
    </row>
    <row r="33" spans="1:12" ht="25.2" x14ac:dyDescent="0.25">
      <c r="A33" s="401" t="str">
        <f>IF(AND(F33=0,I33=0),"Do Not Print","Print")</f>
        <v>Do Not Print</v>
      </c>
      <c r="B33" s="806" t="s">
        <v>344</v>
      </c>
      <c r="C33" s="801"/>
      <c r="D33" s="787">
        <f>SUM(D12:D31)</f>
        <v>0</v>
      </c>
      <c r="E33" s="787">
        <f t="shared" ref="E33:I33" si="1">SUM(E12:E31)</f>
        <v>0</v>
      </c>
      <c r="F33" s="787">
        <f t="shared" si="1"/>
        <v>0</v>
      </c>
      <c r="G33" s="787">
        <f t="shared" si="1"/>
        <v>0</v>
      </c>
      <c r="H33" s="787">
        <f t="shared" si="1"/>
        <v>0</v>
      </c>
      <c r="I33" s="787">
        <f t="shared" si="1"/>
        <v>0</v>
      </c>
    </row>
    <row r="34" spans="1:12" x14ac:dyDescent="0.25">
      <c r="A34" s="401" t="s">
        <v>448</v>
      </c>
      <c r="B34" s="799"/>
      <c r="D34" s="791"/>
      <c r="E34" s="791"/>
      <c r="F34" s="791"/>
      <c r="G34" s="791"/>
      <c r="H34" s="791"/>
      <c r="I34" s="791"/>
    </row>
    <row r="35" spans="1:12" s="478" customFormat="1" ht="26.4" x14ac:dyDescent="0.25">
      <c r="A35" s="401" t="str">
        <f>IF(AND(F35=0,I35=0),"Do Not Print","Print")</f>
        <v>Do Not Print</v>
      </c>
      <c r="B35" s="790" t="s">
        <v>161</v>
      </c>
      <c r="C35" s="807">
        <f>Checklist!E74</f>
        <v>8</v>
      </c>
      <c r="D35" s="808">
        <f>IF('GROUP Det Group CIES'!P36&gt;0,'GROUP Det Group CIES'!P36,0)</f>
        <v>0</v>
      </c>
      <c r="E35" s="808">
        <f>-IF('GROUP Det Group CIES'!P36&lt;0,'GROUP Det Group CIES'!P36,0)</f>
        <v>0</v>
      </c>
      <c r="F35" s="808">
        <f>'GROUP Det Group CIES'!P36</f>
        <v>0</v>
      </c>
      <c r="G35" s="808">
        <f>IF('GROUP Det Group CIES'!S36&gt;0,'GROUP Det Group CIES'!S36,0)</f>
        <v>0</v>
      </c>
      <c r="H35" s="808">
        <f>-IF('GROUP Det Group CIES'!S36&lt;0,'GROUP Det Group CIES'!S36,0)</f>
        <v>0</v>
      </c>
      <c r="I35" s="808">
        <f>'GROUP Det Group CIES'!S36</f>
        <v>0</v>
      </c>
      <c r="L35" s="401"/>
    </row>
    <row r="36" spans="1:12" x14ac:dyDescent="0.25">
      <c r="A36" s="401" t="s">
        <v>448</v>
      </c>
      <c r="B36" s="799"/>
      <c r="D36" s="791"/>
      <c r="E36" s="791"/>
      <c r="F36" s="791"/>
      <c r="G36" s="791"/>
      <c r="H36" s="791"/>
      <c r="I36" s="791"/>
    </row>
    <row r="37" spans="1:12" ht="25.5" customHeight="1" x14ac:dyDescent="0.25">
      <c r="A37" s="401" t="str">
        <f>IF(AND(F37=0,I37=0),"Do Not Print","Print")</f>
        <v>Do Not Print</v>
      </c>
      <c r="B37" s="790" t="s">
        <v>164</v>
      </c>
      <c r="C37" s="669">
        <f>Checklist!E77</f>
        <v>9</v>
      </c>
      <c r="D37" s="791">
        <f>'GROUP Det Group CIES'!N79</f>
        <v>0</v>
      </c>
      <c r="E37" s="791">
        <f>-'GROUP Det Group CIES'!O79</f>
        <v>0</v>
      </c>
      <c r="F37" s="791">
        <f>'GROUP Det Group CIES'!P79</f>
        <v>0</v>
      </c>
      <c r="G37" s="791">
        <f>'GROUP Det Group CIES'!Q79</f>
        <v>0</v>
      </c>
      <c r="H37" s="791">
        <f>-'GROUP Det Group CIES'!R79</f>
        <v>0</v>
      </c>
      <c r="I37" s="791">
        <f>'GROUP Det Group CIES'!S79</f>
        <v>0</v>
      </c>
    </row>
    <row r="38" spans="1:12" x14ac:dyDescent="0.25">
      <c r="A38" s="401" t="s">
        <v>448</v>
      </c>
      <c r="B38" s="799"/>
      <c r="D38" s="791"/>
      <c r="E38" s="791"/>
      <c r="F38" s="791"/>
      <c r="G38" s="791"/>
      <c r="H38" s="791"/>
      <c r="I38" s="791"/>
    </row>
    <row r="39" spans="1:12" ht="25.5" customHeight="1" x14ac:dyDescent="0.25">
      <c r="A39" s="401" t="str">
        <f>IF(AND(F39=0,I39=0),"Do Not Print","Print")</f>
        <v>Do Not Print</v>
      </c>
      <c r="B39" s="790" t="s">
        <v>1678</v>
      </c>
      <c r="D39" s="791"/>
      <c r="E39" s="791"/>
      <c r="F39" s="791">
        <f>'GROUP Det Group CIES'!P81</f>
        <v>0</v>
      </c>
      <c r="G39" s="791"/>
      <c r="H39" s="791"/>
      <c r="I39" s="791">
        <f>'GROUP Det Group CIES'!S81</f>
        <v>0</v>
      </c>
      <c r="K39" s="401" t="s">
        <v>968</v>
      </c>
    </row>
    <row r="40" spans="1:12" x14ac:dyDescent="0.25">
      <c r="A40" s="401" t="s">
        <v>448</v>
      </c>
      <c r="B40" s="799" t="s">
        <v>345</v>
      </c>
      <c r="D40" s="791"/>
      <c r="E40" s="791"/>
      <c r="F40" s="791"/>
      <c r="G40" s="791"/>
      <c r="H40" s="791"/>
      <c r="I40" s="791"/>
    </row>
    <row r="41" spans="1:12" x14ac:dyDescent="0.25">
      <c r="A41" s="401" t="s">
        <v>448</v>
      </c>
      <c r="B41" s="796" t="s">
        <v>346</v>
      </c>
      <c r="C41" s="786"/>
      <c r="D41" s="787">
        <f>D33+D35+D37+D39</f>
        <v>0</v>
      </c>
      <c r="E41" s="787">
        <f>E33-E35-E37-E39</f>
        <v>0</v>
      </c>
      <c r="F41" s="787">
        <f>F33+F35+F37+F39</f>
        <v>0</v>
      </c>
      <c r="G41" s="787">
        <f>G33+G35+G37+G39</f>
        <v>0</v>
      </c>
      <c r="H41" s="787">
        <f>H33-H35-H37-H39</f>
        <v>0</v>
      </c>
      <c r="I41" s="787">
        <f>I33+I35+I37+I39</f>
        <v>0</v>
      </c>
    </row>
    <row r="42" spans="1:12" x14ac:dyDescent="0.25">
      <c r="A42" s="401" t="s">
        <v>448</v>
      </c>
      <c r="B42" s="799"/>
      <c r="D42" s="791"/>
      <c r="E42" s="791"/>
      <c r="F42" s="791"/>
      <c r="G42" s="791"/>
      <c r="H42" s="791"/>
      <c r="I42" s="791"/>
    </row>
    <row r="43" spans="1:12" ht="30" customHeight="1" x14ac:dyDescent="0.25">
      <c r="A43" s="401" t="str">
        <f>IF(AND(F43=0,I43=0),"Do Not Print","Print")</f>
        <v>Do Not Print</v>
      </c>
      <c r="B43" s="790" t="s">
        <v>664</v>
      </c>
      <c r="C43" s="669">
        <f>Checklist!E83</f>
        <v>10</v>
      </c>
      <c r="D43" s="791">
        <f>'GROUP Det Group CIES'!N118</f>
        <v>0</v>
      </c>
      <c r="E43" s="791">
        <f>-'GROUP Det Group CIES'!O118</f>
        <v>0</v>
      </c>
      <c r="F43" s="791">
        <f>'GROUP Det Group CIES'!P118</f>
        <v>0</v>
      </c>
      <c r="G43" s="791">
        <f>'GROUP Det Group CIES'!Q118</f>
        <v>0</v>
      </c>
      <c r="H43" s="791">
        <f>-'GROUP Det Group CIES'!R118</f>
        <v>0</v>
      </c>
      <c r="I43" s="791">
        <f>'GROUP Det Group CIES'!S118</f>
        <v>0</v>
      </c>
    </row>
    <row r="44" spans="1:12" x14ac:dyDescent="0.25">
      <c r="A44" s="401" t="s">
        <v>448</v>
      </c>
      <c r="B44" s="799"/>
      <c r="D44" s="791"/>
      <c r="E44" s="791"/>
      <c r="F44" s="791"/>
      <c r="G44" s="791"/>
      <c r="H44" s="791"/>
      <c r="I44" s="791"/>
    </row>
    <row r="45" spans="1:12" ht="25.2" x14ac:dyDescent="0.25">
      <c r="A45" s="401" t="str">
        <f>IF(AND(F45=0,I45=0),"Do Not Print","Print")</f>
        <v>Do Not Print</v>
      </c>
      <c r="B45" s="806" t="s">
        <v>347</v>
      </c>
      <c r="C45" s="801"/>
      <c r="D45" s="787">
        <f>D41+D43</f>
        <v>0</v>
      </c>
      <c r="E45" s="787">
        <f>E41+E43</f>
        <v>0</v>
      </c>
      <c r="F45" s="787">
        <f>-D45-E45</f>
        <v>0</v>
      </c>
      <c r="G45" s="787">
        <f>G41+G43</f>
        <v>0</v>
      </c>
      <c r="H45" s="787">
        <f>H41+H43</f>
        <v>0</v>
      </c>
      <c r="I45" s="787">
        <f>-H45-G45</f>
        <v>0</v>
      </c>
    </row>
    <row r="46" spans="1:12" x14ac:dyDescent="0.25">
      <c r="A46" s="401" t="s">
        <v>448</v>
      </c>
      <c r="B46" s="799"/>
      <c r="D46" s="789"/>
      <c r="E46" s="789"/>
      <c r="F46" s="789"/>
      <c r="G46" s="789"/>
      <c r="H46" s="789"/>
      <c r="I46" s="789"/>
    </row>
    <row r="47" spans="1:12" ht="43.5" customHeight="1" x14ac:dyDescent="0.25">
      <c r="A47" s="401" t="str">
        <f>IF(AND(F47=0,I47=0),"Do Not Print","Print")</f>
        <v>Do Not Print</v>
      </c>
      <c r="B47" s="790" t="s">
        <v>1679</v>
      </c>
      <c r="C47" s="669">
        <f>Checklist!E89</f>
        <v>11</v>
      </c>
      <c r="D47" s="789"/>
      <c r="E47" s="789"/>
      <c r="F47" s="791">
        <f>'GROUP Det Group CIES'!P122</f>
        <v>0</v>
      </c>
      <c r="G47" s="791"/>
      <c r="H47" s="791"/>
      <c r="I47" s="791">
        <f>'GROUP Det Group CIES'!S122</f>
        <v>0</v>
      </c>
    </row>
    <row r="48" spans="1:12" x14ac:dyDescent="0.25">
      <c r="A48" s="401" t="str">
        <f>IF(A47="Do Not Print","Do Not Print","Print")</f>
        <v>Do Not Print</v>
      </c>
      <c r="B48" s="799"/>
      <c r="D48" s="789"/>
      <c r="E48" s="789"/>
      <c r="F48" s="791"/>
      <c r="G48" s="791"/>
      <c r="H48" s="791"/>
      <c r="I48" s="791"/>
    </row>
    <row r="49" spans="1:9" ht="45.75" customHeight="1" x14ac:dyDescent="0.25">
      <c r="A49" s="401" t="str">
        <f>IF(AND(F49=0,I49=0),"Do Not Print","Print")</f>
        <v>Do Not Print</v>
      </c>
      <c r="B49" s="790" t="s">
        <v>205</v>
      </c>
      <c r="C49" s="669">
        <f>Checklist!E142</f>
        <v>27</v>
      </c>
      <c r="D49" s="789"/>
      <c r="E49" s="789"/>
      <c r="F49" s="791">
        <f>'GROUP Det Group CIES'!P126</f>
        <v>0</v>
      </c>
      <c r="G49" s="791"/>
      <c r="H49" s="791"/>
      <c r="I49" s="791">
        <f>'GROUP Det Group CIES'!S126</f>
        <v>0</v>
      </c>
    </row>
    <row r="50" spans="1:9" x14ac:dyDescent="0.25">
      <c r="A50" s="401" t="str">
        <f>IF(A49="Do Not Print","Do Not Print","Print")</f>
        <v>Do Not Print</v>
      </c>
      <c r="B50" s="799"/>
      <c r="D50" s="789"/>
      <c r="E50" s="789"/>
      <c r="F50" s="791"/>
      <c r="G50" s="791"/>
      <c r="H50" s="791"/>
      <c r="I50" s="791"/>
    </row>
    <row r="51" spans="1:9" ht="46.5" customHeight="1" x14ac:dyDescent="0.25">
      <c r="A51" s="401" t="str">
        <f>IF(AND(F51=0,I51=0),"Do Not Print","Print")</f>
        <v>Do Not Print</v>
      </c>
      <c r="B51" s="790" t="s">
        <v>348</v>
      </c>
      <c r="C51" s="669">
        <f>Checklist!E117</f>
        <v>21</v>
      </c>
      <c r="D51" s="789"/>
      <c r="E51" s="789"/>
      <c r="F51" s="791">
        <f>'GROUP Account notes'!I340</f>
        <v>0</v>
      </c>
      <c r="G51" s="791"/>
      <c r="H51" s="791"/>
      <c r="I51" s="791">
        <f>'GROUP Account notes'!J340</f>
        <v>0</v>
      </c>
    </row>
    <row r="52" spans="1:9" x14ac:dyDescent="0.25">
      <c r="A52" s="401" t="s">
        <v>448</v>
      </c>
      <c r="B52" s="799"/>
      <c r="D52" s="789"/>
      <c r="E52" s="789"/>
      <c r="F52" s="791"/>
      <c r="G52" s="791"/>
      <c r="H52" s="791"/>
      <c r="I52" s="791"/>
    </row>
    <row r="53" spans="1:9" x14ac:dyDescent="0.25">
      <c r="A53" s="401" t="s">
        <v>448</v>
      </c>
      <c r="B53" s="796" t="s">
        <v>559</v>
      </c>
      <c r="C53" s="801"/>
      <c r="D53" s="809"/>
      <c r="E53" s="809"/>
      <c r="F53" s="787">
        <f>SUM(F47:F52)</f>
        <v>0</v>
      </c>
      <c r="G53" s="810"/>
      <c r="H53" s="810"/>
      <c r="I53" s="787">
        <f>SUM(I47:I52)</f>
        <v>0</v>
      </c>
    </row>
    <row r="54" spans="1:9" x14ac:dyDescent="0.25">
      <c r="A54" s="401" t="s">
        <v>448</v>
      </c>
      <c r="B54" s="799"/>
      <c r="D54" s="789"/>
      <c r="E54" s="789"/>
      <c r="F54" s="791"/>
      <c r="G54" s="791"/>
      <c r="H54" s="791"/>
      <c r="I54" s="791"/>
    </row>
    <row r="55" spans="1:9" x14ac:dyDescent="0.25">
      <c r="A55" s="401" t="s">
        <v>448</v>
      </c>
      <c r="B55" s="796" t="s">
        <v>560</v>
      </c>
      <c r="C55" s="801"/>
      <c r="D55" s="809"/>
      <c r="E55" s="809"/>
      <c r="F55" s="787">
        <f>F45+F53</f>
        <v>0</v>
      </c>
      <c r="G55" s="810"/>
      <c r="H55" s="810"/>
      <c r="I55" s="787">
        <f>I45+I53</f>
        <v>0</v>
      </c>
    </row>
    <row r="56" spans="1:9" x14ac:dyDescent="0.25">
      <c r="A56" s="401" t="str">
        <f>IF(A55="Do Not Print","Do Not Print","Print")</f>
        <v>Print</v>
      </c>
      <c r="B56" s="799"/>
      <c r="D56" s="789"/>
      <c r="E56" s="789"/>
      <c r="F56" s="789"/>
      <c r="G56" s="789"/>
      <c r="H56" s="789"/>
      <c r="I56" s="789"/>
    </row>
    <row r="57" spans="1:9" x14ac:dyDescent="0.25">
      <c r="A57" s="401" t="s">
        <v>448</v>
      </c>
      <c r="B57" s="799"/>
      <c r="D57" s="789"/>
      <c r="E57" s="789"/>
      <c r="F57" s="789"/>
      <c r="G57" s="789"/>
      <c r="H57" s="789"/>
      <c r="I57" s="789"/>
    </row>
    <row r="58" spans="1:9" x14ac:dyDescent="0.25">
      <c r="A58" s="401" t="s">
        <v>448</v>
      </c>
      <c r="B58" s="799"/>
      <c r="D58" s="789"/>
      <c r="E58" s="789"/>
      <c r="F58" s="789"/>
      <c r="G58" s="789"/>
      <c r="H58" s="789"/>
      <c r="I58" s="789"/>
    </row>
    <row r="59" spans="1:9" x14ac:dyDescent="0.25">
      <c r="A59" s="401" t="s">
        <v>448</v>
      </c>
      <c r="B59" s="799"/>
      <c r="D59" s="789"/>
      <c r="E59" s="789"/>
      <c r="F59" s="789"/>
      <c r="G59" s="789"/>
      <c r="H59" s="789"/>
      <c r="I59" s="789"/>
    </row>
    <row r="60" spans="1:9" x14ac:dyDescent="0.25">
      <c r="A60" s="401" t="s">
        <v>448</v>
      </c>
      <c r="B60" s="405" t="str">
        <f>'Standing Data'!D4</f>
        <v>NAME OF COUNCIL</v>
      </c>
    </row>
    <row r="61" spans="1:9" x14ac:dyDescent="0.25">
      <c r="A61" s="401" t="s">
        <v>448</v>
      </c>
      <c r="B61" s="468" t="str">
        <f>'Standing Data'!D18</f>
        <v>Group Movement in Reserves Statement for the year ended 31 March 2026</v>
      </c>
      <c r="F61" s="798"/>
    </row>
    <row r="62" spans="1:9" x14ac:dyDescent="0.25">
      <c r="A62" s="401" t="s">
        <v>448</v>
      </c>
    </row>
    <row r="63" spans="1:9" ht="39.6" x14ac:dyDescent="0.25">
      <c r="A63" s="401" t="s">
        <v>448</v>
      </c>
      <c r="B63" s="482"/>
      <c r="C63" s="783"/>
      <c r="D63" s="784" t="s">
        <v>335</v>
      </c>
      <c r="E63" s="784" t="s">
        <v>336</v>
      </c>
      <c r="F63" s="784" t="s">
        <v>421</v>
      </c>
      <c r="G63" s="784" t="s">
        <v>337</v>
      </c>
      <c r="H63" s="784" t="s">
        <v>338</v>
      </c>
      <c r="I63" s="784" t="s">
        <v>339</v>
      </c>
    </row>
    <row r="64" spans="1:9" x14ac:dyDescent="0.25">
      <c r="A64" s="401" t="s">
        <v>448</v>
      </c>
      <c r="B64" s="482"/>
      <c r="C64" s="783"/>
      <c r="D64" s="785" t="s">
        <v>450</v>
      </c>
      <c r="E64" s="785" t="s">
        <v>450</v>
      </c>
      <c r="F64" s="785" t="s">
        <v>450</v>
      </c>
      <c r="G64" s="785" t="s">
        <v>450</v>
      </c>
      <c r="H64" s="785" t="s">
        <v>450</v>
      </c>
      <c r="I64" s="785" t="s">
        <v>450</v>
      </c>
    </row>
    <row r="65" spans="1:12" x14ac:dyDescent="0.25">
      <c r="A65" s="401" t="str">
        <f>IF(AND(G65=0,H65=0),"Do Not Print","Print")</f>
        <v>Do Not Print</v>
      </c>
      <c r="B65" s="474" t="str">
        <f>'Standing Data'!D86</f>
        <v>Balance as at 1 April 2024</v>
      </c>
      <c r="C65" s="786"/>
      <c r="D65" s="787">
        <f>'GROUP Det Group BS'!K539</f>
        <v>0</v>
      </c>
      <c r="E65" s="787">
        <f>'GROUP Det Group BS'!K535+'GROUP Det Group BS'!K536+'GROUP Det Group BS'!K537+'GROUP Det Group BS'!K538+'GROUP Det Group BS'!K540</f>
        <v>0</v>
      </c>
      <c r="F65" s="787">
        <f>'GROUP Det Group BS'!K534</f>
        <v>0</v>
      </c>
      <c r="G65" s="787">
        <f>SUM(D65:F65)</f>
        <v>0</v>
      </c>
      <c r="H65" s="787">
        <f>SUM('GROUP Det Group BS'!K545:K554)</f>
        <v>0</v>
      </c>
      <c r="I65" s="787">
        <f>G65+H65</f>
        <v>0</v>
      </c>
      <c r="K65" s="640" t="s">
        <v>944</v>
      </c>
    </row>
    <row r="66" spans="1:12" ht="25.2" x14ac:dyDescent="0.25">
      <c r="A66" s="401" t="s">
        <v>448</v>
      </c>
      <c r="B66" s="788" t="s">
        <v>195</v>
      </c>
      <c r="D66" s="789"/>
      <c r="E66" s="789"/>
      <c r="F66" s="789"/>
      <c r="G66" s="789"/>
      <c r="H66" s="789"/>
      <c r="I66" s="789"/>
    </row>
    <row r="67" spans="1:12" ht="26.4" x14ac:dyDescent="0.25">
      <c r="A67" s="401" t="str">
        <f t="shared" ref="A67:A73" si="2">IF(AND(G67=0,H67=0),"Do Not Print","Print")</f>
        <v>Do Not Print</v>
      </c>
      <c r="B67" s="790" t="s">
        <v>2957</v>
      </c>
      <c r="D67" s="791">
        <f>I45</f>
        <v>0</v>
      </c>
      <c r="E67" s="791">
        <v>0</v>
      </c>
      <c r="F67" s="791">
        <v>0</v>
      </c>
      <c r="G67" s="791">
        <f>SUM(D67:F67)</f>
        <v>0</v>
      </c>
      <c r="H67" s="791">
        <v>0</v>
      </c>
      <c r="I67" s="791">
        <f>G67+H67</f>
        <v>0</v>
      </c>
    </row>
    <row r="68" spans="1:12" ht="26.4" x14ac:dyDescent="0.25">
      <c r="A68" s="401" t="str">
        <f t="shared" si="2"/>
        <v>Do Not Print</v>
      </c>
      <c r="B68" s="790" t="s">
        <v>559</v>
      </c>
      <c r="D68" s="791">
        <v>0</v>
      </c>
      <c r="E68" s="791">
        <v>0</v>
      </c>
      <c r="F68" s="791">
        <v>0</v>
      </c>
      <c r="G68" s="791">
        <f>SUM(D68:F68)</f>
        <v>0</v>
      </c>
      <c r="H68" s="791">
        <f>-(I53-E68)</f>
        <v>0</v>
      </c>
      <c r="I68" s="791">
        <f>G68+H68</f>
        <v>0</v>
      </c>
    </row>
    <row r="69" spans="1:12" ht="25.2" x14ac:dyDescent="0.25">
      <c r="A69" s="401" t="str">
        <f t="shared" si="2"/>
        <v>Do Not Print</v>
      </c>
      <c r="B69" s="788" t="s">
        <v>560</v>
      </c>
      <c r="C69" s="792"/>
      <c r="D69" s="793">
        <f>SUM(D67:D68)</f>
        <v>0</v>
      </c>
      <c r="E69" s="793">
        <f>SUM(E67:E68)</f>
        <v>0</v>
      </c>
      <c r="F69" s="793">
        <f>SUM(F67:F68)</f>
        <v>0</v>
      </c>
      <c r="G69" s="793">
        <f>SUM(G67:G68)</f>
        <v>0</v>
      </c>
      <c r="H69" s="793">
        <f>SUM(H67:H68)</f>
        <v>0</v>
      </c>
      <c r="I69" s="793">
        <f t="shared" ref="I69:I73" si="3">G69+H69</f>
        <v>0</v>
      </c>
    </row>
    <row r="70" spans="1:12" ht="39.6" x14ac:dyDescent="0.25">
      <c r="A70" s="401" t="str">
        <f t="shared" si="2"/>
        <v>Do Not Print</v>
      </c>
      <c r="B70" s="790" t="s">
        <v>197</v>
      </c>
      <c r="D70" s="791">
        <f>'GROUP Account notes'!J59</f>
        <v>0</v>
      </c>
      <c r="E70" s="791">
        <f>'GROUP Account Notes FA&amp;Reserves'!K214+'GROUP Account Notes FA&amp;Reserves'!K225+'GROUP Account Notes FA&amp;Reserves'!K202+'GROUP Account Notes FA&amp;Reserves'!K235</f>
        <v>0</v>
      </c>
      <c r="F70" s="791">
        <f>'GROUP Account Notes FA&amp;Reserves'!K186+'GROUP Account Notes FA&amp;Reserves'!K187+'GROUP Account Notes FA&amp;Reserves'!K188</f>
        <v>0</v>
      </c>
      <c r="G70" s="791">
        <f>SUM(D70:F70)</f>
        <v>0</v>
      </c>
      <c r="H70" s="791">
        <f>'GROUP Account Notes FA&amp;Reserves'!K280+'GROUP Account Notes FA&amp;Reserves'!K281+'GROUP Account Notes FA&amp;Reserves'!K282+'GROUP Account Notes FA&amp;Reserves'!K283+'GROUP Account Notes FA&amp;Reserves'!K284+'GROUP Account Notes FA&amp;Reserves'!K285+'GROUP Account Notes FA&amp;Reserves'!K286+'GROUP Account Notes FA&amp;Reserves'!K287+'GROUP Account Notes FA&amp;Reserves'!K288+'GROUP Account Notes FA&amp;Reserves'!K289+'GROUP Account Notes FA&amp;Reserves'!K299+'GROUP Account Notes FA&amp;Reserves'!K317+'GROUP Account Notes FA&amp;Reserves'!K346+'GROUP Account Notes FA&amp;Reserves'!K369+'GROUP Account Notes FA&amp;Reserves'!K382</f>
        <v>0</v>
      </c>
      <c r="I70" s="791">
        <f t="shared" si="3"/>
        <v>0</v>
      </c>
      <c r="K70" s="640" t="s">
        <v>945</v>
      </c>
      <c r="L70" s="794" t="s">
        <v>1607</v>
      </c>
    </row>
    <row r="71" spans="1:12" ht="37.799999999999997" x14ac:dyDescent="0.25">
      <c r="A71" s="401" t="str">
        <f t="shared" si="2"/>
        <v>Do Not Print</v>
      </c>
      <c r="B71" s="788" t="s">
        <v>193</v>
      </c>
      <c r="C71" s="792"/>
      <c r="D71" s="795">
        <f>SUM(D69:D70)</f>
        <v>0</v>
      </c>
      <c r="E71" s="795">
        <f>SUM(E69:E70)</f>
        <v>0</v>
      </c>
      <c r="F71" s="795">
        <f>SUM(F69:F70)</f>
        <v>0</v>
      </c>
      <c r="G71" s="795">
        <f>SUM(D71:F71)</f>
        <v>0</v>
      </c>
      <c r="H71" s="795">
        <f>SUM(H69:H70)</f>
        <v>0</v>
      </c>
      <c r="I71" s="795">
        <f t="shared" si="3"/>
        <v>0</v>
      </c>
      <c r="L71" s="794"/>
    </row>
    <row r="72" spans="1:12" ht="26.4" x14ac:dyDescent="0.25">
      <c r="A72" s="401" t="str">
        <f t="shared" si="2"/>
        <v>Do Not Print</v>
      </c>
      <c r="B72" s="790" t="s">
        <v>2956</v>
      </c>
      <c r="D72" s="791">
        <f>'GROUP Account Notes FA&amp;Reserves'!K255</f>
        <v>0</v>
      </c>
      <c r="E72" s="791">
        <f>-'GROUP Account Notes FA&amp;Reserves'!K213-'GROUP Account Notes FA&amp;Reserves'!K224-'GROUP Account Notes FA&amp;Reserves'!K234</f>
        <v>0</v>
      </c>
      <c r="F72" s="791">
        <f>'GROUP Account Notes FA&amp;Reserves'!K189+'GROUP Account Notes FA&amp;Reserves'!K185</f>
        <v>0</v>
      </c>
      <c r="G72" s="791">
        <f>SUM(D72:F72)</f>
        <v>0</v>
      </c>
      <c r="H72" s="791">
        <f>'GROUP Account Notes FA&amp;Reserves'!K358</f>
        <v>0</v>
      </c>
      <c r="I72" s="791">
        <f t="shared" si="3"/>
        <v>0</v>
      </c>
      <c r="L72" s="794" t="s">
        <v>1607</v>
      </c>
    </row>
    <row r="73" spans="1:12" x14ac:dyDescent="0.25">
      <c r="A73" s="401" t="str">
        <f t="shared" si="2"/>
        <v>Do Not Print</v>
      </c>
      <c r="B73" s="788" t="s">
        <v>2955</v>
      </c>
      <c r="C73" s="792"/>
      <c r="D73" s="795">
        <f>SUM(D71:D72)</f>
        <v>0</v>
      </c>
      <c r="E73" s="795">
        <f>SUM(E71:E72)</f>
        <v>0</v>
      </c>
      <c r="F73" s="795">
        <f>SUM(F71:F72)</f>
        <v>0</v>
      </c>
      <c r="G73" s="795">
        <f>SUM(D73:F73)</f>
        <v>0</v>
      </c>
      <c r="H73" s="795">
        <f>SUM(H71:H72)</f>
        <v>0</v>
      </c>
      <c r="I73" s="795">
        <f t="shared" si="3"/>
        <v>0</v>
      </c>
    </row>
    <row r="74" spans="1:12" x14ac:dyDescent="0.25">
      <c r="A74" s="401" t="s">
        <v>448</v>
      </c>
      <c r="B74" s="790"/>
      <c r="D74" s="791"/>
      <c r="E74" s="791"/>
      <c r="F74" s="791"/>
      <c r="G74" s="791"/>
      <c r="H74" s="791"/>
      <c r="I74" s="791"/>
    </row>
    <row r="75" spans="1:12" x14ac:dyDescent="0.25">
      <c r="A75" s="401" t="str">
        <f>IF(AND(G75=0,H75=0),"Do Not Print","Print")</f>
        <v>Do Not Print</v>
      </c>
      <c r="B75" s="796" t="str">
        <f>'Standing Data'!D82</f>
        <v>Balance as at 31 March 2025</v>
      </c>
      <c r="C75" s="786"/>
      <c r="D75" s="787">
        <f>D65+D73</f>
        <v>0</v>
      </c>
      <c r="E75" s="787">
        <f>E65+E73</f>
        <v>0</v>
      </c>
      <c r="F75" s="787">
        <f>F65+F73</f>
        <v>0</v>
      </c>
      <c r="G75" s="787">
        <f>SUM(D75:F75)</f>
        <v>0</v>
      </c>
      <c r="H75" s="787">
        <f>H65+H73</f>
        <v>0</v>
      </c>
      <c r="I75" s="787">
        <f t="shared" ref="I75" si="4">G75+H75</f>
        <v>0</v>
      </c>
      <c r="L75" s="797"/>
    </row>
    <row r="76" spans="1:12" ht="25.2" x14ac:dyDescent="0.25">
      <c r="A76" s="401" t="s">
        <v>448</v>
      </c>
      <c r="B76" s="788" t="s">
        <v>195</v>
      </c>
      <c r="D76" s="789"/>
      <c r="E76" s="789"/>
      <c r="F76" s="789"/>
      <c r="G76" s="789"/>
      <c r="H76" s="789"/>
      <c r="I76" s="789"/>
    </row>
    <row r="77" spans="1:12" ht="26.4" x14ac:dyDescent="0.25">
      <c r="A77" s="401" t="str">
        <f t="shared" ref="A77:A83" si="5">IF(AND(G77=0,H77=0),"Do Not Print","Print")</f>
        <v>Do Not Print</v>
      </c>
      <c r="B77" s="790" t="s">
        <v>2957</v>
      </c>
      <c r="D77" s="791">
        <f>F45</f>
        <v>0</v>
      </c>
      <c r="E77" s="791">
        <v>0</v>
      </c>
      <c r="F77" s="791">
        <v>0</v>
      </c>
      <c r="G77" s="791">
        <f>SUM(D77:F77)</f>
        <v>0</v>
      </c>
      <c r="H77" s="791">
        <v>0</v>
      </c>
      <c r="I77" s="791">
        <f t="shared" ref="I77:I83" si="6">G77+H77</f>
        <v>0</v>
      </c>
      <c r="L77" s="797"/>
    </row>
    <row r="78" spans="1:12" ht="26.4" x14ac:dyDescent="0.25">
      <c r="A78" s="401" t="str">
        <f t="shared" si="5"/>
        <v>Do Not Print</v>
      </c>
      <c r="B78" s="790" t="s">
        <v>559</v>
      </c>
      <c r="D78" s="791">
        <v>0</v>
      </c>
      <c r="E78" s="791">
        <v>0</v>
      </c>
      <c r="F78" s="791">
        <v>0</v>
      </c>
      <c r="G78" s="791">
        <f>SUM(D78:F78)</f>
        <v>0</v>
      </c>
      <c r="H78" s="791">
        <f>-(F53-E78)</f>
        <v>0</v>
      </c>
      <c r="I78" s="791">
        <f>G78+H78</f>
        <v>0</v>
      </c>
      <c r="L78" s="797"/>
    </row>
    <row r="79" spans="1:12" ht="25.2" x14ac:dyDescent="0.25">
      <c r="A79" s="401" t="str">
        <f t="shared" si="5"/>
        <v>Do Not Print</v>
      </c>
      <c r="B79" s="788" t="s">
        <v>560</v>
      </c>
      <c r="C79" s="792"/>
      <c r="D79" s="793">
        <f>SUM(D77:D78)</f>
        <v>0</v>
      </c>
      <c r="E79" s="793">
        <f>SUM(E77:E78)</f>
        <v>0</v>
      </c>
      <c r="F79" s="793">
        <f>SUM(F77:F78)</f>
        <v>0</v>
      </c>
      <c r="G79" s="793">
        <f>SUM(G77:G78)</f>
        <v>0</v>
      </c>
      <c r="H79" s="793">
        <f>SUM(H77:H78)</f>
        <v>0</v>
      </c>
      <c r="I79" s="793">
        <f t="shared" si="6"/>
        <v>0</v>
      </c>
    </row>
    <row r="80" spans="1:12" ht="39.6" x14ac:dyDescent="0.25">
      <c r="A80" s="401" t="str">
        <f t="shared" si="5"/>
        <v>Do Not Print</v>
      </c>
      <c r="B80" s="790" t="s">
        <v>197</v>
      </c>
      <c r="D80" s="791">
        <f>'GROUP Account notes'!H59</f>
        <v>0</v>
      </c>
      <c r="E80" s="791">
        <f>'GROUP Account Notes FA&amp;Reserves'!J214+'GROUP Account Notes FA&amp;Reserves'!J225+'GROUP Account Notes FA&amp;Reserves'!J202+'GROUP Account Notes FA&amp;Reserves'!J235</f>
        <v>0</v>
      </c>
      <c r="F80" s="791">
        <f>'GROUP Account Notes FA&amp;Reserves'!J186+'GROUP Account Notes FA&amp;Reserves'!J187+'GROUP Account Notes FA&amp;Reserves'!J188</f>
        <v>0</v>
      </c>
      <c r="G80" s="791">
        <f>SUM(D80:F80)</f>
        <v>0</v>
      </c>
      <c r="H80" s="791">
        <f>'GROUP Account Notes FA&amp;Reserves'!K280+'GROUP Account Notes FA&amp;Reserves'!K281+'GROUP Account Notes FA&amp;Reserves'!K282+'GROUP Account Notes FA&amp;Reserves'!K283+'GROUP Account Notes FA&amp;Reserves'!J284+'GROUP Account Notes FA&amp;Reserves'!J285+'GROUP Account Notes FA&amp;Reserves'!J286+'GROUP Account Notes FA&amp;Reserves'!J287+'GROUP Account Notes FA&amp;Reserves'!J288+'GROUP Account Notes FA&amp;Reserves'!J289+'GROUP Account Notes FA&amp;Reserves'!J299+'GROUP Account Notes FA&amp;Reserves'!J317+'GROUP Account Notes FA&amp;Reserves'!J346+'GROUP Account Notes FA&amp;Reserves'!J369+'GROUP Account Notes FA&amp;Reserves'!J382</f>
        <v>0</v>
      </c>
      <c r="I80" s="791">
        <f t="shared" si="6"/>
        <v>0</v>
      </c>
      <c r="K80" s="640" t="s">
        <v>946</v>
      </c>
      <c r="L80" s="794" t="s">
        <v>1607</v>
      </c>
    </row>
    <row r="81" spans="1:12" ht="37.799999999999997" x14ac:dyDescent="0.25">
      <c r="A81" s="401" t="str">
        <f t="shared" si="5"/>
        <v>Do Not Print</v>
      </c>
      <c r="B81" s="788" t="s">
        <v>193</v>
      </c>
      <c r="C81" s="792"/>
      <c r="D81" s="795">
        <f>SUM(D79:D80)</f>
        <v>0</v>
      </c>
      <c r="E81" s="795">
        <f>SUM(E79:E80)</f>
        <v>0</v>
      </c>
      <c r="F81" s="795">
        <f>SUM(F79:F80)</f>
        <v>0</v>
      </c>
      <c r="G81" s="795">
        <f>SUM(G79:G80)</f>
        <v>0</v>
      </c>
      <c r="H81" s="795">
        <f>SUM(H79:H80)</f>
        <v>0</v>
      </c>
      <c r="I81" s="795">
        <f t="shared" si="6"/>
        <v>0</v>
      </c>
      <c r="L81" s="794"/>
    </row>
    <row r="82" spans="1:12" ht="26.4" x14ac:dyDescent="0.25">
      <c r="A82" s="401" t="str">
        <f t="shared" si="5"/>
        <v>Do Not Print</v>
      </c>
      <c r="B82" s="790" t="s">
        <v>2956</v>
      </c>
      <c r="D82" s="791">
        <f>'GROUP Account Notes FA&amp;Reserves'!J255</f>
        <v>0</v>
      </c>
      <c r="E82" s="791">
        <f>-'GROUP Account Notes FA&amp;Reserves'!J213-'GROUP Account Notes FA&amp;Reserves'!J224-'GROUP Account Notes FA&amp;Reserves'!J234</f>
        <v>0</v>
      </c>
      <c r="F82" s="791">
        <f>'GROUP Account Notes FA&amp;Reserves'!J189+'GROUP Account Notes FA&amp;Reserves'!J185</f>
        <v>0</v>
      </c>
      <c r="G82" s="791">
        <f>SUM(D82:F82)</f>
        <v>0</v>
      </c>
      <c r="H82" s="791">
        <f>'GROUP Account Notes FA&amp;Reserves'!J358</f>
        <v>0</v>
      </c>
      <c r="I82" s="791">
        <f t="shared" si="6"/>
        <v>0</v>
      </c>
      <c r="L82" s="794" t="s">
        <v>1607</v>
      </c>
    </row>
    <row r="83" spans="1:12" x14ac:dyDescent="0.25">
      <c r="A83" s="401" t="str">
        <f t="shared" si="5"/>
        <v>Do Not Print</v>
      </c>
      <c r="B83" s="788" t="s">
        <v>194</v>
      </c>
      <c r="C83" s="792"/>
      <c r="D83" s="795">
        <f>SUM(D81:D82)</f>
        <v>0</v>
      </c>
      <c r="E83" s="795">
        <f>SUM(E81:E82)</f>
        <v>0</v>
      </c>
      <c r="F83" s="795">
        <f>SUM(F81:F82)</f>
        <v>0</v>
      </c>
      <c r="G83" s="795">
        <f>SUM(G81:G82)</f>
        <v>0</v>
      </c>
      <c r="H83" s="795">
        <f>SUM(H81:H82)</f>
        <v>0</v>
      </c>
      <c r="I83" s="795">
        <f t="shared" si="6"/>
        <v>0</v>
      </c>
    </row>
    <row r="84" spans="1:12" x14ac:dyDescent="0.25">
      <c r="A84" s="401" t="s">
        <v>448</v>
      </c>
      <c r="B84" s="790"/>
      <c r="D84" s="791"/>
      <c r="E84" s="791"/>
      <c r="F84" s="791"/>
      <c r="G84" s="791"/>
      <c r="H84" s="791"/>
      <c r="I84" s="791"/>
    </row>
    <row r="85" spans="1:12" x14ac:dyDescent="0.25">
      <c r="A85" s="401" t="str">
        <f>IF(AND(G85=0,H85=0),"Do Not Print","Print")</f>
        <v>Do Not Print</v>
      </c>
      <c r="B85" s="796" t="str">
        <f>'Standing Data'!D46</f>
        <v>Balance as at 31 March 2026</v>
      </c>
      <c r="C85" s="786"/>
      <c r="D85" s="787">
        <f>D75+D83</f>
        <v>0</v>
      </c>
      <c r="E85" s="787">
        <f>E75+E83</f>
        <v>0</v>
      </c>
      <c r="F85" s="787">
        <f>F75+F83</f>
        <v>0</v>
      </c>
      <c r="G85" s="787">
        <f>SUM(D85:F85)</f>
        <v>0</v>
      </c>
      <c r="H85" s="787">
        <f>H75+H83</f>
        <v>0</v>
      </c>
      <c r="I85" s="787">
        <f>G85+H85</f>
        <v>0</v>
      </c>
    </row>
    <row r="86" spans="1:12" x14ac:dyDescent="0.25">
      <c r="A86" s="401" t="s">
        <v>448</v>
      </c>
      <c r="B86" s="790"/>
      <c r="D86" s="789"/>
      <c r="E86" s="789"/>
      <c r="F86" s="789"/>
      <c r="G86" s="789"/>
      <c r="H86" s="789"/>
      <c r="I86" s="789"/>
    </row>
    <row r="87" spans="1:12" x14ac:dyDescent="0.25">
      <c r="A87" s="401" t="s">
        <v>448</v>
      </c>
      <c r="B87" s="790"/>
      <c r="D87" s="789"/>
      <c r="E87" s="789"/>
      <c r="F87" s="789"/>
      <c r="G87" s="789"/>
      <c r="H87" s="789"/>
      <c r="I87" s="789"/>
    </row>
    <row r="88" spans="1:12" x14ac:dyDescent="0.25">
      <c r="A88" s="401" t="s">
        <v>448</v>
      </c>
      <c r="B88" s="799"/>
      <c r="D88" s="789"/>
      <c r="E88" s="789"/>
      <c r="F88" s="789"/>
      <c r="G88" s="789"/>
      <c r="H88" s="789"/>
      <c r="I88" s="789"/>
    </row>
    <row r="89" spans="1:12" x14ac:dyDescent="0.25">
      <c r="A89" s="401" t="s">
        <v>448</v>
      </c>
      <c r="B89" s="799"/>
      <c r="D89" s="789"/>
      <c r="E89" s="789"/>
      <c r="F89" s="789"/>
      <c r="G89" s="789"/>
      <c r="H89" s="789"/>
      <c r="I89" s="789"/>
    </row>
    <row r="90" spans="1:12" x14ac:dyDescent="0.25">
      <c r="A90" s="401" t="s">
        <v>448</v>
      </c>
      <c r="B90" s="522" t="str">
        <f>'Standing Data'!D4</f>
        <v>NAME OF COUNCIL</v>
      </c>
      <c r="D90" s="789"/>
      <c r="E90" s="789"/>
      <c r="F90" s="789"/>
      <c r="G90" s="789"/>
      <c r="H90" s="789"/>
      <c r="I90" s="789"/>
    </row>
    <row r="91" spans="1:12" x14ac:dyDescent="0.25">
      <c r="A91" s="401" t="s">
        <v>448</v>
      </c>
      <c r="B91" s="467" t="str">
        <f>'Standing Data'!D22</f>
        <v>Group Balance Sheet as at 31 March 2026</v>
      </c>
      <c r="D91" s="789"/>
      <c r="E91" s="789"/>
      <c r="F91" s="789"/>
      <c r="G91" s="789"/>
      <c r="H91" s="789"/>
      <c r="I91" s="789"/>
    </row>
    <row r="92" spans="1:12" x14ac:dyDescent="0.25">
      <c r="A92" s="401" t="s">
        <v>448</v>
      </c>
      <c r="B92" s="799"/>
      <c r="D92" s="789"/>
      <c r="E92" s="789"/>
      <c r="F92" s="789"/>
      <c r="G92" s="789"/>
      <c r="H92" s="789"/>
      <c r="I92" s="789"/>
    </row>
    <row r="93" spans="1:12" x14ac:dyDescent="0.25">
      <c r="A93" s="401" t="s">
        <v>448</v>
      </c>
      <c r="B93" s="796"/>
      <c r="C93" s="786"/>
      <c r="D93" s="796"/>
      <c r="E93" s="796"/>
      <c r="F93" s="786" t="s">
        <v>474</v>
      </c>
      <c r="G93" s="811" t="str">
        <f>'Standing Data'!D40</f>
        <v>31st March 2026</v>
      </c>
      <c r="H93" s="811" t="str">
        <f>'Standing Data'!D66</f>
        <v>31st March 2025</v>
      </c>
      <c r="I93" s="812"/>
      <c r="K93" s="640"/>
    </row>
    <row r="94" spans="1:12" x14ac:dyDescent="0.25">
      <c r="A94" s="401" t="s">
        <v>448</v>
      </c>
      <c r="B94" s="802"/>
      <c r="C94" s="783"/>
      <c r="D94" s="802"/>
      <c r="E94" s="802"/>
      <c r="F94" s="802"/>
      <c r="G94" s="813" t="s">
        <v>450</v>
      </c>
      <c r="H94" s="813" t="s">
        <v>450</v>
      </c>
      <c r="I94" s="814"/>
      <c r="K94" s="815"/>
    </row>
    <row r="95" spans="1:12" x14ac:dyDescent="0.25">
      <c r="A95" s="401" t="str">
        <f>IF(AND(G95=0,H95=0),"Do Not Print","Print")</f>
        <v>Do Not Print</v>
      </c>
      <c r="B95" s="1693" t="s">
        <v>672</v>
      </c>
      <c r="C95" s="1693"/>
      <c r="D95" s="1693"/>
      <c r="E95" s="1693"/>
      <c r="F95" s="669"/>
      <c r="G95" s="791">
        <f>'GROUP Det Group BS'!J281</f>
        <v>0</v>
      </c>
      <c r="H95" s="791">
        <f>'GROUP Det Group BS'!K281</f>
        <v>0</v>
      </c>
      <c r="I95" s="789"/>
      <c r="K95" s="640"/>
    </row>
    <row r="96" spans="1:12" x14ac:dyDescent="0.25">
      <c r="A96" s="401" t="str">
        <f>IF(AND(G96=0,H96=0),"Do Not Print","Print")</f>
        <v>Do Not Print</v>
      </c>
      <c r="B96" s="1693" t="s">
        <v>705</v>
      </c>
      <c r="C96" s="1693"/>
      <c r="D96" s="1693"/>
      <c r="E96" s="1693"/>
      <c r="F96" s="669"/>
      <c r="G96" s="791">
        <f>'GROUP Det Group BS'!J288</f>
        <v>0</v>
      </c>
      <c r="H96" s="791">
        <f>'GROUP Det Group BS'!K288</f>
        <v>0</v>
      </c>
      <c r="I96" s="789"/>
    </row>
    <row r="97" spans="1:11" x14ac:dyDescent="0.25">
      <c r="A97" s="401" t="str">
        <f>IF(AND(G97=0,H97=0),"Do Not Print","Print")</f>
        <v>Do Not Print</v>
      </c>
      <c r="B97" s="2064" t="s">
        <v>452</v>
      </c>
      <c r="C97" s="2064"/>
      <c r="D97" s="2064"/>
      <c r="E97" s="2064"/>
      <c r="F97" s="669"/>
      <c r="G97" s="791">
        <f>'GROUP Det Group BS'!J295</f>
        <v>0</v>
      </c>
      <c r="H97" s="791">
        <f>'GROUP Det Group BS'!K295</f>
        <v>0</v>
      </c>
      <c r="I97" s="789"/>
    </row>
    <row r="98" spans="1:11" x14ac:dyDescent="0.25">
      <c r="A98" s="401" t="str">
        <f>IF(AND(G98=0,H98=0),"Do Not Print","Print")</f>
        <v>Do Not Print</v>
      </c>
      <c r="B98" s="1693" t="s">
        <v>364</v>
      </c>
      <c r="C98" s="1693"/>
      <c r="D98" s="1693"/>
      <c r="E98" s="1693"/>
      <c r="F98" s="669"/>
      <c r="G98" s="791">
        <f>'GROUP Det Group BS'!J314</f>
        <v>0</v>
      </c>
      <c r="H98" s="791">
        <f>'GROUP Det Group BS'!K314</f>
        <v>0</v>
      </c>
      <c r="I98" s="789"/>
      <c r="K98" s="640"/>
    </row>
    <row r="99" spans="1:11" x14ac:dyDescent="0.25">
      <c r="A99" s="401" t="str">
        <f t="shared" ref="A99:A100" si="7">IF(AND(G99=0,H99=0),"Do Not Print","Print")</f>
        <v>Do Not Print</v>
      </c>
      <c r="B99" s="1694" t="s">
        <v>2363</v>
      </c>
      <c r="C99" s="1694"/>
      <c r="D99" s="1694"/>
      <c r="E99" s="1694"/>
      <c r="F99" s="669"/>
      <c r="G99" s="791">
        <f>'GROUP Det Group BS'!J317</f>
        <v>0</v>
      </c>
      <c r="H99" s="791">
        <f>'GROUP Det Group BS'!K317</f>
        <v>0</v>
      </c>
      <c r="I99" s="789"/>
      <c r="K99" s="640"/>
    </row>
    <row r="100" spans="1:11" x14ac:dyDescent="0.25">
      <c r="A100" s="401" t="str">
        <f t="shared" si="7"/>
        <v>Do Not Print</v>
      </c>
      <c r="B100" s="1694" t="s">
        <v>2692</v>
      </c>
      <c r="C100" s="1694"/>
      <c r="D100" s="1694"/>
      <c r="E100" s="1694"/>
      <c r="F100" s="669"/>
      <c r="G100" s="791">
        <f>'GROUP Det Group BS'!J320</f>
        <v>0</v>
      </c>
      <c r="H100" s="791">
        <f>'GROUP Det Group BS'!K320</f>
        <v>0</v>
      </c>
      <c r="I100" s="789"/>
      <c r="K100" s="640"/>
    </row>
    <row r="101" spans="1:11" x14ac:dyDescent="0.25">
      <c r="A101" s="401" t="s">
        <v>448</v>
      </c>
      <c r="B101" s="1693"/>
      <c r="C101" s="1693"/>
      <c r="D101" s="1693"/>
      <c r="E101" s="1693"/>
      <c r="F101" s="669"/>
      <c r="G101" s="791"/>
      <c r="H101" s="791"/>
      <c r="I101" s="789"/>
      <c r="K101" s="640"/>
    </row>
    <row r="102" spans="1:11" x14ac:dyDescent="0.25">
      <c r="A102" s="401" t="str">
        <f>IF(AND(G102=0,H102=0),"Do Not Print","Print")</f>
        <v>Do Not Print</v>
      </c>
      <c r="B102" s="800" t="s">
        <v>453</v>
      </c>
      <c r="C102" s="801"/>
      <c r="D102" s="800"/>
      <c r="E102" s="800"/>
      <c r="F102" s="801"/>
      <c r="G102" s="810">
        <f>SUM(G95:G101)</f>
        <v>0</v>
      </c>
      <c r="H102" s="810">
        <f>SUM(H95:H101)</f>
        <v>0</v>
      </c>
      <c r="I102" s="816"/>
    </row>
    <row r="103" spans="1:11" x14ac:dyDescent="0.25">
      <c r="A103" s="401" t="s">
        <v>448</v>
      </c>
      <c r="B103" s="1693"/>
      <c r="C103" s="1693"/>
      <c r="D103" s="1693"/>
      <c r="E103" s="1693"/>
      <c r="F103" s="669"/>
      <c r="G103" s="791"/>
      <c r="H103" s="791"/>
      <c r="I103" s="789"/>
    </row>
    <row r="104" spans="1:11" x14ac:dyDescent="0.25">
      <c r="A104" s="401" t="str">
        <f>IF(AND(G104=0,H104=0),"Do Not Print","Print")</f>
        <v>Do Not Print</v>
      </c>
      <c r="B104" s="1693" t="s">
        <v>454</v>
      </c>
      <c r="C104" s="1693"/>
      <c r="D104" s="1693"/>
      <c r="E104" s="1693"/>
      <c r="F104" s="669"/>
      <c r="G104" s="791">
        <f>'GROUP Det Group BS'!J329</f>
        <v>0</v>
      </c>
      <c r="H104" s="791">
        <f>'GROUP Det Group BS'!K329</f>
        <v>0</v>
      </c>
      <c r="I104" s="789"/>
    </row>
    <row r="105" spans="1:11" x14ac:dyDescent="0.25">
      <c r="A105" s="401" t="str">
        <f>IF(AND(G105=0,H105=0),"Do Not Print","Print")</f>
        <v>Do Not Print</v>
      </c>
      <c r="B105" s="1693" t="s">
        <v>296</v>
      </c>
      <c r="C105" s="1693"/>
      <c r="D105" s="1693"/>
      <c r="E105" s="1693"/>
      <c r="F105" s="669"/>
      <c r="G105" s="791">
        <f>'GROUP Det Group BS'!J339</f>
        <v>0</v>
      </c>
      <c r="H105" s="791">
        <f>'GROUP Det Group BS'!K339</f>
        <v>0</v>
      </c>
      <c r="I105" s="789"/>
    </row>
    <row r="106" spans="1:11" x14ac:dyDescent="0.25">
      <c r="A106" s="401" t="str">
        <f>IF(AND(G106=0,H106=0),"Do Not Print","Print")</f>
        <v>Do Not Print</v>
      </c>
      <c r="B106" s="1693" t="s">
        <v>376</v>
      </c>
      <c r="C106" s="1693"/>
      <c r="D106" s="1693"/>
      <c r="E106" s="1693"/>
      <c r="F106" s="669"/>
      <c r="G106" s="791">
        <f>'GROUP Det Group BS'!J359</f>
        <v>0</v>
      </c>
      <c r="H106" s="791">
        <f>'GROUP Det Group BS'!K359</f>
        <v>0</v>
      </c>
      <c r="I106" s="789"/>
    </row>
    <row r="107" spans="1:11" x14ac:dyDescent="0.25">
      <c r="A107" s="401" t="str">
        <f>IF(AND(G107=0,H107=0),"Do Not Print","Print")</f>
        <v>Do Not Print</v>
      </c>
      <c r="B107" s="1693" t="s">
        <v>382</v>
      </c>
      <c r="C107" s="1693"/>
      <c r="D107" s="1693"/>
      <c r="E107" s="1693"/>
      <c r="F107" s="669"/>
      <c r="G107" s="791">
        <f>'GROUP Account notes'!I511+'GROUP Account notes'!I512+'GROUP Account notes'!I513</f>
        <v>0</v>
      </c>
      <c r="H107" s="791">
        <f>'GROUP Account notes'!J511+'GROUP Account notes'!J512+'GROUP Account notes'!J513</f>
        <v>0</v>
      </c>
      <c r="I107" s="789"/>
      <c r="K107" s="640"/>
    </row>
    <row r="108" spans="1:11" x14ac:dyDescent="0.25">
      <c r="A108" s="401" t="str">
        <f>IF(AND(G108=0,H108=0),"Do Not Print","Print")</f>
        <v>Do Not Print</v>
      </c>
      <c r="B108" s="1693" t="s">
        <v>293</v>
      </c>
      <c r="C108" s="1693"/>
      <c r="D108" s="1693"/>
      <c r="E108" s="1693"/>
      <c r="F108" s="669"/>
      <c r="G108" s="791">
        <f>'GROUP Det Group BS'!J378</f>
        <v>0</v>
      </c>
      <c r="H108" s="791">
        <f>'GROUP Det Group BS'!K378</f>
        <v>0</v>
      </c>
      <c r="I108" s="789"/>
      <c r="K108" s="640"/>
    </row>
    <row r="109" spans="1:11" x14ac:dyDescent="0.25">
      <c r="A109" s="401" t="str">
        <f t="shared" ref="A109:A110" si="8">IF(AND(G109=0,H109=0),"Do Not Print","Print")</f>
        <v>Do Not Print</v>
      </c>
      <c r="B109" s="1694" t="s">
        <v>2363</v>
      </c>
      <c r="C109" s="1694"/>
      <c r="D109" s="1694"/>
      <c r="E109" s="1694"/>
      <c r="F109" s="669"/>
      <c r="G109" s="791">
        <f>'GROUP Det Group BS'!J381</f>
        <v>0</v>
      </c>
      <c r="H109" s="791">
        <f>'GROUP Det Group BS'!K381</f>
        <v>0</v>
      </c>
      <c r="I109" s="789"/>
      <c r="K109" s="640"/>
    </row>
    <row r="110" spans="1:11" x14ac:dyDescent="0.25">
      <c r="A110" s="401" t="str">
        <f t="shared" si="8"/>
        <v>Do Not Print</v>
      </c>
      <c r="B110" s="1694" t="s">
        <v>2692</v>
      </c>
      <c r="C110" s="1694"/>
      <c r="D110" s="1694"/>
      <c r="E110" s="1694"/>
      <c r="F110" s="669"/>
      <c r="G110" s="791">
        <f>'GROUP Det Group BS'!J384</f>
        <v>0</v>
      </c>
      <c r="H110" s="791">
        <f>'GROUP Det Group BS'!K384</f>
        <v>0</v>
      </c>
      <c r="I110" s="789"/>
      <c r="K110" s="640"/>
    </row>
    <row r="111" spans="1:11" x14ac:dyDescent="0.25">
      <c r="A111" s="401" t="s">
        <v>448</v>
      </c>
      <c r="B111" s="1693"/>
      <c r="C111" s="1693"/>
      <c r="D111" s="1693"/>
      <c r="E111" s="1693"/>
      <c r="F111" s="669"/>
      <c r="G111" s="791"/>
      <c r="H111" s="791"/>
      <c r="I111" s="789"/>
    </row>
    <row r="112" spans="1:11" x14ac:dyDescent="0.25">
      <c r="A112" s="401" t="str">
        <f>IF(AND(G112=0,H112=0),"Do Not Print","Print")</f>
        <v>Do Not Print</v>
      </c>
      <c r="B112" s="800" t="s">
        <v>455</v>
      </c>
      <c r="C112" s="801"/>
      <c r="D112" s="800"/>
      <c r="E112" s="800"/>
      <c r="F112" s="801"/>
      <c r="G112" s="810">
        <f>SUM(G104:G111)</f>
        <v>0</v>
      </c>
      <c r="H112" s="810">
        <f>SUM(H104:H111)</f>
        <v>0</v>
      </c>
      <c r="I112" s="816"/>
    </row>
    <row r="113" spans="1:11" x14ac:dyDescent="0.25">
      <c r="A113" s="401" t="s">
        <v>448</v>
      </c>
      <c r="B113" s="1693"/>
      <c r="C113" s="1693"/>
      <c r="D113" s="1693"/>
      <c r="E113" s="1693"/>
      <c r="F113" s="669"/>
      <c r="G113" s="791"/>
      <c r="H113" s="791"/>
      <c r="I113" s="789"/>
    </row>
    <row r="114" spans="1:11" x14ac:dyDescent="0.25">
      <c r="A114" s="401" t="str">
        <f>IF(AND(G114=0,H114=0),"Do Not Print","Print")</f>
        <v>Do Not Print</v>
      </c>
      <c r="B114" s="1693" t="s">
        <v>456</v>
      </c>
      <c r="C114" s="1693"/>
      <c r="D114" s="1693"/>
      <c r="E114" s="1693"/>
      <c r="F114" s="669"/>
      <c r="G114" s="791">
        <f>'GROUP Det Group BS'!J389</f>
        <v>0</v>
      </c>
      <c r="H114" s="791">
        <f>'GROUP Det Group BS'!K389</f>
        <v>0</v>
      </c>
      <c r="I114" s="789"/>
    </row>
    <row r="115" spans="1:11" x14ac:dyDescent="0.25">
      <c r="A115" s="401" t="str">
        <f>IF(AND(G115=0,H115=0),"Do Not Print","Print")</f>
        <v>Do Not Print</v>
      </c>
      <c r="B115" s="1693" t="s">
        <v>457</v>
      </c>
      <c r="C115" s="1693"/>
      <c r="D115" s="1693"/>
      <c r="E115" s="1693"/>
      <c r="F115" s="669"/>
      <c r="G115" s="791">
        <f>'Notes 11c to 24'!I537</f>
        <v>0</v>
      </c>
      <c r="H115" s="791">
        <f>'Notes 11c to 24'!J537</f>
        <v>0</v>
      </c>
      <c r="I115" s="789"/>
    </row>
    <row r="116" spans="1:11" x14ac:dyDescent="0.25">
      <c r="A116" s="401" t="str">
        <f>IF(AND(G116=0,H116=0),"Do Not Print","Print")</f>
        <v>Do Not Print</v>
      </c>
      <c r="B116" s="1693" t="s">
        <v>395</v>
      </c>
      <c r="C116" s="1693"/>
      <c r="D116" s="1693"/>
      <c r="E116" s="1693"/>
      <c r="F116" s="669"/>
      <c r="G116" s="791">
        <f>'GROUP Det Group BS'!J408</f>
        <v>0</v>
      </c>
      <c r="H116" s="791">
        <f>'GROUP Det Group BS'!K408</f>
        <v>0</v>
      </c>
      <c r="I116" s="789"/>
      <c r="K116" s="640"/>
    </row>
    <row r="117" spans="1:11" x14ac:dyDescent="0.25">
      <c r="A117" s="401" t="str">
        <f>IF(AND(G117=0,H117=0),"Do Not Print","Print")</f>
        <v>Do Not Print</v>
      </c>
      <c r="B117" s="1693" t="s">
        <v>308</v>
      </c>
      <c r="C117" s="1693"/>
      <c r="D117" s="1693"/>
      <c r="E117" s="1693"/>
      <c r="F117" s="669"/>
      <c r="G117" s="791">
        <f>'GROUP Det Group BS'!J431</f>
        <v>0</v>
      </c>
      <c r="H117" s="791">
        <f>'GROUP Det Group BS'!K431</f>
        <v>0</v>
      </c>
      <c r="I117" s="789"/>
    </row>
    <row r="118" spans="1:11" x14ac:dyDescent="0.25">
      <c r="A118" s="401" t="str">
        <f>IF(AND(G118=0,H118=0),"Do Not Print","Print")</f>
        <v>Do Not Print</v>
      </c>
      <c r="B118" s="1694" t="s">
        <v>2364</v>
      </c>
      <c r="C118" s="1694"/>
      <c r="D118" s="1694"/>
      <c r="E118" s="1694"/>
      <c r="F118" s="669"/>
      <c r="G118" s="791">
        <f>'GROUP Det Group BS'!J434</f>
        <v>0</v>
      </c>
      <c r="H118" s="791">
        <f>'GROUP Det Group BS'!K434</f>
        <v>0</v>
      </c>
      <c r="I118" s="789"/>
    </row>
    <row r="119" spans="1:11" x14ac:dyDescent="0.25">
      <c r="A119" s="401" t="s">
        <v>448</v>
      </c>
      <c r="B119" s="1693"/>
      <c r="C119" s="1693"/>
      <c r="D119" s="1693"/>
      <c r="E119" s="1693"/>
      <c r="F119" s="669"/>
      <c r="G119" s="791"/>
      <c r="H119" s="791"/>
      <c r="I119" s="789"/>
      <c r="K119" s="640"/>
    </row>
    <row r="120" spans="1:11" x14ac:dyDescent="0.25">
      <c r="A120" s="401" t="str">
        <f>IF(AND(G120=0,H120=0),"Do Not Print","Print")</f>
        <v>Do Not Print</v>
      </c>
      <c r="B120" s="800" t="s">
        <v>458</v>
      </c>
      <c r="C120" s="801"/>
      <c r="D120" s="800"/>
      <c r="E120" s="800"/>
      <c r="F120" s="801"/>
      <c r="G120" s="810">
        <f>SUM(G114:G119)</f>
        <v>0</v>
      </c>
      <c r="H120" s="810">
        <f>SUM(H114:H119)</f>
        <v>0</v>
      </c>
      <c r="I120" s="816"/>
    </row>
    <row r="121" spans="1:11" x14ac:dyDescent="0.25">
      <c r="A121" s="401" t="s">
        <v>448</v>
      </c>
      <c r="B121" s="1693"/>
      <c r="C121" s="1693"/>
      <c r="D121" s="1693"/>
      <c r="E121" s="1693"/>
      <c r="F121" s="669"/>
      <c r="G121" s="791"/>
      <c r="H121" s="791"/>
      <c r="I121" s="789"/>
    </row>
    <row r="122" spans="1:11" x14ac:dyDescent="0.25">
      <c r="A122" s="401" t="str">
        <f t="shared" ref="A122:A128" si="9">IF(AND(G122=0,H122=0),"Do Not Print","Print")</f>
        <v>Do Not Print</v>
      </c>
      <c r="B122" s="1693" t="s">
        <v>403</v>
      </c>
      <c r="C122" s="1693"/>
      <c r="D122" s="1693"/>
      <c r="E122" s="1693"/>
      <c r="F122" s="669"/>
      <c r="G122" s="791">
        <f>'GROUP Det Group BS'!J458</f>
        <v>0</v>
      </c>
      <c r="H122" s="791">
        <f>'GROUP Det Group BS'!K458</f>
        <v>0</v>
      </c>
      <c r="I122" s="789"/>
    </row>
    <row r="123" spans="1:11" x14ac:dyDescent="0.25">
      <c r="A123" s="401" t="str">
        <f t="shared" si="9"/>
        <v>Do Not Print</v>
      </c>
      <c r="B123" s="1693" t="s">
        <v>308</v>
      </c>
      <c r="C123" s="1693"/>
      <c r="D123" s="1693"/>
      <c r="E123" s="1693"/>
      <c r="F123" s="669"/>
      <c r="G123" s="791">
        <f>'GROUP Det Group BS'!J481</f>
        <v>0</v>
      </c>
      <c r="H123" s="791">
        <f>'GROUP Det Group BS'!K481</f>
        <v>0</v>
      </c>
      <c r="I123" s="789"/>
      <c r="K123" s="640"/>
    </row>
    <row r="124" spans="1:11" x14ac:dyDescent="0.25">
      <c r="A124" s="401" t="str">
        <f t="shared" si="9"/>
        <v>Do Not Print</v>
      </c>
      <c r="B124" s="1693" t="s">
        <v>639</v>
      </c>
      <c r="C124" s="1693"/>
      <c r="D124" s="1693"/>
      <c r="E124" s="1693"/>
      <c r="F124" s="669"/>
      <c r="G124" s="791">
        <f>'GROUP Det Group BS'!J444</f>
        <v>0</v>
      </c>
      <c r="H124" s="791">
        <f>'GROUP Det Group BS'!K444</f>
        <v>0</v>
      </c>
      <c r="I124" s="789"/>
    </row>
    <row r="125" spans="1:11" x14ac:dyDescent="0.25">
      <c r="A125" s="401" t="str">
        <f t="shared" si="9"/>
        <v>Do Not Print</v>
      </c>
      <c r="B125" s="1693" t="s">
        <v>459</v>
      </c>
      <c r="C125" s="1693"/>
      <c r="D125" s="1693"/>
      <c r="E125" s="1693"/>
      <c r="F125" s="669"/>
      <c r="G125" s="791">
        <f>('Notes 3 to 10'!G238+'GROUP Account notes'!I325)</f>
        <v>0</v>
      </c>
      <c r="H125" s="791">
        <f>('Notes 3 to 10'!I238+'GROUP Account notes'!J325)</f>
        <v>0</v>
      </c>
      <c r="I125" s="789"/>
    </row>
    <row r="126" spans="1:11" x14ac:dyDescent="0.25">
      <c r="A126" s="401" t="str">
        <f t="shared" si="9"/>
        <v>Do Not Print</v>
      </c>
      <c r="B126" s="1694" t="s">
        <v>2364</v>
      </c>
      <c r="C126" s="1694"/>
      <c r="D126" s="1694"/>
      <c r="E126" s="1694"/>
      <c r="F126" s="669"/>
      <c r="G126" s="791">
        <f>'GROUP Det Group BS'!J515</f>
        <v>0</v>
      </c>
      <c r="H126" s="791">
        <f>'GROUP Det Group BS'!K515</f>
        <v>0</v>
      </c>
      <c r="I126" s="789"/>
    </row>
    <row r="127" spans="1:11" x14ac:dyDescent="0.25">
      <c r="A127" s="401" t="str">
        <f t="shared" si="9"/>
        <v>Do Not Print</v>
      </c>
      <c r="B127" s="1693" t="s">
        <v>788</v>
      </c>
      <c r="C127" s="1693"/>
      <c r="D127" s="1693"/>
      <c r="E127" s="1693"/>
      <c r="F127" s="669"/>
      <c r="G127" s="791">
        <f>'GROUP Det Group BS'!J521</f>
        <v>0</v>
      </c>
      <c r="H127" s="791">
        <f>'GROUP Det Group BS'!K521</f>
        <v>0</v>
      </c>
      <c r="I127" s="789"/>
    </row>
    <row r="128" spans="1:11" x14ac:dyDescent="0.25">
      <c r="A128" s="401" t="str">
        <f t="shared" si="9"/>
        <v>Do Not Print</v>
      </c>
      <c r="B128" s="1693" t="s">
        <v>799</v>
      </c>
      <c r="C128" s="1693"/>
      <c r="D128" s="1693"/>
      <c r="E128" s="1693"/>
      <c r="F128" s="669"/>
      <c r="G128" s="791">
        <f>'GROUP Det Group BS'!J527</f>
        <v>0</v>
      </c>
      <c r="H128" s="791">
        <f>'GROUP Det Group BS'!K527</f>
        <v>0</v>
      </c>
      <c r="I128" s="789"/>
    </row>
    <row r="129" spans="1:12" x14ac:dyDescent="0.25">
      <c r="A129" s="401" t="s">
        <v>448</v>
      </c>
      <c r="B129" s="1693"/>
      <c r="C129" s="1693"/>
      <c r="D129" s="1693"/>
      <c r="E129" s="1693"/>
      <c r="F129" s="669"/>
      <c r="G129" s="791"/>
      <c r="H129" s="791"/>
      <c r="I129" s="789"/>
    </row>
    <row r="130" spans="1:12" x14ac:dyDescent="0.25">
      <c r="A130" s="401" t="str">
        <f>IF(AND(G130=0,H130=0),"Do Not Print","Print")</f>
        <v>Do Not Print</v>
      </c>
      <c r="B130" s="800" t="s">
        <v>460</v>
      </c>
      <c r="C130" s="801"/>
      <c r="D130" s="800"/>
      <c r="E130" s="800"/>
      <c r="F130" s="801"/>
      <c r="G130" s="810">
        <f>SUM(G122:G129)</f>
        <v>0</v>
      </c>
      <c r="H130" s="810">
        <f>SUM(H122:H129)</f>
        <v>0</v>
      </c>
      <c r="I130" s="816"/>
    </row>
    <row r="131" spans="1:12" x14ac:dyDescent="0.25">
      <c r="A131" s="401" t="s">
        <v>448</v>
      </c>
      <c r="B131" s="799"/>
      <c r="D131" s="799"/>
      <c r="E131" s="799"/>
      <c r="F131" s="669"/>
      <c r="G131" s="791"/>
      <c r="H131" s="791"/>
      <c r="I131" s="789"/>
    </row>
    <row r="132" spans="1:12" x14ac:dyDescent="0.25">
      <c r="A132" s="401" t="str">
        <f>IF(AND(G132=0,H132=0),"Do Not Print","Print")</f>
        <v>Do Not Print</v>
      </c>
      <c r="B132" s="800" t="s">
        <v>461</v>
      </c>
      <c r="C132" s="801"/>
      <c r="D132" s="800"/>
      <c r="E132" s="800"/>
      <c r="F132" s="801"/>
      <c r="G132" s="810">
        <f>G102+G112-G120-G130</f>
        <v>0</v>
      </c>
      <c r="H132" s="810">
        <f>H102+H112-H120-H130</f>
        <v>0</v>
      </c>
      <c r="I132" s="816"/>
    </row>
    <row r="133" spans="1:12" x14ac:dyDescent="0.25">
      <c r="A133" s="401" t="s">
        <v>448</v>
      </c>
      <c r="B133" s="799"/>
      <c r="D133" s="799"/>
      <c r="E133" s="799"/>
      <c r="F133" s="669"/>
      <c r="G133" s="791"/>
      <c r="H133" s="791"/>
      <c r="I133" s="789"/>
    </row>
    <row r="134" spans="1:12" x14ac:dyDescent="0.25">
      <c r="A134" s="401" t="str">
        <f t="shared" ref="A134:A140" si="10">IF(AND(G134=0,H134=0),"Do Not Print","Print")</f>
        <v>Do Not Print</v>
      </c>
      <c r="B134" s="799" t="s">
        <v>462</v>
      </c>
      <c r="D134" s="799"/>
      <c r="E134" s="799"/>
      <c r="F134" s="669"/>
      <c r="G134" s="791"/>
      <c r="H134" s="791"/>
      <c r="I134" s="789"/>
      <c r="J134" s="798"/>
    </row>
    <row r="135" spans="1:12" x14ac:dyDescent="0.25">
      <c r="A135" s="401" t="str">
        <f t="shared" si="10"/>
        <v>Do Not Print</v>
      </c>
      <c r="B135" s="799" t="s">
        <v>421</v>
      </c>
      <c r="D135" s="799"/>
      <c r="E135" s="799"/>
      <c r="F135" s="669"/>
      <c r="G135" s="791">
        <f>'GROUP Account Notes FA&amp;Reserves'!J191</f>
        <v>0</v>
      </c>
      <c r="H135" s="791">
        <f>'GROUP Account Notes FA&amp;Reserves'!K191</f>
        <v>0</v>
      </c>
      <c r="I135" s="789"/>
    </row>
    <row r="136" spans="1:12" x14ac:dyDescent="0.25">
      <c r="A136" s="401" t="str">
        <f t="shared" si="10"/>
        <v>Do Not Print</v>
      </c>
      <c r="B136" s="799" t="s">
        <v>422</v>
      </c>
      <c r="D136" s="799"/>
      <c r="E136" s="799"/>
      <c r="F136" s="669"/>
      <c r="G136" s="791">
        <f>'GROUP Account Notes FA&amp;Reserves'!J205</f>
        <v>0</v>
      </c>
      <c r="H136" s="791">
        <f>'GROUP Account Notes FA&amp;Reserves'!K205</f>
        <v>0</v>
      </c>
      <c r="I136" s="789"/>
    </row>
    <row r="137" spans="1:12" x14ac:dyDescent="0.25">
      <c r="A137" s="401" t="str">
        <f t="shared" si="10"/>
        <v>Do Not Print</v>
      </c>
      <c r="B137" s="799" t="s">
        <v>423</v>
      </c>
      <c r="D137" s="799"/>
      <c r="E137" s="799"/>
      <c r="F137" s="669"/>
      <c r="G137" s="791">
        <f>'GROUP Account Notes FA&amp;Reserves'!J216</f>
        <v>0</v>
      </c>
      <c r="H137" s="791">
        <f>'GROUP Account Notes FA&amp;Reserves'!K216</f>
        <v>0</v>
      </c>
      <c r="I137" s="789"/>
    </row>
    <row r="138" spans="1:12" x14ac:dyDescent="0.25">
      <c r="A138" s="401" t="str">
        <f t="shared" si="10"/>
        <v>Do Not Print</v>
      </c>
      <c r="B138" s="799" t="s">
        <v>321</v>
      </c>
      <c r="D138" s="799"/>
      <c r="E138" s="799"/>
      <c r="F138" s="669"/>
      <c r="G138" s="791">
        <f>'GROUP Account Notes FA&amp;Reserves'!J227</f>
        <v>0</v>
      </c>
      <c r="H138" s="791">
        <f>'GROUP Account Notes FA&amp;Reserves'!K227</f>
        <v>0</v>
      </c>
      <c r="I138" s="789"/>
    </row>
    <row r="139" spans="1:12" x14ac:dyDescent="0.25">
      <c r="A139" s="401" t="str">
        <f t="shared" si="10"/>
        <v>Do Not Print</v>
      </c>
      <c r="B139" s="799" t="s">
        <v>463</v>
      </c>
      <c r="D139" s="799"/>
      <c r="E139" s="799"/>
      <c r="F139" s="669"/>
      <c r="G139" s="791">
        <f>'GROUP Account Notes FA&amp;Reserves'!J237</f>
        <v>0</v>
      </c>
      <c r="H139" s="791">
        <f>'GROUP Account Notes FA&amp;Reserves'!K237</f>
        <v>0</v>
      </c>
      <c r="I139" s="789"/>
      <c r="K139" s="640"/>
    </row>
    <row r="140" spans="1:12" x14ac:dyDescent="0.25">
      <c r="A140" s="401" t="str">
        <f t="shared" si="10"/>
        <v>Do Not Print</v>
      </c>
      <c r="B140" s="799" t="s">
        <v>426</v>
      </c>
      <c r="D140" s="799"/>
      <c r="E140" s="799"/>
      <c r="F140" s="669"/>
      <c r="G140" s="791">
        <f>'GROUP Account Notes FA&amp;Reserves'!J261</f>
        <v>0</v>
      </c>
      <c r="H140" s="791">
        <f>'GROUP Account Notes FA&amp;Reserves'!K261</f>
        <v>0</v>
      </c>
      <c r="I140" s="789"/>
    </row>
    <row r="141" spans="1:12" x14ac:dyDescent="0.25">
      <c r="A141" s="401" t="s">
        <v>448</v>
      </c>
      <c r="B141" s="799"/>
      <c r="D141" s="799"/>
      <c r="E141" s="799"/>
      <c r="F141" s="799"/>
      <c r="G141" s="791"/>
      <c r="H141" s="791"/>
      <c r="I141" s="789"/>
    </row>
    <row r="142" spans="1:12" x14ac:dyDescent="0.25">
      <c r="A142" s="401" t="str">
        <f>IF(AND(G142=0,H142=0),"Do Not Print","Print")</f>
        <v>Do Not Print</v>
      </c>
      <c r="B142" s="800"/>
      <c r="C142" s="801"/>
      <c r="D142" s="800"/>
      <c r="E142" s="800"/>
      <c r="F142" s="800"/>
      <c r="G142" s="810">
        <f>SUM(G135:G141)</f>
        <v>0</v>
      </c>
      <c r="H142" s="810">
        <f>SUM(H135:H141)</f>
        <v>0</v>
      </c>
      <c r="I142" s="816"/>
    </row>
    <row r="143" spans="1:12" x14ac:dyDescent="0.25">
      <c r="A143" s="401" t="str">
        <f t="shared" ref="A143:A153" si="11">IF(AND(G143=0,H143=0),"Do Not Print","Print")</f>
        <v>Do Not Print</v>
      </c>
      <c r="B143" s="799" t="s">
        <v>464</v>
      </c>
      <c r="D143" s="799"/>
      <c r="E143" s="799"/>
      <c r="F143" s="799"/>
      <c r="G143" s="791"/>
      <c r="H143" s="791"/>
      <c r="I143" s="789"/>
    </row>
    <row r="144" spans="1:12" x14ac:dyDescent="0.25">
      <c r="A144" s="401" t="str">
        <f t="shared" si="11"/>
        <v>Do Not Print</v>
      </c>
      <c r="B144" s="799" t="s">
        <v>428</v>
      </c>
      <c r="D144" s="799"/>
      <c r="E144" s="799"/>
      <c r="F144" s="669"/>
      <c r="G144" s="791">
        <f>'GROUP Account Notes FA&amp;Reserves'!J291</f>
        <v>0</v>
      </c>
      <c r="H144" s="791">
        <f>'GROUP Account Notes FA&amp;Reserves'!K291</f>
        <v>0</v>
      </c>
      <c r="I144" s="789"/>
      <c r="L144" s="817"/>
    </row>
    <row r="145" spans="1:14" x14ac:dyDescent="0.25">
      <c r="A145" s="401" t="str">
        <f t="shared" si="11"/>
        <v>Do Not Print</v>
      </c>
      <c r="B145" s="799" t="s">
        <v>429</v>
      </c>
      <c r="D145" s="799"/>
      <c r="E145" s="799"/>
      <c r="F145" s="669"/>
      <c r="G145" s="791">
        <f>'GROUP Account Notes FA&amp;Reserves'!J301</f>
        <v>0</v>
      </c>
      <c r="H145" s="791">
        <f>'GROUP Account Notes FA&amp;Reserves'!K301</f>
        <v>0</v>
      </c>
      <c r="I145" s="789"/>
    </row>
    <row r="146" spans="1:14" x14ac:dyDescent="0.25">
      <c r="A146" s="401" t="str">
        <f t="shared" si="11"/>
        <v>Do Not Print</v>
      </c>
      <c r="B146" s="799" t="s">
        <v>210</v>
      </c>
      <c r="D146" s="799"/>
      <c r="E146" s="799"/>
      <c r="F146" s="669"/>
      <c r="G146" s="791">
        <f>'GROUP Account Notes FA&amp;Reserves'!J319</f>
        <v>0</v>
      </c>
      <c r="H146" s="791">
        <f>'GROUP Account Notes FA&amp;Reserves'!K319</f>
        <v>0</v>
      </c>
      <c r="I146" s="789"/>
    </row>
    <row r="147" spans="1:14" x14ac:dyDescent="0.25">
      <c r="A147" s="401" t="str">
        <f t="shared" si="11"/>
        <v>Do Not Print</v>
      </c>
      <c r="B147" s="799" t="s">
        <v>431</v>
      </c>
      <c r="D147" s="799"/>
      <c r="E147" s="799"/>
      <c r="F147" s="669"/>
      <c r="G147" s="791">
        <f>'GROUP Account Notes FA&amp;Reserves'!J331</f>
        <v>0</v>
      </c>
      <c r="H147" s="791">
        <f>'GROUP Account Notes FA&amp;Reserves'!K331</f>
        <v>0</v>
      </c>
      <c r="I147" s="789"/>
    </row>
    <row r="148" spans="1:14" x14ac:dyDescent="0.25">
      <c r="A148" s="401" t="str">
        <f t="shared" ref="A148" si="12">IF(AND(G148=0,H148=0),"Do Not Print","Print")</f>
        <v>Do Not Print</v>
      </c>
      <c r="B148" s="799" t="s">
        <v>2769</v>
      </c>
      <c r="D148" s="799"/>
      <c r="E148" s="799"/>
      <c r="F148" s="669"/>
      <c r="G148" s="791">
        <f>'GROUP Account Notes FA&amp;Reserves'!J339</f>
        <v>0</v>
      </c>
      <c r="H148" s="791">
        <f>'GROUP Account Notes FA&amp;Reserves'!K332</f>
        <v>0</v>
      </c>
      <c r="I148" s="789"/>
    </row>
    <row r="149" spans="1:14" x14ac:dyDescent="0.25">
      <c r="A149" s="401" t="str">
        <f t="shared" si="11"/>
        <v>Do Not Print</v>
      </c>
      <c r="B149" s="799" t="s">
        <v>465</v>
      </c>
      <c r="D149" s="799"/>
      <c r="E149" s="799"/>
      <c r="F149" s="669"/>
      <c r="G149" s="791">
        <f>'GROUP Account Notes FA&amp;Reserves'!J349</f>
        <v>0</v>
      </c>
      <c r="H149" s="791">
        <f>'GROUP Account Notes FA&amp;Reserves'!K349</f>
        <v>0</v>
      </c>
      <c r="I149" s="789"/>
    </row>
    <row r="150" spans="1:14" x14ac:dyDescent="0.25">
      <c r="A150" s="401" t="str">
        <f t="shared" si="11"/>
        <v>Do Not Print</v>
      </c>
      <c r="B150" s="799" t="s">
        <v>433</v>
      </c>
      <c r="D150" s="799"/>
      <c r="E150" s="799"/>
      <c r="F150" s="669"/>
      <c r="G150" s="791">
        <f>'GROUP Account Notes FA&amp;Reserves'!J360</f>
        <v>0</v>
      </c>
      <c r="H150" s="791">
        <f>'GROUP Account Notes FA&amp;Reserves'!K360</f>
        <v>0</v>
      </c>
      <c r="I150" s="789"/>
    </row>
    <row r="151" spans="1:14" x14ac:dyDescent="0.25">
      <c r="A151" s="401" t="str">
        <f t="shared" si="11"/>
        <v>Do Not Print</v>
      </c>
      <c r="B151" s="799" t="s">
        <v>434</v>
      </c>
      <c r="D151" s="799"/>
      <c r="E151" s="799"/>
      <c r="F151" s="669"/>
      <c r="G151" s="791">
        <f>'GROUP Account Notes FA&amp;Reserves'!J371</f>
        <v>0</v>
      </c>
      <c r="H151" s="791">
        <f>'GROUP Account Notes FA&amp;Reserves'!K371</f>
        <v>0</v>
      </c>
      <c r="I151" s="789"/>
    </row>
    <row r="152" spans="1:14" x14ac:dyDescent="0.25">
      <c r="A152" s="401" t="str">
        <f t="shared" si="11"/>
        <v>Do Not Print</v>
      </c>
      <c r="B152" s="799" t="s">
        <v>328</v>
      </c>
      <c r="D152" s="799"/>
      <c r="E152" s="799"/>
      <c r="F152" s="669"/>
      <c r="G152" s="791">
        <f>'GROUP Account Notes FA&amp;Reserves'!J400</f>
        <v>0</v>
      </c>
      <c r="H152" s="791">
        <f>'GROUP Account Notes FA&amp;Reserves'!K400</f>
        <v>0</v>
      </c>
      <c r="I152" s="789"/>
    </row>
    <row r="153" spans="1:14" x14ac:dyDescent="0.25">
      <c r="A153" s="401" t="str">
        <f t="shared" si="11"/>
        <v>Do Not Print</v>
      </c>
      <c r="B153" s="799" t="s">
        <v>327</v>
      </c>
      <c r="D153" s="799"/>
      <c r="E153" s="799"/>
      <c r="F153" s="669"/>
      <c r="G153" s="791">
        <f>'GROUP Account Notes FA&amp;Reserves'!J385</f>
        <v>0</v>
      </c>
      <c r="H153" s="791">
        <f>'GROUP Account Notes FA&amp;Reserves'!K385</f>
        <v>0</v>
      </c>
      <c r="I153" s="789"/>
    </row>
    <row r="154" spans="1:14" x14ac:dyDescent="0.25">
      <c r="A154" s="401" t="s">
        <v>448</v>
      </c>
      <c r="B154" s="799"/>
      <c r="D154" s="799"/>
      <c r="E154" s="799"/>
      <c r="F154" s="799"/>
      <c r="G154" s="791"/>
      <c r="H154" s="791"/>
      <c r="I154" s="789"/>
    </row>
    <row r="155" spans="1:14" x14ac:dyDescent="0.25">
      <c r="A155" s="401" t="s">
        <v>448</v>
      </c>
      <c r="B155" s="799"/>
      <c r="D155" s="799"/>
      <c r="E155" s="799"/>
      <c r="F155" s="799"/>
      <c r="G155" s="791"/>
      <c r="H155" s="791"/>
      <c r="I155" s="789"/>
    </row>
    <row r="156" spans="1:14" x14ac:dyDescent="0.25">
      <c r="A156" s="401" t="str">
        <f>IF(AND(G156=0,H156=0),"Do Not Print","Print")</f>
        <v>Do Not Print</v>
      </c>
      <c r="B156" s="800"/>
      <c r="C156" s="801"/>
      <c r="D156" s="800"/>
      <c r="E156" s="800"/>
      <c r="F156" s="800"/>
      <c r="G156" s="810">
        <f>SUM(G144:G155)</f>
        <v>0</v>
      </c>
      <c r="H156" s="810">
        <f>SUM(H144:H155)</f>
        <v>0</v>
      </c>
      <c r="I156" s="816"/>
    </row>
    <row r="157" spans="1:14" x14ac:dyDescent="0.25">
      <c r="A157" s="401" t="s">
        <v>448</v>
      </c>
      <c r="B157" s="799"/>
      <c r="D157" s="799"/>
      <c r="E157" s="799"/>
      <c r="F157" s="799"/>
      <c r="G157" s="791"/>
      <c r="H157" s="791"/>
      <c r="I157" s="789"/>
    </row>
    <row r="158" spans="1:14" x14ac:dyDescent="0.25">
      <c r="A158" s="401" t="str">
        <f>IF(AND(G158=0,H158=0),"Do Not Print","Print")</f>
        <v>Do Not Print</v>
      </c>
      <c r="B158" s="796" t="s">
        <v>466</v>
      </c>
      <c r="C158" s="786"/>
      <c r="D158" s="796"/>
      <c r="E158" s="796"/>
      <c r="F158" s="796"/>
      <c r="G158" s="787">
        <f>G142+G156</f>
        <v>0</v>
      </c>
      <c r="H158" s="787">
        <f>H142+H156</f>
        <v>0</v>
      </c>
      <c r="I158" s="818" t="s">
        <v>1102</v>
      </c>
      <c r="L158" s="401" t="s">
        <v>1608</v>
      </c>
      <c r="M158" s="525">
        <f>+G132-G158</f>
        <v>0</v>
      </c>
      <c r="N158" s="525">
        <f>+H132-H158</f>
        <v>0</v>
      </c>
    </row>
    <row r="159" spans="1:14" x14ac:dyDescent="0.25">
      <c r="A159" s="401" t="s">
        <v>448</v>
      </c>
      <c r="B159" s="799"/>
      <c r="D159" s="799"/>
      <c r="E159" s="799"/>
      <c r="F159" s="799"/>
      <c r="G159" s="789"/>
      <c r="H159" s="789"/>
      <c r="I159" s="789"/>
    </row>
    <row r="160" spans="1:14" x14ac:dyDescent="0.25">
      <c r="A160" s="401" t="s">
        <v>448</v>
      </c>
      <c r="B160" s="799"/>
      <c r="D160" s="799"/>
      <c r="E160" s="799"/>
      <c r="F160" s="799"/>
      <c r="G160" s="789"/>
      <c r="H160" s="789"/>
      <c r="I160" s="789"/>
    </row>
    <row r="161" spans="1:9" x14ac:dyDescent="0.25">
      <c r="A161" s="401" t="s">
        <v>448</v>
      </c>
      <c r="B161" s="799" t="str">
        <f>'Standing Data'!D4</f>
        <v>NAME OF COUNCIL</v>
      </c>
      <c r="D161" s="799"/>
      <c r="E161" s="799"/>
      <c r="F161" s="799"/>
      <c r="G161" s="789"/>
      <c r="H161" s="789"/>
      <c r="I161" s="789"/>
    </row>
    <row r="162" spans="1:9" x14ac:dyDescent="0.25">
      <c r="A162" s="401" t="s">
        <v>448</v>
      </c>
      <c r="B162" s="467" t="str">
        <f>'Standing Data'!D26</f>
        <v>Group Cash Flow Statement at 31 March 2026</v>
      </c>
      <c r="D162" s="799"/>
      <c r="E162" s="799"/>
      <c r="F162" s="799"/>
      <c r="G162" s="799"/>
      <c r="H162" s="799"/>
      <c r="I162" s="799"/>
    </row>
    <row r="163" spans="1:9" x14ac:dyDescent="0.25">
      <c r="A163" s="401" t="s">
        <v>448</v>
      </c>
      <c r="B163" s="799"/>
      <c r="D163" s="799"/>
      <c r="E163" s="799"/>
      <c r="F163" s="799"/>
      <c r="G163" s="799"/>
      <c r="H163" s="799"/>
      <c r="I163" s="799"/>
    </row>
    <row r="164" spans="1:9" x14ac:dyDescent="0.25">
      <c r="A164" s="401" t="s">
        <v>448</v>
      </c>
      <c r="B164" s="819"/>
      <c r="C164" s="820"/>
      <c r="D164" s="819"/>
      <c r="E164" s="819"/>
      <c r="F164" s="786" t="s">
        <v>474</v>
      </c>
      <c r="G164" s="811" t="str">
        <f>'Standing Data'!D34</f>
        <v>2025/26</v>
      </c>
      <c r="H164" s="811" t="str">
        <f>'Standing Data'!D52</f>
        <v>2024/25</v>
      </c>
      <c r="I164" s="812"/>
    </row>
    <row r="165" spans="1:9" x14ac:dyDescent="0.25">
      <c r="A165" s="401" t="s">
        <v>448</v>
      </c>
      <c r="B165" s="802"/>
      <c r="C165" s="783"/>
      <c r="D165" s="802"/>
      <c r="E165" s="802"/>
      <c r="F165" s="802"/>
      <c r="G165" s="813" t="s">
        <v>450</v>
      </c>
      <c r="H165" s="813" t="s">
        <v>450</v>
      </c>
      <c r="I165" s="814"/>
    </row>
    <row r="166" spans="1:9" x14ac:dyDescent="0.25">
      <c r="A166" s="401" t="s">
        <v>448</v>
      </c>
      <c r="B166" s="1693" t="s">
        <v>198</v>
      </c>
      <c r="C166" s="1693"/>
      <c r="D166" s="1693"/>
      <c r="E166" s="1693"/>
      <c r="F166" s="799"/>
      <c r="G166" s="791">
        <f>F45</f>
        <v>0</v>
      </c>
      <c r="H166" s="791">
        <f>I45</f>
        <v>0</v>
      </c>
      <c r="I166" s="789"/>
    </row>
    <row r="167" spans="1:9" x14ac:dyDescent="0.25">
      <c r="A167" s="401" t="s">
        <v>448</v>
      </c>
      <c r="B167" s="1693"/>
      <c r="C167" s="1693"/>
      <c r="D167" s="1693"/>
      <c r="E167" s="1693"/>
      <c r="F167" s="799"/>
      <c r="G167" s="791"/>
      <c r="H167" s="791"/>
      <c r="I167" s="789"/>
    </row>
    <row r="168" spans="1:9" x14ac:dyDescent="0.25">
      <c r="A168" s="401" t="s">
        <v>448</v>
      </c>
      <c r="B168" s="1693" t="s">
        <v>199</v>
      </c>
      <c r="C168" s="1693"/>
      <c r="D168" s="1693"/>
      <c r="E168" s="1693"/>
      <c r="F168" s="799"/>
      <c r="G168" s="791">
        <f>'GROUP Account notes'!I494</f>
        <v>0</v>
      </c>
      <c r="H168" s="791">
        <f>'GROUP Account notes'!J494</f>
        <v>0</v>
      </c>
      <c r="I168" s="789"/>
    </row>
    <row r="169" spans="1:9" x14ac:dyDescent="0.25">
      <c r="A169" s="401" t="s">
        <v>448</v>
      </c>
      <c r="B169" s="1693"/>
      <c r="C169" s="1693"/>
      <c r="D169" s="1693"/>
      <c r="E169" s="1693"/>
      <c r="F169" s="799"/>
      <c r="G169" s="791"/>
      <c r="H169" s="791"/>
      <c r="I169" s="789"/>
    </row>
    <row r="170" spans="1:9" ht="25.5" customHeight="1" x14ac:dyDescent="0.25">
      <c r="A170" s="401" t="s">
        <v>448</v>
      </c>
      <c r="B170" s="2064" t="s">
        <v>816</v>
      </c>
      <c r="C170" s="2064"/>
      <c r="D170" s="2064"/>
      <c r="E170" s="2064"/>
      <c r="F170" s="790"/>
      <c r="G170" s="791">
        <f>'GROUP Account notes'!I504</f>
        <v>0</v>
      </c>
      <c r="H170" s="791">
        <f>'GROUP Account notes'!J504</f>
        <v>0</v>
      </c>
      <c r="I170" s="789"/>
    </row>
    <row r="171" spans="1:9" x14ac:dyDescent="0.25">
      <c r="A171" s="401" t="s">
        <v>448</v>
      </c>
      <c r="B171" s="1693"/>
      <c r="C171" s="1693"/>
      <c r="D171" s="1693"/>
      <c r="E171" s="1693"/>
      <c r="F171" s="799"/>
      <c r="G171" s="791"/>
      <c r="H171" s="791"/>
      <c r="I171" s="789"/>
    </row>
    <row r="172" spans="1:9" x14ac:dyDescent="0.25">
      <c r="A172" s="401" t="s">
        <v>448</v>
      </c>
      <c r="B172" s="796" t="s">
        <v>46</v>
      </c>
      <c r="C172" s="786"/>
      <c r="D172" s="796"/>
      <c r="E172" s="796"/>
      <c r="F172" s="796"/>
      <c r="G172" s="787">
        <f>SUM(G166:G171)</f>
        <v>0</v>
      </c>
      <c r="H172" s="787">
        <f>SUM(H166:H171)</f>
        <v>0</v>
      </c>
      <c r="I172" s="821"/>
    </row>
    <row r="173" spans="1:9" x14ac:dyDescent="0.25">
      <c r="A173" s="401" t="s">
        <v>448</v>
      </c>
      <c r="B173" s="1693"/>
      <c r="C173" s="1693"/>
      <c r="D173" s="1693"/>
      <c r="E173" s="1693"/>
      <c r="F173" s="799"/>
      <c r="G173" s="791"/>
      <c r="H173" s="791"/>
      <c r="I173" s="789"/>
    </row>
    <row r="174" spans="1:9" x14ac:dyDescent="0.25">
      <c r="A174" s="401" t="s">
        <v>448</v>
      </c>
      <c r="B174" s="1693" t="s">
        <v>540</v>
      </c>
      <c r="C174" s="1693"/>
      <c r="D174" s="1693"/>
      <c r="E174" s="1693"/>
      <c r="F174" s="799"/>
      <c r="G174" s="791">
        <f>'GROUP Account notes'!I537</f>
        <v>0</v>
      </c>
      <c r="H174" s="791">
        <f>'GROUP Account notes'!J537</f>
        <v>0</v>
      </c>
      <c r="I174" s="789"/>
    </row>
    <row r="175" spans="1:9" x14ac:dyDescent="0.25">
      <c r="A175" s="401" t="s">
        <v>448</v>
      </c>
      <c r="B175" s="1693"/>
      <c r="C175" s="1693"/>
      <c r="D175" s="1693"/>
      <c r="E175" s="1693"/>
      <c r="F175" s="799"/>
      <c r="G175" s="791"/>
      <c r="H175" s="791"/>
      <c r="I175" s="789"/>
    </row>
    <row r="176" spans="1:9" x14ac:dyDescent="0.25">
      <c r="A176" s="401" t="s">
        <v>448</v>
      </c>
      <c r="B176" s="1693" t="s">
        <v>555</v>
      </c>
      <c r="C176" s="1693"/>
      <c r="D176" s="1693"/>
      <c r="E176" s="1693"/>
      <c r="F176" s="799"/>
      <c r="G176" s="791">
        <f>'GROUP Account notes'!I548</f>
        <v>0</v>
      </c>
      <c r="H176" s="791">
        <f>'GROUP Account notes'!J548</f>
        <v>0</v>
      </c>
      <c r="I176" s="789"/>
    </row>
    <row r="177" spans="1:9" x14ac:dyDescent="0.25">
      <c r="A177" s="401" t="s">
        <v>448</v>
      </c>
      <c r="B177" s="1693"/>
      <c r="C177" s="1693"/>
      <c r="D177" s="1693"/>
      <c r="E177" s="1693"/>
      <c r="F177" s="799"/>
      <c r="G177" s="791"/>
      <c r="H177" s="791"/>
      <c r="I177" s="789"/>
    </row>
    <row r="178" spans="1:9" x14ac:dyDescent="0.25">
      <c r="A178" s="401" t="s">
        <v>448</v>
      </c>
      <c r="B178" s="796" t="s">
        <v>47</v>
      </c>
      <c r="C178" s="786"/>
      <c r="D178" s="796"/>
      <c r="E178" s="796"/>
      <c r="F178" s="796"/>
      <c r="G178" s="787">
        <f>SUM(G172:G177)</f>
        <v>0</v>
      </c>
      <c r="H178" s="787">
        <f>SUM(H172:H177)</f>
        <v>0</v>
      </c>
      <c r="I178" s="821"/>
    </row>
    <row r="179" spans="1:9" x14ac:dyDescent="0.25">
      <c r="A179" s="401" t="s">
        <v>448</v>
      </c>
      <c r="B179" s="799"/>
      <c r="D179" s="799"/>
      <c r="E179" s="799"/>
      <c r="F179" s="799"/>
      <c r="G179" s="791"/>
      <c r="H179" s="791"/>
      <c r="I179" s="789"/>
    </row>
    <row r="180" spans="1:9" x14ac:dyDescent="0.25">
      <c r="A180" s="401" t="s">
        <v>448</v>
      </c>
      <c r="B180" s="799" t="s">
        <v>48</v>
      </c>
      <c r="D180" s="799"/>
      <c r="E180" s="799"/>
      <c r="F180" s="799"/>
      <c r="G180" s="791">
        <f>'GROUP Account notes'!J516</f>
        <v>0</v>
      </c>
      <c r="H180" s="791">
        <f>'GROUP Det Group BS'!L389+'GROUP Det Group BS'!L364</f>
        <v>0</v>
      </c>
      <c r="I180" s="789"/>
    </row>
    <row r="181" spans="1:9" x14ac:dyDescent="0.25">
      <c r="A181" s="401" t="s">
        <v>448</v>
      </c>
      <c r="B181" s="799"/>
      <c r="D181" s="799"/>
      <c r="E181" s="799"/>
      <c r="F181" s="799"/>
      <c r="G181" s="791"/>
      <c r="H181" s="791"/>
      <c r="I181" s="789"/>
    </row>
    <row r="182" spans="1:9" x14ac:dyDescent="0.25">
      <c r="A182" s="401" t="s">
        <v>448</v>
      </c>
      <c r="B182" s="796" t="s">
        <v>49</v>
      </c>
      <c r="C182" s="786"/>
      <c r="D182" s="796"/>
      <c r="E182" s="796"/>
      <c r="F182" s="796"/>
      <c r="G182" s="787">
        <f>SUM(G178:G180)</f>
        <v>0</v>
      </c>
      <c r="H182" s="787">
        <f>SUM(H178:H180)</f>
        <v>0</v>
      </c>
      <c r="I182" s="789"/>
    </row>
    <row r="183" spans="1:9" x14ac:dyDescent="0.25">
      <c r="A183" s="401" t="s">
        <v>448</v>
      </c>
      <c r="B183" s="799"/>
      <c r="D183" s="799"/>
      <c r="E183" s="799"/>
      <c r="F183" s="799"/>
      <c r="G183" s="791"/>
      <c r="H183" s="791"/>
      <c r="I183" s="789"/>
    </row>
    <row r="184" spans="1:9" x14ac:dyDescent="0.25">
      <c r="B184" s="799"/>
      <c r="D184" s="799"/>
      <c r="E184" s="799"/>
      <c r="F184" s="799"/>
      <c r="G184" s="799"/>
      <c r="H184" s="789"/>
      <c r="I184" s="789"/>
    </row>
    <row r="185" spans="1:9" ht="24.75" customHeight="1" x14ac:dyDescent="0.25">
      <c r="B185" s="1699" t="s">
        <v>1609</v>
      </c>
      <c r="C185" s="1699"/>
      <c r="D185" s="1699"/>
      <c r="E185" s="1699"/>
      <c r="F185" s="1699"/>
      <c r="G185" s="791">
        <f>G107-G114</f>
        <v>0</v>
      </c>
      <c r="H185" s="791">
        <f>H107-H114</f>
        <v>0</v>
      </c>
      <c r="I185" s="789"/>
    </row>
    <row r="186" spans="1:9" x14ac:dyDescent="0.25">
      <c r="B186" s="822"/>
      <c r="H186" s="544"/>
      <c r="I186" s="544"/>
    </row>
    <row r="187" spans="1:9" x14ac:dyDescent="0.25">
      <c r="B187" s="794" t="s">
        <v>1608</v>
      </c>
      <c r="G187" s="525">
        <f>G182-G185</f>
        <v>0</v>
      </c>
      <c r="H187" s="525">
        <f>H182-H185</f>
        <v>0</v>
      </c>
      <c r="I187" s="544"/>
    </row>
    <row r="188" spans="1:9" x14ac:dyDescent="0.25">
      <c r="H188" s="544"/>
      <c r="I188" s="544"/>
    </row>
    <row r="189" spans="1:9" x14ac:dyDescent="0.25">
      <c r="H189" s="544"/>
      <c r="I189" s="544"/>
    </row>
    <row r="190" spans="1:9" x14ac:dyDescent="0.25">
      <c r="H190" s="544"/>
      <c r="I190" s="544"/>
    </row>
  </sheetData>
  <autoFilter ref="A3:B188" xr:uid="{00000000-0009-0000-0000-000020000000}"/>
  <mergeCells count="46">
    <mergeCell ref="B177:E177"/>
    <mergeCell ref="B185:F185"/>
    <mergeCell ref="B171:E171"/>
    <mergeCell ref="B173:E173"/>
    <mergeCell ref="B174:E174"/>
    <mergeCell ref="B175:E175"/>
    <mergeCell ref="B176:E176"/>
    <mergeCell ref="B170:E170"/>
    <mergeCell ref="D9:F9"/>
    <mergeCell ref="G9:I9"/>
    <mergeCell ref="B166:E166"/>
    <mergeCell ref="B167:E167"/>
    <mergeCell ref="B168:E168"/>
    <mergeCell ref="B95:E95"/>
    <mergeCell ref="B96:E96"/>
    <mergeCell ref="B97:E97"/>
    <mergeCell ref="B98:E98"/>
    <mergeCell ref="B99:E99"/>
    <mergeCell ref="B100:E100"/>
    <mergeCell ref="B101:E101"/>
    <mergeCell ref="B108:E108"/>
    <mergeCell ref="B109:E109"/>
    <mergeCell ref="B110:E110"/>
    <mergeCell ref="B111:E111"/>
    <mergeCell ref="B169:E169"/>
    <mergeCell ref="B103:E103"/>
    <mergeCell ref="B104:E104"/>
    <mergeCell ref="B105:E105"/>
    <mergeCell ref="B106:E106"/>
    <mergeCell ref="B107:E107"/>
    <mergeCell ref="B127:E127"/>
    <mergeCell ref="B128:E128"/>
    <mergeCell ref="B129:E129"/>
    <mergeCell ref="B113:E113"/>
    <mergeCell ref="B114:E114"/>
    <mergeCell ref="B115:E115"/>
    <mergeCell ref="B116:E116"/>
    <mergeCell ref="B117:E117"/>
    <mergeCell ref="B118:E118"/>
    <mergeCell ref="B125:E125"/>
    <mergeCell ref="B126:E126"/>
    <mergeCell ref="B119:E119"/>
    <mergeCell ref="B121:E121"/>
    <mergeCell ref="B122:E122"/>
    <mergeCell ref="B123:E123"/>
    <mergeCell ref="B124:E124"/>
  </mergeCells>
  <phoneticPr fontId="9" type="noConversion"/>
  <pageMargins left="0.74803149606299213" right="0.74803149606299213" top="0.98425196850393704" bottom="0.98425196850393704" header="0.51181102362204722" footer="0.51181102362204722"/>
  <pageSetup paperSize="9" scale="74" fitToHeight="0" orientation="portrait" r:id="rId1"/>
  <headerFooter alignWithMargins="0">
    <oddFooter>&amp;R&amp;P</oddFooter>
  </headerFooter>
  <rowBreaks count="4" manualBreakCount="4">
    <brk id="5" max="16383" man="1"/>
    <brk id="89" max="16383" man="1"/>
    <brk id="160" max="16383" man="1"/>
    <brk id="183" max="16383" man="1"/>
  </rowBreaks>
  <ignoredErrors>
    <ignoredError sqref="A48:A51 A149:A183 A56:A57 A90:A98 A101:A108 A111:A117 A119:A125 A127:A147" formula="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554"/>
  <sheetViews>
    <sheetView workbookViewId="0">
      <selection activeCell="D457" sqref="D457:H457"/>
    </sheetView>
  </sheetViews>
  <sheetFormatPr defaultRowHeight="13.8" x14ac:dyDescent="0.3"/>
  <cols>
    <col min="1" max="1" width="10.6640625" style="10" customWidth="1"/>
    <col min="2" max="2" width="5.44140625" style="401" customWidth="1"/>
    <col min="3" max="3" width="3.44140625" style="401" customWidth="1"/>
    <col min="4" max="4" width="15.44140625" style="401" customWidth="1"/>
    <col min="5" max="5" width="16.6640625" style="401" customWidth="1"/>
    <col min="6" max="6" width="9.109375" style="401"/>
    <col min="7" max="7" width="12.6640625" style="401" customWidth="1"/>
    <col min="8" max="9" width="11.88671875" style="401" customWidth="1"/>
    <col min="10" max="10" width="12" style="401" bestFit="1" customWidth="1"/>
    <col min="11" max="11" width="12.109375" customWidth="1"/>
  </cols>
  <sheetData>
    <row r="1" spans="1:19" s="23" customFormat="1" x14ac:dyDescent="0.3">
      <c r="A1" s="10"/>
      <c r="B1" s="401"/>
      <c r="C1" s="401"/>
      <c r="D1" s="585"/>
      <c r="E1" s="585"/>
      <c r="F1" s="585"/>
      <c r="G1" s="401">
        <v>12.75</v>
      </c>
      <c r="H1" s="401">
        <f>$G1*H2</f>
        <v>25.5</v>
      </c>
      <c r="I1" s="401">
        <f t="shared" ref="I1:Q1" si="0">$G1*I2</f>
        <v>38.25</v>
      </c>
      <c r="J1" s="401">
        <f t="shared" si="0"/>
        <v>51</v>
      </c>
      <c r="K1" s="1">
        <f t="shared" si="0"/>
        <v>63.75</v>
      </c>
      <c r="L1" s="1">
        <f t="shared" si="0"/>
        <v>76.5</v>
      </c>
      <c r="M1" s="1">
        <f t="shared" si="0"/>
        <v>89.25</v>
      </c>
      <c r="N1" s="1">
        <f t="shared" si="0"/>
        <v>102</v>
      </c>
      <c r="O1" s="1">
        <f t="shared" si="0"/>
        <v>114.75</v>
      </c>
      <c r="P1" s="1">
        <f t="shared" si="0"/>
        <v>127.5</v>
      </c>
      <c r="Q1" s="1">
        <f t="shared" si="0"/>
        <v>140.25</v>
      </c>
      <c r="R1" s="1">
        <f>$E1*R2</f>
        <v>0</v>
      </c>
      <c r="S1" s="1" t="s">
        <v>855</v>
      </c>
    </row>
    <row r="2" spans="1:19" s="23" customFormat="1" x14ac:dyDescent="0.3">
      <c r="A2" s="10"/>
      <c r="B2" s="401"/>
      <c r="C2" s="401"/>
      <c r="D2" s="585"/>
      <c r="E2" s="585"/>
      <c r="F2" s="585"/>
      <c r="G2" s="401">
        <v>1</v>
      </c>
      <c r="H2" s="401">
        <v>2</v>
      </c>
      <c r="I2" s="401">
        <v>3</v>
      </c>
      <c r="J2" s="401">
        <v>4</v>
      </c>
      <c r="K2" s="1">
        <v>5</v>
      </c>
      <c r="L2" s="1">
        <v>6</v>
      </c>
      <c r="M2" s="1">
        <v>7</v>
      </c>
      <c r="N2" s="1">
        <v>8</v>
      </c>
      <c r="O2" s="1">
        <v>9</v>
      </c>
      <c r="P2" s="1">
        <v>10</v>
      </c>
      <c r="Q2" s="1">
        <v>11</v>
      </c>
      <c r="R2" s="1">
        <v>12</v>
      </c>
      <c r="S2" s="1" t="s">
        <v>526</v>
      </c>
    </row>
    <row r="3" spans="1:19" s="23" customFormat="1" x14ac:dyDescent="0.3">
      <c r="A3" s="10"/>
      <c r="B3" s="401"/>
      <c r="C3" s="401"/>
      <c r="D3" s="585"/>
      <c r="E3" s="585"/>
      <c r="F3" s="585"/>
      <c r="G3" s="401"/>
      <c r="H3" s="401"/>
      <c r="I3" s="401"/>
      <c r="J3" s="401"/>
    </row>
    <row r="4" spans="1:19" s="23" customFormat="1" x14ac:dyDescent="0.3">
      <c r="A4" s="10"/>
      <c r="B4" s="401"/>
      <c r="C4" s="401"/>
      <c r="D4" s="585">
        <v>2.29</v>
      </c>
      <c r="E4" s="585">
        <v>1.29</v>
      </c>
      <c r="F4" s="585">
        <v>1.29</v>
      </c>
      <c r="G4" s="401">
        <v>19.57</v>
      </c>
      <c r="H4" s="401">
        <v>10.43</v>
      </c>
      <c r="I4" s="401">
        <v>10.43</v>
      </c>
      <c r="J4" s="401">
        <v>7.29</v>
      </c>
      <c r="K4" s="23">
        <v>10.43</v>
      </c>
      <c r="L4" s="23">
        <v>10.43</v>
      </c>
      <c r="M4" s="23">
        <v>10.43</v>
      </c>
      <c r="N4" s="23" t="s">
        <v>854</v>
      </c>
    </row>
    <row r="5" spans="1:19" s="23" customFormat="1" x14ac:dyDescent="0.3">
      <c r="A5" s="10" t="s">
        <v>448</v>
      </c>
      <c r="B5" s="401"/>
      <c r="C5" s="401"/>
      <c r="D5" s="585"/>
      <c r="E5" s="585"/>
      <c r="F5" s="585"/>
      <c r="G5" s="401"/>
      <c r="H5" s="401"/>
      <c r="I5" s="401"/>
      <c r="J5" s="401"/>
      <c r="P5" s="23">
        <f>19.57-7.29</f>
        <v>12.280000000000001</v>
      </c>
    </row>
    <row r="6" spans="1:19" s="23" customFormat="1" x14ac:dyDescent="0.3">
      <c r="A6" s="10" t="s">
        <v>448</v>
      </c>
      <c r="B6" s="467" t="str">
        <f>'Standing Data'!$D$4</f>
        <v>NAME OF COUNCIL</v>
      </c>
      <c r="C6" s="467"/>
      <c r="D6" s="401"/>
      <c r="E6" s="585"/>
      <c r="F6" s="585"/>
      <c r="G6" s="401"/>
      <c r="H6" s="401"/>
      <c r="I6" s="401"/>
      <c r="J6" s="401"/>
    </row>
    <row r="7" spans="1:19" s="23" customFormat="1" x14ac:dyDescent="0.3">
      <c r="A7" s="10" t="s">
        <v>448</v>
      </c>
      <c r="B7" s="467" t="str">
        <f>'Standing Data'!$D$30</f>
        <v>Notes to the Group Financial Statements</v>
      </c>
      <c r="C7" s="467"/>
      <c r="D7" s="401"/>
      <c r="E7" s="585"/>
      <c r="F7" s="585"/>
      <c r="G7" s="401"/>
      <c r="H7" s="401"/>
      <c r="I7" s="401"/>
      <c r="J7" s="401"/>
    </row>
    <row r="8" spans="1:19" s="23" customFormat="1" x14ac:dyDescent="0.3">
      <c r="A8" s="10" t="s">
        <v>448</v>
      </c>
      <c r="B8" s="467" t="str">
        <f>'Standing Data'!$D$32</f>
        <v>FOR THE YEAR ENDED 31 March 2026</v>
      </c>
      <c r="C8" s="467"/>
      <c r="D8" s="401"/>
      <c r="E8" s="585"/>
      <c r="F8" s="585"/>
      <c r="G8" s="401"/>
      <c r="H8" s="401"/>
      <c r="I8" s="401"/>
      <c r="J8" s="401"/>
    </row>
    <row r="9" spans="1:19" s="23" customFormat="1" x14ac:dyDescent="0.3">
      <c r="A9" s="10" t="s">
        <v>448</v>
      </c>
      <c r="B9" s="401"/>
      <c r="C9" s="401"/>
      <c r="D9" s="585"/>
      <c r="E9" s="585"/>
      <c r="F9" s="585"/>
      <c r="G9" s="401"/>
      <c r="H9" s="401"/>
      <c r="I9" s="401"/>
      <c r="J9" s="401"/>
    </row>
    <row r="10" spans="1:19" x14ac:dyDescent="0.3">
      <c r="A10" s="10" t="str">
        <f>IF(OR(A18="Print",A20="Print", A22="Print"),"Print","Do Not Print")</f>
        <v>Print</v>
      </c>
      <c r="B10" s="585" t="str">
        <f>Checklist!E161</f>
        <v>G1</v>
      </c>
      <c r="C10" s="585"/>
      <c r="D10" s="2014" t="s">
        <v>907</v>
      </c>
      <c r="E10" s="2014"/>
      <c r="F10" s="2014"/>
      <c r="G10" s="2014"/>
      <c r="H10" s="2014"/>
      <c r="I10" s="2014"/>
      <c r="J10" s="2014"/>
    </row>
    <row r="11" spans="1:19" x14ac:dyDescent="0.3">
      <c r="A11" s="10" t="str">
        <f>IF(A10="Print","Print","Do Not Print")</f>
        <v>Print</v>
      </c>
      <c r="B11" s="585"/>
      <c r="C11" s="585"/>
      <c r="D11" s="1500"/>
      <c r="E11" s="1500"/>
      <c r="F11" s="1500"/>
      <c r="G11" s="1500"/>
      <c r="H11" s="1500"/>
      <c r="I11" s="1500"/>
      <c r="J11" s="1500"/>
    </row>
    <row r="12" spans="1:19" ht="30" customHeight="1" x14ac:dyDescent="0.3">
      <c r="A12" s="10" t="str">
        <f>IF('GROUP Non TB - Group Acc notes'!F2=1,"Print","Do Not Print")</f>
        <v>Print</v>
      </c>
      <c r="B12" s="585"/>
      <c r="C12" s="585"/>
      <c r="D12" s="1504" t="str">
        <f>IF('GROUP Non TB - Group Acc notes'!F2=1,'GROUP Non TB - Group Acc notes'!H2,"")</f>
        <v xml:space="preserve">The Group Accounting Policies are the same as the Local Authority Accounting Policies, as such, these are not repeated. </v>
      </c>
      <c r="E12" s="1504"/>
      <c r="F12" s="1504"/>
      <c r="G12" s="1504"/>
      <c r="H12" s="1504"/>
      <c r="I12" s="1504"/>
      <c r="J12" s="1504"/>
    </row>
    <row r="13" spans="1:19" x14ac:dyDescent="0.3">
      <c r="A13" s="10" t="str">
        <f>IF(A12="Print","Print","Do Not Print")</f>
        <v>Print</v>
      </c>
      <c r="B13" s="585"/>
      <c r="C13" s="585"/>
      <c r="D13" s="1500"/>
      <c r="E13" s="1500"/>
      <c r="F13" s="1500"/>
      <c r="G13" s="1500"/>
      <c r="H13" s="1500"/>
      <c r="I13" s="1500"/>
      <c r="J13" s="1500"/>
    </row>
    <row r="14" spans="1:19" x14ac:dyDescent="0.3">
      <c r="A14" s="10" t="str">
        <f>IF('GROUP Non TB - Group Acc notes'!F3=1,"Print","Do Not Print")</f>
        <v>Print</v>
      </c>
      <c r="B14" s="585"/>
      <c r="C14" s="585"/>
      <c r="D14" s="1500" t="str">
        <f>IF('GROUP Non TB - Group Acc notes'!F3=1,'GROUP Non TB - Group Acc notes'!H3,"")</f>
        <v>Council specific narrative</v>
      </c>
      <c r="E14" s="1500"/>
      <c r="F14" s="1500"/>
      <c r="G14" s="1500"/>
      <c r="H14" s="1500"/>
      <c r="I14" s="1500"/>
      <c r="J14" s="1500"/>
    </row>
    <row r="15" spans="1:19" x14ac:dyDescent="0.3">
      <c r="A15" s="10" t="str">
        <f>IF(A14="Print","Print","Do Not Print")</f>
        <v>Print</v>
      </c>
      <c r="B15" s="585"/>
      <c r="C15" s="585"/>
      <c r="D15" s="1500"/>
      <c r="E15" s="1500"/>
      <c r="F15" s="1500"/>
      <c r="G15" s="1500"/>
      <c r="H15" s="1500"/>
      <c r="I15" s="1500"/>
      <c r="J15" s="1500"/>
    </row>
    <row r="16" spans="1:19" x14ac:dyDescent="0.3">
      <c r="A16" s="10" t="s">
        <v>448</v>
      </c>
      <c r="B16" s="585" t="str">
        <f>Checklist!E162</f>
        <v>G2</v>
      </c>
      <c r="C16" s="585"/>
      <c r="D16" s="2014" t="s">
        <v>1701</v>
      </c>
      <c r="E16" s="2014"/>
      <c r="F16" s="2014"/>
      <c r="G16" s="2014"/>
      <c r="H16" s="2014"/>
      <c r="I16" s="2014"/>
      <c r="J16" s="2014"/>
    </row>
    <row r="17" spans="1:10" x14ac:dyDescent="0.3">
      <c r="A17" s="10" t="s">
        <v>448</v>
      </c>
      <c r="B17" s="585"/>
      <c r="C17" s="585"/>
      <c r="D17" s="1500"/>
      <c r="E17" s="1500"/>
      <c r="F17" s="1500"/>
      <c r="G17" s="1500"/>
      <c r="H17" s="1500"/>
      <c r="I17" s="1500"/>
      <c r="J17" s="1500"/>
    </row>
    <row r="18" spans="1:10" ht="72" customHeight="1" x14ac:dyDescent="0.3">
      <c r="A18" s="10" t="str">
        <f>IF('GROUP Non TB - Group Acc notes'!F4=1,"Print","Do Not Print")</f>
        <v>Print</v>
      </c>
      <c r="D18" s="1504" t="str">
        <f>IF('GROUP Non TB - Group Acc notes'!F4=1,'GROUP Non TB - Group Acc notes'!H4,"")</f>
        <v>X Limited is a company incorporated under the terms of the Companies Acts to promote international exhibitions, conferences and events. The Authority is the principal shareholder in the company holding X of ordinary £1 shares and representing X% of the issued share capital. Under accounting standards, the Authority has a controlling interest in this company. It is therefore included in the group accounts as a subsidiary</v>
      </c>
      <c r="E18" s="1504"/>
      <c r="F18" s="1504"/>
      <c r="G18" s="1504"/>
      <c r="H18" s="1504"/>
      <c r="I18" s="1504"/>
      <c r="J18" s="1504"/>
    </row>
    <row r="19" spans="1:10" x14ac:dyDescent="0.3">
      <c r="A19" s="10" t="str">
        <f>IF(A18="Print","Print","Do Not Print")</f>
        <v>Print</v>
      </c>
      <c r="D19" s="1500"/>
      <c r="E19" s="1500"/>
      <c r="F19" s="1500"/>
      <c r="G19" s="1500"/>
      <c r="H19" s="1500"/>
      <c r="I19" s="1500"/>
      <c r="J19" s="1500"/>
    </row>
    <row r="20" spans="1:10" ht="88.95" customHeight="1" x14ac:dyDescent="0.3">
      <c r="A20" s="10" t="str">
        <f>IF('GROUP Non TB - Group Acc notes'!F5=1,"Print","Do Not Print")</f>
        <v>Print</v>
      </c>
      <c r="D20" s="1504" t="str">
        <f>IF('GROUP Non TB - Group Acc notes'!F5=1,'GROUP Non TB - Group Acc notes'!H5,"")</f>
        <v>Net assets of the company were £Xmillion at 31 March 2026 compared to £X million at 31 March 2025. The profit on ordinary activities before taxation for the period to 31 March 2026 was £x million compared to £Y million for the period to 31 March 2025. The limit of the Authority's commitment to meet accumulated losses is £X million (exclusive of RPI increases) plus the value of any rates paid or payable in the year for the Conference Centre. No dividend payments were due to, or received by, the Authority in respect of its investment.</v>
      </c>
      <c r="E20" s="1504"/>
      <c r="F20" s="1504"/>
      <c r="G20" s="1504"/>
      <c r="H20" s="1504"/>
      <c r="I20" s="1504"/>
      <c r="J20" s="1504"/>
    </row>
    <row r="21" spans="1:10" x14ac:dyDescent="0.3">
      <c r="A21" s="10" t="str">
        <f>IF(A20="Print","Print","Do Not Print")</f>
        <v>Print</v>
      </c>
      <c r="D21" s="1500"/>
      <c r="E21" s="1500"/>
      <c r="F21" s="1500"/>
      <c r="G21" s="1500"/>
      <c r="H21" s="1500"/>
      <c r="I21" s="1500"/>
      <c r="J21" s="1500"/>
    </row>
    <row r="22" spans="1:10" ht="44.25" customHeight="1" x14ac:dyDescent="0.3">
      <c r="A22" s="10" t="str">
        <f>IF('GROUP Non TB - Group Acc notes'!F6=1,"Print","Do Not Print")</f>
        <v>Print</v>
      </c>
      <c r="D22" s="1504" t="str">
        <f>IF('GROUP Non TB - Group Acc notes'!F6=1,'GROUP Non TB - Group Acc notes'!H6,"")</f>
        <v>The latest set of audited accounts is for the year to 31 March 2025 and has an unqualified audit certificate. Copies of the audited accounts may be obtained from the Chief Executive, X Limited.</v>
      </c>
      <c r="E22" s="1504"/>
      <c r="F22" s="1504"/>
      <c r="G22" s="1504"/>
      <c r="H22" s="1504"/>
      <c r="I22" s="1504"/>
      <c r="J22" s="1504"/>
    </row>
    <row r="23" spans="1:10" x14ac:dyDescent="0.3">
      <c r="A23" s="10" t="str">
        <f>IF(A22="Print","Print","Do Not Print")</f>
        <v>Print</v>
      </c>
      <c r="D23" s="1500"/>
      <c r="E23" s="1500"/>
      <c r="F23" s="1500"/>
      <c r="G23" s="1500"/>
      <c r="H23" s="1500"/>
      <c r="I23" s="1500"/>
      <c r="J23" s="1500"/>
    </row>
    <row r="24" spans="1:10" x14ac:dyDescent="0.3">
      <c r="A24" s="10" t="str">
        <f>IF(A26="Print","Print","Do Not Print")</f>
        <v>Print</v>
      </c>
      <c r="B24" s="585"/>
      <c r="C24" s="585"/>
      <c r="D24" s="2014" t="s">
        <v>1714</v>
      </c>
      <c r="E24" s="2014"/>
      <c r="F24" s="2014"/>
      <c r="G24" s="2014"/>
      <c r="H24" s="2014"/>
      <c r="I24" s="2014"/>
      <c r="J24" s="2014"/>
    </row>
    <row r="25" spans="1:10" x14ac:dyDescent="0.3">
      <c r="A25" s="10" t="str">
        <f>IF(A24="Print","Print","Do Not Print")</f>
        <v>Print</v>
      </c>
      <c r="D25" s="1500"/>
      <c r="E25" s="1500"/>
      <c r="F25" s="1500"/>
      <c r="G25" s="1500"/>
      <c r="H25" s="1500"/>
      <c r="I25" s="1500"/>
      <c r="J25" s="1500"/>
    </row>
    <row r="26" spans="1:10" ht="32.549999999999997" customHeight="1" x14ac:dyDescent="0.3">
      <c r="A26" s="10" t="str">
        <f>IF('GROUP Non TB - Group Acc notes'!F7=1,"Print","Do Not Print")</f>
        <v>Print</v>
      </c>
      <c r="D26" s="1504" t="str">
        <f>IF('GROUP Non TB - Group Acc notes'!F7=1,'GROUP Non TB - Group Acc notes'!H7,"")</f>
        <v xml:space="preserve"> To advance council objectives, the council has established one limited company  in the current financial year.</v>
      </c>
      <c r="E26" s="1504"/>
      <c r="F26" s="1504"/>
      <c r="G26" s="1504"/>
      <c r="H26" s="1504"/>
      <c r="I26" s="1504"/>
      <c r="J26" s="1504"/>
    </row>
    <row r="27" spans="1:10" x14ac:dyDescent="0.3">
      <c r="A27" s="10" t="str">
        <f>IF(A26="Print","Print","Do Not Print")</f>
        <v>Print</v>
      </c>
      <c r="D27" s="1500"/>
      <c r="E27" s="1500"/>
      <c r="F27" s="1500"/>
      <c r="G27" s="1500"/>
      <c r="H27" s="1500"/>
      <c r="I27" s="1500"/>
      <c r="J27" s="1500"/>
    </row>
    <row r="28" spans="1:10" x14ac:dyDescent="0.3">
      <c r="A28" s="10" t="str">
        <f>IF(A30="Print","Print","Do Not Print")</f>
        <v>Print</v>
      </c>
      <c r="B28" s="585"/>
      <c r="C28" s="585"/>
      <c r="D28" s="2014" t="s">
        <v>1715</v>
      </c>
      <c r="E28" s="2014"/>
      <c r="F28" s="2014"/>
      <c r="G28" s="2014"/>
      <c r="H28" s="2014"/>
      <c r="I28" s="2014"/>
      <c r="J28" s="2014"/>
    </row>
    <row r="29" spans="1:10" x14ac:dyDescent="0.3">
      <c r="A29" s="10" t="str">
        <f>IF(A28="Print","Print","Do Not Print")</f>
        <v>Print</v>
      </c>
      <c r="D29" s="1500"/>
      <c r="E29" s="1500"/>
      <c r="F29" s="1500"/>
      <c r="G29" s="1500"/>
      <c r="H29" s="1500"/>
      <c r="I29" s="1500"/>
      <c r="J29" s="1500"/>
    </row>
    <row r="30" spans="1:10" ht="42.6" customHeight="1" x14ac:dyDescent="0.3">
      <c r="A30" s="10" t="str">
        <f>IF('GROUP Non TB - Group Acc notes'!F8=1,"Print","Do Not Print")</f>
        <v>Print</v>
      </c>
      <c r="D30" s="1504" t="str">
        <f>IF('GROUP Non TB - Group Acc notes'!F8=1,'GROUP Non TB - Group Acc notes'!H8,"")</f>
        <v>The effect of the inclusion of the subsidiaries and associates in 2025/26 was to reduce the Council's reserves and net assets by £X million (2024/25 £Y million) representing the net liability in the consolidating entities.</v>
      </c>
      <c r="E30" s="1504"/>
      <c r="F30" s="1504"/>
      <c r="G30" s="1504"/>
      <c r="H30" s="1504"/>
      <c r="I30" s="1504"/>
      <c r="J30" s="1504"/>
    </row>
    <row r="31" spans="1:10" x14ac:dyDescent="0.3">
      <c r="A31" s="10" t="str">
        <f>IF(A30="Print","Print","Do Not Print")</f>
        <v>Print</v>
      </c>
      <c r="D31" s="1500"/>
      <c r="E31" s="1500"/>
      <c r="F31" s="1500"/>
      <c r="G31" s="1500"/>
      <c r="H31" s="1500"/>
      <c r="I31" s="1500"/>
      <c r="J31" s="1500"/>
    </row>
    <row r="32" spans="1:10" x14ac:dyDescent="0.3">
      <c r="A32" s="10" t="s">
        <v>448</v>
      </c>
      <c r="B32" s="585" t="str">
        <f>Checklist!E163</f>
        <v>G3</v>
      </c>
      <c r="D32" s="1538" t="str">
        <f>Checklist!C57</f>
        <v>Adjustments between an Accounting Basis and Funding Basis under Regulations</v>
      </c>
      <c r="E32" s="1538"/>
      <c r="F32" s="1538"/>
      <c r="G32" s="1538"/>
      <c r="H32" s="1538"/>
      <c r="I32" s="1538"/>
      <c r="J32" s="1538"/>
    </row>
    <row r="33" spans="1:11" ht="41.25" customHeight="1" x14ac:dyDescent="0.3">
      <c r="A33" s="10" t="s">
        <v>448</v>
      </c>
      <c r="D33" s="1824" t="s">
        <v>561</v>
      </c>
      <c r="E33" s="1824"/>
      <c r="F33" s="1824"/>
      <c r="G33" s="1824"/>
      <c r="H33" s="1824"/>
      <c r="I33" s="1824"/>
      <c r="J33" s="1542"/>
    </row>
    <row r="34" spans="1:11" x14ac:dyDescent="0.3">
      <c r="A34" s="10" t="s">
        <v>448</v>
      </c>
      <c r="D34" s="1500"/>
      <c r="E34" s="1500"/>
      <c r="F34" s="1500"/>
      <c r="G34" s="1500"/>
      <c r="H34" s="1500"/>
      <c r="I34" s="1500"/>
      <c r="J34" s="1500"/>
    </row>
    <row r="35" spans="1:11" x14ac:dyDescent="0.3">
      <c r="A35" s="10" t="s">
        <v>448</v>
      </c>
      <c r="D35" s="474"/>
      <c r="E35" s="481"/>
      <c r="F35" s="481"/>
      <c r="G35" s="1763" t="str">
        <f>'Standing Data'!D34</f>
        <v>2025/26</v>
      </c>
      <c r="H35" s="1763"/>
      <c r="I35" s="1763" t="str">
        <f>'Standing Data'!D52</f>
        <v>2024/25</v>
      </c>
      <c r="J35" s="1763"/>
    </row>
    <row r="36" spans="1:11" x14ac:dyDescent="0.3">
      <c r="A36" s="10" t="s">
        <v>448</v>
      </c>
      <c r="D36" s="469"/>
      <c r="E36" s="484"/>
      <c r="F36" s="487" t="s">
        <v>343</v>
      </c>
      <c r="G36" s="723" t="str">
        <f>H36</f>
        <v>£</v>
      </c>
      <c r="H36" s="723" t="str">
        <f>I36</f>
        <v>£</v>
      </c>
      <c r="I36" s="723" t="str">
        <f>'Standing Data'!D103</f>
        <v>£</v>
      </c>
      <c r="J36" s="723" t="str">
        <f>I36</f>
        <v>£</v>
      </c>
    </row>
    <row r="37" spans="1:11" ht="39" customHeight="1" x14ac:dyDescent="0.3">
      <c r="A37" s="10" t="s">
        <v>448</v>
      </c>
      <c r="D37" s="1535" t="s">
        <v>561</v>
      </c>
      <c r="E37" s="1535"/>
      <c r="F37" s="1538"/>
      <c r="G37" s="1538"/>
      <c r="H37" s="1538"/>
      <c r="I37" s="1538"/>
      <c r="J37" s="1538"/>
    </row>
    <row r="38" spans="1:11" ht="26.25" customHeight="1" x14ac:dyDescent="0.3">
      <c r="A38" s="10" t="str">
        <f>IF(AND(G38=0,I38=0),"Do Not Print","Print")</f>
        <v>Do Not Print</v>
      </c>
      <c r="D38" s="1534" t="s">
        <v>562</v>
      </c>
      <c r="E38" s="1534"/>
      <c r="F38" s="421"/>
      <c r="G38" s="473">
        <f>'GROUP Det Group BS'!J23+'GROUP Det Group BS'!J47+'GROUP Det Group BS'!J71+'GROUP Det Group BS'!J95+'GROUP Det Group BS'!J119+'GROUP Det Group BS'!J143+'GROUP Det Group BS'!J167+'GROUP Det Group BS'!J191+'GROUP Det Group BS'!J215+'GROUP Det Group BS'!J248+'GROUP Det Group BS'!J273</f>
        <v>0</v>
      </c>
      <c r="H38" s="473"/>
      <c r="I38" s="473">
        <f>'GROUP Det Group BS'!K23+'GROUP Det Group BS'!K47+'GROUP Det Group BS'!K71+'GROUP Det Group BS'!K95+'GROUP Det Group BS'!K119+'GROUP Det Group BS'!K143+'GROUP Det Group BS'!K167+'GROUP Det Group BS'!K191+'GROUP Det Group BS'!K215+'GROUP Det Group BS'!K248+'GROUP Det Group BS'!K273</f>
        <v>0</v>
      </c>
      <c r="J38" s="473"/>
    </row>
    <row r="39" spans="1:11" ht="33" customHeight="1" x14ac:dyDescent="0.3">
      <c r="A39" s="10" t="str">
        <f>IF(AND(G39=0,I39=0),"Do Not Print","Print")</f>
        <v>Do Not Print</v>
      </c>
      <c r="D39" s="1534" t="s">
        <v>563</v>
      </c>
      <c r="E39" s="1540"/>
      <c r="F39" s="421"/>
      <c r="G39" s="473">
        <f>('GROUP Det Group BS'!J15+'GROUP Det Group BS'!J39+'GROUP Det Group BS'!J63+'GROUP Det Group BS'!J87+'GROUP Det Group BS'!J111+'GROUP Det Group BS'!J135+'GROUP Det Group BS'!J159+'GROUP Det Group BS'!J183+'GROUP Det Group BS'!J207+'GROUP Det Group BS'!J240+'GROUP Det Group BS'!J265+'GROUP Det Group BS'!J375)-('GROUP Det Group BS'!J26+'GROUP Det Group BS'!J50+'GROUP Det Group BS'!J74+'GROUP Det Group BS'!J98+'GROUP Det Group BS'!J122+'GROUP Det Group BS'!J146+'GROUP Det Group BS'!J170+'GROUP Det Group BS'!J194+'GROUP Det Group BS'!J218+'GROUP Det Group BS'!J251+'GROUP Det Group BS'!J276)</f>
        <v>0</v>
      </c>
      <c r="H39" s="473"/>
      <c r="I39" s="473">
        <f>('GROUP Det Group BS'!K15+'GROUP Det Group BS'!K39+'GROUP Det Group BS'!K63+'GROUP Det Group BS'!K87+'GROUP Det Group BS'!K111+'GROUP Det Group BS'!K135+'GROUP Det Group BS'!K159+'GROUP Det Group BS'!K183+'GROUP Det Group BS'!K207+'GROUP Det Group BS'!K240+'GROUP Det Group BS'!K265+'GROUP Det Group BS'!K375)-('GROUP Det Group BS'!K26+'GROUP Det Group BS'!K50+'GROUP Det Group BS'!K74+'GROUP Det Group BS'!K98+'GROUP Det Group BS'!K122+'GROUP Det Group BS'!K146+'GROUP Det Group BS'!K170+'GROUP Det Group BS'!K194+'GROUP Det Group BS'!K218+'GROUP Det Group BS'!K251+'GROUP Det Group BS'!K276)</f>
        <v>0</v>
      </c>
      <c r="J39" s="473"/>
    </row>
    <row r="40" spans="1:11" ht="41.25" customHeight="1" x14ac:dyDescent="0.3">
      <c r="A40" s="10" t="str">
        <f>IF(AND(G40=0,I40=0),"Do Not Print","Print")</f>
        <v>Do Not Print</v>
      </c>
      <c r="D40" s="1534" t="s">
        <v>564</v>
      </c>
      <c r="E40" s="1540"/>
      <c r="F40" s="421"/>
      <c r="G40" s="473">
        <f>-('GROUP Account Fixed Assets'!P18-'GROUP Account Fixed Assets'!P33)</f>
        <v>0</v>
      </c>
      <c r="H40" s="473"/>
      <c r="I40" s="473">
        <f>-('GROUP Account Fixed Assets'!P54-'GROUP Account Fixed Assets'!P72)</f>
        <v>0</v>
      </c>
      <c r="J40" s="473"/>
      <c r="K40" s="3"/>
    </row>
    <row r="41" spans="1:11" ht="26.25" customHeight="1" x14ac:dyDescent="0.3">
      <c r="A41" s="10" t="str">
        <f>IF(AND(G41=0,H41=0,I41=0,J41=0),"Do Not Print","Print")</f>
        <v>Do Not Print</v>
      </c>
      <c r="D41" s="1534" t="s">
        <v>565</v>
      </c>
      <c r="E41" s="1540"/>
      <c r="F41" s="421"/>
      <c r="G41" s="473">
        <f>+('GROUP Det Group BS'!J20+'GROUP Det Group BS'!J44+'GROUP Det Group BS'!J68+'GROUP Det Group BS'!J92+'GROUP Det Group BS'!J116+'GROUP Det Group BS'!J140+'GROUP Det Group BS'!J164+'GROUP Det Group BS'!J188+'GROUP Det Group BS'!J245)</f>
        <v>0</v>
      </c>
      <c r="H41" s="473">
        <f>SUM(G38:G41)</f>
        <v>0</v>
      </c>
      <c r="I41" s="473">
        <f>+('GROUP Det Group BS'!K20+'GROUP Det Group BS'!K44+'GROUP Det Group BS'!K68+'GROUP Det Group BS'!K92+'GROUP Det Group BS'!K116+'GROUP Det Group BS'!K140+'GROUP Det Group BS'!K164+'GROUP Det Group BS'!K188+'GROUP Det Group BS'!K245)</f>
        <v>0</v>
      </c>
      <c r="J41" s="473">
        <f>SUM(I38:I41)</f>
        <v>0</v>
      </c>
    </row>
    <row r="42" spans="1:11" ht="27.75" customHeight="1" x14ac:dyDescent="0.3">
      <c r="A42" s="10" t="str">
        <f>IF(AND(H42=0,J42=0),"Do Not Print","Print")</f>
        <v>Do Not Print</v>
      </c>
      <c r="D42" s="1534" t="s">
        <v>566</v>
      </c>
      <c r="E42" s="1540"/>
      <c r="F42" s="421"/>
      <c r="G42" s="473"/>
      <c r="H42" s="488">
        <f>'GROUP Non TB - Group Acc notes'!H9</f>
        <v>0</v>
      </c>
      <c r="I42" s="473"/>
      <c r="J42" s="488">
        <f>'GROUP Non TB - Group Acc notes'!I9</f>
        <v>0</v>
      </c>
      <c r="K42" s="3"/>
    </row>
    <row r="43" spans="1:11" ht="27.75" customHeight="1" x14ac:dyDescent="0.3">
      <c r="A43" s="10" t="str">
        <f>IF(AND(G43=0,I43=0),"Do Not Print","Print")</f>
        <v>Do Not Print</v>
      </c>
      <c r="D43" s="1534" t="s">
        <v>1269</v>
      </c>
      <c r="E43" s="1540"/>
      <c r="F43" s="421"/>
      <c r="G43" s="473">
        <f>-('GROUP Account Fixed Assets'!P20-'GROUP Account Fixed Assets'!P36)</f>
        <v>0</v>
      </c>
      <c r="H43" s="473"/>
      <c r="I43" s="473">
        <f>-('GROUP Account Fixed Assets'!P56-'GROUP Account Fixed Assets'!P75)</f>
        <v>0</v>
      </c>
      <c r="J43" s="473"/>
      <c r="K43" s="3"/>
    </row>
    <row r="44" spans="1:11" ht="45" customHeight="1" x14ac:dyDescent="0.3">
      <c r="A44" s="10" t="str">
        <f>IF(AND(G44=0,H44=0,I44=0,J44=0),"Do Not Print","Print")</f>
        <v>Do Not Print</v>
      </c>
      <c r="D44" s="1534" t="s">
        <v>567</v>
      </c>
      <c r="E44" s="1534"/>
      <c r="F44" s="421"/>
      <c r="G44" s="473">
        <f>E567+E644</f>
        <v>0</v>
      </c>
      <c r="H44" s="473">
        <f>SUM(G43:G44)</f>
        <v>0</v>
      </c>
      <c r="I44" s="473">
        <f>F567+F644</f>
        <v>0</v>
      </c>
      <c r="J44" s="473">
        <f>SUM(I43:I44)</f>
        <v>0</v>
      </c>
    </row>
    <row r="45" spans="1:11" ht="76.5" customHeight="1" x14ac:dyDescent="0.3">
      <c r="A45" s="10" t="str">
        <f>IF(AND(H45=0,J45=0),"Do Not Print","Print")</f>
        <v>Do Not Print</v>
      </c>
      <c r="D45" s="1534" t="s">
        <v>568</v>
      </c>
      <c r="E45" s="1534"/>
      <c r="F45" s="421"/>
      <c r="G45" s="473"/>
      <c r="H45" s="473">
        <f>'GROUP Non TB - Group Acc notes'!H10</f>
        <v>0</v>
      </c>
      <c r="I45" s="473"/>
      <c r="J45" s="473">
        <f>'GROUP Non TB - Group Acc notes'!I10</f>
        <v>0</v>
      </c>
    </row>
    <row r="46" spans="1:11" ht="39.75" customHeight="1" x14ac:dyDescent="0.3">
      <c r="A46" s="10" t="str">
        <f t="shared" ref="A46:A54" si="1">IF(AND(H46=0,J46=0),"Do Not Print","Print")</f>
        <v>Do Not Print</v>
      </c>
      <c r="D46" s="1534" t="s">
        <v>569</v>
      </c>
      <c r="E46" s="1534"/>
      <c r="F46" s="421"/>
      <c r="G46" s="473"/>
      <c r="H46" s="473">
        <f>-J240</f>
        <v>0</v>
      </c>
      <c r="I46" s="473"/>
      <c r="J46" s="473">
        <f>-K240</f>
        <v>0</v>
      </c>
      <c r="K46" s="3"/>
    </row>
    <row r="47" spans="1:11" ht="32.25" customHeight="1" x14ac:dyDescent="0.3">
      <c r="A47" s="10" t="str">
        <f t="shared" si="1"/>
        <v>Do Not Print</v>
      </c>
      <c r="D47" s="1506" t="s">
        <v>570</v>
      </c>
      <c r="E47" s="1506"/>
      <c r="F47" s="421"/>
      <c r="G47" s="473"/>
      <c r="H47" s="488">
        <f>'GROUP Non TB - Group Acc notes'!H11</f>
        <v>0</v>
      </c>
      <c r="I47" s="473"/>
      <c r="J47" s="488">
        <f>'GROUP Non TB - Group Acc notes'!I11</f>
        <v>0</v>
      </c>
      <c r="K47" s="3"/>
    </row>
    <row r="48" spans="1:11" ht="42" customHeight="1" x14ac:dyDescent="0.3">
      <c r="A48" s="10" t="str">
        <f t="shared" si="1"/>
        <v>Do Not Print</v>
      </c>
      <c r="D48" s="1506" t="s">
        <v>571</v>
      </c>
      <c r="E48" s="1510"/>
      <c r="F48" s="421"/>
      <c r="G48" s="473"/>
      <c r="H48" s="473">
        <f>'GROUP Det Group CIES'!P116-'GROUP Det Group CIES'!P114-'GROUP Det Group CIES'!P115</f>
        <v>0</v>
      </c>
      <c r="I48" s="473"/>
      <c r="J48" s="473">
        <f>'GROUP Det Group CIES'!S116-'GROUP Det Group CIES'!S114-'GROUP Det Group CIES'!S115</f>
        <v>0</v>
      </c>
    </row>
    <row r="49" spans="1:11" ht="30.75" customHeight="1" x14ac:dyDescent="0.3">
      <c r="A49" s="10" t="str">
        <f t="shared" si="1"/>
        <v>Do Not Print</v>
      </c>
      <c r="D49" s="1506" t="s">
        <v>572</v>
      </c>
      <c r="E49" s="1506"/>
      <c r="F49" s="421"/>
      <c r="G49" s="473"/>
      <c r="H49" s="473">
        <f>'GROUP Det Group CIES'!P114+'GROUP Det Group CIES'!P115</f>
        <v>0</v>
      </c>
      <c r="I49" s="473"/>
      <c r="J49" s="473">
        <f>'GROUP Det Group CIES'!S114+'GROUP Det Group CIES'!S115</f>
        <v>0</v>
      </c>
    </row>
    <row r="50" spans="1:11" ht="21" customHeight="1" x14ac:dyDescent="0.3">
      <c r="A50" s="10" t="str">
        <f t="shared" si="1"/>
        <v>Do Not Print</v>
      </c>
      <c r="D50" s="1506" t="s">
        <v>573</v>
      </c>
      <c r="E50" s="1506"/>
      <c r="F50" s="421"/>
      <c r="G50" s="473"/>
      <c r="H50" s="473">
        <f>'GROUP Non TB - Group Acc notes'!H12</f>
        <v>0</v>
      </c>
      <c r="I50" s="473"/>
      <c r="J50" s="473">
        <f>'GROUP Non TB - Group Acc notes'!I12</f>
        <v>0</v>
      </c>
      <c r="K50" s="3"/>
    </row>
    <row r="51" spans="1:11" ht="33.75" customHeight="1" x14ac:dyDescent="0.3">
      <c r="A51" s="10" t="str">
        <f t="shared" si="1"/>
        <v>Do Not Print</v>
      </c>
      <c r="D51" s="1506" t="s">
        <v>2918</v>
      </c>
      <c r="E51" s="1506"/>
      <c r="F51" s="421"/>
      <c r="G51" s="473"/>
      <c r="H51" s="473">
        <f>-('GROUP Det Group BS'!K401+'GROUP Det Group BS'!J401)</f>
        <v>0</v>
      </c>
      <c r="I51" s="473"/>
      <c r="J51" s="473">
        <f>-('GROUP Det Group BS'!L401+'GROUP Det Group BS'!K401)</f>
        <v>0</v>
      </c>
    </row>
    <row r="52" spans="1:11" ht="33" customHeight="1" x14ac:dyDescent="0.3">
      <c r="A52" s="10" t="str">
        <f t="shared" si="1"/>
        <v>Do Not Print</v>
      </c>
      <c r="D52" s="1506" t="s">
        <v>574</v>
      </c>
      <c r="E52" s="1506"/>
      <c r="F52" s="421"/>
      <c r="G52" s="473"/>
      <c r="H52" s="488">
        <f>'GROUP Non TB - Group Acc notes'!H13</f>
        <v>0</v>
      </c>
      <c r="I52" s="473"/>
      <c r="J52" s="488">
        <f>'GROUP Non TB - Group Acc notes'!I13</f>
        <v>0</v>
      </c>
      <c r="K52" s="3"/>
    </row>
    <row r="53" spans="1:11" ht="30" customHeight="1" x14ac:dyDescent="0.3">
      <c r="A53" s="10" t="str">
        <f t="shared" si="1"/>
        <v>Do Not Print</v>
      </c>
      <c r="D53" s="1506" t="s">
        <v>575</v>
      </c>
      <c r="E53" s="1506"/>
      <c r="F53" s="421"/>
      <c r="G53" s="473"/>
      <c r="H53" s="488">
        <f>'GROUP Non TB - Group Acc notes'!H14</f>
        <v>0</v>
      </c>
      <c r="I53" s="473"/>
      <c r="J53" s="488">
        <f>'GROUP Non TB - Group Acc notes'!I14</f>
        <v>0</v>
      </c>
      <c r="K53" s="3"/>
    </row>
    <row r="54" spans="1:11" ht="32.25" customHeight="1" x14ac:dyDescent="0.3">
      <c r="A54" s="10" t="str">
        <f t="shared" si="1"/>
        <v>Do Not Print</v>
      </c>
      <c r="D54" s="1506" t="s">
        <v>576</v>
      </c>
      <c r="E54" s="1506"/>
      <c r="F54" s="421"/>
      <c r="G54" s="473"/>
      <c r="H54" s="488">
        <f>'GROUP Non TB - Group Acc notes'!H15</f>
        <v>0</v>
      </c>
      <c r="I54" s="473"/>
      <c r="J54" s="488">
        <f>'GROUP Non TB - Group Acc notes'!I15</f>
        <v>0</v>
      </c>
      <c r="K54" s="3"/>
    </row>
    <row r="55" spans="1:11" ht="98.25" customHeight="1" x14ac:dyDescent="0.3">
      <c r="A55" s="10" t="s">
        <v>448</v>
      </c>
      <c r="D55" s="1507" t="s">
        <v>577</v>
      </c>
      <c r="E55" s="1507"/>
      <c r="F55" s="489"/>
      <c r="G55" s="490"/>
      <c r="H55" s="490"/>
      <c r="I55" s="490"/>
      <c r="J55" s="490"/>
    </row>
    <row r="56" spans="1:11" ht="38.25" customHeight="1" x14ac:dyDescent="0.3">
      <c r="A56" s="10" t="str">
        <f>IF(AND(H56=0,J56=0),"Do Not Print","Print")</f>
        <v>Do Not Print</v>
      </c>
      <c r="D56" s="1506" t="s">
        <v>578</v>
      </c>
      <c r="E56" s="1510"/>
      <c r="F56" s="421"/>
      <c r="G56" s="473"/>
      <c r="H56" s="491">
        <f>'GROUP Non TB - Group Acc notes'!H16</f>
        <v>0</v>
      </c>
      <c r="I56" s="473"/>
      <c r="J56" s="491">
        <f>'GROUP Non TB - Group Acc notes'!I16</f>
        <v>0</v>
      </c>
      <c r="K56" s="3"/>
    </row>
    <row r="57" spans="1:11" ht="55.5" customHeight="1" x14ac:dyDescent="0.3">
      <c r="A57" s="10" t="str">
        <f>IF(AND(H57=0,J57=0),"Do Not Print","Print")</f>
        <v>Do Not Print</v>
      </c>
      <c r="D57" s="1506" t="s">
        <v>579</v>
      </c>
      <c r="E57" s="1510"/>
      <c r="F57" s="421"/>
      <c r="G57" s="473"/>
      <c r="H57" s="473">
        <f>-J242</f>
        <v>0</v>
      </c>
      <c r="I57" s="473"/>
      <c r="J57" s="473">
        <f>-K242</f>
        <v>0</v>
      </c>
      <c r="K57" s="3"/>
    </row>
    <row r="58" spans="1:11" x14ac:dyDescent="0.3">
      <c r="A58" s="10" t="s">
        <v>448</v>
      </c>
      <c r="D58" s="492"/>
      <c r="E58" s="493"/>
      <c r="F58" s="421"/>
      <c r="G58" s="473"/>
      <c r="H58" s="473"/>
      <c r="I58" s="473"/>
      <c r="J58" s="473"/>
    </row>
    <row r="59" spans="1:11" ht="13.5" customHeight="1" x14ac:dyDescent="0.3">
      <c r="A59" s="10" t="s">
        <v>448</v>
      </c>
      <c r="D59" s="1767"/>
      <c r="E59" s="1768"/>
      <c r="F59" s="486"/>
      <c r="G59" s="475"/>
      <c r="H59" s="475">
        <f>SUM(H38:H57)</f>
        <v>0</v>
      </c>
      <c r="I59" s="475"/>
      <c r="J59" s="475">
        <f>SUM(J38:J57)</f>
        <v>0</v>
      </c>
    </row>
    <row r="60" spans="1:11" x14ac:dyDescent="0.3">
      <c r="A60" s="10" t="s">
        <v>448</v>
      </c>
    </row>
    <row r="61" spans="1:11" x14ac:dyDescent="0.3">
      <c r="A61" s="10" t="str">
        <f>IF(OR(A71="Print",A78="Print"),"Print","Do Not Print")</f>
        <v>Do Not Print</v>
      </c>
      <c r="B61" s="585" t="str">
        <f>Checklist!E164</f>
        <v>G4</v>
      </c>
      <c r="C61" s="585"/>
      <c r="D61" s="585" t="s">
        <v>1706</v>
      </c>
      <c r="E61" s="585"/>
      <c r="F61" s="585"/>
      <c r="G61" s="585"/>
      <c r="H61" s="585"/>
      <c r="I61" s="585"/>
      <c r="J61" s="585"/>
    </row>
    <row r="62" spans="1:11" x14ac:dyDescent="0.3">
      <c r="A62" s="10" t="str">
        <f>IF(A61="Print","Print","Do Not Print")</f>
        <v>Do Not Print</v>
      </c>
      <c r="D62" s="1500"/>
      <c r="E62" s="1500"/>
      <c r="F62" s="1500"/>
      <c r="G62" s="1500"/>
      <c r="H62" s="1500"/>
      <c r="I62" s="1500"/>
      <c r="J62" s="1500"/>
    </row>
    <row r="63" spans="1:11" x14ac:dyDescent="0.3">
      <c r="A63" s="10" t="str">
        <f>IF(A62="Print","Print","Do Not Print")</f>
        <v>Do Not Print</v>
      </c>
      <c r="D63" s="2085"/>
      <c r="E63" s="2085"/>
      <c r="F63" s="2085"/>
      <c r="G63" s="1793" t="str">
        <f>'Standing Data'!D34</f>
        <v>2025/26</v>
      </c>
      <c r="H63" s="1793"/>
      <c r="I63" s="1793" t="str">
        <f>'Standing Data'!D52</f>
        <v>2024/25</v>
      </c>
      <c r="J63" s="1793"/>
    </row>
    <row r="64" spans="1:11" x14ac:dyDescent="0.3">
      <c r="A64" s="10" t="str">
        <f>IF(A63="Print","Print","Do Not Print")</f>
        <v>Do Not Print</v>
      </c>
      <c r="D64" s="2086"/>
      <c r="E64" s="2086"/>
      <c r="F64" s="2086"/>
      <c r="G64" s="2081"/>
      <c r="H64" s="2081"/>
      <c r="I64" s="2081"/>
      <c r="J64" s="2081"/>
    </row>
    <row r="65" spans="1:10" x14ac:dyDescent="0.3">
      <c r="A65" s="10" t="str">
        <f>IF(A64="Print","Print","Do Not Print")</f>
        <v>Do Not Print</v>
      </c>
      <c r="D65" s="2082"/>
      <c r="E65" s="2082"/>
      <c r="F65" s="2082"/>
      <c r="G65" s="2081" t="s">
        <v>450</v>
      </c>
      <c r="H65" s="2081"/>
      <c r="I65" s="2081" t="s">
        <v>450</v>
      </c>
      <c r="J65" s="2081"/>
    </row>
    <row r="66" spans="1:10" x14ac:dyDescent="0.3">
      <c r="A66" s="10" t="str">
        <f>IF(A65="Print","Print","Do Not Print")</f>
        <v>Do Not Print</v>
      </c>
      <c r="D66" s="2016" t="s">
        <v>1711</v>
      </c>
      <c r="E66" s="2016"/>
      <c r="F66" s="2016"/>
      <c r="G66" s="2016"/>
      <c r="H66" s="2016"/>
      <c r="I66" s="2016"/>
      <c r="J66" s="2016"/>
    </row>
    <row r="67" spans="1:10" ht="16.5" customHeight="1" x14ac:dyDescent="0.3">
      <c r="A67" s="10" t="str">
        <f>IF(AND(G67=0,I67=0),"Do Not Print","Print")</f>
        <v>Do Not Print</v>
      </c>
      <c r="D67" s="2042" t="s">
        <v>118</v>
      </c>
      <c r="E67" s="2042"/>
      <c r="F67" s="2042"/>
      <c r="G67" s="2083">
        <f>SUM('Input -CIES'!M80:M84)+SUM('Input -CIES'!N80:N84)</f>
        <v>0</v>
      </c>
      <c r="H67" s="2083"/>
      <c r="I67" s="2083">
        <f>SUM('Input -CIES'!S80:S84)+SUM('Input -CIES'!T80:T84)</f>
        <v>0</v>
      </c>
      <c r="J67" s="2083"/>
    </row>
    <row r="68" spans="1:10" x14ac:dyDescent="0.3">
      <c r="A68" s="10" t="str">
        <f>IF(AND(G68=0,I68=0),"Do Not Print","Print")</f>
        <v>Do Not Print</v>
      </c>
      <c r="D68" s="2042" t="s">
        <v>1590</v>
      </c>
      <c r="E68" s="2042"/>
      <c r="F68" s="2042"/>
      <c r="G68" s="2083">
        <f>('Input -CIES'!M91)+('Input -CIES'!N91)</f>
        <v>0</v>
      </c>
      <c r="H68" s="2083"/>
      <c r="I68" s="2083">
        <f>('Input -CIES'!S91)+('Input -CIES'!T91)</f>
        <v>0</v>
      </c>
      <c r="J68" s="2083"/>
    </row>
    <row r="69" spans="1:10" ht="25.5" customHeight="1" x14ac:dyDescent="0.3">
      <c r="A69" s="10" t="str">
        <f>IF(AND(G69=0,I69=0),"Do Not Print","Print")</f>
        <v>Do Not Print</v>
      </c>
      <c r="D69" s="2042" t="s">
        <v>1707</v>
      </c>
      <c r="E69" s="2042"/>
      <c r="F69" s="2042"/>
      <c r="G69" s="2083">
        <f>('Input -CIES'!M95)+('Input -CIES'!N95)</f>
        <v>0</v>
      </c>
      <c r="H69" s="2083"/>
      <c r="I69" s="2089">
        <f>('Input -CIES'!S95)+('Input -CIES'!T95)</f>
        <v>0</v>
      </c>
      <c r="J69" s="2089"/>
    </row>
    <row r="70" spans="1:10" x14ac:dyDescent="0.3">
      <c r="A70" s="10" t="str">
        <f>IF(A71="Print","Print","Do Not Print")</f>
        <v>Do Not Print</v>
      </c>
      <c r="D70" s="2042"/>
      <c r="E70" s="2042"/>
      <c r="F70" s="2042"/>
      <c r="G70" s="2042"/>
      <c r="H70" s="2042"/>
      <c r="I70" s="2042"/>
      <c r="J70" s="2042"/>
    </row>
    <row r="71" spans="1:10" x14ac:dyDescent="0.3">
      <c r="A71" s="10" t="str">
        <f>IF(AND(G71=0,I71=0),"Do Not Print","Print")</f>
        <v>Do Not Print</v>
      </c>
      <c r="D71" s="2088" t="s">
        <v>74</v>
      </c>
      <c r="E71" s="2088"/>
      <c r="F71" s="2088"/>
      <c r="G71" s="2087">
        <f>SUM(G67:H69)</f>
        <v>0</v>
      </c>
      <c r="H71" s="2087"/>
      <c r="I71" s="2087">
        <f>SUM(I67:J69)</f>
        <v>0</v>
      </c>
      <c r="J71" s="2087"/>
    </row>
    <row r="72" spans="1:10" x14ac:dyDescent="0.3">
      <c r="A72" s="10" t="str">
        <f>IF(A78="Print","Print","Do Not Print")</f>
        <v>Do Not Print</v>
      </c>
      <c r="D72" s="2016" t="s">
        <v>1712</v>
      </c>
      <c r="E72" s="2016"/>
      <c r="F72" s="2016"/>
      <c r="G72" s="2016"/>
      <c r="H72" s="2016"/>
      <c r="I72" s="2016"/>
      <c r="J72" s="2016"/>
    </row>
    <row r="73" spans="1:10" ht="16.05" customHeight="1" x14ac:dyDescent="0.3">
      <c r="A73" s="10" t="str">
        <f>IF(AND(G73=0,I73=0),"Do Not Print","Print")</f>
        <v>Do Not Print</v>
      </c>
      <c r="D73" s="2042" t="s">
        <v>1708</v>
      </c>
      <c r="E73" s="2042"/>
      <c r="F73" s="2042"/>
      <c r="G73" s="2083">
        <f>SUM('Input -CIES'!M85:M90)+SUM('Input -CIES'!N85:N90)</f>
        <v>0</v>
      </c>
      <c r="H73" s="2083"/>
      <c r="I73" s="2083">
        <f>SUM('Input -CIES'!S85:S90)+SUM('Input -CIES'!T85:T90)</f>
        <v>0</v>
      </c>
      <c r="J73" s="2083"/>
    </row>
    <row r="74" spans="1:10" ht="16.05" customHeight="1" x14ac:dyDescent="0.3">
      <c r="A74" s="10" t="str">
        <f>IF(AND(G74=0,I74=0),"Do Not Print","Print")</f>
        <v>Do Not Print</v>
      </c>
      <c r="D74" s="2042" t="s">
        <v>1709</v>
      </c>
      <c r="E74" s="2042"/>
      <c r="F74" s="2042"/>
      <c r="G74" s="2083">
        <f>('Input -CIES'!M96)+('Input -CIES'!N96)</f>
        <v>0</v>
      </c>
      <c r="H74" s="2083"/>
      <c r="I74" s="2083">
        <f>('Input -CIES'!S96)+('Input -CIES'!T96)</f>
        <v>0</v>
      </c>
      <c r="J74" s="2083"/>
    </row>
    <row r="75" spans="1:10" ht="16.05" customHeight="1" x14ac:dyDescent="0.3">
      <c r="A75" s="10" t="str">
        <f>IF(AND(G75=0,I75=0),"Do Not Print","Print")</f>
        <v>Do Not Print</v>
      </c>
      <c r="D75" s="2042" t="s">
        <v>1710</v>
      </c>
      <c r="E75" s="2042"/>
      <c r="F75" s="2042"/>
      <c r="G75" s="2083">
        <f>('Input -CIES'!M97)+('Input -CIES'!N97)</f>
        <v>0</v>
      </c>
      <c r="H75" s="2083"/>
      <c r="I75" s="2083">
        <f>('Input -CIES'!S97)+('Input -CIES'!T97)</f>
        <v>0</v>
      </c>
      <c r="J75" s="2083"/>
    </row>
    <row r="76" spans="1:10" x14ac:dyDescent="0.3">
      <c r="A76" s="10" t="str">
        <f>IF(AND(G76=0,I76=0),"Do Not Print","Print")</f>
        <v>Do Not Print</v>
      </c>
      <c r="D76" s="2042" t="s">
        <v>84</v>
      </c>
      <c r="E76" s="2042"/>
      <c r="F76" s="2042"/>
      <c r="G76" s="2083">
        <f>('Input -CIES'!M92)+('Input -CIES'!N92)</f>
        <v>0</v>
      </c>
      <c r="H76" s="2083"/>
      <c r="I76" s="2083">
        <f>('Input -CIES'!S92)+('Input -CIES'!T92)</f>
        <v>0</v>
      </c>
      <c r="J76" s="2083"/>
    </row>
    <row r="77" spans="1:10" x14ac:dyDescent="0.3">
      <c r="A77" s="10" t="str">
        <f>IF(A78="Print", "Print", "Do Not Print")</f>
        <v>Do Not Print</v>
      </c>
      <c r="D77" s="2042"/>
      <c r="E77" s="2042"/>
      <c r="F77" s="2042"/>
      <c r="G77" s="2042"/>
      <c r="H77" s="2042"/>
      <c r="I77" s="2042"/>
      <c r="J77" s="2042"/>
    </row>
    <row r="78" spans="1:10" x14ac:dyDescent="0.3">
      <c r="A78" s="10" t="str">
        <f>IF(AND(G78=0,I78=0),"Do Not Print","Print")</f>
        <v>Do Not Print</v>
      </c>
      <c r="D78" s="1793" t="s">
        <v>74</v>
      </c>
      <c r="E78" s="1793"/>
      <c r="F78" s="1793"/>
      <c r="G78" s="2084">
        <f>SUM(G73:H76)</f>
        <v>0</v>
      </c>
      <c r="H78" s="2084"/>
      <c r="I78" s="2084">
        <f>SUM(I73:J76)</f>
        <v>0</v>
      </c>
      <c r="J78" s="2084"/>
    </row>
    <row r="79" spans="1:10" x14ac:dyDescent="0.3">
      <c r="A79" s="10" t="s">
        <v>448</v>
      </c>
      <c r="D79" s="1500"/>
      <c r="E79" s="1500"/>
      <c r="F79" s="1500"/>
      <c r="G79" s="1500"/>
      <c r="H79" s="1500"/>
      <c r="I79" s="1500"/>
      <c r="J79" s="1500"/>
    </row>
    <row r="80" spans="1:10" x14ac:dyDescent="0.3">
      <c r="A80" s="10" t="s">
        <v>448</v>
      </c>
      <c r="D80" s="1500"/>
      <c r="E80" s="1500"/>
      <c r="F80" s="1500"/>
      <c r="G80" s="1500"/>
      <c r="H80" s="1500"/>
      <c r="I80" s="1500"/>
      <c r="J80" s="1500"/>
    </row>
    <row r="81" spans="1:10" x14ac:dyDescent="0.3">
      <c r="A81" s="10" t="s">
        <v>448</v>
      </c>
      <c r="B81" s="585" t="str">
        <f>Checklist!E165</f>
        <v>G5</v>
      </c>
      <c r="C81" s="585" t="str">
        <f>Checklist!E166</f>
        <v>a</v>
      </c>
      <c r="D81" s="474" t="s">
        <v>260</v>
      </c>
      <c r="E81" s="474"/>
      <c r="F81" s="474"/>
      <c r="G81" s="474"/>
      <c r="H81" s="474"/>
      <c r="I81" s="481"/>
      <c r="J81" s="481"/>
    </row>
    <row r="82" spans="1:10" x14ac:dyDescent="0.3">
      <c r="A82" s="10" t="s">
        <v>448</v>
      </c>
      <c r="D82" s="474" t="s">
        <v>262</v>
      </c>
      <c r="E82" s="474"/>
      <c r="F82" s="474"/>
      <c r="G82" s="474"/>
      <c r="H82" s="474"/>
      <c r="I82" s="486" t="str">
        <f>'Standing Data'!D34</f>
        <v>2025/26</v>
      </c>
      <c r="J82" s="486" t="str">
        <f>'Standing Data'!D52</f>
        <v>2024/25</v>
      </c>
    </row>
    <row r="83" spans="1:10" x14ac:dyDescent="0.3">
      <c r="A83" s="10" t="s">
        <v>448</v>
      </c>
      <c r="D83" s="482"/>
      <c r="E83" s="482"/>
      <c r="F83" s="482"/>
      <c r="G83" s="482"/>
      <c r="H83" s="482"/>
      <c r="I83" s="483" t="s">
        <v>450</v>
      </c>
      <c r="J83" s="483" t="s">
        <v>450</v>
      </c>
    </row>
    <row r="84" spans="1:10" x14ac:dyDescent="0.3">
      <c r="A84" s="10" t="str">
        <f>IF(AND(I84=0,J84=0),"Do Not Print","Print")</f>
        <v>Do Not Print</v>
      </c>
      <c r="D84" s="1756" t="s">
        <v>214</v>
      </c>
      <c r="E84" s="1756"/>
      <c r="F84" s="1756"/>
      <c r="G84" s="1756"/>
      <c r="H84" s="1756"/>
      <c r="I84" s="509">
        <f>'GROUP Non TB - Group Acc notes'!H17</f>
        <v>0</v>
      </c>
      <c r="J84" s="509">
        <f>'GROUP Non TB - Group Acc notes'!I17</f>
        <v>0</v>
      </c>
    </row>
    <row r="85" spans="1:10" x14ac:dyDescent="0.3">
      <c r="A85" s="10" t="str">
        <f>IF(AND(I85=0,J85=0),"Do Not Print","Print")</f>
        <v>Do Not Print</v>
      </c>
      <c r="D85" s="1756" t="s">
        <v>215</v>
      </c>
      <c r="E85" s="1756"/>
      <c r="F85" s="1756"/>
      <c r="G85" s="1756"/>
      <c r="H85" s="1756"/>
      <c r="I85" s="509">
        <f>'GROUP Non TB - Group Acc notes'!H18</f>
        <v>0</v>
      </c>
      <c r="J85" s="509">
        <f>'GROUP Non TB - Group Acc notes'!I18</f>
        <v>0</v>
      </c>
    </row>
    <row r="86" spans="1:10" x14ac:dyDescent="0.3">
      <c r="A86" s="10" t="str">
        <f>IF(AND(I86=0,J86=0),"Do Not Print","Print")</f>
        <v>Do Not Print</v>
      </c>
      <c r="D86" s="1756" t="s">
        <v>216</v>
      </c>
      <c r="E86" s="1756"/>
      <c r="F86" s="1756"/>
      <c r="G86" s="1756"/>
      <c r="H86" s="1756"/>
      <c r="I86" s="509">
        <f>'GROUP Non TB - Group Acc notes'!H19</f>
        <v>0</v>
      </c>
      <c r="J86" s="509">
        <f>'GROUP Non TB - Group Acc notes'!I19</f>
        <v>0</v>
      </c>
    </row>
    <row r="87" spans="1:10" x14ac:dyDescent="0.3">
      <c r="A87" s="10" t="str">
        <f>IF(A88="Print","Print","Do Not Print")</f>
        <v>Print</v>
      </c>
      <c r="D87" s="1756"/>
      <c r="E87" s="1756"/>
      <c r="F87" s="1756"/>
      <c r="G87" s="1756"/>
      <c r="H87" s="1756"/>
      <c r="I87" s="1756"/>
      <c r="J87" s="1756"/>
    </row>
    <row r="88" spans="1:10" x14ac:dyDescent="0.3">
      <c r="A88" s="10" t="s">
        <v>448</v>
      </c>
      <c r="D88" s="510" t="s">
        <v>201</v>
      </c>
      <c r="E88" s="474"/>
      <c r="F88" s="474"/>
      <c r="G88" s="474"/>
      <c r="H88" s="474"/>
      <c r="I88" s="511">
        <f>SUM(I84:I86)</f>
        <v>0</v>
      </c>
      <c r="J88" s="511">
        <f>SUM(J84:J86)</f>
        <v>0</v>
      </c>
    </row>
    <row r="89" spans="1:10" x14ac:dyDescent="0.3">
      <c r="A89" s="10" t="str">
        <f>IF(A88="Print","Print","Do Not Print")</f>
        <v>Print</v>
      </c>
      <c r="D89" s="1777"/>
      <c r="E89" s="1777"/>
      <c r="F89" s="1777"/>
      <c r="G89" s="1777"/>
      <c r="H89" s="1777"/>
      <c r="I89" s="1777"/>
      <c r="J89" s="1777"/>
    </row>
    <row r="90" spans="1:10" x14ac:dyDescent="0.3">
      <c r="A90" s="10" t="str">
        <f>IF('GROUP Non TB - Group Acc notes'!F20=1,"Print","Do Not Print")</f>
        <v>Print</v>
      </c>
      <c r="D90" s="1777" t="str">
        <f>IF('GROUP Non TB - Group Acc notes'!F20=1,'GROUP Non TB - Group Acc notes'!H20,"")</f>
        <v xml:space="preserve">In addition, agency costs during the year amounted to £x.
</v>
      </c>
      <c r="E90" s="1777"/>
      <c r="F90" s="1777"/>
      <c r="G90" s="1777"/>
      <c r="H90" s="1777"/>
      <c r="I90" s="1777"/>
      <c r="J90" s="1777"/>
    </row>
    <row r="91" spans="1:10" x14ac:dyDescent="0.3">
      <c r="A91" s="10" t="str">
        <f>IF(A90="Print","Print","Do Not Print")</f>
        <v>Print</v>
      </c>
      <c r="D91" s="1777"/>
      <c r="E91" s="1777"/>
      <c r="F91" s="1777"/>
      <c r="G91" s="1777"/>
      <c r="H91" s="1777"/>
      <c r="I91" s="1777"/>
      <c r="J91" s="1777"/>
    </row>
    <row r="92" spans="1:10" ht="42.75" customHeight="1" x14ac:dyDescent="0.3">
      <c r="A92" s="10" t="str">
        <f>IF('GROUP Non TB - Group Acc notes'!F21=1,"Print","Do Not Print")</f>
        <v>Print</v>
      </c>
      <c r="D92" s="1779" t="str">
        <f>IF('GROUP Non TB - Group Acc notes'!F21=1,'GROUP Non TB - Group Acc notes'!H21,"")</f>
        <v>The Council's current contribution rate to NILGOSC scheme is XX%.  At the last acturial valuation, dated 31 March 20YY, the Fund's assets as a whole were sufficient to meet x% of the liabilities accrued up to that date.</v>
      </c>
      <c r="E92" s="1779"/>
      <c r="F92" s="1779"/>
      <c r="G92" s="1779"/>
      <c r="H92" s="1779"/>
      <c r="I92" s="1779"/>
      <c r="J92" s="1779"/>
    </row>
    <row r="93" spans="1:10" x14ac:dyDescent="0.3">
      <c r="A93" s="10" t="str">
        <f>IF(A92="Print","Print","Do Not Print")</f>
        <v>Print</v>
      </c>
      <c r="D93" s="1777"/>
      <c r="E93" s="1777"/>
      <c r="F93" s="1777"/>
      <c r="G93" s="1777"/>
      <c r="H93" s="1777"/>
      <c r="I93" s="1777"/>
      <c r="J93" s="1777"/>
    </row>
    <row r="94" spans="1:10" ht="15" customHeight="1" x14ac:dyDescent="0.3">
      <c r="A94" s="10" t="str">
        <f>IF('GROUP Non TB - Group Acc notes'!F22=1,"Print","Do Not Print")</f>
        <v>Print</v>
      </c>
      <c r="D94" s="1500" t="str">
        <f>IF('GROUP Non TB - Group Acc notes'!F22=1,'GROUP Non TB - Group Acc notes'!H22,"")</f>
        <v>Average Number of Employees - where FTE represents fulltime equivalent employees</v>
      </c>
      <c r="E94" s="1500"/>
      <c r="F94" s="1500"/>
      <c r="G94" s="1500"/>
      <c r="H94" s="1500"/>
      <c r="I94" s="1500"/>
      <c r="J94" s="1500"/>
    </row>
    <row r="95" spans="1:10" x14ac:dyDescent="0.3">
      <c r="A95" s="10" t="str">
        <f>IF(A94="Print","Print","Do Not Print")</f>
        <v>Print</v>
      </c>
      <c r="D95" s="1500"/>
      <c r="E95" s="1500"/>
      <c r="F95" s="1500"/>
      <c r="G95" s="1500"/>
      <c r="H95" s="1500"/>
      <c r="I95" s="1500"/>
      <c r="J95" s="1500"/>
    </row>
    <row r="96" spans="1:10" x14ac:dyDescent="0.3">
      <c r="A96" s="10" t="s">
        <v>448</v>
      </c>
      <c r="C96" s="585" t="str">
        <f>Checklist!E167</f>
        <v>b</v>
      </c>
      <c r="D96" s="474" t="s">
        <v>264</v>
      </c>
      <c r="E96" s="474"/>
      <c r="F96" s="474"/>
      <c r="G96" s="474"/>
      <c r="H96" s="474"/>
      <c r="I96" s="486" t="str">
        <f>I82</f>
        <v>2025/26</v>
      </c>
      <c r="J96" s="486" t="str">
        <f>J82</f>
        <v>2024/25</v>
      </c>
    </row>
    <row r="97" spans="1:10" x14ac:dyDescent="0.3">
      <c r="A97" s="10" t="str">
        <f>IF(A96="Print","Print","Do Not Print")</f>
        <v>Print</v>
      </c>
      <c r="D97" s="482"/>
      <c r="E97" s="482"/>
      <c r="F97" s="482"/>
      <c r="G97" s="482"/>
      <c r="H97" s="482"/>
      <c r="I97" s="483" t="s">
        <v>80</v>
      </c>
      <c r="J97" s="483" t="s">
        <v>80</v>
      </c>
    </row>
    <row r="98" spans="1:10" x14ac:dyDescent="0.3">
      <c r="A98" s="10" t="str">
        <f>IF(AND(I98=0,J98=0),"Do Not Print","Print")</f>
        <v>Do Not Print</v>
      </c>
      <c r="D98" s="1756" t="s">
        <v>1275</v>
      </c>
      <c r="E98" s="1756"/>
      <c r="F98" s="1756"/>
      <c r="G98" s="1756"/>
      <c r="H98" s="1756"/>
      <c r="I98" s="503">
        <f>'GROUP Non TB - Group Acc notes'!H23</f>
        <v>0</v>
      </c>
      <c r="J98" s="503">
        <f>'GROUP Non TB - Group Acc notes'!I23</f>
        <v>0</v>
      </c>
    </row>
    <row r="99" spans="1:10" x14ac:dyDescent="0.3">
      <c r="A99" s="10" t="str">
        <f>IF(AND(I99=0,J99=0),"Do Not Print","Print")</f>
        <v>Do Not Print</v>
      </c>
      <c r="D99" s="1756" t="s">
        <v>157</v>
      </c>
      <c r="E99" s="1756"/>
      <c r="F99" s="1756"/>
      <c r="G99" s="1756"/>
      <c r="H99" s="1756"/>
      <c r="I99" s="503">
        <f>'GROUP Non TB - Group Acc notes'!H24</f>
        <v>0</v>
      </c>
      <c r="J99" s="503">
        <f>'GROUP Non TB - Group Acc notes'!I24</f>
        <v>0</v>
      </c>
    </row>
    <row r="100" spans="1:10" x14ac:dyDescent="0.3">
      <c r="A100" s="10" t="str">
        <f>IF(AND(I100=0,J100=0),"Do Not Print","Print")</f>
        <v>Do Not Print</v>
      </c>
      <c r="D100" s="1756" t="s">
        <v>947</v>
      </c>
      <c r="E100" s="1756"/>
      <c r="F100" s="1756"/>
      <c r="G100" s="1756"/>
      <c r="H100" s="1756"/>
      <c r="I100" s="503">
        <f>'GROUP Non TB - Group Acc notes'!H25</f>
        <v>0</v>
      </c>
      <c r="J100" s="503">
        <f>'GROUP Non TB - Group Acc notes'!I25</f>
        <v>0</v>
      </c>
    </row>
    <row r="101" spans="1:10" x14ac:dyDescent="0.3">
      <c r="A101" s="10" t="str">
        <f>IF(AND(I101=0,J101=0),"Do Not Print","Print")</f>
        <v>Do Not Print</v>
      </c>
      <c r="D101" s="1756" t="s">
        <v>1276</v>
      </c>
      <c r="E101" s="1756"/>
      <c r="F101" s="1756"/>
      <c r="G101" s="1756"/>
      <c r="H101" s="1756"/>
      <c r="I101" s="503">
        <f>'GROUP Non TB - Group Acc notes'!H26</f>
        <v>0</v>
      </c>
      <c r="J101" s="503">
        <f>'GROUP Non TB - Group Acc notes'!I26</f>
        <v>0</v>
      </c>
    </row>
    <row r="102" spans="1:10" x14ac:dyDescent="0.3">
      <c r="A102" s="10" t="str">
        <f>IF(AND(I102=0,J102=0),"Do Not Print","Print")</f>
        <v>Do Not Print</v>
      </c>
      <c r="D102" s="1756" t="s">
        <v>373</v>
      </c>
      <c r="E102" s="1756"/>
      <c r="F102" s="1756"/>
      <c r="G102" s="1756"/>
      <c r="H102" s="1756"/>
      <c r="I102" s="503">
        <f>'GROUP Non TB - Group Acc notes'!H27</f>
        <v>0</v>
      </c>
      <c r="J102" s="503">
        <f>'GROUP Non TB - Group Acc notes'!I27</f>
        <v>0</v>
      </c>
    </row>
    <row r="103" spans="1:10" x14ac:dyDescent="0.3">
      <c r="A103" s="10" t="str">
        <f>IF(A104="Print","Print","Do Not Print")</f>
        <v>Do Not Print</v>
      </c>
      <c r="D103" s="1753"/>
      <c r="E103" s="1754"/>
      <c r="F103" s="1754"/>
      <c r="G103" s="1754"/>
      <c r="H103" s="1754"/>
      <c r="I103" s="1754"/>
      <c r="J103" s="1755"/>
    </row>
    <row r="104" spans="1:10" x14ac:dyDescent="0.3">
      <c r="A104" s="10" t="str">
        <f>IF(AND(I104=0,J104=0),"Do Not Print","Print")</f>
        <v>Do Not Print</v>
      </c>
      <c r="D104" s="474" t="s">
        <v>81</v>
      </c>
      <c r="E104" s="474"/>
      <c r="F104" s="474"/>
      <c r="G104" s="474"/>
      <c r="H104" s="474"/>
      <c r="I104" s="511">
        <f>SUM(I98:I102)</f>
        <v>0</v>
      </c>
      <c r="J104" s="511">
        <f>SUM(J98:J102)</f>
        <v>0</v>
      </c>
    </row>
    <row r="105" spans="1:10" x14ac:dyDescent="0.3">
      <c r="A105" s="10" t="str">
        <f>IF(A104="Print","Print","Do Not Print")</f>
        <v>Do Not Print</v>
      </c>
      <c r="D105" s="1500"/>
      <c r="E105" s="1500"/>
      <c r="F105" s="1500"/>
      <c r="G105" s="1500"/>
      <c r="H105" s="1500"/>
      <c r="I105" s="1500"/>
      <c r="J105" s="1500"/>
    </row>
    <row r="106" spans="1:10" x14ac:dyDescent="0.3">
      <c r="A106" s="10" t="str">
        <f>IF(A104="Print","Print","Do Not Print")</f>
        <v>Do Not Print</v>
      </c>
      <c r="D106" s="1500"/>
      <c r="E106" s="1500"/>
      <c r="F106" s="1500"/>
      <c r="G106" s="1500"/>
      <c r="H106" s="1500"/>
      <c r="I106" s="1500"/>
      <c r="J106" s="1500"/>
    </row>
    <row r="107" spans="1:10" x14ac:dyDescent="0.3">
      <c r="A107" s="10" t="s">
        <v>448</v>
      </c>
      <c r="C107" s="585" t="str">
        <f>Checklist!E168</f>
        <v>c</v>
      </c>
      <c r="D107" s="474"/>
      <c r="E107" s="474"/>
      <c r="F107" s="474"/>
      <c r="G107" s="474"/>
      <c r="H107" s="474"/>
      <c r="I107" s="486" t="str">
        <f>I96</f>
        <v>2025/26</v>
      </c>
      <c r="J107" s="486" t="str">
        <f>J96</f>
        <v>2024/25</v>
      </c>
    </row>
    <row r="108" spans="1:10" ht="27" x14ac:dyDescent="0.3">
      <c r="A108" s="10" t="str">
        <f>IF(A107="Print","Print","Do Not Print")</f>
        <v>Print</v>
      </c>
      <c r="D108" s="482"/>
      <c r="E108" s="482"/>
      <c r="F108" s="482"/>
      <c r="G108" s="482"/>
      <c r="H108" s="482"/>
      <c r="I108" s="512" t="s">
        <v>82</v>
      </c>
      <c r="J108" s="512" t="s">
        <v>82</v>
      </c>
    </row>
    <row r="109" spans="1:10" x14ac:dyDescent="0.3">
      <c r="A109" s="10" t="str">
        <f>IF(AND(I109=0,J109=0),"Do Not Print","Print")</f>
        <v>Do Not Print</v>
      </c>
      <c r="D109" s="1756" t="s">
        <v>217</v>
      </c>
      <c r="E109" s="1756"/>
      <c r="F109" s="1756"/>
      <c r="G109" s="1756"/>
      <c r="H109" s="1756"/>
      <c r="I109" s="513">
        <f>'GROUP Non TB - Group Acc notes'!H28</f>
        <v>0</v>
      </c>
      <c r="J109" s="513">
        <f>'GROUP Non TB - Group Acc notes'!I28</f>
        <v>0</v>
      </c>
    </row>
    <row r="110" spans="1:10" x14ac:dyDescent="0.3">
      <c r="A110" s="10" t="str">
        <f>IF(AND(I110=0,J110=0),"Do Not Print","Print")</f>
        <v>Do Not Print</v>
      </c>
      <c r="D110" s="1756" t="s">
        <v>218</v>
      </c>
      <c r="E110" s="1756"/>
      <c r="F110" s="1756"/>
      <c r="G110" s="1756"/>
      <c r="H110" s="1756"/>
      <c r="I110" s="513">
        <f>'GROUP Non TB - Group Acc notes'!H29</f>
        <v>0</v>
      </c>
      <c r="J110" s="513">
        <f>'GROUP Non TB - Group Acc notes'!I29</f>
        <v>0</v>
      </c>
    </row>
    <row r="111" spans="1:10" x14ac:dyDescent="0.3">
      <c r="A111" s="10" t="str">
        <f>IF(A112="Print","Print","Do Not Print")</f>
        <v>Print</v>
      </c>
      <c r="D111" s="1753"/>
      <c r="E111" s="1754"/>
      <c r="F111" s="1754"/>
      <c r="G111" s="1754"/>
      <c r="H111" s="1754"/>
      <c r="I111" s="1754"/>
      <c r="J111" s="1755"/>
    </row>
    <row r="112" spans="1:10" x14ac:dyDescent="0.3">
      <c r="A112" s="10" t="s">
        <v>448</v>
      </c>
      <c r="D112" s="474" t="s">
        <v>81</v>
      </c>
      <c r="E112" s="474"/>
      <c r="F112" s="474"/>
      <c r="G112" s="474"/>
      <c r="H112" s="474"/>
      <c r="I112" s="511">
        <f>SUM(I109:I110)</f>
        <v>0</v>
      </c>
      <c r="J112" s="511">
        <f>SUM(J109:J110)</f>
        <v>0</v>
      </c>
    </row>
    <row r="113" spans="1:10" x14ac:dyDescent="0.3">
      <c r="A113" s="10" t="str">
        <f>IF(A112="Print","Print","Do Not Print")</f>
        <v>Print</v>
      </c>
      <c r="D113" s="1500"/>
      <c r="E113" s="1500"/>
      <c r="F113" s="1500"/>
      <c r="G113" s="1500"/>
      <c r="H113" s="1500"/>
      <c r="I113" s="1500"/>
      <c r="J113" s="1500"/>
    </row>
    <row r="114" spans="1:10" x14ac:dyDescent="0.3">
      <c r="A114" s="10" t="str">
        <f>IF(A112="Print","Print","Do Not Print")</f>
        <v>Print</v>
      </c>
      <c r="D114" s="1500"/>
      <c r="E114" s="1500"/>
      <c r="F114" s="1500"/>
      <c r="G114" s="1500"/>
      <c r="H114" s="1500"/>
      <c r="I114" s="1500"/>
      <c r="J114" s="1500"/>
    </row>
    <row r="115" spans="1:10" x14ac:dyDescent="0.3">
      <c r="A115" s="10" t="s">
        <v>448</v>
      </c>
      <c r="C115" s="585" t="str">
        <f>Checklist!E169</f>
        <v>d</v>
      </c>
      <c r="D115" s="474" t="s">
        <v>1467</v>
      </c>
      <c r="E115" s="474"/>
      <c r="F115" s="474"/>
      <c r="G115" s="474"/>
      <c r="H115" s="474"/>
      <c r="I115" s="486" t="str">
        <f>I107</f>
        <v>2025/26</v>
      </c>
      <c r="J115" s="486" t="str">
        <f>J107</f>
        <v>2024/25</v>
      </c>
    </row>
    <row r="116" spans="1:10" x14ac:dyDescent="0.3">
      <c r="A116" s="10" t="s">
        <v>448</v>
      </c>
      <c r="D116" s="482"/>
      <c r="E116" s="482"/>
      <c r="F116" s="482"/>
      <c r="G116" s="482"/>
      <c r="H116" s="482"/>
      <c r="I116" s="483" t="s">
        <v>450</v>
      </c>
      <c r="J116" s="483" t="s">
        <v>450</v>
      </c>
    </row>
    <row r="117" spans="1:10" x14ac:dyDescent="0.3">
      <c r="A117" s="10" t="str">
        <f t="shared" ref="A117:A123" si="2">IF(AND(I117=0,J117=0),"Do Not Print","Print")</f>
        <v>Do Not Print</v>
      </c>
      <c r="D117" s="1753" t="s">
        <v>219</v>
      </c>
      <c r="E117" s="1754"/>
      <c r="F117" s="1754"/>
      <c r="G117" s="1754"/>
      <c r="H117" s="1755"/>
      <c r="I117" s="503">
        <f>'GROUP Non TB - Group Acc notes'!H30</f>
        <v>0</v>
      </c>
      <c r="J117" s="503">
        <f>'GROUP Non TB - Group Acc notes'!I30</f>
        <v>0</v>
      </c>
    </row>
    <row r="118" spans="1:10" x14ac:dyDescent="0.3">
      <c r="A118" s="10" t="str">
        <f t="shared" si="2"/>
        <v>Do Not Print</v>
      </c>
      <c r="D118" s="1753" t="s">
        <v>220</v>
      </c>
      <c r="E118" s="1754"/>
      <c r="F118" s="1754"/>
      <c r="G118" s="1754"/>
      <c r="H118" s="1755"/>
      <c r="I118" s="503">
        <f>'GROUP Non TB - Group Acc notes'!H31</f>
        <v>0</v>
      </c>
      <c r="J118" s="503">
        <f>'GROUP Non TB - Group Acc notes'!I31</f>
        <v>0</v>
      </c>
    </row>
    <row r="119" spans="1:10" x14ac:dyDescent="0.3">
      <c r="A119" s="10" t="str">
        <f t="shared" si="2"/>
        <v>Do Not Print</v>
      </c>
      <c r="D119" s="1753" t="s">
        <v>221</v>
      </c>
      <c r="E119" s="1754"/>
      <c r="F119" s="1754"/>
      <c r="G119" s="1754"/>
      <c r="H119" s="1755"/>
      <c r="I119" s="503">
        <f>'GROUP Non TB - Group Acc notes'!H32</f>
        <v>0</v>
      </c>
      <c r="J119" s="503">
        <f>'GROUP Non TB - Group Acc notes'!I32</f>
        <v>0</v>
      </c>
    </row>
    <row r="120" spans="1:10" x14ac:dyDescent="0.3">
      <c r="A120" s="10" t="str">
        <f t="shared" si="2"/>
        <v>Do Not Print</v>
      </c>
      <c r="D120" s="1753" t="s">
        <v>1468</v>
      </c>
      <c r="E120" s="1754"/>
      <c r="F120" s="1754"/>
      <c r="G120" s="1754"/>
      <c r="H120" s="1755"/>
      <c r="I120" s="503">
        <f>'GROUP Non TB - Group Acc notes'!H33</f>
        <v>0</v>
      </c>
      <c r="J120" s="503">
        <f>'GROUP Non TB - Group Acc notes'!I33</f>
        <v>0</v>
      </c>
    </row>
    <row r="121" spans="1:10" x14ac:dyDescent="0.3">
      <c r="A121" s="10" t="str">
        <f t="shared" si="2"/>
        <v>Do Not Print</v>
      </c>
      <c r="D121" s="1753" t="s">
        <v>1575</v>
      </c>
      <c r="E121" s="1754"/>
      <c r="F121" s="1754"/>
      <c r="G121" s="1754"/>
      <c r="H121" s="1755"/>
      <c r="I121" s="503">
        <f>'GROUP Non TB - Group Acc notes'!H34</f>
        <v>0</v>
      </c>
      <c r="J121" s="503">
        <f>'GROUP Non TB - Group Acc notes'!I34</f>
        <v>0</v>
      </c>
    </row>
    <row r="122" spans="1:10" x14ac:dyDescent="0.3">
      <c r="A122" s="10" t="str">
        <f t="shared" si="2"/>
        <v>Do Not Print</v>
      </c>
      <c r="D122" s="1753" t="s">
        <v>1576</v>
      </c>
      <c r="E122" s="1754"/>
      <c r="F122" s="1754"/>
      <c r="G122" s="1754"/>
      <c r="H122" s="1755"/>
      <c r="I122" s="503">
        <f>'GROUP Non TB - Group Acc notes'!H35</f>
        <v>0</v>
      </c>
      <c r="J122" s="503">
        <f>'GROUP Non TB - Group Acc notes'!I35</f>
        <v>0</v>
      </c>
    </row>
    <row r="123" spans="1:10" x14ac:dyDescent="0.3">
      <c r="A123" s="10" t="str">
        <f t="shared" si="2"/>
        <v>Do Not Print</v>
      </c>
      <c r="D123" s="1753" t="s">
        <v>1577</v>
      </c>
      <c r="E123" s="1754"/>
      <c r="F123" s="1754"/>
      <c r="G123" s="1754"/>
      <c r="H123" s="1755"/>
      <c r="I123" s="503">
        <f>'GROUP Non TB - Group Acc notes'!H36</f>
        <v>0</v>
      </c>
      <c r="J123" s="503">
        <f>'GROUP Non TB - Group Acc notes'!I36</f>
        <v>0</v>
      </c>
    </row>
    <row r="124" spans="1:10" x14ac:dyDescent="0.3">
      <c r="A124" s="10" t="str">
        <f>IF(A125="Print","Print","Do Not Print")</f>
        <v>Print</v>
      </c>
      <c r="D124" s="1753"/>
      <c r="E124" s="1754"/>
      <c r="F124" s="1754"/>
      <c r="G124" s="1754"/>
      <c r="H124" s="1754"/>
      <c r="I124" s="1754"/>
      <c r="J124" s="1755"/>
    </row>
    <row r="125" spans="1:10" x14ac:dyDescent="0.3">
      <c r="A125" s="10" t="s">
        <v>448</v>
      </c>
      <c r="D125" s="474" t="s">
        <v>81</v>
      </c>
      <c r="E125" s="474"/>
      <c r="F125" s="474"/>
      <c r="G125" s="474"/>
      <c r="H125" s="474"/>
      <c r="I125" s="511">
        <f>SUM(I117:I123)</f>
        <v>0</v>
      </c>
      <c r="J125" s="511">
        <f>SUM(J117:J123)</f>
        <v>0</v>
      </c>
    </row>
    <row r="126" spans="1:10" ht="14.25" customHeight="1" x14ac:dyDescent="0.3">
      <c r="A126" s="10" t="str">
        <f>IF(A125="Print","Print","Do Not Print")</f>
        <v>Print</v>
      </c>
    </row>
    <row r="127" spans="1:10" x14ac:dyDescent="0.3">
      <c r="A127" s="10" t="str">
        <f>IF(A147="Print","Print","Do Not Print")</f>
        <v>Do Not Print</v>
      </c>
      <c r="B127" s="585" t="str">
        <f>Checklist!E171</f>
        <v>G6</v>
      </c>
      <c r="D127" s="474" t="s">
        <v>297</v>
      </c>
      <c r="E127" s="474"/>
      <c r="F127" s="474"/>
      <c r="G127" s="474"/>
      <c r="H127" s="604"/>
      <c r="I127" s="586"/>
      <c r="J127" s="586"/>
    </row>
    <row r="128" spans="1:10" x14ac:dyDescent="0.3">
      <c r="A128" s="10" t="str">
        <f>IF(A147="Print","Print","Do Not Print")</f>
        <v>Do Not Print</v>
      </c>
      <c r="C128" s="585" t="str">
        <f>Checklist!E172</f>
        <v>a</v>
      </c>
      <c r="D128" s="474" t="s">
        <v>620</v>
      </c>
      <c r="E128" s="474"/>
      <c r="F128" s="474"/>
      <c r="G128" s="474"/>
      <c r="H128" s="604"/>
      <c r="I128" s="586" t="str">
        <f>'Standing Data'!D34</f>
        <v>2025/26</v>
      </c>
      <c r="J128" s="586" t="str">
        <f>'Standing Data'!D52</f>
        <v>2024/25</v>
      </c>
    </row>
    <row r="129" spans="1:10" x14ac:dyDescent="0.3">
      <c r="A129" s="10" t="str">
        <f>IF(A147="Print","Print","Do Not Print")</f>
        <v>Do Not Print</v>
      </c>
      <c r="D129" s="474"/>
      <c r="E129" s="474"/>
      <c r="F129" s="474"/>
      <c r="G129" s="474"/>
      <c r="H129" s="604"/>
      <c r="I129" s="586" t="s">
        <v>450</v>
      </c>
      <c r="J129" s="586" t="s">
        <v>450</v>
      </c>
    </row>
    <row r="130" spans="1:10" x14ac:dyDescent="0.3">
      <c r="A130" s="10" t="str">
        <f>IF(AND(I130=0,J130=0),"Do Not Print","Print")</f>
        <v>Do Not Print</v>
      </c>
      <c r="D130" s="2012" t="s">
        <v>365</v>
      </c>
      <c r="E130" s="2012"/>
      <c r="F130" s="2012"/>
      <c r="G130" s="2012"/>
      <c r="H130" s="610"/>
      <c r="I130" s="600">
        <f>'GROUP Det Group BS'!J298</f>
        <v>0</v>
      </c>
      <c r="J130" s="600">
        <f>'GROUP Det Group BS'!K298</f>
        <v>0</v>
      </c>
    </row>
    <row r="131" spans="1:10" x14ac:dyDescent="0.3">
      <c r="A131" s="10" t="str">
        <f t="shared" ref="A131:A143" si="3">IF(AND(I131=0,J131=0),"Do Not Print","Print")</f>
        <v>Do Not Print</v>
      </c>
      <c r="D131" s="2012" t="s">
        <v>366</v>
      </c>
      <c r="E131" s="2012"/>
      <c r="F131" s="2012"/>
      <c r="G131" s="2012"/>
      <c r="H131" s="610"/>
      <c r="I131" s="600">
        <f>'GROUP Det Group BS'!J299</f>
        <v>0</v>
      </c>
      <c r="J131" s="600">
        <f>'GROUP Det Group BS'!K299</f>
        <v>0</v>
      </c>
    </row>
    <row r="132" spans="1:10" x14ac:dyDescent="0.3">
      <c r="A132" s="10" t="str">
        <f t="shared" si="3"/>
        <v>Do Not Print</v>
      </c>
      <c r="D132" s="2012" t="s">
        <v>367</v>
      </c>
      <c r="E132" s="2012"/>
      <c r="F132" s="2012"/>
      <c r="G132" s="2012"/>
      <c r="H132" s="610"/>
      <c r="I132" s="600">
        <f>'GROUP Det Group BS'!J300</f>
        <v>0</v>
      </c>
      <c r="J132" s="600">
        <f>'GROUP Det Group BS'!K300</f>
        <v>0</v>
      </c>
    </row>
    <row r="133" spans="1:10" x14ac:dyDescent="0.3">
      <c r="A133" s="10" t="str">
        <f t="shared" si="3"/>
        <v>Do Not Print</v>
      </c>
      <c r="D133" s="2012" t="s">
        <v>368</v>
      </c>
      <c r="E133" s="2012"/>
      <c r="F133" s="2012"/>
      <c r="G133" s="2012"/>
      <c r="H133" s="610"/>
      <c r="I133" s="600">
        <f>'GROUP Det Group BS'!J301</f>
        <v>0</v>
      </c>
      <c r="J133" s="600">
        <f>'GROUP Det Group BS'!K301</f>
        <v>0</v>
      </c>
    </row>
    <row r="134" spans="1:10" x14ac:dyDescent="0.3">
      <c r="A134" s="10" t="str">
        <f t="shared" si="3"/>
        <v>Do Not Print</v>
      </c>
      <c r="D134" s="2012" t="s">
        <v>369</v>
      </c>
      <c r="E134" s="2012"/>
      <c r="F134" s="2012"/>
      <c r="G134" s="2012"/>
      <c r="H134" s="610"/>
      <c r="I134" s="600">
        <f>'GROUP Det Group BS'!J302</f>
        <v>0</v>
      </c>
      <c r="J134" s="600">
        <f>'GROUP Det Group BS'!K302</f>
        <v>0</v>
      </c>
    </row>
    <row r="135" spans="1:10" x14ac:dyDescent="0.3">
      <c r="A135" s="10" t="str">
        <f t="shared" si="3"/>
        <v>Do Not Print</v>
      </c>
      <c r="D135" s="2012" t="s">
        <v>665</v>
      </c>
      <c r="E135" s="2012"/>
      <c r="F135" s="2012"/>
      <c r="G135" s="2012"/>
      <c r="H135" s="610"/>
      <c r="I135" s="600">
        <f>'GROUP Det Group BS'!J303</f>
        <v>0</v>
      </c>
      <c r="J135" s="600">
        <f>'GROUP Det Group BS'!K303</f>
        <v>0</v>
      </c>
    </row>
    <row r="136" spans="1:10" x14ac:dyDescent="0.3">
      <c r="A136" s="10" t="str">
        <f t="shared" si="3"/>
        <v>Do Not Print</v>
      </c>
      <c r="D136" s="2012" t="s">
        <v>519</v>
      </c>
      <c r="E136" s="2012"/>
      <c r="F136" s="2012"/>
      <c r="G136" s="2012"/>
      <c r="H136" s="610"/>
      <c r="I136" s="600">
        <f>'GROUP Det Group BS'!J304</f>
        <v>0</v>
      </c>
      <c r="J136" s="600">
        <f>'GROUP Det Group BS'!K304</f>
        <v>0</v>
      </c>
    </row>
    <row r="137" spans="1:10" x14ac:dyDescent="0.3">
      <c r="A137" s="10" t="str">
        <f t="shared" si="3"/>
        <v>Do Not Print</v>
      </c>
      <c r="D137" s="2012" t="s">
        <v>520</v>
      </c>
      <c r="E137" s="2012"/>
      <c r="F137" s="2012"/>
      <c r="G137" s="2012"/>
      <c r="H137" s="610"/>
      <c r="I137" s="600">
        <f>'GROUP Det Group BS'!J305</f>
        <v>0</v>
      </c>
      <c r="J137" s="600">
        <f>'GROUP Det Group BS'!K305</f>
        <v>0</v>
      </c>
    </row>
    <row r="138" spans="1:10" x14ac:dyDescent="0.3">
      <c r="A138" s="10" t="str">
        <f t="shared" si="3"/>
        <v>Do Not Print</v>
      </c>
      <c r="D138" s="2012" t="s">
        <v>521</v>
      </c>
      <c r="E138" s="2012"/>
      <c r="F138" s="2012"/>
      <c r="G138" s="2012"/>
      <c r="H138" s="610"/>
      <c r="I138" s="600">
        <f>'GROUP Det Group BS'!J306</f>
        <v>0</v>
      </c>
      <c r="J138" s="600">
        <f>'GROUP Det Group BS'!K306</f>
        <v>0</v>
      </c>
    </row>
    <row r="139" spans="1:10" x14ac:dyDescent="0.3">
      <c r="A139" s="10" t="str">
        <f t="shared" si="3"/>
        <v>Do Not Print</v>
      </c>
      <c r="D139" s="2012" t="s">
        <v>370</v>
      </c>
      <c r="E139" s="2012"/>
      <c r="F139" s="2012"/>
      <c r="G139" s="2012"/>
      <c r="H139" s="610"/>
      <c r="I139" s="600">
        <f>'GROUP Det Group BS'!J307</f>
        <v>0</v>
      </c>
      <c r="J139" s="600">
        <f>'GROUP Det Group BS'!K307</f>
        <v>0</v>
      </c>
    </row>
    <row r="140" spans="1:10" x14ac:dyDescent="0.3">
      <c r="A140" s="10" t="str">
        <f t="shared" si="3"/>
        <v>Do Not Print</v>
      </c>
      <c r="D140" s="2012" t="s">
        <v>2842</v>
      </c>
      <c r="E140" s="2012"/>
      <c r="F140" s="2012"/>
      <c r="G140" s="2012"/>
      <c r="H140" s="610"/>
      <c r="I140" s="600">
        <f>'GROUP Det Group BS'!J308</f>
        <v>0</v>
      </c>
      <c r="J140" s="600">
        <f>'GROUP Det Group BS'!K308</f>
        <v>0</v>
      </c>
    </row>
    <row r="141" spans="1:10" x14ac:dyDescent="0.3">
      <c r="A141" s="10" t="str">
        <f t="shared" si="3"/>
        <v>Do Not Print</v>
      </c>
      <c r="D141" s="2012" t="s">
        <v>371</v>
      </c>
      <c r="E141" s="2012"/>
      <c r="F141" s="2012"/>
      <c r="G141" s="2012"/>
      <c r="H141" s="610"/>
      <c r="I141" s="600">
        <f>'GROUP Det Group BS'!J309</f>
        <v>0</v>
      </c>
      <c r="J141" s="600">
        <f>'GROUP Det Group BS'!K309</f>
        <v>0</v>
      </c>
    </row>
    <row r="142" spans="1:10" x14ac:dyDescent="0.3">
      <c r="A142" s="10" t="str">
        <f t="shared" si="3"/>
        <v>Do Not Print</v>
      </c>
      <c r="D142" s="2012" t="s">
        <v>372</v>
      </c>
      <c r="E142" s="2012"/>
      <c r="F142" s="2012"/>
      <c r="G142" s="2012"/>
      <c r="H142" s="610"/>
      <c r="I142" s="600">
        <f>'GROUP Det Group BS'!J310</f>
        <v>0</v>
      </c>
      <c r="J142" s="600">
        <f>'GROUP Det Group BS'!K310</f>
        <v>0</v>
      </c>
    </row>
    <row r="143" spans="1:10" x14ac:dyDescent="0.3">
      <c r="A143" s="10" t="str">
        <f t="shared" si="3"/>
        <v>Do Not Print</v>
      </c>
      <c r="D143" s="2012" t="s">
        <v>373</v>
      </c>
      <c r="E143" s="2012"/>
      <c r="F143" s="2012"/>
      <c r="G143" s="2012"/>
      <c r="H143" s="610"/>
      <c r="I143" s="600">
        <f>'GROUP Det Group BS'!J311</f>
        <v>0</v>
      </c>
      <c r="J143" s="600">
        <f>'GROUP Det Group BS'!K311</f>
        <v>0</v>
      </c>
    </row>
    <row r="144" spans="1:10" x14ac:dyDescent="0.3">
      <c r="A144" s="10" t="str">
        <f>IF(AND(I144=0,J144=0),"Do Not Print","Print")</f>
        <v>Do Not Print</v>
      </c>
      <c r="D144" s="2012" t="s">
        <v>374</v>
      </c>
      <c r="E144" s="2012"/>
      <c r="F144" s="2012"/>
      <c r="G144" s="2012"/>
      <c r="H144" s="610"/>
      <c r="I144" s="600">
        <f>'GROUP Det Group BS'!J312</f>
        <v>0</v>
      </c>
      <c r="J144" s="600">
        <f>'GROUP Det Group BS'!K312</f>
        <v>0</v>
      </c>
    </row>
    <row r="145" spans="1:10" x14ac:dyDescent="0.3">
      <c r="A145" s="10" t="str">
        <f>IF(AND(I145=0,J145=0),"Do Not Print","Print")</f>
        <v>Do Not Print</v>
      </c>
      <c r="D145" s="1785" t="s">
        <v>2750</v>
      </c>
      <c r="E145" s="1786"/>
      <c r="F145" s="1786"/>
      <c r="G145" s="1739"/>
      <c r="H145" s="1232"/>
      <c r="I145" s="600">
        <f>'GROUP Det Group BS'!J313</f>
        <v>0</v>
      </c>
      <c r="J145" s="600">
        <f>'GROUP Det Group BS'!K313</f>
        <v>0</v>
      </c>
    </row>
    <row r="146" spans="1:10" x14ac:dyDescent="0.3">
      <c r="A146" s="10" t="str">
        <f>IF(A147="Print","Print","Do Not Print")</f>
        <v>Do Not Print</v>
      </c>
      <c r="D146" s="2012"/>
      <c r="E146" s="2012"/>
      <c r="F146" s="2012"/>
      <c r="G146" s="2012"/>
      <c r="H146" s="2012"/>
      <c r="I146" s="2012"/>
      <c r="J146" s="2012"/>
    </row>
    <row r="147" spans="1:10" x14ac:dyDescent="0.3">
      <c r="A147" s="10" t="str">
        <f>IF(AND(I147=0,J147=0),"Do Not Print","Print")</f>
        <v>Do Not Print</v>
      </c>
      <c r="D147" s="474" t="s">
        <v>2960</v>
      </c>
      <c r="E147" s="474"/>
      <c r="F147" s="474"/>
      <c r="G147" s="474"/>
      <c r="H147" s="604"/>
      <c r="I147" s="606">
        <f>SUM(I130:I145)</f>
        <v>0</v>
      </c>
      <c r="J147" s="606">
        <f>SUM(J130:J145)</f>
        <v>0</v>
      </c>
    </row>
    <row r="148" spans="1:10" x14ac:dyDescent="0.3">
      <c r="A148" s="10" t="str">
        <f>IF(A147="Print","Print","Do Not Print")</f>
        <v>Do Not Print</v>
      </c>
      <c r="D148" s="1500"/>
      <c r="E148" s="1500"/>
      <c r="F148" s="1500"/>
      <c r="G148" s="1500"/>
      <c r="H148" s="1500"/>
      <c r="I148" s="1500"/>
      <c r="J148" s="1500"/>
    </row>
    <row r="149" spans="1:10" x14ac:dyDescent="0.3">
      <c r="A149" s="10" t="str">
        <f>IF(A169="Print","Print","Do Not Print")</f>
        <v>Do Not Print</v>
      </c>
      <c r="C149" s="585" t="str">
        <f>Checklist!E173</f>
        <v>b</v>
      </c>
      <c r="D149" s="474" t="s">
        <v>622</v>
      </c>
      <c r="E149" s="474"/>
      <c r="F149" s="474"/>
      <c r="G149" s="474"/>
      <c r="H149" s="604"/>
      <c r="I149" s="586" t="str">
        <f>I128</f>
        <v>2025/26</v>
      </c>
      <c r="J149" s="586" t="str">
        <f>J128</f>
        <v>2024/25</v>
      </c>
    </row>
    <row r="150" spans="1:10" x14ac:dyDescent="0.3">
      <c r="A150" s="10" t="str">
        <f>IF(A169="Print","Print","Do Not Print")</f>
        <v>Do Not Print</v>
      </c>
      <c r="D150" s="474"/>
      <c r="E150" s="474"/>
      <c r="F150" s="474"/>
      <c r="G150" s="474"/>
      <c r="H150" s="604"/>
      <c r="I150" s="586" t="s">
        <v>450</v>
      </c>
      <c r="J150" s="586" t="s">
        <v>450</v>
      </c>
    </row>
    <row r="151" spans="1:10" x14ac:dyDescent="0.3">
      <c r="A151" s="10" t="str">
        <f>IF(AND(I151=0,J151=0),"Do Not Print","Print")</f>
        <v>Do Not Print</v>
      </c>
      <c r="D151" s="2012" t="s">
        <v>365</v>
      </c>
      <c r="E151" s="2012"/>
      <c r="F151" s="2012"/>
      <c r="G151" s="2012"/>
      <c r="H151" s="610"/>
      <c r="I151" s="600">
        <f>'GROUP Det Group BS'!J342</f>
        <v>0</v>
      </c>
      <c r="J151" s="600">
        <f>'GROUP Det Group BS'!K342</f>
        <v>0</v>
      </c>
    </row>
    <row r="152" spans="1:10" x14ac:dyDescent="0.3">
      <c r="A152" s="10" t="str">
        <f t="shared" ref="A152:A165" si="4">IF(AND(I152=0,J152=0),"Do Not Print","Print")</f>
        <v>Do Not Print</v>
      </c>
      <c r="D152" s="2012" t="s">
        <v>366</v>
      </c>
      <c r="E152" s="2012"/>
      <c r="F152" s="2012"/>
      <c r="G152" s="2012"/>
      <c r="H152" s="610"/>
      <c r="I152" s="600">
        <f>'GROUP Det Group BS'!J343</f>
        <v>0</v>
      </c>
      <c r="J152" s="600">
        <f>'GROUP Det Group BS'!K343</f>
        <v>0</v>
      </c>
    </row>
    <row r="153" spans="1:10" x14ac:dyDescent="0.3">
      <c r="A153" s="10" t="str">
        <f t="shared" si="4"/>
        <v>Do Not Print</v>
      </c>
      <c r="D153" s="2012" t="s">
        <v>367</v>
      </c>
      <c r="E153" s="2012"/>
      <c r="F153" s="2012"/>
      <c r="G153" s="2012"/>
      <c r="H153" s="610"/>
      <c r="I153" s="600">
        <f>'GROUP Det Group BS'!J344</f>
        <v>0</v>
      </c>
      <c r="J153" s="600">
        <f>'GROUP Det Group BS'!K344</f>
        <v>0</v>
      </c>
    </row>
    <row r="154" spans="1:10" x14ac:dyDescent="0.3">
      <c r="A154" s="10" t="str">
        <f t="shared" si="4"/>
        <v>Do Not Print</v>
      </c>
      <c r="D154" s="2012" t="s">
        <v>368</v>
      </c>
      <c r="E154" s="2012"/>
      <c r="F154" s="2012"/>
      <c r="G154" s="2012"/>
      <c r="H154" s="610"/>
      <c r="I154" s="600">
        <f>'GROUP Det Group BS'!J345</f>
        <v>0</v>
      </c>
      <c r="J154" s="600">
        <f>'GROUP Det Group BS'!K345</f>
        <v>0</v>
      </c>
    </row>
    <row r="155" spans="1:10" x14ac:dyDescent="0.3">
      <c r="A155" s="10" t="str">
        <f t="shared" si="4"/>
        <v>Do Not Print</v>
      </c>
      <c r="D155" s="2012" t="s">
        <v>1114</v>
      </c>
      <c r="E155" s="2012"/>
      <c r="F155" s="2012"/>
      <c r="G155" s="2012"/>
      <c r="H155" s="610"/>
      <c r="I155" s="600">
        <f>'GROUP Det Group BS'!J346</f>
        <v>0</v>
      </c>
      <c r="J155" s="600">
        <f>'GROUP Det Group BS'!K346</f>
        <v>0</v>
      </c>
    </row>
    <row r="156" spans="1:10" x14ac:dyDescent="0.3">
      <c r="A156" s="10" t="str">
        <f t="shared" si="4"/>
        <v>Do Not Print</v>
      </c>
      <c r="D156" s="2012" t="s">
        <v>369</v>
      </c>
      <c r="E156" s="2012"/>
      <c r="F156" s="2012"/>
      <c r="G156" s="2012"/>
      <c r="H156" s="610"/>
      <c r="I156" s="600">
        <f>'GROUP Det Group BS'!J347</f>
        <v>0</v>
      </c>
      <c r="J156" s="600">
        <f>'GROUP Det Group BS'!K347</f>
        <v>0</v>
      </c>
    </row>
    <row r="157" spans="1:10" x14ac:dyDescent="0.3">
      <c r="A157" s="10" t="str">
        <f t="shared" si="4"/>
        <v>Do Not Print</v>
      </c>
      <c r="D157" s="2012" t="s">
        <v>665</v>
      </c>
      <c r="E157" s="2012"/>
      <c r="F157" s="2012"/>
      <c r="G157" s="2012"/>
      <c r="H157" s="610"/>
      <c r="I157" s="600">
        <f>'GROUP Det Group BS'!J348</f>
        <v>0</v>
      </c>
      <c r="J157" s="600">
        <f>'GROUP Det Group BS'!K348</f>
        <v>0</v>
      </c>
    </row>
    <row r="158" spans="1:10" x14ac:dyDescent="0.3">
      <c r="A158" s="10" t="str">
        <f t="shared" si="4"/>
        <v>Do Not Print</v>
      </c>
      <c r="D158" s="2012" t="s">
        <v>519</v>
      </c>
      <c r="E158" s="2012"/>
      <c r="F158" s="2012"/>
      <c r="G158" s="2012"/>
      <c r="H158" s="610"/>
      <c r="I158" s="600">
        <f>'GROUP Det Group BS'!J349</f>
        <v>0</v>
      </c>
      <c r="J158" s="600">
        <f>'GROUP Det Group BS'!K349</f>
        <v>0</v>
      </c>
    </row>
    <row r="159" spans="1:10" x14ac:dyDescent="0.3">
      <c r="A159" s="10" t="str">
        <f t="shared" si="4"/>
        <v>Do Not Print</v>
      </c>
      <c r="D159" s="2012" t="s">
        <v>520</v>
      </c>
      <c r="E159" s="2012"/>
      <c r="F159" s="2012"/>
      <c r="G159" s="2012"/>
      <c r="H159" s="610"/>
      <c r="I159" s="600">
        <f>'GROUP Det Group BS'!J350</f>
        <v>0</v>
      </c>
      <c r="J159" s="600">
        <f>'GROUP Det Group BS'!K350</f>
        <v>0</v>
      </c>
    </row>
    <row r="160" spans="1:10" x14ac:dyDescent="0.3">
      <c r="A160" s="10" t="str">
        <f t="shared" si="4"/>
        <v>Do Not Print</v>
      </c>
      <c r="D160" s="2012" t="s">
        <v>521</v>
      </c>
      <c r="E160" s="2012"/>
      <c r="F160" s="2012"/>
      <c r="G160" s="2012"/>
      <c r="H160" s="610"/>
      <c r="I160" s="600">
        <f>'GROUP Det Group BS'!J351</f>
        <v>0</v>
      </c>
      <c r="J160" s="600">
        <f>'GROUP Det Group BS'!K351</f>
        <v>0</v>
      </c>
    </row>
    <row r="161" spans="1:10" x14ac:dyDescent="0.3">
      <c r="A161" s="10" t="str">
        <f t="shared" si="4"/>
        <v>Do Not Print</v>
      </c>
      <c r="D161" s="2012" t="s">
        <v>377</v>
      </c>
      <c r="E161" s="2012"/>
      <c r="F161" s="2012"/>
      <c r="G161" s="2012"/>
      <c r="H161" s="610"/>
      <c r="I161" s="600">
        <f>'GROUP Det Group BS'!J352</f>
        <v>0</v>
      </c>
      <c r="J161" s="600">
        <f>'GROUP Det Group BS'!K352</f>
        <v>0</v>
      </c>
    </row>
    <row r="162" spans="1:10" x14ac:dyDescent="0.3">
      <c r="A162" s="10" t="str">
        <f t="shared" si="4"/>
        <v>Do Not Print</v>
      </c>
      <c r="D162" s="2012" t="s">
        <v>378</v>
      </c>
      <c r="E162" s="2012"/>
      <c r="F162" s="2012"/>
      <c r="G162" s="2012"/>
      <c r="H162" s="610"/>
      <c r="I162" s="600">
        <f>'GROUP Det Group BS'!J353</f>
        <v>0</v>
      </c>
      <c r="J162" s="600">
        <f>'GROUP Det Group BS'!K353</f>
        <v>0</v>
      </c>
    </row>
    <row r="163" spans="1:10" x14ac:dyDescent="0.3">
      <c r="A163" s="10" t="str">
        <f t="shared" si="4"/>
        <v>Do Not Print</v>
      </c>
      <c r="D163" s="2012" t="s">
        <v>2939</v>
      </c>
      <c r="E163" s="2012"/>
      <c r="F163" s="2012"/>
      <c r="G163" s="2012"/>
      <c r="H163" s="610"/>
      <c r="I163" s="600">
        <f>'GROUP Det Group BS'!J354</f>
        <v>0</v>
      </c>
      <c r="J163" s="600">
        <f>'GROUP Det Group BS'!K354</f>
        <v>0</v>
      </c>
    </row>
    <row r="164" spans="1:10" x14ac:dyDescent="0.3">
      <c r="A164" s="10" t="str">
        <f t="shared" si="4"/>
        <v>Do Not Print</v>
      </c>
      <c r="D164" s="2012" t="s">
        <v>379</v>
      </c>
      <c r="E164" s="2012"/>
      <c r="F164" s="2012"/>
      <c r="G164" s="2012"/>
      <c r="H164" s="610"/>
      <c r="I164" s="600">
        <f>'GROUP Det Group BS'!J355</f>
        <v>0</v>
      </c>
      <c r="J164" s="600">
        <f>'GROUP Det Group BS'!K355</f>
        <v>0</v>
      </c>
    </row>
    <row r="165" spans="1:10" x14ac:dyDescent="0.3">
      <c r="A165" s="10" t="str">
        <f t="shared" si="4"/>
        <v>Do Not Print</v>
      </c>
      <c r="D165" s="2012" t="s">
        <v>380</v>
      </c>
      <c r="E165" s="2012"/>
      <c r="F165" s="2012"/>
      <c r="G165" s="2012"/>
      <c r="H165" s="610"/>
      <c r="I165" s="600">
        <f>'GROUP Det Group BS'!J356</f>
        <v>0</v>
      </c>
      <c r="J165" s="600">
        <f>'GROUP Det Group BS'!K356</f>
        <v>0</v>
      </c>
    </row>
    <row r="166" spans="1:10" x14ac:dyDescent="0.3">
      <c r="A166" s="10" t="str">
        <f>IF(AND(I166=0,J166=0),"Do Not Print","Print")</f>
        <v>Do Not Print</v>
      </c>
      <c r="D166" s="2012" t="s">
        <v>381</v>
      </c>
      <c r="E166" s="2012"/>
      <c r="F166" s="2012"/>
      <c r="G166" s="2012"/>
      <c r="H166" s="610"/>
      <c r="I166" s="600">
        <f>'GROUP Det Group BS'!J357</f>
        <v>0</v>
      </c>
      <c r="J166" s="600">
        <f>'GROUP Det Group BS'!K357</f>
        <v>0</v>
      </c>
    </row>
    <row r="167" spans="1:10" x14ac:dyDescent="0.3">
      <c r="A167" s="10" t="str">
        <f>IF(AND(I167=0,J167=0),"Do Not Print","Print")</f>
        <v>Do Not Print</v>
      </c>
      <c r="D167" s="1785" t="s">
        <v>2750</v>
      </c>
      <c r="E167" s="1786"/>
      <c r="F167" s="1786"/>
      <c r="G167" s="1739"/>
      <c r="H167" s="1232"/>
      <c r="I167" s="600">
        <f>'GROUP Det Group BS'!J358</f>
        <v>0</v>
      </c>
      <c r="J167" s="600">
        <f>'GROUP Det Group BS'!K358</f>
        <v>0</v>
      </c>
    </row>
    <row r="168" spans="1:10" x14ac:dyDescent="0.3">
      <c r="A168" s="10" t="str">
        <f>IF(A169="Print","Print","Do Not Print")</f>
        <v>Do Not Print</v>
      </c>
      <c r="D168" s="2012"/>
      <c r="E168" s="2012"/>
      <c r="F168" s="2012"/>
      <c r="G168" s="2012"/>
      <c r="H168" s="2012"/>
      <c r="I168" s="2012"/>
      <c r="J168" s="2012"/>
    </row>
    <row r="169" spans="1:10" x14ac:dyDescent="0.3">
      <c r="A169" s="10" t="str">
        <f>IF(AND(I169=0,J169=0),"Do Not Print","Print")</f>
        <v>Do Not Print</v>
      </c>
      <c r="D169" s="474" t="s">
        <v>623</v>
      </c>
      <c r="E169" s="474"/>
      <c r="F169" s="474"/>
      <c r="G169" s="474"/>
      <c r="H169" s="604"/>
      <c r="I169" s="606">
        <f>SUM(I151:I168)</f>
        <v>0</v>
      </c>
      <c r="J169" s="606">
        <f>SUM(J151:J168)</f>
        <v>0</v>
      </c>
    </row>
    <row r="170" spans="1:10" x14ac:dyDescent="0.3">
      <c r="A170" s="10" t="str">
        <f>IF(A169="Print","Print","Do Not Print")</f>
        <v>Do Not Print</v>
      </c>
      <c r="D170" s="1547"/>
      <c r="E170" s="1547"/>
      <c r="F170" s="1547"/>
      <c r="G170" s="1547"/>
      <c r="H170" s="1547"/>
      <c r="I170" s="1547"/>
      <c r="J170" s="1547"/>
    </row>
    <row r="171" spans="1:10" x14ac:dyDescent="0.3">
      <c r="A171" s="10" t="str">
        <f>IF(AND(I171=0,J171=0),"Do Not Print","Print")</f>
        <v>Do Not Print</v>
      </c>
      <c r="D171" s="474" t="s">
        <v>624</v>
      </c>
      <c r="E171" s="474"/>
      <c r="F171" s="474"/>
      <c r="G171" s="474"/>
      <c r="H171" s="604"/>
      <c r="I171" s="511">
        <f>I147+I169</f>
        <v>0</v>
      </c>
      <c r="J171" s="511">
        <f>J147+J169</f>
        <v>0</v>
      </c>
    </row>
    <row r="172" spans="1:10" x14ac:dyDescent="0.3">
      <c r="A172" s="10" t="str">
        <f>IF(A171="Print","Print","Do Not Print")</f>
        <v>Do Not Print</v>
      </c>
      <c r="D172" s="1500" t="s">
        <v>625</v>
      </c>
      <c r="E172" s="1500"/>
      <c r="F172" s="1500"/>
      <c r="G172" s="1500"/>
      <c r="H172" s="1500"/>
      <c r="I172" s="1500"/>
      <c r="J172" s="1500"/>
    </row>
    <row r="173" spans="1:10" x14ac:dyDescent="0.3">
      <c r="A173" s="10" t="str">
        <f>IF(A190="Print","Print","Do Not Print")</f>
        <v>Do Not Print</v>
      </c>
      <c r="D173" s="1542"/>
      <c r="E173" s="1542"/>
      <c r="F173" s="1542"/>
      <c r="G173" s="1542"/>
      <c r="H173" s="1542"/>
      <c r="I173" s="1542"/>
      <c r="J173" s="1542"/>
    </row>
    <row r="174" spans="1:10" x14ac:dyDescent="0.3">
      <c r="A174" s="10" t="str">
        <f>IF(A190="Print","Print","Do Not Print")</f>
        <v>Do Not Print</v>
      </c>
      <c r="B174" s="585" t="str">
        <f>Checklist!E174</f>
        <v>G7</v>
      </c>
      <c r="D174" s="474" t="s">
        <v>1479</v>
      </c>
      <c r="E174" s="474"/>
      <c r="F174" s="479"/>
      <c r="G174" s="479"/>
      <c r="H174" s="604"/>
      <c r="I174" s="586"/>
      <c r="J174" s="586"/>
    </row>
    <row r="175" spans="1:10" x14ac:dyDescent="0.3">
      <c r="A175" s="10" t="str">
        <f>IF(A190="Print","Print","Do Not Print")</f>
        <v>Do Not Print</v>
      </c>
      <c r="C175" s="585" t="str">
        <f>Checklist!E175</f>
        <v>a</v>
      </c>
      <c r="D175" s="474" t="s">
        <v>395</v>
      </c>
      <c r="E175" s="474"/>
      <c r="F175" s="479"/>
      <c r="G175" s="479"/>
      <c r="H175" s="604"/>
      <c r="I175" s="586" t="str">
        <f>'Standing Data'!D34</f>
        <v>2025/26</v>
      </c>
      <c r="J175" s="586" t="str">
        <f>'Standing Data'!D52</f>
        <v>2024/25</v>
      </c>
    </row>
    <row r="176" spans="1:10" x14ac:dyDescent="0.3">
      <c r="A176" s="10" t="str">
        <f>IF(A190="Print","Print","Do Not Print")</f>
        <v>Do Not Print</v>
      </c>
      <c r="D176" s="474"/>
      <c r="E176" s="474"/>
      <c r="F176" s="474"/>
      <c r="G176" s="474"/>
      <c r="H176" s="604"/>
      <c r="I176" s="586" t="s">
        <v>450</v>
      </c>
      <c r="J176" s="586" t="s">
        <v>450</v>
      </c>
    </row>
    <row r="177" spans="1:10" x14ac:dyDescent="0.3">
      <c r="A177" s="10" t="str">
        <f>IF(AND(I177=0,J177=0),"Do Not Print","Print")</f>
        <v>Do Not Print</v>
      </c>
      <c r="D177" s="2012" t="s">
        <v>365</v>
      </c>
      <c r="E177" s="2012"/>
      <c r="F177" s="2012"/>
      <c r="G177" s="2012"/>
      <c r="H177" s="610"/>
      <c r="I177" s="600">
        <f>'GROUP Det Group BS'!J394</f>
        <v>0</v>
      </c>
      <c r="J177" s="600">
        <f>'GROUP Det Group BS'!K394</f>
        <v>0</v>
      </c>
    </row>
    <row r="178" spans="1:10" x14ac:dyDescent="0.3">
      <c r="A178" s="10" t="str">
        <f t="shared" ref="A178:A188" si="5">IF(AND(I178=0,J178=0),"Do Not Print","Print")</f>
        <v>Do Not Print</v>
      </c>
      <c r="D178" s="2012" t="s">
        <v>396</v>
      </c>
      <c r="E178" s="2012"/>
      <c r="F178" s="2012"/>
      <c r="G178" s="2012"/>
      <c r="H178" s="610"/>
      <c r="I178" s="600">
        <f>'GROUP Det Group BS'!J395</f>
        <v>0</v>
      </c>
      <c r="J178" s="600">
        <f>'GROUP Det Group BS'!K395</f>
        <v>0</v>
      </c>
    </row>
    <row r="179" spans="1:10" x14ac:dyDescent="0.3">
      <c r="A179" s="10" t="str">
        <f t="shared" si="5"/>
        <v>Do Not Print</v>
      </c>
      <c r="D179" s="2012" t="s">
        <v>367</v>
      </c>
      <c r="E179" s="2012"/>
      <c r="F179" s="2012"/>
      <c r="G179" s="2012"/>
      <c r="H179" s="610"/>
      <c r="I179" s="600">
        <f>'GROUP Det Group BS'!J396</f>
        <v>0</v>
      </c>
      <c r="J179" s="600">
        <f>'GROUP Det Group BS'!K396</f>
        <v>0</v>
      </c>
    </row>
    <row r="180" spans="1:10" x14ac:dyDescent="0.3">
      <c r="A180" s="10" t="str">
        <f t="shared" si="5"/>
        <v>Do Not Print</v>
      </c>
      <c r="D180" s="2012" t="s">
        <v>368</v>
      </c>
      <c r="E180" s="2012"/>
      <c r="F180" s="2012"/>
      <c r="G180" s="2012"/>
      <c r="H180" s="610"/>
      <c r="I180" s="600">
        <f>'GROUP Det Group BS'!J397</f>
        <v>0</v>
      </c>
      <c r="J180" s="600">
        <f>'GROUP Det Group BS'!K397</f>
        <v>0</v>
      </c>
    </row>
    <row r="181" spans="1:10" x14ac:dyDescent="0.3">
      <c r="A181" s="10" t="str">
        <f t="shared" si="5"/>
        <v>Do Not Print</v>
      </c>
      <c r="D181" s="2012" t="s">
        <v>397</v>
      </c>
      <c r="E181" s="2012"/>
      <c r="F181" s="2012"/>
      <c r="G181" s="2012"/>
      <c r="H181" s="610"/>
      <c r="I181" s="600">
        <f>'GROUP Det Group BS'!J398</f>
        <v>0</v>
      </c>
      <c r="J181" s="600">
        <f>'GROUP Det Group BS'!K398</f>
        <v>0</v>
      </c>
    </row>
    <row r="182" spans="1:10" x14ac:dyDescent="0.3">
      <c r="A182" s="10" t="str">
        <f t="shared" si="5"/>
        <v>Do Not Print</v>
      </c>
      <c r="D182" s="2012" t="s">
        <v>646</v>
      </c>
      <c r="E182" s="2012"/>
      <c r="F182" s="2012"/>
      <c r="G182" s="2012"/>
      <c r="H182" s="610"/>
      <c r="I182" s="600">
        <f>'GROUP Det Group BS'!J399</f>
        <v>0</v>
      </c>
      <c r="J182" s="600">
        <f>'GROUP Det Group BS'!K399</f>
        <v>0</v>
      </c>
    </row>
    <row r="183" spans="1:10" x14ac:dyDescent="0.3">
      <c r="A183" s="10" t="str">
        <f t="shared" si="5"/>
        <v>Do Not Print</v>
      </c>
      <c r="D183" s="2012" t="s">
        <v>398</v>
      </c>
      <c r="E183" s="2012"/>
      <c r="F183" s="2012"/>
      <c r="G183" s="2012"/>
      <c r="H183" s="610"/>
      <c r="I183" s="600">
        <f>'GROUP Det Group BS'!J400</f>
        <v>0</v>
      </c>
      <c r="J183" s="600">
        <f>'GROUP Det Group BS'!K400</f>
        <v>0</v>
      </c>
    </row>
    <row r="184" spans="1:10" x14ac:dyDescent="0.3">
      <c r="A184" s="10" t="str">
        <f t="shared" si="5"/>
        <v>Do Not Print</v>
      </c>
      <c r="D184" s="2012" t="s">
        <v>399</v>
      </c>
      <c r="E184" s="2012"/>
      <c r="F184" s="2012"/>
      <c r="G184" s="2012"/>
      <c r="H184" s="610"/>
      <c r="I184" s="600">
        <f>'GROUP Det Group BS'!J401</f>
        <v>0</v>
      </c>
      <c r="J184" s="600">
        <f>'GROUP Det Group BS'!K401</f>
        <v>0</v>
      </c>
    </row>
    <row r="185" spans="1:10" x14ac:dyDescent="0.3">
      <c r="A185" s="10" t="str">
        <f t="shared" si="5"/>
        <v>Do Not Print</v>
      </c>
      <c r="D185" s="2012" t="s">
        <v>400</v>
      </c>
      <c r="E185" s="2012"/>
      <c r="F185" s="2012"/>
      <c r="G185" s="2012"/>
      <c r="H185" s="610"/>
      <c r="I185" s="600">
        <f>'GROUP Det Group BS'!J402</f>
        <v>0</v>
      </c>
      <c r="J185" s="600">
        <f>'GROUP Det Group BS'!K402</f>
        <v>0</v>
      </c>
    </row>
    <row r="186" spans="1:10" x14ac:dyDescent="0.3">
      <c r="A186" s="10" t="str">
        <f t="shared" si="5"/>
        <v>Do Not Print</v>
      </c>
      <c r="D186" s="2012" t="s">
        <v>401</v>
      </c>
      <c r="E186" s="2012"/>
      <c r="F186" s="2012"/>
      <c r="G186" s="2012"/>
      <c r="H186" s="610"/>
      <c r="I186" s="600">
        <f>'GROUP Det Group BS'!J403</f>
        <v>0</v>
      </c>
      <c r="J186" s="600">
        <f>'GROUP Det Group BS'!K403</f>
        <v>0</v>
      </c>
    </row>
    <row r="187" spans="1:10" x14ac:dyDescent="0.3">
      <c r="A187" s="10" t="str">
        <f t="shared" si="5"/>
        <v>Do Not Print</v>
      </c>
      <c r="D187" s="2012" t="s">
        <v>379</v>
      </c>
      <c r="E187" s="2012"/>
      <c r="F187" s="2012"/>
      <c r="G187" s="2012"/>
      <c r="H187" s="610"/>
      <c r="I187" s="600">
        <f>'GROUP Det Group BS'!J404</f>
        <v>0</v>
      </c>
      <c r="J187" s="600">
        <f>'GROUP Det Group BS'!K404</f>
        <v>0</v>
      </c>
    </row>
    <row r="188" spans="1:10" x14ac:dyDescent="0.3">
      <c r="A188" s="10" t="str">
        <f t="shared" si="5"/>
        <v>Do Not Print</v>
      </c>
      <c r="D188" s="1817" t="s">
        <v>2751</v>
      </c>
      <c r="E188" s="1817"/>
      <c r="F188" s="1817"/>
      <c r="G188" s="1817"/>
      <c r="H188" s="1232"/>
      <c r="I188" s="600">
        <f>'GROUP Det Group BS'!J405</f>
        <v>0</v>
      </c>
      <c r="J188" s="600">
        <f>'GROUP Det Group BS'!K405</f>
        <v>0</v>
      </c>
    </row>
    <row r="189" spans="1:10" x14ac:dyDescent="0.3">
      <c r="A189" s="10" t="str">
        <f>IF(A190="Print","Print","Do Not Print")</f>
        <v>Do Not Print</v>
      </c>
      <c r="D189" s="2091"/>
      <c r="E189" s="2092"/>
      <c r="F189" s="2092"/>
      <c r="G189" s="2092"/>
      <c r="H189" s="2092"/>
      <c r="I189" s="2092"/>
      <c r="J189" s="2093"/>
    </row>
    <row r="190" spans="1:10" x14ac:dyDescent="0.3">
      <c r="A190" s="10" t="str">
        <f>IF(AND(I190=0,J190=0),"Do Not Print","Print")</f>
        <v>Do Not Print</v>
      </c>
      <c r="D190" s="474" t="s">
        <v>647</v>
      </c>
      <c r="E190" s="479"/>
      <c r="F190" s="479"/>
      <c r="G190" s="479"/>
      <c r="H190" s="604"/>
      <c r="I190" s="614">
        <f>SUM(I177:I188)</f>
        <v>0</v>
      </c>
      <c r="J190" s="614">
        <f>SUM(J177:J188)</f>
        <v>0</v>
      </c>
    </row>
    <row r="191" spans="1:10" x14ac:dyDescent="0.3">
      <c r="A191" s="10" t="str">
        <f>IF(A190="Print","Print","Do Not Print")</f>
        <v>Do Not Print</v>
      </c>
      <c r="D191" s="1500"/>
      <c r="E191" s="1500"/>
      <c r="F191" s="1500"/>
      <c r="G191" s="1500"/>
      <c r="H191" s="1500"/>
      <c r="I191" s="1500"/>
      <c r="J191" s="1500"/>
    </row>
    <row r="192" spans="1:10" x14ac:dyDescent="0.3">
      <c r="A192" s="10" t="str">
        <f>IF(A209="Print","Print","Do Not Print")</f>
        <v>Do Not Print</v>
      </c>
      <c r="D192" s="1500"/>
      <c r="E192" s="1500"/>
      <c r="F192" s="1500"/>
      <c r="G192" s="1500"/>
      <c r="H192" s="1500"/>
      <c r="I192" s="1500"/>
      <c r="J192" s="1500"/>
    </row>
    <row r="193" spans="1:10" x14ac:dyDescent="0.3">
      <c r="A193" s="10" t="str">
        <f>IF(A209="Print","Print","Do Not Print")</f>
        <v>Do Not Print</v>
      </c>
      <c r="C193" s="585" t="str">
        <f>Checklist!E176</f>
        <v>b</v>
      </c>
      <c r="D193" s="2090" t="s">
        <v>648</v>
      </c>
      <c r="E193" s="2090"/>
      <c r="F193" s="2090"/>
      <c r="G193" s="2090"/>
      <c r="H193" s="2090"/>
      <c r="I193" s="586" t="str">
        <f>I175</f>
        <v>2025/26</v>
      </c>
      <c r="J193" s="586" t="str">
        <f>J175</f>
        <v>2024/25</v>
      </c>
    </row>
    <row r="194" spans="1:10" x14ac:dyDescent="0.3">
      <c r="A194" s="10" t="str">
        <f>IF(A209="Print","Print","Do Not Print")</f>
        <v>Do Not Print</v>
      </c>
      <c r="D194" s="1836"/>
      <c r="E194" s="1836"/>
      <c r="F194" s="1836"/>
      <c r="G194" s="1836"/>
      <c r="H194" s="1836"/>
      <c r="I194" s="586" t="s">
        <v>450</v>
      </c>
      <c r="J194" s="586" t="s">
        <v>450</v>
      </c>
    </row>
    <row r="195" spans="1:10" x14ac:dyDescent="0.3">
      <c r="A195" s="10" t="str">
        <f>IF(AND(I195=0,J195=0),"Do Not Print","Print")</f>
        <v>Do Not Print</v>
      </c>
      <c r="D195" s="2012" t="s">
        <v>365</v>
      </c>
      <c r="E195" s="2012"/>
      <c r="F195" s="2012"/>
      <c r="G195" s="2012"/>
      <c r="H195" s="610"/>
      <c r="I195" s="600">
        <f>'GROUP Det Group BS'!J447</f>
        <v>0</v>
      </c>
      <c r="J195" s="600">
        <f>'GROUP Det Group BS'!K447</f>
        <v>0</v>
      </c>
    </row>
    <row r="196" spans="1:10" x14ac:dyDescent="0.3">
      <c r="A196" s="10" t="str">
        <f t="shared" ref="A196:A203" si="6">IF(AND(I196=0,J196=0),"Do Not Print","Print")</f>
        <v>Do Not Print</v>
      </c>
      <c r="D196" s="2012" t="s">
        <v>396</v>
      </c>
      <c r="E196" s="2012"/>
      <c r="F196" s="2012"/>
      <c r="G196" s="2012"/>
      <c r="H196" s="610"/>
      <c r="I196" s="600">
        <f>'GROUP Det Group BS'!J448</f>
        <v>0</v>
      </c>
      <c r="J196" s="600">
        <f>'GROUP Det Group BS'!K448</f>
        <v>0</v>
      </c>
    </row>
    <row r="197" spans="1:10" x14ac:dyDescent="0.3">
      <c r="A197" s="10" t="str">
        <f t="shared" si="6"/>
        <v>Do Not Print</v>
      </c>
      <c r="D197" s="2012" t="s">
        <v>367</v>
      </c>
      <c r="E197" s="2012"/>
      <c r="F197" s="2012"/>
      <c r="G197" s="2012"/>
      <c r="H197" s="610"/>
      <c r="I197" s="600">
        <f>'GROUP Det Group BS'!J449</f>
        <v>0</v>
      </c>
      <c r="J197" s="600">
        <f>'GROUP Det Group BS'!K449</f>
        <v>0</v>
      </c>
    </row>
    <row r="198" spans="1:10" x14ac:dyDescent="0.3">
      <c r="A198" s="10" t="str">
        <f t="shared" si="6"/>
        <v>Do Not Print</v>
      </c>
      <c r="D198" s="2012" t="s">
        <v>368</v>
      </c>
      <c r="E198" s="2012"/>
      <c r="F198" s="2012"/>
      <c r="G198" s="2012"/>
      <c r="H198" s="610"/>
      <c r="I198" s="600">
        <f>'GROUP Det Group BS'!J450</f>
        <v>0</v>
      </c>
      <c r="J198" s="600">
        <f>'GROUP Det Group BS'!K450</f>
        <v>0</v>
      </c>
    </row>
    <row r="199" spans="1:10" x14ac:dyDescent="0.3">
      <c r="A199" s="10" t="str">
        <f t="shared" si="6"/>
        <v>Do Not Print</v>
      </c>
      <c r="D199" s="2012" t="s">
        <v>397</v>
      </c>
      <c r="E199" s="2012"/>
      <c r="F199" s="2012"/>
      <c r="G199" s="2012"/>
      <c r="H199" s="610"/>
      <c r="I199" s="600">
        <f>'GROUP Det Group BS'!J451</f>
        <v>0</v>
      </c>
      <c r="J199" s="600">
        <f>'GROUP Det Group BS'!K451</f>
        <v>0</v>
      </c>
    </row>
    <row r="200" spans="1:10" x14ac:dyDescent="0.3">
      <c r="A200" s="10" t="str">
        <f t="shared" si="6"/>
        <v>Do Not Print</v>
      </c>
      <c r="D200" s="2012" t="s">
        <v>398</v>
      </c>
      <c r="E200" s="2012"/>
      <c r="F200" s="2012"/>
      <c r="G200" s="2012"/>
      <c r="H200" s="610"/>
      <c r="I200" s="600">
        <f>'GROUP Det Group BS'!J452</f>
        <v>0</v>
      </c>
      <c r="J200" s="600">
        <f>'GROUP Det Group BS'!K452</f>
        <v>0</v>
      </c>
    </row>
    <row r="201" spans="1:10" x14ac:dyDescent="0.3">
      <c r="A201" s="10" t="str">
        <f t="shared" si="6"/>
        <v>Do Not Print</v>
      </c>
      <c r="D201" s="2012" t="s">
        <v>399</v>
      </c>
      <c r="E201" s="2012"/>
      <c r="F201" s="2012"/>
      <c r="G201" s="2012"/>
      <c r="H201" s="610"/>
      <c r="I201" s="600">
        <f>'GROUP Det Group BS'!J453</f>
        <v>0</v>
      </c>
      <c r="J201" s="600">
        <f>'GROUP Det Group BS'!K453</f>
        <v>0</v>
      </c>
    </row>
    <row r="202" spans="1:10" x14ac:dyDescent="0.3">
      <c r="A202" s="10" t="str">
        <f t="shared" si="6"/>
        <v>Do Not Print</v>
      </c>
      <c r="D202" s="2012" t="s">
        <v>400</v>
      </c>
      <c r="E202" s="2012"/>
      <c r="F202" s="2012"/>
      <c r="G202" s="2012"/>
      <c r="H202" s="610"/>
      <c r="I202" s="600">
        <f>'GROUP Det Group BS'!J454</f>
        <v>0</v>
      </c>
      <c r="J202" s="600">
        <f>'GROUP Det Group BS'!K454</f>
        <v>0</v>
      </c>
    </row>
    <row r="203" spans="1:10" x14ac:dyDescent="0.3">
      <c r="A203" s="10" t="str">
        <f t="shared" si="6"/>
        <v>Do Not Print</v>
      </c>
      <c r="D203" s="2012" t="s">
        <v>401</v>
      </c>
      <c r="E203" s="2012"/>
      <c r="F203" s="2012"/>
      <c r="G203" s="2012"/>
      <c r="H203" s="610"/>
      <c r="I203" s="600">
        <f>'GROUP Det Group BS'!J455</f>
        <v>0</v>
      </c>
      <c r="J203" s="600">
        <f>'GROUP Det Group BS'!K455</f>
        <v>0</v>
      </c>
    </row>
    <row r="204" spans="1:10" x14ac:dyDescent="0.3">
      <c r="A204" s="10" t="str">
        <f>IF(AND(I204=0,J204=0),"Do Not Print","Print")</f>
        <v>Do Not Print</v>
      </c>
      <c r="D204" s="2012" t="s">
        <v>379</v>
      </c>
      <c r="E204" s="2012"/>
      <c r="F204" s="2012"/>
      <c r="G204" s="2012"/>
      <c r="H204" s="610"/>
      <c r="I204" s="600">
        <f>'GROUP Det Group BS'!J456</f>
        <v>0</v>
      </c>
      <c r="J204" s="600">
        <f>'GROUP Det Group BS'!K456</f>
        <v>0</v>
      </c>
    </row>
    <row r="205" spans="1:10" x14ac:dyDescent="0.3">
      <c r="A205" s="10" t="str">
        <f>IF(AND(I205=0,J205=0),"Do Not Print","Print")</f>
        <v>Do Not Print</v>
      </c>
      <c r="D205" s="1817" t="s">
        <v>2751</v>
      </c>
      <c r="E205" s="1817"/>
      <c r="F205" s="1817"/>
      <c r="G205" s="1817"/>
      <c r="H205" s="1232"/>
      <c r="I205" s="600">
        <f>'GROUP Det Group BS'!J457</f>
        <v>0</v>
      </c>
      <c r="J205" s="600">
        <f>'GROUP Det Group BS'!K457</f>
        <v>0</v>
      </c>
    </row>
    <row r="206" spans="1:10" x14ac:dyDescent="0.3">
      <c r="A206" s="10" t="str">
        <f>IF(A209="Print","Print","Do Not Print")</f>
        <v>Do Not Print</v>
      </c>
      <c r="D206" s="2091"/>
      <c r="E206" s="2092"/>
      <c r="F206" s="2092"/>
      <c r="G206" s="2092"/>
      <c r="H206" s="2092"/>
      <c r="I206" s="2092"/>
      <c r="J206" s="2093"/>
    </row>
    <row r="207" spans="1:10" x14ac:dyDescent="0.3">
      <c r="A207" s="10" t="str">
        <f>IF(AND(I207=0,J207=0),"Do Not Print","Print")</f>
        <v>Do Not Print</v>
      </c>
      <c r="D207" s="479" t="s">
        <v>650</v>
      </c>
      <c r="E207" s="479"/>
      <c r="F207" s="479"/>
      <c r="G207" s="479"/>
      <c r="H207" s="604"/>
      <c r="I207" s="614">
        <f>SUM(I195:I205)</f>
        <v>0</v>
      </c>
      <c r="J207" s="614">
        <f>SUM(J195:J205)</f>
        <v>0</v>
      </c>
    </row>
    <row r="208" spans="1:10" x14ac:dyDescent="0.3">
      <c r="A208" s="10" t="str">
        <f>IF(A209="Print","Print","Do Not Print")</f>
        <v>Do Not Print</v>
      </c>
      <c r="D208" s="1500"/>
      <c r="E208" s="1500"/>
      <c r="F208" s="1500"/>
      <c r="G208" s="1500"/>
      <c r="H208" s="1500"/>
      <c r="I208" s="1500"/>
      <c r="J208" s="1500"/>
    </row>
    <row r="209" spans="1:13" x14ac:dyDescent="0.3">
      <c r="A209" s="10" t="str">
        <f>IF(AND(I209=0,J209=0),"Do Not Print","Print")</f>
        <v>Do Not Print</v>
      </c>
      <c r="D209" s="474" t="s">
        <v>651</v>
      </c>
      <c r="E209" s="474"/>
      <c r="F209" s="474"/>
      <c r="G209" s="474"/>
      <c r="H209" s="604"/>
      <c r="I209" s="511">
        <f>I190+I207</f>
        <v>0</v>
      </c>
      <c r="J209" s="511">
        <f>J190+J207</f>
        <v>0</v>
      </c>
    </row>
    <row r="210" spans="1:13" x14ac:dyDescent="0.3">
      <c r="A210" s="10" t="str">
        <f>IF(A209="Print","Print","Do Not Print")</f>
        <v>Do Not Print</v>
      </c>
      <c r="D210" s="1500"/>
      <c r="E210" s="1500"/>
      <c r="F210" s="1500"/>
      <c r="G210" s="1500"/>
      <c r="H210" s="1500"/>
      <c r="I210" s="1500"/>
      <c r="J210" s="1500"/>
      <c r="K210" s="401"/>
    </row>
    <row r="211" spans="1:13" x14ac:dyDescent="0.3">
      <c r="A211" s="10" t="str">
        <f>IF(A210="Print","Print","Do Not Print")</f>
        <v>Do Not Print</v>
      </c>
      <c r="D211" s="1500"/>
      <c r="E211" s="1500"/>
      <c r="F211" s="1500"/>
      <c r="G211" s="1500"/>
      <c r="H211" s="1500"/>
      <c r="I211" s="1500"/>
      <c r="J211" s="1500"/>
      <c r="K211" s="401"/>
    </row>
    <row r="212" spans="1:13" s="23" customFormat="1" x14ac:dyDescent="0.3">
      <c r="A212" s="3" t="str">
        <f>IF(OR(A214="Print",A220="Print",A257="Print",A327="Print",A374="Print",A412="Print",A448="Print",A462="Print"),"Print","Do Not Print")</f>
        <v>Print</v>
      </c>
      <c r="B212" s="585" t="str">
        <f>Checklist!E177</f>
        <v>G8</v>
      </c>
      <c r="C212" s="585"/>
      <c r="D212" s="1726" t="s">
        <v>468</v>
      </c>
      <c r="E212" s="1726"/>
      <c r="F212" s="1726"/>
      <c r="G212" s="1726"/>
      <c r="H212" s="1726"/>
      <c r="I212" s="1726"/>
      <c r="J212" s="1726"/>
      <c r="K212" s="1726"/>
      <c r="M212" s="3"/>
    </row>
    <row r="213" spans="1:13" s="23" customFormat="1" x14ac:dyDescent="0.3">
      <c r="A213" s="3" t="str">
        <f>IF(A212="Print","Print","Do Not Print")</f>
        <v>Print</v>
      </c>
      <c r="B213" s="585"/>
      <c r="C213" s="585"/>
      <c r="D213" s="2094"/>
      <c r="E213" s="2094"/>
      <c r="F213" s="2094"/>
      <c r="G213" s="2094"/>
      <c r="H213" s="2094"/>
      <c r="I213" s="2094"/>
      <c r="J213" s="2094"/>
      <c r="K213" s="2094"/>
    </row>
    <row r="214" spans="1:13" s="23" customFormat="1" x14ac:dyDescent="0.3">
      <c r="A214" s="3" t="str">
        <f>IF(OR(A216="Print",A218="Print"),"Print","Do Not Print")</f>
        <v>Print</v>
      </c>
      <c r="B214" s="585"/>
      <c r="C214" s="585" t="str">
        <f>Checklist!E178</f>
        <v>a</v>
      </c>
      <c r="D214" s="1726" t="s">
        <v>469</v>
      </c>
      <c r="E214" s="1726"/>
      <c r="F214" s="1726"/>
      <c r="G214" s="1726"/>
      <c r="H214" s="1726"/>
      <c r="I214" s="1726"/>
      <c r="J214" s="1726"/>
      <c r="K214" s="1726"/>
    </row>
    <row r="215" spans="1:13" s="23" customFormat="1" x14ac:dyDescent="0.3">
      <c r="A215" s="3" t="str">
        <f>IF(A214="Print","Print","Do Not Print")</f>
        <v>Print</v>
      </c>
      <c r="B215" s="585"/>
      <c r="C215" s="585"/>
      <c r="D215" s="1726"/>
      <c r="E215" s="1726"/>
      <c r="F215" s="1726"/>
      <c r="G215" s="1726"/>
      <c r="H215" s="1726"/>
      <c r="I215" s="1726"/>
      <c r="J215" s="1726"/>
      <c r="K215" s="1726"/>
    </row>
    <row r="216" spans="1:13" s="23" customFormat="1" ht="54" customHeight="1" x14ac:dyDescent="0.3">
      <c r="A216" s="3" t="str">
        <f>IF('GROUP Non TB - Group Acc notes'!F37=1,"Print","Do Not Print")</f>
        <v>Print</v>
      </c>
      <c r="B216" s="585"/>
      <c r="C216" s="585"/>
      <c r="D216" s="1513" t="str">
        <f>IF('GROUP Non TB - Group Acc notes'!F37=1,'GROUP Non TB - Group Acc notes'!H37,"")</f>
        <v xml:space="preserve">As part of the terms and conditions of employment of its officers and other employees, the Group offers retirement benefits. Although these benefits will not actually be payable until employees retire, the Council has a commitment to make the payments that need to be disclosed at the time that employees earn their future entitlement. </v>
      </c>
      <c r="E216" s="1513"/>
      <c r="F216" s="1513"/>
      <c r="G216" s="1513"/>
      <c r="H216" s="1513"/>
      <c r="I216" s="1513"/>
      <c r="J216" s="1513"/>
      <c r="K216" s="1500"/>
    </row>
    <row r="217" spans="1:13" s="23" customFormat="1" x14ac:dyDescent="0.3">
      <c r="A217" s="3" t="str">
        <f>IF(A216="Print","Print","Do Not Print")</f>
        <v>Print</v>
      </c>
      <c r="B217" s="585"/>
      <c r="C217" s="585"/>
      <c r="D217" s="1500"/>
      <c r="E217" s="1500"/>
      <c r="F217" s="1500"/>
      <c r="G217" s="1500"/>
      <c r="H217" s="1500"/>
      <c r="I217" s="1500"/>
      <c r="J217" s="1500"/>
      <c r="K217" s="1500"/>
    </row>
    <row r="218" spans="1:13" s="23" customFormat="1" ht="54.6" customHeight="1" x14ac:dyDescent="0.3">
      <c r="A218" s="3" t="str">
        <f>IF('GROUP Non TB - Group Acc notes'!F38=1,"Print","Do Not Print")</f>
        <v>Print</v>
      </c>
      <c r="B218" s="585"/>
      <c r="C218" s="585"/>
      <c r="D218" s="1513" t="str">
        <f>IF('GROUP Non TB - Group Acc notes'!F38=1,'GROUP Non TB - Group Acc notes'!H38,"")</f>
        <v>The Group participates in the Northern Ireland Local Government Officers' Pension Fund administered by the Northern Ireland Local Government Officers' Superannuation Committee. This is a funded scheme, meaning that the Group and employees pay contributions into a fund, calculated at a level intended to balance the pension’s liabilities with investment assets.</v>
      </c>
      <c r="E218" s="1513"/>
      <c r="F218" s="1513"/>
      <c r="G218" s="1513"/>
      <c r="H218" s="1513"/>
      <c r="I218" s="1513"/>
      <c r="J218" s="1513"/>
      <c r="K218" s="1500"/>
    </row>
    <row r="219" spans="1:13" s="23" customFormat="1" x14ac:dyDescent="0.3">
      <c r="A219" s="3" t="str">
        <f>IF(A218="Print","Print","Do Not Print")</f>
        <v>Print</v>
      </c>
      <c r="B219" s="585"/>
      <c r="C219" s="585"/>
      <c r="D219" s="1500"/>
      <c r="E219" s="1500"/>
      <c r="F219" s="1500"/>
      <c r="G219" s="1500"/>
      <c r="H219" s="1500"/>
      <c r="I219" s="1500"/>
      <c r="J219" s="1500"/>
      <c r="K219" s="1500"/>
    </row>
    <row r="220" spans="1:13" s="74" customFormat="1" x14ac:dyDescent="0.3">
      <c r="A220" s="75" t="str">
        <f>IF(OR(E220=0,F220=0,G220=0,H220=0,I220=0),"Do Not Print","Print")</f>
        <v>Do Not Print</v>
      </c>
      <c r="B220" s="585"/>
      <c r="C220" s="585" t="str">
        <f>Checklist!E179</f>
        <v>b</v>
      </c>
      <c r="D220" s="2095" t="s">
        <v>472</v>
      </c>
      <c r="E220" s="2095"/>
      <c r="F220" s="2095"/>
      <c r="G220" s="2095"/>
      <c r="H220" s="2095"/>
      <c r="I220" s="2095"/>
      <c r="J220" s="2095"/>
      <c r="K220" s="2095"/>
    </row>
    <row r="221" spans="1:13" s="23" customFormat="1" ht="12.75" customHeight="1" x14ac:dyDescent="0.3">
      <c r="A221" s="3" t="str">
        <f>IF(A220="Print","Print","Do Not Print")</f>
        <v>Do Not Print</v>
      </c>
      <c r="B221" s="585"/>
      <c r="C221" s="585"/>
      <c r="D221" s="2096"/>
      <c r="E221" s="2096"/>
      <c r="F221" s="2096"/>
      <c r="G221" s="2096"/>
      <c r="H221" s="2096"/>
      <c r="I221" s="2096"/>
      <c r="J221" s="2096"/>
      <c r="K221" s="2096"/>
    </row>
    <row r="222" spans="1:13" s="23" customFormat="1" ht="29.25" customHeight="1" x14ac:dyDescent="0.3">
      <c r="A222" s="3" t="str">
        <f>IF('GROUP Non TB - Group Acc notes'!F39=1,"Print","Do Not Print")</f>
        <v>Print</v>
      </c>
      <c r="B222" s="585"/>
      <c r="C222" s="585"/>
      <c r="D222" s="1513" t="str">
        <f>IF('GROUP Non TB - Group Acc notes'!F39=1,'GROUP Non TB - Group Acc notes'!H39,"")</f>
        <v>The Group recognises the cost of retirement benefits in the Cost of Services on Continuing Operations when they are earned by employees, rather than when the benefits are eventually paid as pensions.</v>
      </c>
      <c r="E222" s="1513"/>
      <c r="F222" s="1513"/>
      <c r="G222" s="1513"/>
      <c r="H222" s="1513"/>
      <c r="I222" s="1513"/>
      <c r="J222" s="1513"/>
      <c r="K222" s="1500"/>
    </row>
    <row r="223" spans="1:13" s="23" customFormat="1" x14ac:dyDescent="0.3">
      <c r="A223" s="3" t="str">
        <f>IF(A222="Print","Print","Do Not Print")</f>
        <v>Print</v>
      </c>
      <c r="B223" s="585"/>
      <c r="C223" s="585"/>
      <c r="D223" s="1500"/>
      <c r="E223" s="1500"/>
      <c r="F223" s="1500"/>
      <c r="G223" s="1500"/>
      <c r="H223" s="1500"/>
      <c r="I223" s="1500"/>
      <c r="J223" s="1500"/>
      <c r="K223" s="1500"/>
    </row>
    <row r="224" spans="1:13" s="23" customFormat="1" ht="42" customHeight="1" x14ac:dyDescent="0.3">
      <c r="A224" s="3" t="str">
        <f>IF('GROUP Non TB - Group Acc notes'!F40=1,"Print","Do Not Print")</f>
        <v>Print</v>
      </c>
      <c r="B224" s="585"/>
      <c r="C224" s="585"/>
      <c r="D224" s="1513" t="str">
        <f>IF('GROUP Non TB - Group Acc notes'!F40=1,'GROUP Non TB - Group Acc notes'!H40,"")</f>
        <v xml:space="preserve">However, the charge the Group is required to make against district rates is based on the cash payable in the year, and the real cost of retirement benefits is reversed out in the adjustments between accounting basis &amp; funding basis under regulations line, in the Movement on Reserves Statement. </v>
      </c>
      <c r="E224" s="1513"/>
      <c r="F224" s="1513"/>
      <c r="G224" s="1513"/>
      <c r="H224" s="1513"/>
      <c r="I224" s="1513"/>
      <c r="J224" s="1513"/>
      <c r="K224" s="1500"/>
    </row>
    <row r="225" spans="1:13" s="23" customFormat="1" ht="12.75" customHeight="1" x14ac:dyDescent="0.3">
      <c r="A225" s="3" t="str">
        <f>IF(A224="Print","Print","Do Not Print")</f>
        <v>Print</v>
      </c>
      <c r="B225" s="585"/>
      <c r="C225" s="585"/>
      <c r="D225" s="1513"/>
      <c r="E225" s="1513"/>
      <c r="F225" s="1513"/>
      <c r="G225" s="1513"/>
      <c r="H225" s="1513"/>
      <c r="I225" s="1513"/>
      <c r="J225" s="1513"/>
      <c r="K225" s="1513"/>
    </row>
    <row r="226" spans="1:13" s="23" customFormat="1" ht="43.05" customHeight="1" x14ac:dyDescent="0.3">
      <c r="A226" s="3" t="str">
        <f>IF('GROUP Non TB - Group Acc notes'!F41=1,"Print","Do Not Print")</f>
        <v>Print</v>
      </c>
      <c r="B226" s="585"/>
      <c r="C226" s="585"/>
      <c r="D226" s="1513" t="str">
        <f>IF('GROUP Non TB - Group Acc notes'!F41=1,'GROUP Non TB - Group Acc notes'!H41,"")</f>
        <v>The following transactions have been made in the Comprehensive Income and Expenditure Statement and the adjustments between accounting basis &amp; funding basis under regulations line, in the Movement on Reserves Statement during the year:</v>
      </c>
      <c r="E226" s="1513"/>
      <c r="F226" s="1513"/>
      <c r="G226" s="1513"/>
      <c r="H226" s="1513"/>
      <c r="I226" s="1513"/>
      <c r="J226" s="1513"/>
      <c r="K226" s="1501"/>
    </row>
    <row r="227" spans="1:13" s="23" customFormat="1" x14ac:dyDescent="0.3">
      <c r="A227" s="3" t="str">
        <f>IF(A226="Print","Print","Do Not Print")</f>
        <v>Print</v>
      </c>
      <c r="B227" s="585"/>
      <c r="C227" s="585"/>
      <c r="D227" s="1500"/>
      <c r="E227" s="1500"/>
      <c r="F227" s="1500"/>
      <c r="G227" s="1500"/>
      <c r="H227" s="1500"/>
      <c r="I227" s="1500"/>
      <c r="J227" s="1500"/>
      <c r="K227" s="1500"/>
    </row>
    <row r="228" spans="1:13" s="23" customFormat="1" x14ac:dyDescent="0.3">
      <c r="A228" s="3" t="str">
        <f>IF(AND(E228=0,F228=0,G228=0,H228=0,J228=0),"Do Not Print","Print")</f>
        <v>Print</v>
      </c>
      <c r="B228" s="585"/>
      <c r="C228" s="585"/>
      <c r="D228" s="474"/>
      <c r="E228" s="474"/>
      <c r="F228" s="474"/>
      <c r="G228" s="474"/>
      <c r="H228" s="486"/>
      <c r="I228" s="486" t="s">
        <v>474</v>
      </c>
      <c r="J228" s="717" t="str">
        <f>'Standing Data'!D34</f>
        <v>2025/26</v>
      </c>
      <c r="K228" s="717" t="str">
        <f>'Standing Data'!D52</f>
        <v>2024/25</v>
      </c>
      <c r="L228" s="27"/>
    </row>
    <row r="229" spans="1:13" s="23" customFormat="1" x14ac:dyDescent="0.3">
      <c r="A229" s="3" t="str">
        <f>IF(A228="Print","Print","Do Not Print")</f>
        <v>Print</v>
      </c>
      <c r="B229" s="585"/>
      <c r="C229" s="585"/>
      <c r="D229" s="474"/>
      <c r="E229" s="474"/>
      <c r="F229" s="474"/>
      <c r="G229" s="474"/>
      <c r="H229" s="486"/>
      <c r="I229" s="486"/>
      <c r="J229" s="714" t="s">
        <v>450</v>
      </c>
      <c r="K229" s="714" t="s">
        <v>450</v>
      </c>
    </row>
    <row r="230" spans="1:13" s="23" customFormat="1" x14ac:dyDescent="0.3">
      <c r="A230" s="3" t="str">
        <f>IF(AND(J237=0,K237=0),"Do Not Print","Print")</f>
        <v>Do Not Print</v>
      </c>
      <c r="B230" s="585"/>
      <c r="C230" s="585"/>
      <c r="D230" s="2012" t="s">
        <v>475</v>
      </c>
      <c r="E230" s="2012"/>
      <c r="F230" s="2012"/>
      <c r="G230" s="2012"/>
      <c r="H230" s="2012"/>
      <c r="I230" s="610"/>
      <c r="J230" s="610"/>
      <c r="K230" s="610"/>
    </row>
    <row r="231" spans="1:13" s="23" customFormat="1" x14ac:dyDescent="0.3">
      <c r="A231" s="3" t="str">
        <f>IF(AND(J231=0,K231=0),"Do Not Print","Print")</f>
        <v>Do Not Print</v>
      </c>
      <c r="B231" s="585"/>
      <c r="C231" s="585"/>
      <c r="D231" s="2012" t="s">
        <v>407</v>
      </c>
      <c r="E231" s="2012"/>
      <c r="F231" s="2012"/>
      <c r="G231" s="2012"/>
      <c r="H231" s="2012"/>
      <c r="I231" s="610"/>
      <c r="J231" s="600">
        <f>'GROUP Det Group BS'!J486</f>
        <v>0</v>
      </c>
      <c r="K231" s="600">
        <f>'GROUP Det Group BS'!K486</f>
        <v>0</v>
      </c>
    </row>
    <row r="232" spans="1:13" s="23" customFormat="1" x14ac:dyDescent="0.3">
      <c r="A232" s="3" t="str">
        <f>IF(AND(J232=0,K232=0),"Do Not Print","Print")</f>
        <v>Do Not Print</v>
      </c>
      <c r="B232" s="585"/>
      <c r="C232" s="585"/>
      <c r="D232" s="2012" t="s">
        <v>476</v>
      </c>
      <c r="E232" s="2012"/>
      <c r="F232" s="2012"/>
      <c r="G232" s="2012"/>
      <c r="H232" s="2012"/>
      <c r="I232" s="610"/>
      <c r="J232" s="601">
        <f>'GROUP Det Group BS'!J493</f>
        <v>0</v>
      </c>
      <c r="K232" s="601">
        <f>'GROUP Det Group BS'!K493</f>
        <v>0</v>
      </c>
      <c r="L232" s="3"/>
    </row>
    <row r="233" spans="1:13" s="23" customFormat="1" x14ac:dyDescent="0.3">
      <c r="A233" s="3" t="str">
        <f>IF(AND(J233=0,K233=0),"Do Not Print","Print")</f>
        <v>Do Not Print</v>
      </c>
      <c r="B233" s="585"/>
      <c r="C233" s="585"/>
      <c r="D233" s="2012" t="s">
        <v>477</v>
      </c>
      <c r="E233" s="2012"/>
      <c r="F233" s="2012"/>
      <c r="G233" s="2012"/>
      <c r="H233" s="2012"/>
      <c r="I233" s="610"/>
      <c r="J233" s="598">
        <f>'GROUP Non TB - Group Acc notes'!H42</f>
        <v>0</v>
      </c>
      <c r="K233" s="598">
        <f>'GROUP Non TB - Group Acc notes'!I42</f>
        <v>0</v>
      </c>
      <c r="L233" s="3"/>
      <c r="M233" s="711"/>
    </row>
    <row r="234" spans="1:13" s="23" customFormat="1" x14ac:dyDescent="0.3">
      <c r="A234" s="3" t="str">
        <f>IF(AND(J234=0,K234=0),"Do Not Print","Print")</f>
        <v>Do Not Print</v>
      </c>
      <c r="B234" s="585"/>
      <c r="C234" s="585"/>
      <c r="D234" s="2012" t="s">
        <v>478</v>
      </c>
      <c r="E234" s="2012"/>
      <c r="F234" s="2012"/>
      <c r="G234" s="2012"/>
      <c r="H234" s="2012"/>
      <c r="I234" s="610"/>
      <c r="J234" s="600"/>
      <c r="K234" s="600"/>
    </row>
    <row r="235" spans="1:13" s="23" customFormat="1" x14ac:dyDescent="0.3">
      <c r="A235" s="3" t="str">
        <f>IF(AND(J235=0,K235=0),"Do Not Print","Print")</f>
        <v>Do Not Print</v>
      </c>
      <c r="B235" s="585"/>
      <c r="C235" s="585"/>
      <c r="D235" s="2012" t="s">
        <v>2961</v>
      </c>
      <c r="E235" s="2012"/>
      <c r="F235" s="2012"/>
      <c r="G235" s="2012"/>
      <c r="H235" s="2012"/>
      <c r="I235" s="610"/>
      <c r="J235" s="601">
        <f>'Input - BS'!M404+'Input - BS'!N404</f>
        <v>0</v>
      </c>
      <c r="K235" s="601">
        <f>'Input - BS'!S404+'Input - BS'!T404</f>
        <v>0</v>
      </c>
      <c r="L235" s="3"/>
    </row>
    <row r="236" spans="1:13" s="23" customFormat="1" x14ac:dyDescent="0.3">
      <c r="A236" s="3" t="str">
        <f>IF(A235="Print","Print","Do Not Print")</f>
        <v>Do Not Print</v>
      </c>
      <c r="B236" s="585"/>
      <c r="C236" s="585"/>
      <c r="D236" s="2012"/>
      <c r="E236" s="2012"/>
      <c r="F236" s="2012"/>
      <c r="G236" s="2012"/>
      <c r="H236" s="2012"/>
      <c r="I236" s="610"/>
      <c r="J236" s="600"/>
      <c r="K236" s="600"/>
    </row>
    <row r="237" spans="1:13" s="23" customFormat="1" ht="24" customHeight="1" x14ac:dyDescent="0.3">
      <c r="A237" s="3" t="str">
        <f>IF(AND(J237=0,K237=0),"Do Not Print","Print")</f>
        <v>Do Not Print</v>
      </c>
      <c r="B237" s="585"/>
      <c r="C237" s="585"/>
      <c r="D237" s="2074" t="s">
        <v>480</v>
      </c>
      <c r="E237" s="2074"/>
      <c r="F237" s="2074"/>
      <c r="G237" s="2074"/>
      <c r="H237" s="2074"/>
      <c r="I237" s="610"/>
      <c r="J237" s="600">
        <f>SUM(J231:J236)</f>
        <v>0</v>
      </c>
      <c r="K237" s="600">
        <f>SUM(K231:K236)</f>
        <v>0</v>
      </c>
    </row>
    <row r="238" spans="1:13" s="23" customFormat="1" x14ac:dyDescent="0.3">
      <c r="A238" s="3" t="str">
        <f>IF(A237="Print","Print","Do Not Print")</f>
        <v>Do Not Print</v>
      </c>
      <c r="B238" s="585"/>
      <c r="C238" s="585"/>
      <c r="D238" s="2012"/>
      <c r="E238" s="2012"/>
      <c r="F238" s="2012"/>
      <c r="G238" s="2012"/>
      <c r="H238" s="2012"/>
      <c r="I238" s="610"/>
      <c r="J238" s="600"/>
      <c r="K238" s="600"/>
    </row>
    <row r="239" spans="1:13" s="23" customFormat="1" x14ac:dyDescent="0.3">
      <c r="A239" s="3" t="str">
        <f>IF(AND(J237=0,K237=0),"Do Not Print","Print")</f>
        <v>Do Not Print</v>
      </c>
      <c r="B239" s="585"/>
      <c r="C239" s="585"/>
      <c r="D239" s="2012" t="s">
        <v>481</v>
      </c>
      <c r="E239" s="2012"/>
      <c r="F239" s="2012"/>
      <c r="G239" s="2012"/>
      <c r="H239" s="2012"/>
      <c r="I239" s="610"/>
      <c r="J239" s="600"/>
      <c r="K239" s="600"/>
    </row>
    <row r="240" spans="1:13" s="23" customFormat="1" ht="29.55" customHeight="1" x14ac:dyDescent="0.3">
      <c r="A240" s="3" t="str">
        <f>IF(AND(J240=0,K240=0),"Do Not Print","Print")</f>
        <v>Do Not Print</v>
      </c>
      <c r="B240" s="585"/>
      <c r="C240" s="585"/>
      <c r="D240" s="2033" t="s">
        <v>482</v>
      </c>
      <c r="E240" s="2033"/>
      <c r="F240" s="2033"/>
      <c r="G240" s="2033"/>
      <c r="H240" s="2033"/>
      <c r="I240" s="610"/>
      <c r="J240" s="601">
        <f>-J237</f>
        <v>0</v>
      </c>
      <c r="K240" s="600">
        <f>-K237</f>
        <v>0</v>
      </c>
    </row>
    <row r="241" spans="1:12" s="23" customFormat="1" ht="28.05" customHeight="1" x14ac:dyDescent="0.3">
      <c r="A241" s="3" t="str">
        <f>IF(AND(J241=0,K241=0),"Do Not Print","Print")</f>
        <v>Do Not Print</v>
      </c>
      <c r="B241" s="585"/>
      <c r="C241" s="585"/>
      <c r="D241" s="2033" t="s">
        <v>483</v>
      </c>
      <c r="E241" s="2033"/>
      <c r="F241" s="2033"/>
      <c r="G241" s="2033"/>
      <c r="H241" s="2033"/>
      <c r="I241" s="610"/>
      <c r="J241" s="600"/>
      <c r="K241" s="600"/>
    </row>
    <row r="242" spans="1:12" s="23" customFormat="1" x14ac:dyDescent="0.3">
      <c r="A242" s="3" t="str">
        <f>IF(AND(J242=0,K242=0),"Do Not Print","Print")</f>
        <v>Do Not Print</v>
      </c>
      <c r="B242" s="585"/>
      <c r="C242" s="585"/>
      <c r="D242" s="2012" t="s">
        <v>484</v>
      </c>
      <c r="E242" s="2012"/>
      <c r="F242" s="2012"/>
      <c r="G242" s="2012"/>
      <c r="H242" s="2012"/>
      <c r="I242" s="610"/>
      <c r="J242" s="600">
        <f>'GROUP Det Group BS'!J503+'GROUP Det Group BS'!J504</f>
        <v>0</v>
      </c>
      <c r="K242" s="600">
        <f>'GROUP Det Group BS'!K503+'GROUP Det Group BS'!K504</f>
        <v>0</v>
      </c>
      <c r="L242" s="3"/>
    </row>
    <row r="243" spans="1:12" s="23" customFormat="1" x14ac:dyDescent="0.3">
      <c r="A243" s="3" t="str">
        <f>IF(A242="Print","Print","Do Not Print")</f>
        <v>Do Not Print</v>
      </c>
      <c r="B243" s="585"/>
      <c r="C243" s="585"/>
      <c r="D243" s="2012"/>
      <c r="E243" s="2012"/>
      <c r="F243" s="2012"/>
      <c r="G243" s="2012"/>
      <c r="H243" s="2012"/>
      <c r="I243" s="2012"/>
      <c r="J243" s="2012"/>
      <c r="K243" s="2012"/>
    </row>
    <row r="244" spans="1:12" s="23" customFormat="1" x14ac:dyDescent="0.3">
      <c r="A244" s="3" t="str">
        <f>IF(AND(J244=0,K244=0),"Do Not Print","Print")</f>
        <v>Do Not Print</v>
      </c>
      <c r="B244" s="585"/>
      <c r="C244" s="585"/>
      <c r="D244" s="474" t="s">
        <v>485</v>
      </c>
      <c r="E244" s="474"/>
      <c r="F244" s="474"/>
      <c r="G244" s="474"/>
      <c r="H244" s="486"/>
      <c r="I244" s="604"/>
      <c r="J244" s="606">
        <f>SUM(J240:J243)</f>
        <v>0</v>
      </c>
      <c r="K244" s="606">
        <f>SUM(K240:K243)</f>
        <v>0</v>
      </c>
    </row>
    <row r="245" spans="1:12" s="23" customFormat="1" x14ac:dyDescent="0.3">
      <c r="A245" s="3" t="str">
        <f>IF(A244="Print","Print","Do Not Print")</f>
        <v>Do Not Print</v>
      </c>
      <c r="B245" s="585"/>
      <c r="C245" s="585"/>
      <c r="D245" s="1500"/>
      <c r="E245" s="1500"/>
      <c r="F245" s="1500"/>
      <c r="G245" s="1500"/>
      <c r="H245" s="1500"/>
      <c r="I245" s="1500"/>
      <c r="J245" s="1500"/>
      <c r="K245" s="1500"/>
    </row>
    <row r="246" spans="1:12" s="23" customFormat="1" x14ac:dyDescent="0.3">
      <c r="A246" s="3" t="str">
        <f>IF('GROUP Non TB - Group Acc notes'!F42=1,"Print","Do Not Print")</f>
        <v>Print</v>
      </c>
      <c r="B246" s="585"/>
      <c r="C246" s="585"/>
      <c r="D246" s="1510" t="str">
        <f>IF('GROUP Non TB - Group Acc notes'!F43=1,'GROUP Non TB - Group Acc notes'!H43,"")</f>
        <v>The service cost figures include an allowance for administration expenses of 0.x%.</v>
      </c>
      <c r="E246" s="1510"/>
      <c r="F246" s="1510"/>
      <c r="G246" s="1510"/>
      <c r="H246" s="1510"/>
      <c r="I246" s="1510"/>
      <c r="J246" s="1510"/>
      <c r="K246" s="1510"/>
    </row>
    <row r="247" spans="1:12" s="23" customFormat="1" x14ac:dyDescent="0.3">
      <c r="A247" s="3" t="str">
        <f>IF(A246="Print","Print","Do Not Print")</f>
        <v>Print</v>
      </c>
      <c r="B247" s="585"/>
      <c r="C247" s="585"/>
      <c r="D247" s="1500"/>
      <c r="E247" s="1500"/>
      <c r="F247" s="1500"/>
      <c r="G247" s="1500"/>
      <c r="H247" s="1500"/>
      <c r="I247" s="1500"/>
      <c r="J247" s="1500"/>
      <c r="K247" s="1500"/>
    </row>
    <row r="248" spans="1:12" s="23" customFormat="1" ht="24" customHeight="1" x14ac:dyDescent="0.3">
      <c r="A248" s="3" t="str">
        <f>IF(AND(J255=0,K255=0),"Do Not Print","Print")</f>
        <v>Do Not Print</v>
      </c>
      <c r="B248" s="585"/>
      <c r="C248" s="585"/>
      <c r="D248" s="1764" t="s">
        <v>487</v>
      </c>
      <c r="E248" s="1500"/>
      <c r="F248" s="1500"/>
      <c r="G248" s="1500"/>
      <c r="H248" s="486"/>
      <c r="I248" s="486" t="s">
        <v>474</v>
      </c>
      <c r="J248" s="717" t="str">
        <f>J228</f>
        <v>2025/26</v>
      </c>
      <c r="K248" s="717" t="str">
        <f>K228</f>
        <v>2024/25</v>
      </c>
    </row>
    <row r="249" spans="1:12" s="23" customFormat="1" x14ac:dyDescent="0.3">
      <c r="A249" s="3" t="str">
        <f>IF(A248="Print","Print","Do Not Print")</f>
        <v>Do Not Print</v>
      </c>
      <c r="B249" s="585"/>
      <c r="C249" s="585"/>
      <c r="D249" s="474"/>
      <c r="E249" s="474"/>
      <c r="F249" s="474"/>
      <c r="G249" s="474"/>
      <c r="H249" s="486"/>
      <c r="I249" s="604"/>
      <c r="J249" s="717" t="str">
        <f>J229</f>
        <v>£</v>
      </c>
      <c r="K249" s="717" t="str">
        <f>K229</f>
        <v>£</v>
      </c>
    </row>
    <row r="250" spans="1:12" s="23" customFormat="1" x14ac:dyDescent="0.3">
      <c r="A250" s="3" t="str">
        <f>IF(AND(K250=0,J250=0),"Do Not Print","Print")</f>
        <v>Do Not Print</v>
      </c>
      <c r="B250" s="585"/>
      <c r="C250" s="585"/>
      <c r="D250" s="2012" t="s">
        <v>488</v>
      </c>
      <c r="E250" s="2012"/>
      <c r="F250" s="2012"/>
      <c r="G250" s="2012"/>
      <c r="H250" s="2012"/>
      <c r="I250" s="718"/>
      <c r="J250" s="601">
        <f>-'GROUP Det Group BS'!J489</f>
        <v>0</v>
      </c>
      <c r="K250" s="601">
        <f>-'GROUP Det Group BS'!K489</f>
        <v>0</v>
      </c>
      <c r="L250" s="3"/>
    </row>
    <row r="251" spans="1:12" s="23" customFormat="1" x14ac:dyDescent="0.3">
      <c r="A251" s="3" t="str">
        <f>IF(AND(K251=0,J251=0),"Do Not Print","Print")</f>
        <v>Do Not Print</v>
      </c>
      <c r="B251" s="585"/>
      <c r="C251" s="585"/>
      <c r="D251" s="2012" t="s">
        <v>489</v>
      </c>
      <c r="E251" s="2012"/>
      <c r="F251" s="2012"/>
      <c r="G251" s="2012"/>
      <c r="H251" s="2012"/>
      <c r="I251" s="718"/>
      <c r="J251" s="601">
        <f>-'GROUP Det Group BS'!J491</f>
        <v>0</v>
      </c>
      <c r="K251" s="601">
        <f>-'GROUP Det Group BS'!K491</f>
        <v>0</v>
      </c>
      <c r="L251" s="3"/>
    </row>
    <row r="252" spans="1:12" s="23" customFormat="1" x14ac:dyDescent="0.3">
      <c r="A252" s="3" t="str">
        <f>IF(AND(K252=0,J252=0),"Do Not Print","Print")</f>
        <v>Do Not Print</v>
      </c>
      <c r="B252" s="585"/>
      <c r="C252" s="585"/>
      <c r="D252" s="2012" t="s">
        <v>490</v>
      </c>
      <c r="E252" s="2012"/>
      <c r="F252" s="2012"/>
      <c r="G252" s="2012"/>
      <c r="H252" s="2012"/>
      <c r="I252" s="610"/>
      <c r="J252" s="601">
        <f>'GROUP Det Group BS'!J505</f>
        <v>0</v>
      </c>
      <c r="K252" s="601">
        <f>'GROUP Det Group BS'!K505</f>
        <v>0</v>
      </c>
    </row>
    <row r="253" spans="1:12" s="23" customFormat="1" x14ac:dyDescent="0.3">
      <c r="A253" s="3" t="str">
        <f>IF(AND(K253=0,J253=0),"Do Not Print","Print")</f>
        <v>Do Not Print</v>
      </c>
      <c r="B253" s="585"/>
      <c r="C253" s="585"/>
      <c r="D253" s="2012" t="s">
        <v>491</v>
      </c>
      <c r="E253" s="2012"/>
      <c r="F253" s="2012"/>
      <c r="G253" s="2012"/>
      <c r="H253" s="2012"/>
      <c r="I253" s="610"/>
      <c r="J253" s="598">
        <f>'GROUP Non TB - Group Acc notes'!H44</f>
        <v>0</v>
      </c>
      <c r="K253" s="598">
        <f>'GROUP Non TB - Group Acc notes'!I44</f>
        <v>0</v>
      </c>
    </row>
    <row r="254" spans="1:12" s="23" customFormat="1" x14ac:dyDescent="0.3">
      <c r="A254" s="3" t="str">
        <f>IF(A253="Print","Print","Do Not Print")</f>
        <v>Do Not Print</v>
      </c>
      <c r="B254" s="585"/>
      <c r="C254" s="585"/>
      <c r="D254" s="2012"/>
      <c r="E254" s="2012"/>
      <c r="F254" s="2012"/>
      <c r="G254" s="2012"/>
      <c r="H254" s="2012"/>
      <c r="I254" s="2012"/>
      <c r="J254" s="2012"/>
      <c r="K254" s="2012"/>
    </row>
    <row r="255" spans="1:12" s="23" customFormat="1" ht="27" customHeight="1" x14ac:dyDescent="0.3">
      <c r="A255" s="3" t="str">
        <f>IF(AND(K255=0,J255=0),"Do Not Print","Print")</f>
        <v>Do Not Print</v>
      </c>
      <c r="B255" s="585"/>
      <c r="C255" s="585"/>
      <c r="D255" s="2080" t="s">
        <v>492</v>
      </c>
      <c r="E255" s="2080"/>
      <c r="F255" s="2080"/>
      <c r="G255" s="2080"/>
      <c r="H255" s="2080"/>
      <c r="I255" s="2080"/>
      <c r="J255" s="606">
        <f>SUM(J250:J254)</f>
        <v>0</v>
      </c>
      <c r="K255" s="606">
        <f>SUM(K250:K254)</f>
        <v>0</v>
      </c>
    </row>
    <row r="256" spans="1:12" s="23" customFormat="1" x14ac:dyDescent="0.3">
      <c r="A256" s="3" t="str">
        <f>IF(A255="Print","Print","Do Not Print")</f>
        <v>Do Not Print</v>
      </c>
      <c r="B256" s="585"/>
      <c r="C256" s="585"/>
      <c r="D256" s="401"/>
      <c r="E256" s="401"/>
      <c r="F256" s="401"/>
      <c r="G256" s="401"/>
      <c r="H256" s="401"/>
      <c r="I256" s="401"/>
      <c r="J256" s="401"/>
      <c r="K256" s="401"/>
    </row>
    <row r="257" spans="1:12" s="23" customFormat="1" x14ac:dyDescent="0.3">
      <c r="A257" s="3" t="str">
        <f>IF(AND(J275=0,K275=0),"Do Not Print","Print")</f>
        <v>Do Not Print</v>
      </c>
      <c r="B257" s="585"/>
      <c r="C257" s="585" t="str">
        <f>Checklist!E180</f>
        <v>c</v>
      </c>
      <c r="D257" s="468" t="s">
        <v>312</v>
      </c>
      <c r="E257" s="401"/>
      <c r="F257" s="401"/>
      <c r="G257" s="401"/>
      <c r="H257" s="401"/>
      <c r="I257" s="401"/>
      <c r="J257" s="401"/>
      <c r="K257" s="401"/>
    </row>
    <row r="258" spans="1:12" s="23" customFormat="1" x14ac:dyDescent="0.3">
      <c r="A258" s="3" t="str">
        <f>IF(AND(E258=0,F258=0,G258=0,H258=0,J258=0),"Do Not Print","Print")</f>
        <v>Print</v>
      </c>
      <c r="B258" s="585"/>
      <c r="C258" s="585"/>
      <c r="D258" s="1767" t="s">
        <v>493</v>
      </c>
      <c r="E258" s="1767"/>
      <c r="F258" s="1767"/>
      <c r="G258" s="1767"/>
      <c r="H258" s="1767"/>
      <c r="I258" s="486" t="s">
        <v>474</v>
      </c>
      <c r="J258" s="717" t="str">
        <f>J228</f>
        <v>2025/26</v>
      </c>
      <c r="K258" s="717" t="str">
        <f>K228</f>
        <v>2024/25</v>
      </c>
    </row>
    <row r="259" spans="1:12" s="23" customFormat="1" x14ac:dyDescent="0.3">
      <c r="A259" s="3" t="str">
        <f>IF(A258="Print","Print","Do Not Print")</f>
        <v>Print</v>
      </c>
      <c r="B259" s="585"/>
      <c r="C259" s="585"/>
      <c r="D259" s="2078"/>
      <c r="E259" s="2078"/>
      <c r="F259" s="2078"/>
      <c r="G259" s="2078"/>
      <c r="H259" s="2078"/>
      <c r="I259" s="486"/>
      <c r="J259" s="717" t="s">
        <v>450</v>
      </c>
      <c r="K259" s="717" t="s">
        <v>450</v>
      </c>
    </row>
    <row r="260" spans="1:12" s="23" customFormat="1" x14ac:dyDescent="0.3">
      <c r="A260" s="3" t="str">
        <f>IF(AND(J260=0,K260=0),"Do Not Print","Print")</f>
        <v>Do Not Print</v>
      </c>
      <c r="B260" s="585"/>
      <c r="C260" s="585"/>
      <c r="D260" s="1787" t="s">
        <v>406</v>
      </c>
      <c r="E260" s="1788"/>
      <c r="F260" s="1788"/>
      <c r="G260" s="1788"/>
      <c r="H260" s="1789"/>
      <c r="I260" s="506"/>
      <c r="J260" s="540">
        <f>'GROUP Det Group BS'!J485</f>
        <v>0</v>
      </c>
      <c r="K260" s="540">
        <f>'GROUP Det Group BS'!K485</f>
        <v>0</v>
      </c>
    </row>
    <row r="261" spans="1:12" s="23" customFormat="1" x14ac:dyDescent="0.3">
      <c r="A261" s="3" t="str">
        <f>IF(AND(J261=0,K261=0),"Do Not Print","Print")</f>
        <v>Do Not Print</v>
      </c>
      <c r="B261" s="585"/>
      <c r="C261" s="585"/>
      <c r="D261" s="1787" t="s">
        <v>407</v>
      </c>
      <c r="E261" s="1788"/>
      <c r="F261" s="1788"/>
      <c r="G261" s="1788"/>
      <c r="H261" s="1789"/>
      <c r="I261" s="506"/>
      <c r="J261" s="540">
        <f>'GROUP Det Group BS'!J486</f>
        <v>0</v>
      </c>
      <c r="K261" s="540">
        <f>'GROUP Det Group BS'!K486</f>
        <v>0</v>
      </c>
    </row>
    <row r="262" spans="1:12" s="23" customFormat="1" x14ac:dyDescent="0.3">
      <c r="A262" s="3" t="str">
        <f>IF(AND(J262=0,K262=0),"Do Not Print","Print")</f>
        <v>Do Not Print</v>
      </c>
      <c r="B262" s="585"/>
      <c r="C262" s="585"/>
      <c r="D262" s="1787" t="s">
        <v>408</v>
      </c>
      <c r="E262" s="1788"/>
      <c r="F262" s="1788"/>
      <c r="G262" s="1788"/>
      <c r="H262" s="1789"/>
      <c r="I262" s="506"/>
      <c r="J262" s="540">
        <f>'GROUP Det Group BS'!J487</f>
        <v>0</v>
      </c>
      <c r="K262" s="540">
        <f>'GROUP Det Group BS'!K487</f>
        <v>0</v>
      </c>
    </row>
    <row r="263" spans="1:12" s="23" customFormat="1" x14ac:dyDescent="0.3">
      <c r="A263" s="3" t="str">
        <f>IF(AND(J263=0,K263=0),"Do Not Print","Print")</f>
        <v>Do Not Print</v>
      </c>
      <c r="B263" s="585"/>
      <c r="C263" s="585"/>
      <c r="D263" s="1787" t="s">
        <v>494</v>
      </c>
      <c r="E263" s="1788"/>
      <c r="F263" s="1788"/>
      <c r="G263" s="1788"/>
      <c r="H263" s="1789"/>
      <c r="I263" s="506"/>
      <c r="J263" s="540">
        <f>'GROUP Det Group BS'!J488</f>
        <v>0</v>
      </c>
      <c r="K263" s="540">
        <f>'GROUP Det Group BS'!K488</f>
        <v>0</v>
      </c>
    </row>
    <row r="264" spans="1:12" s="23" customFormat="1" x14ac:dyDescent="0.3">
      <c r="A264" s="3" t="str">
        <f>IF(OR(A265="Print",A266="Print",A267="Print",A268="Print",A269="Print",A270="Print",A271="Print",A272="Print",A273="Print"),"Print","Do Not Print")</f>
        <v>Do Not Print</v>
      </c>
      <c r="B264" s="585"/>
      <c r="C264" s="585"/>
      <c r="D264" s="1787" t="s">
        <v>495</v>
      </c>
      <c r="E264" s="1788"/>
      <c r="F264" s="1788"/>
      <c r="G264" s="1788"/>
      <c r="H264" s="1789"/>
      <c r="I264" s="506"/>
      <c r="J264" s="540"/>
      <c r="K264" s="540"/>
    </row>
    <row r="265" spans="1:12" s="23" customFormat="1" ht="27.75" customHeight="1" x14ac:dyDescent="0.3">
      <c r="A265" s="3" t="str">
        <f>IF(AND(J265=0,K265=0),"Do Not Print","Print")</f>
        <v>Do Not Print</v>
      </c>
      <c r="B265" s="585"/>
      <c r="C265" s="585"/>
      <c r="D265" s="2079"/>
      <c r="E265" s="2038" t="s">
        <v>858</v>
      </c>
      <c r="F265" s="2039"/>
      <c r="G265" s="2039"/>
      <c r="H265" s="2040"/>
      <c r="I265" s="506"/>
      <c r="J265" s="540">
        <f>'GROUP Det Group BS'!J489</f>
        <v>0</v>
      </c>
      <c r="K265" s="540">
        <f>'GROUP Det Group BS'!K489</f>
        <v>0</v>
      </c>
    </row>
    <row r="266" spans="1:12" s="23" customFormat="1" ht="28.5" customHeight="1" x14ac:dyDescent="0.3">
      <c r="A266" s="3" t="str">
        <f t="shared" ref="A266:A272" si="7">IF(AND(J266=0,K266=0),"Do Not Print","Print")</f>
        <v>Do Not Print</v>
      </c>
      <c r="B266" s="585"/>
      <c r="C266" s="585"/>
      <c r="D266" s="2010"/>
      <c r="E266" s="2038" t="s">
        <v>859</v>
      </c>
      <c r="F266" s="2039"/>
      <c r="G266" s="2039"/>
      <c r="H266" s="2040"/>
      <c r="I266" s="506"/>
      <c r="J266" s="540">
        <f>'GROUP Det Group BS'!J490</f>
        <v>0</v>
      </c>
      <c r="K266" s="540">
        <f>'GROUP Det Group BS'!K490</f>
        <v>0</v>
      </c>
    </row>
    <row r="267" spans="1:12" s="23" customFormat="1" ht="30.75" customHeight="1" x14ac:dyDescent="0.3">
      <c r="A267" s="3" t="str">
        <f t="shared" si="7"/>
        <v>Do Not Print</v>
      </c>
      <c r="B267" s="585"/>
      <c r="C267" s="585"/>
      <c r="D267" s="2010"/>
      <c r="E267" s="2038" t="s">
        <v>860</v>
      </c>
      <c r="F267" s="2039"/>
      <c r="G267" s="2039"/>
      <c r="H267" s="2040"/>
      <c r="I267" s="506"/>
      <c r="J267" s="540">
        <f>'GROUP Det Group BS'!J491</f>
        <v>0</v>
      </c>
      <c r="K267" s="540">
        <f>'GROUP Det Group BS'!K491</f>
        <v>0</v>
      </c>
      <c r="L267" s="3"/>
    </row>
    <row r="268" spans="1:12" s="23" customFormat="1" x14ac:dyDescent="0.3">
      <c r="A268" s="3" t="str">
        <f t="shared" si="7"/>
        <v>Do Not Print</v>
      </c>
      <c r="B268" s="585"/>
      <c r="C268" s="585"/>
      <c r="D268" s="2011"/>
      <c r="E268" s="2038" t="s">
        <v>861</v>
      </c>
      <c r="F268" s="2039"/>
      <c r="G268" s="2039"/>
      <c r="H268" s="2040"/>
      <c r="I268" s="506"/>
      <c r="J268" s="540">
        <f>'GROUP Det Group BS'!J492</f>
        <v>0</v>
      </c>
      <c r="K268" s="540">
        <f>'GROUP Det Group BS'!K492</f>
        <v>0</v>
      </c>
    </row>
    <row r="269" spans="1:12" s="23" customFormat="1" x14ac:dyDescent="0.3">
      <c r="A269" s="3" t="str">
        <f t="shared" si="7"/>
        <v>Do Not Print</v>
      </c>
      <c r="B269" s="585"/>
      <c r="C269" s="585"/>
      <c r="D269" s="1787" t="s">
        <v>497</v>
      </c>
      <c r="E269" s="1788"/>
      <c r="F269" s="1788"/>
      <c r="G269" s="1788"/>
      <c r="H269" s="1789"/>
      <c r="I269" s="506"/>
      <c r="J269" s="540">
        <f>'GROUP Det Group BS'!J493</f>
        <v>0</v>
      </c>
      <c r="K269" s="540">
        <f>'GROUP Det Group BS'!K493</f>
        <v>0</v>
      </c>
      <c r="L269" s="3"/>
    </row>
    <row r="270" spans="1:12" s="23" customFormat="1" x14ac:dyDescent="0.3">
      <c r="A270" s="3" t="str">
        <f t="shared" si="7"/>
        <v>Do Not Print</v>
      </c>
      <c r="B270" s="585"/>
      <c r="C270" s="585"/>
      <c r="D270" s="1787" t="s">
        <v>498</v>
      </c>
      <c r="E270" s="1788"/>
      <c r="F270" s="1788"/>
      <c r="G270" s="1788"/>
      <c r="H270" s="1789"/>
      <c r="I270" s="506"/>
      <c r="J270" s="540">
        <f>'GROUP Det Group BS'!J494</f>
        <v>0</v>
      </c>
      <c r="K270" s="540">
        <f>'GROUP Det Group BS'!K494</f>
        <v>0</v>
      </c>
    </row>
    <row r="271" spans="1:12" s="23" customFormat="1" x14ac:dyDescent="0.3">
      <c r="A271" s="3" t="str">
        <f t="shared" si="7"/>
        <v>Do Not Print</v>
      </c>
      <c r="B271" s="585"/>
      <c r="C271" s="585"/>
      <c r="D271" s="1787" t="s">
        <v>499</v>
      </c>
      <c r="E271" s="1788"/>
      <c r="F271" s="1788"/>
      <c r="G271" s="1788"/>
      <c r="H271" s="1789"/>
      <c r="I271" s="506"/>
      <c r="J271" s="540">
        <f>'GROUP Det Group BS'!J495</f>
        <v>0</v>
      </c>
      <c r="K271" s="540">
        <f>'GROUP Det Group BS'!K495</f>
        <v>0</v>
      </c>
    </row>
    <row r="272" spans="1:12" s="23" customFormat="1" x14ac:dyDescent="0.3">
      <c r="A272" s="3" t="str">
        <f t="shared" si="7"/>
        <v>Do Not Print</v>
      </c>
      <c r="B272" s="585"/>
      <c r="C272" s="585"/>
      <c r="D272" s="1787" t="s">
        <v>411</v>
      </c>
      <c r="E272" s="1788"/>
      <c r="F272" s="1788"/>
      <c r="G272" s="1788"/>
      <c r="H272" s="1789"/>
      <c r="I272" s="506"/>
      <c r="J272" s="540">
        <f>'GROUP Det Group BS'!J496</f>
        <v>0</v>
      </c>
      <c r="K272" s="540">
        <f>'GROUP Det Group BS'!K496</f>
        <v>0</v>
      </c>
      <c r="L272" s="3"/>
    </row>
    <row r="273" spans="1:13" s="23" customFormat="1" x14ac:dyDescent="0.3">
      <c r="A273" s="3" t="str">
        <f>IF(AND(J273=0,K273=0),"Do Not Print","Print")</f>
        <v>Do Not Print</v>
      </c>
      <c r="B273" s="585"/>
      <c r="C273" s="585"/>
      <c r="D273" s="1787" t="s">
        <v>412</v>
      </c>
      <c r="E273" s="1788"/>
      <c r="F273" s="1788"/>
      <c r="G273" s="1788"/>
      <c r="H273" s="1789"/>
      <c r="I273" s="506"/>
      <c r="J273" s="540">
        <f>'GROUP Det Group BS'!J497</f>
        <v>0</v>
      </c>
      <c r="K273" s="540">
        <f>'GROUP Det Group BS'!K497</f>
        <v>0</v>
      </c>
      <c r="L273" s="3"/>
    </row>
    <row r="274" spans="1:13" s="23" customFormat="1" x14ac:dyDescent="0.3">
      <c r="A274" s="3" t="str">
        <f>IF(A273="Print","Print","Do Not Print")</f>
        <v>Do Not Print</v>
      </c>
      <c r="B274" s="585"/>
      <c r="C274" s="585"/>
      <c r="D274" s="1787"/>
      <c r="E274" s="1788"/>
      <c r="F274" s="1788"/>
      <c r="G274" s="1788"/>
      <c r="H274" s="1788"/>
      <c r="I274" s="1789"/>
      <c r="J274" s="619"/>
      <c r="K274" s="619"/>
    </row>
    <row r="275" spans="1:13" s="23" customFormat="1" x14ac:dyDescent="0.3">
      <c r="A275" s="3" t="str">
        <f>IF(AND(J275=0,K275=0),"Do Not Print","Print")</f>
        <v>Do Not Print</v>
      </c>
      <c r="B275" s="585"/>
      <c r="C275" s="585"/>
      <c r="D275" s="474" t="s">
        <v>500</v>
      </c>
      <c r="E275" s="474"/>
      <c r="F275" s="474"/>
      <c r="G275" s="474"/>
      <c r="H275" s="486"/>
      <c r="I275" s="604"/>
      <c r="J275" s="511">
        <f>SUM(J260:J274)</f>
        <v>0</v>
      </c>
      <c r="K275" s="511">
        <f>SUM(K260:K274)</f>
        <v>0</v>
      </c>
    </row>
    <row r="276" spans="1:13" s="23" customFormat="1" x14ac:dyDescent="0.3">
      <c r="A276" s="3" t="str">
        <f>IF(A275="Print","Print","Do Not Print")</f>
        <v>Do Not Print</v>
      </c>
      <c r="B276" s="585"/>
      <c r="C276" s="585"/>
      <c r="D276" s="1500"/>
      <c r="E276" s="1500"/>
      <c r="F276" s="1500"/>
      <c r="G276" s="1500"/>
      <c r="H276" s="1500"/>
      <c r="I276" s="1500"/>
      <c r="J276" s="1500"/>
      <c r="K276" s="1500"/>
    </row>
    <row r="277" spans="1:13" s="23" customFormat="1" x14ac:dyDescent="0.3">
      <c r="A277" s="3" t="str">
        <f>IF(AND(J289=0,K289=0),"Do Not Print","Print")</f>
        <v>Do Not Print</v>
      </c>
      <c r="B277" s="585"/>
      <c r="C277" s="585"/>
      <c r="D277" s="474" t="s">
        <v>501</v>
      </c>
      <c r="E277" s="474"/>
      <c r="F277" s="474"/>
      <c r="G277" s="474"/>
      <c r="H277" s="486"/>
      <c r="I277" s="486" t="s">
        <v>474</v>
      </c>
      <c r="J277" s="717" t="str">
        <f>J228</f>
        <v>2025/26</v>
      </c>
      <c r="K277" s="717" t="str">
        <f>K228</f>
        <v>2024/25</v>
      </c>
    </row>
    <row r="278" spans="1:13" s="23" customFormat="1" x14ac:dyDescent="0.3">
      <c r="A278" s="3" t="str">
        <f>IF(A277="Print","Print","Do Not Print")</f>
        <v>Do Not Print</v>
      </c>
      <c r="B278" s="585"/>
      <c r="C278" s="585"/>
      <c r="D278" s="474"/>
      <c r="E278" s="474"/>
      <c r="F278" s="474"/>
      <c r="G278" s="474"/>
      <c r="H278" s="486"/>
      <c r="I278" s="486"/>
      <c r="J278" s="717" t="s">
        <v>450</v>
      </c>
      <c r="K278" s="717" t="s">
        <v>450</v>
      </c>
    </row>
    <row r="279" spans="1:13" s="23" customFormat="1" x14ac:dyDescent="0.3">
      <c r="A279" s="3" t="str">
        <f>IF(AND(J279=0,K279=0),"Do Not Print","Print")</f>
        <v>Do Not Print</v>
      </c>
      <c r="B279" s="585"/>
      <c r="C279" s="585"/>
      <c r="D279" s="1753" t="s">
        <v>406</v>
      </c>
      <c r="E279" s="1754"/>
      <c r="F279" s="1754"/>
      <c r="G279" s="1754"/>
      <c r="H279" s="1755"/>
      <c r="I279" s="506"/>
      <c r="J279" s="540">
        <f>'GROUP Det Group BS'!J500</f>
        <v>0</v>
      </c>
      <c r="K279" s="540">
        <f>'GROUP Det Group BS'!K500</f>
        <v>0</v>
      </c>
      <c r="L279" s="3"/>
    </row>
    <row r="280" spans="1:13" s="23" customFormat="1" x14ac:dyDescent="0.3">
      <c r="A280" s="3" t="str">
        <f t="shared" ref="A280:A287" si="8">IF(AND(J280=0,K280=0),"Do Not Print","Print")</f>
        <v>Do Not Print</v>
      </c>
      <c r="B280" s="585"/>
      <c r="C280" s="585"/>
      <c r="D280" s="1753" t="s">
        <v>502</v>
      </c>
      <c r="E280" s="1754"/>
      <c r="F280" s="1754"/>
      <c r="G280" s="1754"/>
      <c r="H280" s="1755"/>
      <c r="I280" s="506"/>
      <c r="J280" s="540">
        <f>'GROUP Det Group BS'!J501</f>
        <v>0</v>
      </c>
      <c r="K280" s="540">
        <f>'GROUP Det Group BS'!K501</f>
        <v>0</v>
      </c>
      <c r="L280" s="3"/>
    </row>
    <row r="281" spans="1:13" s="23" customFormat="1" x14ac:dyDescent="0.3">
      <c r="A281" s="3" t="str">
        <f t="shared" si="8"/>
        <v>Do Not Print</v>
      </c>
      <c r="B281" s="585"/>
      <c r="C281" s="585"/>
      <c r="D281" s="1753" t="s">
        <v>494</v>
      </c>
      <c r="E281" s="1754"/>
      <c r="F281" s="1754"/>
      <c r="G281" s="1754"/>
      <c r="H281" s="1755"/>
      <c r="I281" s="506"/>
      <c r="J281" s="540">
        <f>'GROUP Det Group BS'!J502</f>
        <v>0</v>
      </c>
      <c r="K281" s="540">
        <f>'GROUP Det Group BS'!K502</f>
        <v>0</v>
      </c>
      <c r="L281" s="3"/>
    </row>
    <row r="282" spans="1:13" s="23" customFormat="1" x14ac:dyDescent="0.3">
      <c r="A282" s="3" t="str">
        <f t="shared" si="8"/>
        <v>Do Not Print</v>
      </c>
      <c r="B282" s="585"/>
      <c r="C282" s="585"/>
      <c r="D282" s="1753" t="s">
        <v>415</v>
      </c>
      <c r="E282" s="1754"/>
      <c r="F282" s="1754"/>
      <c r="G282" s="1754"/>
      <c r="H282" s="1755"/>
      <c r="I282" s="506"/>
      <c r="J282" s="540">
        <f>'GROUP Det Group BS'!J503</f>
        <v>0</v>
      </c>
      <c r="K282" s="540">
        <f>'GROUP Det Group BS'!K503</f>
        <v>0</v>
      </c>
      <c r="L282" s="3"/>
    </row>
    <row r="283" spans="1:13" s="23" customFormat="1" x14ac:dyDescent="0.3">
      <c r="A283" s="3" t="str">
        <f t="shared" si="8"/>
        <v>Do Not Print</v>
      </c>
      <c r="B283" s="585"/>
      <c r="C283" s="585"/>
      <c r="D283" s="1753" t="s">
        <v>416</v>
      </c>
      <c r="E283" s="1754"/>
      <c r="F283" s="1754"/>
      <c r="G283" s="1754"/>
      <c r="H283" s="1755"/>
      <c r="I283" s="506"/>
      <c r="J283" s="540">
        <f>'GROUP Det Group BS'!J504</f>
        <v>0</v>
      </c>
      <c r="K283" s="540">
        <f>'GROUP Det Group BS'!K504</f>
        <v>0</v>
      </c>
      <c r="L283" s="3"/>
    </row>
    <row r="284" spans="1:13" s="23" customFormat="1" x14ac:dyDescent="0.3">
      <c r="A284" s="3" t="str">
        <f t="shared" si="8"/>
        <v>Do Not Print</v>
      </c>
      <c r="B284" s="585"/>
      <c r="C284" s="585"/>
      <c r="D284" s="1753" t="s">
        <v>503</v>
      </c>
      <c r="E284" s="1754"/>
      <c r="F284" s="1754"/>
      <c r="G284" s="1754"/>
      <c r="H284" s="1755"/>
      <c r="I284" s="506"/>
      <c r="J284" s="540">
        <f>'GROUP Det Group BS'!J505</f>
        <v>0</v>
      </c>
      <c r="K284" s="540">
        <f>'GROUP Det Group BS'!K505</f>
        <v>0</v>
      </c>
      <c r="L284" s="3"/>
    </row>
    <row r="285" spans="1:13" s="23" customFormat="1" x14ac:dyDescent="0.3">
      <c r="A285" s="3" t="str">
        <f t="shared" si="8"/>
        <v>Do Not Print</v>
      </c>
      <c r="B285" s="585"/>
      <c r="C285" s="585"/>
      <c r="D285" s="1753" t="s">
        <v>504</v>
      </c>
      <c r="E285" s="1754"/>
      <c r="F285" s="1754"/>
      <c r="G285" s="1754"/>
      <c r="H285" s="1755"/>
      <c r="I285" s="506"/>
      <c r="J285" s="540">
        <f>'GROUP Det Group BS'!J506</f>
        <v>0</v>
      </c>
      <c r="K285" s="540">
        <f>'GROUP Det Group BS'!K506</f>
        <v>0</v>
      </c>
    </row>
    <row r="286" spans="1:13" s="23" customFormat="1" x14ac:dyDescent="0.3">
      <c r="A286" s="3" t="str">
        <f t="shared" si="8"/>
        <v>Do Not Print</v>
      </c>
      <c r="B286" s="585"/>
      <c r="C286" s="585"/>
      <c r="D286" s="1753" t="s">
        <v>417</v>
      </c>
      <c r="E286" s="1754"/>
      <c r="F286" s="1754"/>
      <c r="G286" s="1754"/>
      <c r="H286" s="1755"/>
      <c r="I286" s="506"/>
      <c r="J286" s="540">
        <f>'GROUP Det Group BS'!J507</f>
        <v>0</v>
      </c>
      <c r="K286" s="540">
        <f>'GROUP Det Group BS'!K507</f>
        <v>0</v>
      </c>
      <c r="L286" s="3"/>
      <c r="M286" s="3"/>
    </row>
    <row r="287" spans="1:13" s="23" customFormat="1" x14ac:dyDescent="0.3">
      <c r="A287" s="3" t="str">
        <f t="shared" si="8"/>
        <v>Do Not Print</v>
      </c>
      <c r="B287" s="585"/>
      <c r="C287" s="585"/>
      <c r="D287" s="1753" t="s">
        <v>418</v>
      </c>
      <c r="E287" s="1754"/>
      <c r="F287" s="1754"/>
      <c r="G287" s="1754"/>
      <c r="H287" s="1755"/>
      <c r="I287" s="506"/>
      <c r="J287" s="540">
        <f>'GROUP Det Group BS'!J508</f>
        <v>0</v>
      </c>
      <c r="K287" s="540">
        <f>'GROUP Det Group BS'!K508</f>
        <v>0</v>
      </c>
      <c r="L287" s="3"/>
    </row>
    <row r="288" spans="1:13" s="23" customFormat="1" x14ac:dyDescent="0.3">
      <c r="A288" s="3" t="str">
        <f>IF(A287="Print","Print","Do Not Print")</f>
        <v>Do Not Print</v>
      </c>
      <c r="B288" s="585"/>
      <c r="C288" s="585"/>
      <c r="D288" s="1787"/>
      <c r="E288" s="1788"/>
      <c r="F288" s="1788"/>
      <c r="G288" s="1788"/>
      <c r="H288" s="1788"/>
      <c r="I288" s="1788"/>
      <c r="J288" s="1788"/>
      <c r="K288" s="1789"/>
    </row>
    <row r="289" spans="1:19" s="23" customFormat="1" x14ac:dyDescent="0.3">
      <c r="A289" s="3" t="str">
        <f>IF(AND(J289=0,K289=0),"Do Not Print","Print")</f>
        <v>Do Not Print</v>
      </c>
      <c r="B289" s="585"/>
      <c r="C289" s="585"/>
      <c r="D289" s="474" t="s">
        <v>500</v>
      </c>
      <c r="E289" s="474"/>
      <c r="F289" s="474"/>
      <c r="G289" s="474"/>
      <c r="H289" s="486"/>
      <c r="I289" s="604"/>
      <c r="J289" s="606">
        <f>SUM(J279:J288)</f>
        <v>0</v>
      </c>
      <c r="K289" s="606">
        <f>SUM(K279:K288)</f>
        <v>0</v>
      </c>
      <c r="L289" s="26"/>
    </row>
    <row r="290" spans="1:19" s="23" customFormat="1" x14ac:dyDescent="0.3">
      <c r="A290" s="3" t="str">
        <f>IF(A289="Print","Print","Do Not Print")</f>
        <v>Do Not Print</v>
      </c>
      <c r="B290" s="585"/>
      <c r="C290" s="585"/>
      <c r="D290" s="1500"/>
      <c r="E290" s="1500"/>
      <c r="F290" s="1500"/>
      <c r="G290" s="1500"/>
      <c r="H290" s="1500"/>
      <c r="I290" s="1500"/>
      <c r="J290" s="1500"/>
      <c r="K290" s="1500"/>
    </row>
    <row r="291" spans="1:19" s="23" customFormat="1" ht="84" customHeight="1" x14ac:dyDescent="0.3">
      <c r="A291" s="3" t="str">
        <f>IF('GROUP Non TB - Group Acc notes'!F45=1,"Print","Do Not Print")</f>
        <v>Print</v>
      </c>
      <c r="B291" s="585"/>
      <c r="C291" s="585"/>
      <c r="D291" s="1504" t="str">
        <f>IF('GROUP Non TB - Group Acc notes'!F45=1,'GROUP Non TB - Group Acc notes'!H45,"")</f>
        <v>Groups to include a narrative description of the basis used to determine the overall expected rate of return on assets, including the effect of the major categories of plan assets. The expected return on scheme assets is determined by considering the expected returns available on the assets underlying the current investment policy. Expected yields on fixed interest investments are based on gross redemption yields as at the Balance Sheet date. Expected returns on equity investments reflect long-term real rates of return experienced in the respective markets.</v>
      </c>
      <c r="E291" s="1504"/>
      <c r="F291" s="1504"/>
      <c r="G291" s="1504"/>
      <c r="H291" s="1504"/>
      <c r="I291" s="1504"/>
      <c r="J291" s="1504"/>
      <c r="K291" s="1504"/>
      <c r="M291" s="79"/>
      <c r="N291" s="79"/>
      <c r="O291" s="79"/>
      <c r="P291" s="79"/>
      <c r="Q291" s="79"/>
      <c r="R291" s="79"/>
      <c r="S291" s="79"/>
    </row>
    <row r="292" spans="1:19" s="23" customFormat="1" x14ac:dyDescent="0.3">
      <c r="A292" s="3" t="str">
        <f>IF(A291="Print","Print","Do Not Print")</f>
        <v>Print</v>
      </c>
      <c r="B292" s="585"/>
      <c r="C292" s="585"/>
      <c r="D292" s="1500"/>
      <c r="E292" s="1500"/>
      <c r="F292" s="1500"/>
      <c r="G292" s="1500"/>
      <c r="H292" s="1500"/>
      <c r="I292" s="1500"/>
      <c r="J292" s="1500"/>
      <c r="K292" s="1500"/>
    </row>
    <row r="293" spans="1:19" s="23" customFormat="1" ht="15" customHeight="1" x14ac:dyDescent="0.3">
      <c r="A293" s="3" t="str">
        <f>IF('GROUP Non TB - Group Acc notes'!F46=1,"Print","Do Not Print")</f>
        <v>Print</v>
      </c>
      <c r="B293" s="585"/>
      <c r="C293" s="585"/>
      <c r="D293" s="1504" t="str">
        <f>IF('GROUP Non TB - Group Acc notes'!F46=1,'GROUP Non TB - Group Acc notes'!H46,"")</f>
        <v>The actual return on scheme assets in the year was a gain/loss of £x (2024/25 gain/loss of £x).</v>
      </c>
      <c r="E293" s="1504"/>
      <c r="F293" s="1504"/>
      <c r="G293" s="1504"/>
      <c r="H293" s="1504"/>
      <c r="I293" s="1504"/>
      <c r="J293" s="1504"/>
      <c r="K293" s="1504"/>
    </row>
    <row r="294" spans="1:19" s="23" customFormat="1" x14ac:dyDescent="0.3">
      <c r="A294" s="3" t="str">
        <f>IF(A293="Print","Print","Do Not Print")</f>
        <v>Print</v>
      </c>
      <c r="B294" s="585"/>
      <c r="C294" s="585"/>
      <c r="D294" s="1500"/>
      <c r="E294" s="1500"/>
      <c r="F294" s="1500"/>
      <c r="G294" s="1500"/>
      <c r="H294" s="1500"/>
      <c r="I294" s="1500"/>
      <c r="J294" s="1500"/>
      <c r="K294" s="1500"/>
    </row>
    <row r="295" spans="1:19" s="23" customFormat="1" x14ac:dyDescent="0.3">
      <c r="A295" s="3" t="str">
        <f>IF(AND(I303=0,J303=0,K303=0),"Do Not Print","Print")</f>
        <v>Do Not Print</v>
      </c>
      <c r="B295" s="585"/>
      <c r="C295" s="585"/>
      <c r="D295" s="474" t="s">
        <v>505</v>
      </c>
      <c r="E295" s="474"/>
      <c r="F295" s="474"/>
      <c r="G295" s="474"/>
      <c r="H295" s="604"/>
      <c r="I295" s="717" t="str">
        <f>'Standing Data'!D34</f>
        <v>2025/26</v>
      </c>
      <c r="J295" s="717" t="str">
        <f>'Standing Data'!D52</f>
        <v>2024/25</v>
      </c>
      <c r="K295" s="717" t="str">
        <f>'Standing Data'!D56</f>
        <v>2023/24</v>
      </c>
    </row>
    <row r="296" spans="1:19" s="23" customFormat="1" x14ac:dyDescent="0.3">
      <c r="A296" s="3" t="str">
        <f>IF(A295="Print","Print","Do Not Print")</f>
        <v>Do Not Print</v>
      </c>
      <c r="B296" s="585"/>
      <c r="C296" s="585"/>
      <c r="D296" s="474"/>
      <c r="E296" s="474"/>
      <c r="F296" s="474"/>
      <c r="G296" s="474"/>
      <c r="H296" s="486"/>
      <c r="I296" s="717" t="s">
        <v>450</v>
      </c>
      <c r="J296" s="717" t="s">
        <v>450</v>
      </c>
      <c r="K296" s="717" t="s">
        <v>450</v>
      </c>
    </row>
    <row r="297" spans="1:19" s="23" customFormat="1" x14ac:dyDescent="0.3">
      <c r="A297" s="3" t="str">
        <f>IF(AND(I297=0,J297=0,K297=0),"Do Not Print","Print")</f>
        <v>Do Not Print</v>
      </c>
      <c r="B297" s="585"/>
      <c r="C297" s="585"/>
      <c r="D297" s="1753" t="s">
        <v>506</v>
      </c>
      <c r="E297" s="1754"/>
      <c r="F297" s="1754"/>
      <c r="G297" s="1754"/>
      <c r="H297" s="1755"/>
      <c r="I297" s="503">
        <f>'GROUP Non TB - Group Acc notes'!H47</f>
        <v>0</v>
      </c>
      <c r="J297" s="503">
        <f>'GROUP Non TB - Group Acc notes'!I47</f>
        <v>0</v>
      </c>
      <c r="K297" s="503">
        <f>'GROUP Non TB - Group Acc notes'!J47</f>
        <v>0</v>
      </c>
    </row>
    <row r="298" spans="1:19" s="23" customFormat="1" x14ac:dyDescent="0.3">
      <c r="A298" s="3" t="str">
        <f>IF(AND(I298=0,J298=0,K298=0),"Do Not Print","Print")</f>
        <v>Do Not Print</v>
      </c>
      <c r="B298" s="585"/>
      <c r="C298" s="585"/>
      <c r="D298" s="1753" t="s">
        <v>507</v>
      </c>
      <c r="E298" s="1754"/>
      <c r="F298" s="1754"/>
      <c r="G298" s="1754"/>
      <c r="H298" s="1755"/>
      <c r="I298" s="503">
        <f>'GROUP Non TB - Group Acc notes'!H48</f>
        <v>0</v>
      </c>
      <c r="J298" s="503">
        <f>'GROUP Non TB - Group Acc notes'!I48</f>
        <v>0</v>
      </c>
      <c r="K298" s="503">
        <f>'GROUP Non TB - Group Acc notes'!J48</f>
        <v>0</v>
      </c>
    </row>
    <row r="299" spans="1:19" s="23" customFormat="1" x14ac:dyDescent="0.3">
      <c r="A299" s="3" t="str">
        <f>IF(AND(I299=0,J299=0,K299=0),"Do Not Print","Print")</f>
        <v>Do Not Print</v>
      </c>
      <c r="B299" s="585"/>
      <c r="C299" s="585"/>
      <c r="D299" s="1753" t="s">
        <v>508</v>
      </c>
      <c r="E299" s="1754"/>
      <c r="F299" s="1754"/>
      <c r="G299" s="1754"/>
      <c r="H299" s="1755"/>
      <c r="I299" s="503">
        <f>'GROUP Non TB - Group Acc notes'!H49</f>
        <v>0</v>
      </c>
      <c r="J299" s="503">
        <f>'GROUP Non TB - Group Acc notes'!I49</f>
        <v>0</v>
      </c>
      <c r="K299" s="503">
        <f>'GROUP Non TB - Group Acc notes'!J49</f>
        <v>0</v>
      </c>
    </row>
    <row r="300" spans="1:19" s="23" customFormat="1" x14ac:dyDescent="0.3">
      <c r="A300" s="3" t="str">
        <f>IF(AND(I300=0,J300=0,K300=0),"Do Not Print","Print")</f>
        <v>Do Not Print</v>
      </c>
      <c r="B300" s="585"/>
      <c r="C300" s="585"/>
      <c r="D300" s="1753" t="s">
        <v>509</v>
      </c>
      <c r="E300" s="1754"/>
      <c r="F300" s="1754"/>
      <c r="G300" s="1754"/>
      <c r="H300" s="1755"/>
      <c r="I300" s="503">
        <f>'GROUP Non TB - Group Acc notes'!H50</f>
        <v>0</v>
      </c>
      <c r="J300" s="503">
        <f>'GROUP Non TB - Group Acc notes'!I50</f>
        <v>0</v>
      </c>
      <c r="K300" s="503">
        <f>'GROUP Non TB - Group Acc notes'!J50</f>
        <v>0</v>
      </c>
    </row>
    <row r="301" spans="1:19" s="23" customFormat="1" x14ac:dyDescent="0.3">
      <c r="A301" s="3" t="str">
        <f>IF(AND(I301=0,J301=0,K301=0),"Do Not Print","Print")</f>
        <v>Do Not Print</v>
      </c>
      <c r="B301" s="585"/>
      <c r="C301" s="585"/>
      <c r="D301" s="2070" t="s">
        <v>373</v>
      </c>
      <c r="E301" s="2071"/>
      <c r="F301" s="2071"/>
      <c r="G301" s="2071"/>
      <c r="H301" s="2072"/>
      <c r="I301" s="503">
        <f>'GROUP Non TB - Group Acc notes'!H51</f>
        <v>0</v>
      </c>
      <c r="J301" s="503">
        <f>'GROUP Non TB - Group Acc notes'!I51</f>
        <v>0</v>
      </c>
      <c r="K301" s="503">
        <f>'GROUP Non TB - Group Acc notes'!J51</f>
        <v>0</v>
      </c>
    </row>
    <row r="302" spans="1:19" s="23" customFormat="1" x14ac:dyDescent="0.3">
      <c r="A302" s="3" t="str">
        <f>IF(A300="Print","Print","Do Not Print")</f>
        <v>Do Not Print</v>
      </c>
      <c r="B302" s="585"/>
      <c r="C302" s="585"/>
      <c r="D302" s="1787"/>
      <c r="E302" s="1788"/>
      <c r="F302" s="1788"/>
      <c r="G302" s="1788"/>
      <c r="H302" s="1788"/>
      <c r="I302" s="1788"/>
      <c r="J302" s="1788"/>
      <c r="K302" s="1789"/>
    </row>
    <row r="303" spans="1:19" s="23" customFormat="1" x14ac:dyDescent="0.3">
      <c r="A303" s="3" t="str">
        <f>IF(AND(I303=0,J303=0,K303=0),"Do Not Print","Print")</f>
        <v>Do Not Print</v>
      </c>
      <c r="B303" s="585"/>
      <c r="C303" s="585"/>
      <c r="D303" s="479"/>
      <c r="E303" s="479"/>
      <c r="F303" s="479"/>
      <c r="G303" s="479"/>
      <c r="H303" s="604"/>
      <c r="I303" s="617">
        <f>SUM(I297:I302)</f>
        <v>0</v>
      </c>
      <c r="J303" s="617">
        <f>SUM(J297:J302)</f>
        <v>0</v>
      </c>
      <c r="K303" s="617">
        <f>SUM(K297:K302)</f>
        <v>0</v>
      </c>
    </row>
    <row r="304" spans="1:19" s="23" customFormat="1" x14ac:dyDescent="0.3">
      <c r="A304" s="3" t="str">
        <f>IF(A303="Print","Print","Do Not Print")</f>
        <v>Do Not Print</v>
      </c>
      <c r="B304" s="585"/>
      <c r="C304" s="585"/>
      <c r="D304" s="1500"/>
      <c r="E304" s="1500"/>
      <c r="F304" s="1500"/>
      <c r="G304" s="1500"/>
      <c r="H304" s="1500"/>
      <c r="I304" s="1500"/>
      <c r="J304" s="1500"/>
      <c r="K304" s="1500"/>
    </row>
    <row r="305" spans="1:13" s="23" customFormat="1" ht="16.05" customHeight="1" x14ac:dyDescent="0.3">
      <c r="A305" s="3" t="str">
        <f>IF('GROUP Non TB - Group Acc notes'!F52=1,"Print","Do Not Print")</f>
        <v>Print</v>
      </c>
      <c r="B305" s="585"/>
      <c r="C305" s="585"/>
      <c r="D305" s="1542" t="str">
        <f>IF('GROUP Non TB - Group Acc notes'!F52=1,'GROUP Non TB - Group Acc notes'!H52,"")</f>
        <v>The above asset values are at bid value as required by IAS 19.</v>
      </c>
      <c r="E305" s="1542"/>
      <c r="F305" s="1542"/>
      <c r="G305" s="1542"/>
      <c r="H305" s="1542"/>
      <c r="I305" s="1542"/>
      <c r="J305" s="1542"/>
      <c r="K305" s="1542"/>
    </row>
    <row r="306" spans="1:13" s="23" customFormat="1" x14ac:dyDescent="0.3">
      <c r="A306" s="3" t="str">
        <f>IF(A305="Print","Print","Do Not Print")</f>
        <v>Print</v>
      </c>
      <c r="B306" s="585"/>
      <c r="C306" s="585"/>
      <c r="D306" s="1542"/>
      <c r="E306" s="1542"/>
      <c r="F306" s="1542"/>
      <c r="G306" s="1542"/>
      <c r="H306" s="1542"/>
      <c r="I306" s="1542"/>
      <c r="J306" s="1542"/>
      <c r="K306" s="1542"/>
    </row>
    <row r="307" spans="1:13" s="23" customFormat="1" ht="16.5" customHeight="1" x14ac:dyDescent="0.3">
      <c r="A307" s="3" t="str">
        <f>IF('GROUP Non TB - Group Acc notes'!F53=1,"Print","Do Not Print")</f>
        <v>Print</v>
      </c>
      <c r="B307" s="585"/>
      <c r="C307" s="585"/>
      <c r="D307" s="1504" t="str">
        <f>IF('GROUP Non TB - Group Acc notes'!F53=1,'GROUP Non TB - Group Acc notes'!H53,"")</f>
        <v>Details of estimates made by the Fund Manager when assessing the fair values of plan assets.</v>
      </c>
      <c r="E307" s="1504"/>
      <c r="F307" s="1504"/>
      <c r="G307" s="1504"/>
      <c r="H307" s="1504"/>
      <c r="I307" s="1504"/>
      <c r="J307" s="1504"/>
      <c r="K307" s="1504"/>
    </row>
    <row r="308" spans="1:13" s="23" customFormat="1" x14ac:dyDescent="0.3">
      <c r="A308" s="3" t="str">
        <f>IF(A307="Print","Print","Do Not Print")</f>
        <v>Print</v>
      </c>
      <c r="B308" s="585"/>
      <c r="C308" s="585"/>
      <c r="D308" s="1542"/>
      <c r="E308" s="1542"/>
      <c r="F308" s="1542"/>
      <c r="G308" s="1542"/>
      <c r="H308" s="1542"/>
      <c r="I308" s="1542"/>
      <c r="J308" s="1542"/>
      <c r="K308" s="1542"/>
    </row>
    <row r="309" spans="1:13" s="23" customFormat="1" ht="17.100000000000001" customHeight="1" x14ac:dyDescent="0.3">
      <c r="A309" s="3" t="str">
        <f>IF('GROUP Non TB - Group Acc notes'!F54=1,"Print","Do Not Print")</f>
        <v>Print</v>
      </c>
      <c r="B309" s="585"/>
      <c r="C309" s="585"/>
      <c r="D309" s="1504" t="str">
        <f>IF('GROUP Non TB - Group Acc notes'!F54=1,'GROUP Non TB - Group Acc notes'!H54,"")</f>
        <v>The amounts included in the fair value of plan assets for property occupied by the Council was £x.</v>
      </c>
      <c r="E309" s="1504"/>
      <c r="F309" s="1504"/>
      <c r="G309" s="1504"/>
      <c r="H309" s="1504"/>
      <c r="I309" s="1504"/>
      <c r="J309" s="1504"/>
      <c r="K309" s="1504"/>
    </row>
    <row r="310" spans="1:13" s="23" customFormat="1" x14ac:dyDescent="0.3">
      <c r="A310" s="3" t="str">
        <f>IF(A309="Print","Print","Do Not Print")</f>
        <v>Print</v>
      </c>
      <c r="B310" s="585"/>
      <c r="C310" s="585"/>
      <c r="D310" s="1500"/>
      <c r="E310" s="1500"/>
      <c r="F310" s="1500"/>
      <c r="G310" s="1500"/>
      <c r="H310" s="1500"/>
      <c r="I310" s="1500"/>
      <c r="J310" s="1500"/>
      <c r="K310" s="1500"/>
    </row>
    <row r="311" spans="1:13" s="23" customFormat="1" x14ac:dyDescent="0.3">
      <c r="A311" s="3" t="str">
        <f>IF('GROUP Non TB - Group Acc notes'!F55=1,"Print","Do Not Print")</f>
        <v>Print</v>
      </c>
      <c r="B311" s="585"/>
      <c r="C311" s="585"/>
      <c r="D311" s="2077" t="str">
        <f>IF('GROUP Non TB - Group Acc notes'!F55=1,'GROUP Non TB - Group Acc notes'!D55,"")</f>
        <v>The Council's share of the Net Pension Liability (included in the Balance Sheet):</v>
      </c>
      <c r="E311" s="2077"/>
      <c r="F311" s="2077"/>
      <c r="G311" s="2077"/>
      <c r="H311" s="2077"/>
      <c r="I311" s="2077"/>
      <c r="J311" s="2077"/>
      <c r="K311" s="2077"/>
    </row>
    <row r="312" spans="1:13" s="23" customFormat="1" x14ac:dyDescent="0.3">
      <c r="A312" s="3" t="str">
        <f>IF(A311="Print","Print","Do Not Print")</f>
        <v>Print</v>
      </c>
      <c r="B312" s="585"/>
      <c r="C312" s="585"/>
      <c r="D312" s="1500"/>
      <c r="E312" s="1500"/>
      <c r="F312" s="1500"/>
      <c r="G312" s="1500"/>
      <c r="H312" s="1500"/>
      <c r="I312" s="1500"/>
      <c r="J312" s="1500"/>
      <c r="K312" s="1500"/>
    </row>
    <row r="313" spans="1:13" s="23" customFormat="1" x14ac:dyDescent="0.3">
      <c r="A313" s="3" t="str">
        <f>IF(AND(I325=0,J325=0,K325=0),"Do Not Print","Print")</f>
        <v>Do Not Print</v>
      </c>
      <c r="B313" s="585"/>
      <c r="C313" s="585"/>
      <c r="D313" s="474"/>
      <c r="E313" s="474"/>
      <c r="F313" s="474"/>
      <c r="G313" s="474"/>
      <c r="H313" s="604"/>
      <c r="I313" s="717" t="str">
        <f>I295</f>
        <v>2025/26</v>
      </c>
      <c r="J313" s="717" t="str">
        <f>J295</f>
        <v>2024/25</v>
      </c>
      <c r="K313" s="717" t="str">
        <f>K295</f>
        <v>2023/24</v>
      </c>
    </row>
    <row r="314" spans="1:13" s="23" customFormat="1" x14ac:dyDescent="0.3">
      <c r="A314" s="3" t="str">
        <f>IF(A313="Print","Print","Do Not Print")</f>
        <v>Do Not Print</v>
      </c>
      <c r="B314" s="585"/>
      <c r="C314" s="585"/>
      <c r="D314" s="474"/>
      <c r="E314" s="474"/>
      <c r="F314" s="474"/>
      <c r="G314" s="474"/>
      <c r="H314" s="486"/>
      <c r="I314" s="717" t="s">
        <v>450</v>
      </c>
      <c r="J314" s="717" t="s">
        <v>450</v>
      </c>
      <c r="K314" s="717" t="s">
        <v>450</v>
      </c>
    </row>
    <row r="315" spans="1:13" s="23" customFormat="1" x14ac:dyDescent="0.3">
      <c r="A315" s="3" t="str">
        <f t="shared" ref="A315:A320" si="9">IF(AND(I315=0,J315=0,K315=0),"Do Not Print","Print")</f>
        <v>Do Not Print</v>
      </c>
      <c r="B315" s="585"/>
      <c r="C315" s="585"/>
      <c r="D315" s="1756" t="s">
        <v>746</v>
      </c>
      <c r="E315" s="1756"/>
      <c r="F315" s="1756"/>
      <c r="G315" s="1756"/>
      <c r="H315" s="1756"/>
      <c r="I315" s="524">
        <f>J289</f>
        <v>0</v>
      </c>
      <c r="J315" s="524">
        <f>K289</f>
        <v>0</v>
      </c>
      <c r="K315" s="524">
        <f>L289</f>
        <v>0</v>
      </c>
    </row>
    <row r="316" spans="1:13" s="23" customFormat="1" x14ac:dyDescent="0.3">
      <c r="A316" s="3" t="str">
        <f t="shared" si="9"/>
        <v>Do Not Print</v>
      </c>
      <c r="B316" s="585"/>
      <c r="C316" s="585"/>
      <c r="D316" s="1756" t="s">
        <v>747</v>
      </c>
      <c r="E316" s="1756"/>
      <c r="F316" s="1756"/>
      <c r="G316" s="1756"/>
      <c r="H316" s="1756"/>
      <c r="I316" s="524">
        <f>-J275-I318</f>
        <v>0</v>
      </c>
      <c r="J316" s="524">
        <f>-K275-J318</f>
        <v>0</v>
      </c>
      <c r="K316" s="513">
        <f>'GROUP Non TB - Group Acc notes'!J55</f>
        <v>0</v>
      </c>
      <c r="L316" s="3"/>
      <c r="M316" s="3"/>
    </row>
    <row r="317" spans="1:13" s="23" customFormat="1" x14ac:dyDescent="0.3">
      <c r="A317" s="3" t="str">
        <f t="shared" si="9"/>
        <v>Do Not Print</v>
      </c>
      <c r="B317" s="585"/>
      <c r="C317" s="585"/>
      <c r="D317" s="1756" t="s">
        <v>748</v>
      </c>
      <c r="E317" s="1756"/>
      <c r="F317" s="1756"/>
      <c r="G317" s="1756"/>
      <c r="H317" s="1756"/>
      <c r="I317" s="524">
        <f>SUM(I315:I316)</f>
        <v>0</v>
      </c>
      <c r="J317" s="524">
        <f>SUM(J315:J316)</f>
        <v>0</v>
      </c>
      <c r="K317" s="524">
        <f>SUM(K315:K316)</f>
        <v>0</v>
      </c>
      <c r="M317" s="3"/>
    </row>
    <row r="318" spans="1:13" s="23" customFormat="1" x14ac:dyDescent="0.3">
      <c r="A318" s="3" t="str">
        <f t="shared" si="9"/>
        <v>Do Not Print</v>
      </c>
      <c r="B318" s="585"/>
      <c r="C318" s="585"/>
      <c r="D318" s="1756" t="s">
        <v>749</v>
      </c>
      <c r="E318" s="1756"/>
      <c r="F318" s="1756"/>
      <c r="G318" s="1756"/>
      <c r="H318" s="1756"/>
      <c r="I318" s="513">
        <f>'GROUP Non TB - Group Acc notes'!H56</f>
        <v>0</v>
      </c>
      <c r="J318" s="513">
        <f>'GROUP Non TB - Group Acc notes'!I56</f>
        <v>0</v>
      </c>
      <c r="K318" s="513">
        <f>'GROUP Non TB - Group Acc notes'!J56</f>
        <v>0</v>
      </c>
    </row>
    <row r="319" spans="1:13" s="23" customFormat="1" x14ac:dyDescent="0.3">
      <c r="A319" s="3" t="str">
        <f t="shared" si="9"/>
        <v>Do Not Print</v>
      </c>
      <c r="B319" s="585"/>
      <c r="C319" s="585"/>
      <c r="D319" s="1756" t="s">
        <v>750</v>
      </c>
      <c r="E319" s="1756"/>
      <c r="F319" s="1756"/>
      <c r="G319" s="1756"/>
      <c r="H319" s="1756"/>
      <c r="I319" s="513">
        <f>'GROUP Non TB - Group Acc notes'!H57</f>
        <v>0</v>
      </c>
      <c r="J319" s="513">
        <f>'GROUP Non TB - Group Acc notes'!I57</f>
        <v>0</v>
      </c>
      <c r="K319" s="513">
        <f>'GROUP Non TB - Group Acc notes'!J57</f>
        <v>0</v>
      </c>
    </row>
    <row r="320" spans="1:13" s="23" customFormat="1" x14ac:dyDescent="0.3">
      <c r="A320" s="3" t="str">
        <f t="shared" si="9"/>
        <v>Do Not Print</v>
      </c>
      <c r="B320" s="585"/>
      <c r="C320" s="585"/>
      <c r="D320" s="2076" t="s">
        <v>751</v>
      </c>
      <c r="E320" s="2076"/>
      <c r="F320" s="2076"/>
      <c r="G320" s="2076"/>
      <c r="H320" s="2076"/>
      <c r="I320" s="524">
        <f>SUM(I317:I319)</f>
        <v>0</v>
      </c>
      <c r="J320" s="524">
        <f>SUM(J317:J319)</f>
        <v>0</v>
      </c>
      <c r="K320" s="524">
        <f>SUM(K317:K319)</f>
        <v>0</v>
      </c>
      <c r="M320" s="3"/>
    </row>
    <row r="321" spans="1:11" s="23" customFormat="1" x14ac:dyDescent="0.3">
      <c r="A321" s="3" t="str">
        <f>IF(A320="Print","Print","Do Not Print")</f>
        <v>Do Not Print</v>
      </c>
      <c r="B321" s="585"/>
      <c r="C321" s="585"/>
      <c r="D321" s="1787"/>
      <c r="E321" s="1788"/>
      <c r="F321" s="1788"/>
      <c r="G321" s="1788"/>
      <c r="H321" s="1789"/>
      <c r="I321" s="524"/>
      <c r="J321" s="524"/>
      <c r="K321" s="524"/>
    </row>
    <row r="322" spans="1:11" s="23" customFormat="1" x14ac:dyDescent="0.3">
      <c r="A322" s="3" t="str">
        <f>IF(A321="Print","Print","Do Not Print")</f>
        <v>Do Not Print</v>
      </c>
      <c r="B322" s="585"/>
      <c r="C322" s="585"/>
      <c r="D322" s="1787" t="s">
        <v>752</v>
      </c>
      <c r="E322" s="1788"/>
      <c r="F322" s="1788"/>
      <c r="G322" s="1788"/>
      <c r="H322" s="1789"/>
      <c r="I322" s="524"/>
      <c r="J322" s="524"/>
      <c r="K322" s="524"/>
    </row>
    <row r="323" spans="1:11" s="23" customFormat="1" x14ac:dyDescent="0.3">
      <c r="A323" s="3" t="str">
        <f>IF(AND(I323=0,J323=0,K323=0),"Do Not Print","Print")</f>
        <v>Do Not Print</v>
      </c>
      <c r="B323" s="585"/>
      <c r="C323" s="585"/>
      <c r="D323" s="1787" t="s">
        <v>753</v>
      </c>
      <c r="E323" s="1788"/>
      <c r="F323" s="1788"/>
      <c r="G323" s="1788"/>
      <c r="H323" s="1789"/>
      <c r="I323" s="513">
        <f>'GROUP Non TB - Group Acc notes'!H58</f>
        <v>0</v>
      </c>
      <c r="J323" s="513">
        <f>'GROUP Non TB - Group Acc notes'!I58</f>
        <v>0</v>
      </c>
      <c r="K323" s="513">
        <f>'GROUP Non TB - Group Acc notes'!J58</f>
        <v>0</v>
      </c>
    </row>
    <row r="324" spans="1:11" s="23" customFormat="1" x14ac:dyDescent="0.3">
      <c r="A324" s="3" t="str">
        <f>IF(AND(I324=0,J324=0,K324=0),"Do Not Print","Print")</f>
        <v>Do Not Print</v>
      </c>
      <c r="B324" s="585"/>
      <c r="C324" s="585"/>
      <c r="D324" s="1787" t="s">
        <v>754</v>
      </c>
      <c r="E324" s="1788"/>
      <c r="F324" s="1788"/>
      <c r="G324" s="1788"/>
      <c r="H324" s="1789"/>
      <c r="I324" s="513">
        <f>'GROUP Non TB - Group Acc notes'!H59</f>
        <v>0</v>
      </c>
      <c r="J324" s="513">
        <f>'GROUP Non TB - Group Acc notes'!I59</f>
        <v>0</v>
      </c>
      <c r="K324" s="513">
        <f>'GROUP Non TB - Group Acc notes'!J59</f>
        <v>0</v>
      </c>
    </row>
    <row r="325" spans="1:11" s="23" customFormat="1" x14ac:dyDescent="0.3">
      <c r="A325" s="3" t="str">
        <f>IF(AND(I325=0,J325=0,K325=0),"Do Not Print","Print")</f>
        <v>Do Not Print</v>
      </c>
      <c r="B325" s="585"/>
      <c r="C325" s="585"/>
      <c r="D325" s="474" t="s">
        <v>755</v>
      </c>
      <c r="E325" s="474"/>
      <c r="F325" s="474"/>
      <c r="G325" s="474"/>
      <c r="H325" s="604"/>
      <c r="I325" s="511">
        <f>SUM(I323:I324)</f>
        <v>0</v>
      </c>
      <c r="J325" s="511">
        <f>SUM(J323:J324)</f>
        <v>0</v>
      </c>
      <c r="K325" s="511">
        <f>SUM(K323:K324)</f>
        <v>0</v>
      </c>
    </row>
    <row r="326" spans="1:11" s="23" customFormat="1" x14ac:dyDescent="0.3">
      <c r="A326" s="3" t="str">
        <f>IF(A325="Print","Print","Do Not Print")</f>
        <v>Do Not Print</v>
      </c>
      <c r="B326" s="585"/>
      <c r="C326" s="585"/>
      <c r="D326" s="401"/>
      <c r="E326" s="401"/>
      <c r="F326" s="401"/>
      <c r="G326" s="401"/>
      <c r="H326" s="401"/>
      <c r="I326" s="401"/>
      <c r="J326" s="401"/>
      <c r="K326" s="401"/>
    </row>
    <row r="327" spans="1:11" s="23" customFormat="1" x14ac:dyDescent="0.3">
      <c r="A327" s="3" t="str">
        <f>IF('GROUP Non TB - Group Acc notes'!F60=1,"Print","Do Not Print")</f>
        <v>Print</v>
      </c>
      <c r="B327" s="585"/>
      <c r="C327" s="585" t="str">
        <f>Checklist!E181</f>
        <v>d</v>
      </c>
      <c r="D327" s="468" t="s">
        <v>313</v>
      </c>
      <c r="E327" s="401"/>
      <c r="F327" s="401"/>
      <c r="G327" s="401"/>
      <c r="H327" s="401"/>
      <c r="I327" s="401"/>
      <c r="J327" s="401"/>
      <c r="K327" s="401"/>
    </row>
    <row r="328" spans="1:11" s="23" customFormat="1" x14ac:dyDescent="0.3">
      <c r="A328" s="3" t="str">
        <f>IF(AND(I333=0,J333=0,K333=0),"Do Not Print","Print")</f>
        <v>Do Not Print</v>
      </c>
      <c r="B328" s="585"/>
      <c r="C328" s="585"/>
      <c r="D328" s="474" t="s">
        <v>756</v>
      </c>
      <c r="E328" s="474"/>
      <c r="F328" s="474"/>
      <c r="G328" s="474"/>
      <c r="H328" s="604"/>
      <c r="I328" s="717" t="str">
        <f>I295</f>
        <v>2025/26</v>
      </c>
      <c r="J328" s="717" t="str">
        <f>J295</f>
        <v>2024/25</v>
      </c>
      <c r="K328" s="717" t="str">
        <f>K295</f>
        <v>2023/24</v>
      </c>
    </row>
    <row r="329" spans="1:11" s="23" customFormat="1" x14ac:dyDescent="0.3">
      <c r="A329" s="3" t="str">
        <f>IF(A328="Print","Print","Do Not Print")</f>
        <v>Do Not Print</v>
      </c>
      <c r="B329" s="585"/>
      <c r="C329" s="585"/>
      <c r="D329" s="474"/>
      <c r="E329" s="474"/>
      <c r="F329" s="474"/>
      <c r="G329" s="474"/>
      <c r="H329" s="486"/>
      <c r="I329" s="717" t="s">
        <v>450</v>
      </c>
      <c r="J329" s="717" t="s">
        <v>450</v>
      </c>
      <c r="K329" s="717" t="s">
        <v>450</v>
      </c>
    </row>
    <row r="330" spans="1:11" s="23" customFormat="1" x14ac:dyDescent="0.3">
      <c r="A330" s="3" t="str">
        <f>IF(AND(I330=0,J330=0,K330=0),"Do Not Print","Print")</f>
        <v>Do Not Print</v>
      </c>
      <c r="B330" s="585"/>
      <c r="C330" s="585"/>
      <c r="D330" s="1787" t="s">
        <v>757</v>
      </c>
      <c r="E330" s="1788"/>
      <c r="F330" s="1788"/>
      <c r="G330" s="1788"/>
      <c r="H330" s="1789"/>
      <c r="I330" s="524">
        <f>J289</f>
        <v>0</v>
      </c>
      <c r="J330" s="524">
        <f>K289</f>
        <v>0</v>
      </c>
      <c r="K330" s="524">
        <f>L289</f>
        <v>0</v>
      </c>
    </row>
    <row r="331" spans="1:11" s="23" customFormat="1" x14ac:dyDescent="0.3">
      <c r="A331" s="3" t="str">
        <f>IF(AND(I331=0,J331=0,K331=0),"Do Not Print","Print")</f>
        <v>Do Not Print</v>
      </c>
      <c r="B331" s="585"/>
      <c r="C331" s="585"/>
      <c r="D331" s="1787" t="s">
        <v>758</v>
      </c>
      <c r="E331" s="1788"/>
      <c r="F331" s="1788"/>
      <c r="G331" s="1788"/>
      <c r="H331" s="1789"/>
      <c r="I331" s="524">
        <f>-J275</f>
        <v>0</v>
      </c>
      <c r="J331" s="524">
        <f>-K275</f>
        <v>0</v>
      </c>
      <c r="K331" s="513">
        <f>'GROUP Non TB - Group Acc notes'!J60</f>
        <v>0</v>
      </c>
    </row>
    <row r="332" spans="1:11" s="23" customFormat="1" x14ac:dyDescent="0.3">
      <c r="A332" s="3" t="str">
        <f>IF(A331="Print","Print","Do Not Print")</f>
        <v>Do Not Print</v>
      </c>
      <c r="B332" s="585"/>
      <c r="C332" s="585"/>
      <c r="D332" s="401"/>
      <c r="E332" s="401"/>
      <c r="F332" s="401"/>
      <c r="G332" s="401"/>
      <c r="H332" s="401"/>
      <c r="I332" s="401"/>
      <c r="J332" s="401"/>
      <c r="K332" s="401"/>
    </row>
    <row r="333" spans="1:11" s="23" customFormat="1" x14ac:dyDescent="0.3">
      <c r="A333" s="3" t="str">
        <f>IF(AND(I333=0,J333=0,K333=0),"Do Not Print","Print")</f>
        <v>Do Not Print</v>
      </c>
      <c r="B333" s="585"/>
      <c r="C333" s="585"/>
      <c r="D333" s="474" t="s">
        <v>759</v>
      </c>
      <c r="E333" s="474"/>
      <c r="F333" s="474"/>
      <c r="G333" s="474"/>
      <c r="H333" s="604"/>
      <c r="I333" s="511">
        <f>SUM(I330:I332)</f>
        <v>0</v>
      </c>
      <c r="J333" s="511">
        <f>SUM(J330:J332)</f>
        <v>0</v>
      </c>
      <c r="K333" s="511">
        <f>SUM(K330:K332)</f>
        <v>0</v>
      </c>
    </row>
    <row r="334" spans="1:11" s="23" customFormat="1" x14ac:dyDescent="0.3">
      <c r="A334" s="3" t="str">
        <f>IF(A333="Print","Print","Do Not Print")</f>
        <v>Do Not Print</v>
      </c>
      <c r="B334" s="585"/>
      <c r="C334" s="585"/>
      <c r="D334" s="401"/>
      <c r="E334" s="401"/>
      <c r="F334" s="401"/>
      <c r="G334" s="401"/>
      <c r="H334" s="401"/>
      <c r="I334" s="401"/>
      <c r="J334" s="401"/>
      <c r="K334" s="401"/>
    </row>
    <row r="335" spans="1:11" s="23" customFormat="1" ht="25.5" customHeight="1" x14ac:dyDescent="0.3">
      <c r="A335" s="3" t="str">
        <f>IF(AND(I342=0,J342=0,K342=0),"Do Not Print","Print")</f>
        <v>Do Not Print</v>
      </c>
      <c r="B335" s="585"/>
      <c r="C335" s="585"/>
      <c r="D335" s="1764" t="s">
        <v>760</v>
      </c>
      <c r="E335" s="1501"/>
      <c r="F335" s="1501"/>
      <c r="G335" s="1501"/>
      <c r="H335" s="604"/>
      <c r="I335" s="717" t="str">
        <f>I295</f>
        <v>2025/26</v>
      </c>
      <c r="J335" s="717" t="str">
        <f>J295</f>
        <v>2024/25</v>
      </c>
      <c r="K335" s="717" t="str">
        <f>K295</f>
        <v>2023/24</v>
      </c>
    </row>
    <row r="336" spans="1:11" s="23" customFormat="1" x14ac:dyDescent="0.3">
      <c r="A336" s="3" t="str">
        <f>IF(A335="Print","Print","Do Not Print")</f>
        <v>Do Not Print</v>
      </c>
      <c r="B336" s="585"/>
      <c r="C336" s="585"/>
      <c r="D336" s="474"/>
      <c r="E336" s="474"/>
      <c r="F336" s="474"/>
      <c r="G336" s="474"/>
      <c r="H336" s="486"/>
      <c r="I336" s="717" t="s">
        <v>450</v>
      </c>
      <c r="J336" s="717" t="s">
        <v>450</v>
      </c>
      <c r="K336" s="717" t="s">
        <v>450</v>
      </c>
    </row>
    <row r="337" spans="1:11" s="23" customFormat="1" x14ac:dyDescent="0.3">
      <c r="A337" s="3" t="str">
        <f>IF(AND(I337=0,J337=0,K337=0),"Do Not Print","Print")</f>
        <v>Do Not Print</v>
      </c>
      <c r="B337" s="585"/>
      <c r="C337" s="585"/>
      <c r="D337" s="2012" t="s">
        <v>761</v>
      </c>
      <c r="E337" s="2012"/>
      <c r="F337" s="2012"/>
      <c r="G337" s="2012"/>
      <c r="H337" s="2012"/>
      <c r="I337" s="620">
        <f>J255</f>
        <v>0</v>
      </c>
      <c r="J337" s="620">
        <f>K255</f>
        <v>0</v>
      </c>
      <c r="K337" s="620">
        <f>L255</f>
        <v>0</v>
      </c>
    </row>
    <row r="338" spans="1:11" s="23" customFormat="1" x14ac:dyDescent="0.3">
      <c r="A338" s="3" t="str">
        <f>IF(AND(I338=0,J338=0,K338=0),"Do Not Print","Print")</f>
        <v>Do Not Print</v>
      </c>
      <c r="B338" s="585"/>
      <c r="C338" s="585"/>
      <c r="D338" s="2012" t="s">
        <v>1431</v>
      </c>
      <c r="E338" s="2012"/>
      <c r="F338" s="2012"/>
      <c r="G338" s="2012"/>
      <c r="H338" s="2012"/>
      <c r="I338" s="621">
        <f>'GROUP Non TB - Group Acc notes'!H61</f>
        <v>0</v>
      </c>
      <c r="J338" s="621">
        <f>'GROUP Non TB - Group Acc notes'!I61</f>
        <v>0</v>
      </c>
      <c r="K338" s="621">
        <f>'GROUP Non TB - Group Acc notes'!J61</f>
        <v>0</v>
      </c>
    </row>
    <row r="339" spans="1:11" s="23" customFormat="1" ht="26.55" customHeight="1" x14ac:dyDescent="0.3">
      <c r="A339" s="3" t="str">
        <f>IF(AND(I339=0,J339=0,K339=0),"Do Not Print","Print")</f>
        <v>Do Not Print</v>
      </c>
      <c r="B339" s="585"/>
      <c r="C339" s="585"/>
      <c r="D339" s="2033" t="s">
        <v>762</v>
      </c>
      <c r="E339" s="2033"/>
      <c r="F339" s="2033"/>
      <c r="G339" s="2033"/>
      <c r="H339" s="2033"/>
      <c r="I339" s="621">
        <f>'GROUP Non TB - Group Acc notes'!H62</f>
        <v>0</v>
      </c>
      <c r="J339" s="621">
        <f>'GROUP Non TB - Group Acc notes'!I62</f>
        <v>0</v>
      </c>
      <c r="K339" s="621">
        <f>'GROUP Non TB - Group Acc notes'!J62</f>
        <v>0</v>
      </c>
    </row>
    <row r="340" spans="1:11" s="23" customFormat="1" ht="28.5" customHeight="1" x14ac:dyDescent="0.3">
      <c r="A340" s="3" t="str">
        <f>IF(AND(I340=0,J340=0,K340=0),"Do Not Print","Print")</f>
        <v>Do Not Print</v>
      </c>
      <c r="B340" s="585"/>
      <c r="C340" s="585"/>
      <c r="D340" s="2033" t="s">
        <v>487</v>
      </c>
      <c r="E340" s="2033"/>
      <c r="F340" s="2033"/>
      <c r="G340" s="2033"/>
      <c r="H340" s="2033"/>
      <c r="I340" s="620">
        <f>SUM(I337:I339)</f>
        <v>0</v>
      </c>
      <c r="J340" s="620">
        <f>SUM(J337:J339)</f>
        <v>0</v>
      </c>
      <c r="K340" s="620">
        <f>SUM(K337:K339)</f>
        <v>0</v>
      </c>
    </row>
    <row r="341" spans="1:11" s="23" customFormat="1" x14ac:dyDescent="0.3">
      <c r="A341" s="3" t="str">
        <f>IF(A340="Print","Print","Do Not Print")</f>
        <v>Do Not Print</v>
      </c>
      <c r="B341" s="585"/>
      <c r="C341" s="585"/>
      <c r="D341" s="2012"/>
      <c r="E341" s="2012"/>
      <c r="F341" s="2012"/>
      <c r="G341" s="2012"/>
      <c r="H341" s="2012"/>
      <c r="I341" s="620"/>
      <c r="J341" s="620"/>
      <c r="K341" s="620"/>
    </row>
    <row r="342" spans="1:11" s="23" customFormat="1" x14ac:dyDescent="0.3">
      <c r="A342" s="3" t="str">
        <f>IF(AND(I342=0,J342=0,K342=0),"Do Not Print","Print")</f>
        <v>Do Not Print</v>
      </c>
      <c r="B342" s="585"/>
      <c r="C342" s="585"/>
      <c r="D342" s="2012" t="s">
        <v>763</v>
      </c>
      <c r="E342" s="2012"/>
      <c r="F342" s="2012"/>
      <c r="G342" s="2012"/>
      <c r="H342" s="2012"/>
      <c r="I342" s="620">
        <f>I340+J342</f>
        <v>0</v>
      </c>
      <c r="J342" s="620">
        <f>J340+K342</f>
        <v>0</v>
      </c>
      <c r="K342" s="620">
        <f>K340+L342</f>
        <v>0</v>
      </c>
    </row>
    <row r="343" spans="1:11" s="23" customFormat="1" x14ac:dyDescent="0.3">
      <c r="A343" s="3" t="str">
        <f>IF(A342="Print","Print","Do Not Print")</f>
        <v>Do Not Print</v>
      </c>
      <c r="B343" s="585"/>
      <c r="C343" s="585"/>
      <c r="D343" s="2012"/>
      <c r="E343" s="2012"/>
      <c r="F343" s="2012"/>
      <c r="G343" s="2012"/>
      <c r="H343" s="2012"/>
      <c r="I343" s="620"/>
      <c r="J343" s="620"/>
      <c r="K343" s="620"/>
    </row>
    <row r="344" spans="1:11" s="23" customFormat="1" x14ac:dyDescent="0.3">
      <c r="A344" s="3" t="str">
        <f>IF(A343="Print","Print","Do Not Print")</f>
        <v>Do Not Print</v>
      </c>
      <c r="B344" s="585"/>
      <c r="C344" s="585"/>
      <c r="D344" s="2073" t="s">
        <v>764</v>
      </c>
      <c r="E344" s="2073"/>
      <c r="F344" s="2073"/>
      <c r="G344" s="2073"/>
      <c r="H344" s="2073"/>
      <c r="I344" s="620"/>
      <c r="J344" s="620"/>
      <c r="K344" s="620"/>
    </row>
    <row r="345" spans="1:11" s="23" customFormat="1" x14ac:dyDescent="0.3">
      <c r="A345" s="3" t="str">
        <f>IF(A344="Print","Print","Do Not Print")</f>
        <v>Do Not Print</v>
      </c>
      <c r="B345" s="585"/>
      <c r="C345" s="585"/>
      <c r="D345" s="2012"/>
      <c r="E345" s="2012"/>
      <c r="F345" s="2012"/>
      <c r="G345" s="2012"/>
      <c r="H345" s="2012"/>
      <c r="I345" s="620"/>
      <c r="J345" s="620"/>
      <c r="K345" s="620"/>
    </row>
    <row r="346" spans="1:11" s="23" customFormat="1" x14ac:dyDescent="0.3">
      <c r="A346" s="3" t="str">
        <f>IF(AND(I346=0,J346=0,K346=0),"Do Not Print","Print")</f>
        <v>Do Not Print</v>
      </c>
      <c r="B346" s="585"/>
      <c r="C346" s="585"/>
      <c r="D346" s="2012" t="s">
        <v>765</v>
      </c>
      <c r="E346" s="2012"/>
      <c r="F346" s="2012"/>
      <c r="G346" s="2012"/>
      <c r="H346" s="2012"/>
      <c r="I346" s="618">
        <f>'GROUP Non TB - Group Acc notes'!H63</f>
        <v>0</v>
      </c>
      <c r="J346" s="618">
        <f>'GROUP Non TB - Group Acc notes'!I63</f>
        <v>0</v>
      </c>
      <c r="K346" s="618">
        <f>'GROUP Non TB - Group Acc notes'!J63</f>
        <v>0</v>
      </c>
    </row>
    <row r="347" spans="1:11" s="23" customFormat="1" x14ac:dyDescent="0.3">
      <c r="A347" s="3" t="str">
        <f>IF(AND(I347=0,J347=0,K347=0),"Do Not Print","Print")</f>
        <v>Do Not Print</v>
      </c>
      <c r="B347" s="585"/>
      <c r="C347" s="585"/>
      <c r="D347" s="2012" t="s">
        <v>766</v>
      </c>
      <c r="E347" s="2012"/>
      <c r="F347" s="2012"/>
      <c r="G347" s="2012"/>
      <c r="H347" s="2012"/>
      <c r="I347" s="618">
        <f>'GROUP Non TB - Group Acc notes'!H64</f>
        <v>0</v>
      </c>
      <c r="J347" s="618">
        <f>'GROUP Non TB - Group Acc notes'!I64</f>
        <v>0</v>
      </c>
      <c r="K347" s="618">
        <f>'GROUP Non TB - Group Acc notes'!J64</f>
        <v>0</v>
      </c>
    </row>
    <row r="348" spans="1:11" s="23" customFormat="1" x14ac:dyDescent="0.3">
      <c r="A348" s="3" t="str">
        <f>IF(A347="Print","Print","Do Not Print")</f>
        <v>Do Not Print</v>
      </c>
      <c r="B348" s="585"/>
      <c r="C348" s="585"/>
      <c r="D348" s="1500"/>
      <c r="E348" s="1500"/>
      <c r="F348" s="1500"/>
      <c r="G348" s="1500"/>
      <c r="H348" s="1500"/>
      <c r="I348" s="1500"/>
      <c r="J348" s="1500"/>
      <c r="K348" s="1500"/>
    </row>
    <row r="349" spans="1:11" s="23" customFormat="1" ht="43.5" customHeight="1" x14ac:dyDescent="0.3">
      <c r="A349" s="3" t="str">
        <f>IF('GROUP Non TB - Group Acc notes'!F65=1,"Print","Do Not Print")</f>
        <v>Print</v>
      </c>
      <c r="B349" s="585"/>
      <c r="C349" s="585"/>
      <c r="D349" s="1513" t="str">
        <f>IF('GROUP Non TB - Group Acc notes'!F65=1,'GROUP Non TB - Group Acc notes'!H65,"")</f>
        <v>The liabilities show the underlying commitments that the Group has in the long run to pay retirement benefits. The total liability of £x has a substantial impact on the net worth of the Group as recorded in the Balance Sheet, resulting in a net liability of £x.</v>
      </c>
      <c r="E349" s="1513"/>
      <c r="F349" s="1513"/>
      <c r="G349" s="1513"/>
      <c r="H349" s="1513"/>
      <c r="I349" s="1513"/>
      <c r="J349" s="1513"/>
      <c r="K349" s="1513"/>
    </row>
    <row r="350" spans="1:11" s="23" customFormat="1" x14ac:dyDescent="0.3">
      <c r="A350" s="3" t="str">
        <f>IF(A349="Print","Print","Do Not Print")</f>
        <v>Print</v>
      </c>
      <c r="B350" s="585"/>
      <c r="C350" s="585"/>
      <c r="D350" s="1500"/>
      <c r="E350" s="1500"/>
      <c r="F350" s="1500"/>
      <c r="G350" s="1500"/>
      <c r="H350" s="1500"/>
      <c r="I350" s="1500"/>
      <c r="J350" s="1500"/>
      <c r="K350" s="1500"/>
    </row>
    <row r="351" spans="1:11" s="23" customFormat="1" ht="52.05" customHeight="1" x14ac:dyDescent="0.3">
      <c r="A351" s="3" t="str">
        <f>IF('GROUP Non TB - Group Acc notes'!F66=1,"Print","Do Not Print")</f>
        <v>Print</v>
      </c>
      <c r="B351" s="585"/>
      <c r="C351" s="585"/>
      <c r="D351" s="1512" t="str">
        <f>IF('GROUP Non TB - Group Acc notes'!F66=1,'GROUP Non TB - Group Acc notes'!H66,"")</f>
        <v>However, statutory arrangements for funding the deficit mean that the financial position of the Group remains healthy. The deficit on the Northern Ireland Local Government Officers' Pension Fund will be made good by increased contributions over the remaining working life of employees, assessed by the scheme actuary.</v>
      </c>
      <c r="E351" s="1512"/>
      <c r="F351" s="1512"/>
      <c r="G351" s="1512"/>
      <c r="H351" s="1512"/>
      <c r="I351" s="1512"/>
      <c r="J351" s="1512"/>
      <c r="K351" s="1512"/>
    </row>
    <row r="352" spans="1:11" s="23" customFormat="1" x14ac:dyDescent="0.3">
      <c r="A352" s="3" t="str">
        <f>IF(A351="Print","Print","Do Not Print")</f>
        <v>Print</v>
      </c>
      <c r="B352" s="585"/>
      <c r="C352" s="585"/>
      <c r="D352" s="1500"/>
      <c r="E352" s="1500"/>
      <c r="F352" s="1500"/>
      <c r="G352" s="1500"/>
      <c r="H352" s="1500"/>
      <c r="I352" s="1500"/>
      <c r="J352" s="1500"/>
      <c r="K352" s="1500"/>
    </row>
    <row r="353" spans="1:11" s="23" customFormat="1" ht="25.5" customHeight="1" x14ac:dyDescent="0.3">
      <c r="A353" s="3" t="str">
        <f>IF(AND(J362=0,K362=0),"Do Not Print","Print")</f>
        <v>Do Not Print</v>
      </c>
      <c r="B353" s="585"/>
      <c r="C353" s="585"/>
      <c r="D353" s="2046" t="s">
        <v>3016</v>
      </c>
      <c r="E353" s="1500"/>
      <c r="F353" s="1500"/>
      <c r="G353" s="1500"/>
      <c r="H353" s="1500"/>
      <c r="I353" s="1500"/>
      <c r="J353" s="1500"/>
      <c r="K353" s="1500"/>
    </row>
    <row r="354" spans="1:11" s="23" customFormat="1" x14ac:dyDescent="0.3">
      <c r="A354" s="3" t="str">
        <f>IF(A353="Print","Print","Do Not Print")</f>
        <v>Do Not Print</v>
      </c>
      <c r="B354" s="585"/>
      <c r="C354" s="585"/>
      <c r="D354" s="1500"/>
      <c r="E354" s="1500"/>
      <c r="F354" s="1500"/>
      <c r="G354" s="1500"/>
      <c r="H354" s="1500"/>
      <c r="I354" s="1500"/>
      <c r="J354" s="1500"/>
      <c r="K354" s="1500"/>
    </row>
    <row r="355" spans="1:11" s="23" customFormat="1" x14ac:dyDescent="0.3">
      <c r="A355" s="3" t="str">
        <f>IF(AND(J362=0,K362=0),"Do Not Print","Print")</f>
        <v>Do Not Print</v>
      </c>
      <c r="B355" s="585"/>
      <c r="C355" s="585"/>
      <c r="D355" s="474"/>
      <c r="E355" s="474"/>
      <c r="F355" s="474"/>
      <c r="G355" s="474"/>
      <c r="H355" s="604"/>
      <c r="I355" s="474"/>
      <c r="J355" s="717" t="str">
        <f>I335</f>
        <v>2025/26</v>
      </c>
      <c r="K355" s="717" t="str">
        <f>J335</f>
        <v>2024/25</v>
      </c>
    </row>
    <row r="356" spans="1:11" s="23" customFormat="1" x14ac:dyDescent="0.3">
      <c r="A356" s="3" t="str">
        <f>IF(AND(J362=0,K362=0),"Do Not Print","Print")</f>
        <v>Do Not Print</v>
      </c>
      <c r="B356" s="585"/>
      <c r="C356" s="585"/>
      <c r="D356" s="474"/>
      <c r="E356" s="474"/>
      <c r="F356" s="474"/>
      <c r="G356" s="474"/>
      <c r="H356" s="486"/>
      <c r="I356" s="717"/>
      <c r="J356" s="717" t="s">
        <v>450</v>
      </c>
      <c r="K356" s="717"/>
    </row>
    <row r="357" spans="1:11" s="23" customFormat="1" x14ac:dyDescent="0.3">
      <c r="A357" s="3" t="str">
        <f>IF(AND(J357=0,K357=0),"Do Not Print","Print")</f>
        <v>Do Not Print</v>
      </c>
      <c r="B357" s="585"/>
      <c r="C357" s="585"/>
      <c r="D357" s="1787" t="s">
        <v>769</v>
      </c>
      <c r="E357" s="1788"/>
      <c r="F357" s="1788"/>
      <c r="G357" s="1788"/>
      <c r="H357" s="1788"/>
      <c r="I357" s="1789"/>
      <c r="J357" s="622">
        <f>'GROUP Non TB - Group Acc notes'!H67</f>
        <v>0</v>
      </c>
      <c r="K357" s="622">
        <f>'GROUP Non TB - Group Acc notes'!I67</f>
        <v>0</v>
      </c>
    </row>
    <row r="358" spans="1:11" s="23" customFormat="1" x14ac:dyDescent="0.3">
      <c r="A358" s="3" t="str">
        <f>IF(AND(J358=0,K358=0),"Do Not Print","Print")</f>
        <v>Do Not Print</v>
      </c>
      <c r="B358" s="585"/>
      <c r="C358" s="585"/>
      <c r="D358" s="1787" t="s">
        <v>770</v>
      </c>
      <c r="E358" s="1788"/>
      <c r="F358" s="1788"/>
      <c r="G358" s="1788"/>
      <c r="H358" s="1788"/>
      <c r="I358" s="1789"/>
      <c r="J358" s="622">
        <f>'GROUP Non TB - Group Acc notes'!H68</f>
        <v>0</v>
      </c>
      <c r="K358" s="622">
        <f>'GROUP Non TB - Group Acc notes'!I68</f>
        <v>0</v>
      </c>
    </row>
    <row r="359" spans="1:11" s="23" customFormat="1" x14ac:dyDescent="0.3">
      <c r="A359" s="3" t="str">
        <f>IF(AND(J359=0,K359=0),"Do Not Print","Print")</f>
        <v>Do Not Print</v>
      </c>
      <c r="B359" s="585"/>
      <c r="C359" s="585"/>
      <c r="D359" s="1787" t="s">
        <v>410</v>
      </c>
      <c r="E359" s="1788"/>
      <c r="F359" s="1788"/>
      <c r="G359" s="1788"/>
      <c r="H359" s="1788"/>
      <c r="I359" s="1789"/>
      <c r="J359" s="622">
        <f>'GROUP Non TB - Group Acc notes'!H69</f>
        <v>0</v>
      </c>
      <c r="K359" s="622">
        <f>'GROUP Non TB - Group Acc notes'!I69</f>
        <v>0</v>
      </c>
    </row>
    <row r="360" spans="1:11" s="23" customFormat="1" x14ac:dyDescent="0.3">
      <c r="A360" s="3" t="str">
        <f>IF(AND(J360=0,K360=0),"Do Not Print","Print")</f>
        <v>Do Not Print</v>
      </c>
      <c r="B360" s="585"/>
      <c r="C360" s="585"/>
      <c r="D360" s="1787" t="s">
        <v>477</v>
      </c>
      <c r="E360" s="1788"/>
      <c r="F360" s="1788"/>
      <c r="G360" s="1788"/>
      <c r="H360" s="1788"/>
      <c r="I360" s="1789"/>
      <c r="J360" s="622">
        <f>'GROUP Non TB - Group Acc notes'!H70</f>
        <v>0</v>
      </c>
      <c r="K360" s="622">
        <f>'GROUP Non TB - Group Acc notes'!I70</f>
        <v>0</v>
      </c>
    </row>
    <row r="361" spans="1:11" s="23" customFormat="1" x14ac:dyDescent="0.3">
      <c r="A361" s="3" t="str">
        <f>IF(A360="Print","Print","Do Not Print")</f>
        <v>Do Not Print</v>
      </c>
      <c r="B361" s="585"/>
      <c r="C361" s="585"/>
      <c r="D361" s="1787"/>
      <c r="E361" s="1788"/>
      <c r="F361" s="1788"/>
      <c r="G361" s="1788"/>
      <c r="H361" s="1788"/>
      <c r="I361" s="1788"/>
      <c r="J361" s="1788"/>
      <c r="K361" s="1789"/>
    </row>
    <row r="362" spans="1:11" s="23" customFormat="1" x14ac:dyDescent="0.3">
      <c r="A362" s="3" t="str">
        <f>IF(AND(J362=0,K362=0),"Do Not Print","Print")</f>
        <v>Do Not Print</v>
      </c>
      <c r="B362" s="585"/>
      <c r="C362" s="585"/>
      <c r="D362" s="474"/>
      <c r="E362" s="474"/>
      <c r="F362" s="474"/>
      <c r="G362" s="474"/>
      <c r="H362" s="604"/>
      <c r="I362" s="474"/>
      <c r="J362" s="605">
        <f>SUM(J357:J360)</f>
        <v>0</v>
      </c>
      <c r="K362" s="624">
        <f>SUM(K357:K360)</f>
        <v>0</v>
      </c>
    </row>
    <row r="363" spans="1:11" s="23" customFormat="1" x14ac:dyDescent="0.3">
      <c r="A363" s="3" t="str">
        <f>IF(A362="Print","Print","Do Not Print")</f>
        <v>Do Not Print</v>
      </c>
      <c r="B363" s="585"/>
      <c r="C363" s="585"/>
      <c r="D363" s="1500"/>
      <c r="E363" s="1500"/>
      <c r="F363" s="1500"/>
      <c r="G363" s="1500"/>
      <c r="H363" s="1500"/>
      <c r="I363" s="1500"/>
      <c r="J363" s="1500"/>
      <c r="K363" s="1500"/>
    </row>
    <row r="364" spans="1:11" s="23" customFormat="1" ht="27.6" customHeight="1" x14ac:dyDescent="0.3">
      <c r="A364" s="3" t="str">
        <f>IF('GROUP Non TB - Group Acc notes'!F75=1,"Print","Do Not Print")</f>
        <v>Print</v>
      </c>
      <c r="B364" s="585"/>
      <c r="C364" s="585"/>
      <c r="D364" s="1501" t="str">
        <f>IF('GROUP Non TB - Group Acc notes'!F75=1,'GROUP Non TB - Group Acc notes'!H75,"")</f>
        <v xml:space="preserve">The total contributions expected to be made to the Northern Ireland Local Government Officers' Pension Fund by the Group in the year to 31 March 2026 is £x. </v>
      </c>
      <c r="E364" s="1500"/>
      <c r="F364" s="1500"/>
      <c r="G364" s="1500"/>
      <c r="H364" s="1500"/>
      <c r="I364" s="1500"/>
      <c r="J364" s="1500"/>
      <c r="K364" s="1500"/>
    </row>
    <row r="365" spans="1:11" s="23" customFormat="1" x14ac:dyDescent="0.3">
      <c r="A365" s="3" t="str">
        <f>IF(A364="Print","Print","Do Not Print")</f>
        <v>Print</v>
      </c>
      <c r="B365" s="585"/>
      <c r="C365" s="585"/>
      <c r="D365" s="1500"/>
      <c r="E365" s="1500"/>
      <c r="F365" s="1500"/>
      <c r="G365" s="1500"/>
      <c r="H365" s="1500"/>
      <c r="I365" s="1500"/>
      <c r="J365" s="1500"/>
      <c r="K365" s="1500"/>
    </row>
    <row r="366" spans="1:11" s="23" customFormat="1" ht="13.5" customHeight="1" x14ac:dyDescent="0.3">
      <c r="A366" s="3" t="str">
        <f>IF(OR(A367="Print",A373="Print"),"Print","Do Not Print")</f>
        <v>Print</v>
      </c>
      <c r="B366" s="585"/>
      <c r="C366" s="585"/>
      <c r="D366" s="1726" t="s">
        <v>771</v>
      </c>
      <c r="E366" s="1726"/>
      <c r="F366" s="1726"/>
      <c r="G366" s="1726"/>
      <c r="H366" s="1726"/>
      <c r="I366" s="1726"/>
      <c r="J366" s="1726"/>
      <c r="K366" s="1726"/>
    </row>
    <row r="367" spans="1:11" s="23" customFormat="1" ht="26.55" customHeight="1" x14ac:dyDescent="0.3">
      <c r="A367" s="3" t="str">
        <f>IF('GROUP Non TB - Group Acc notes'!F76=1,"Print","Do Not Print")</f>
        <v>Print</v>
      </c>
      <c r="B367" s="585"/>
      <c r="C367" s="585"/>
      <c r="D367" s="1501" t="str">
        <f>IF('GROUP Non TB - Group Acc notes'!F76=1,'GROUP Non TB - Group Acc notes'!H76,"")</f>
        <v>The actuarial gains identified as movements on the Pensions Reserve 2025/26 can be analysed into the following categories, measured as a percentage of assets or liabilities at 31 March 2026.</v>
      </c>
      <c r="E367" s="1501"/>
      <c r="F367" s="1501"/>
      <c r="G367" s="1501"/>
      <c r="H367" s="1501"/>
      <c r="I367" s="1501"/>
      <c r="J367" s="1501"/>
      <c r="K367" s="1501"/>
    </row>
    <row r="368" spans="1:11" s="23" customFormat="1" x14ac:dyDescent="0.3">
      <c r="A368" s="3" t="str">
        <f>IF(A367="Print","Print","Do Not Print")</f>
        <v>Print</v>
      </c>
      <c r="B368" s="585"/>
      <c r="C368" s="585"/>
      <c r="D368" s="1500"/>
      <c r="E368" s="1500"/>
      <c r="F368" s="1500"/>
      <c r="G368" s="1500"/>
      <c r="H368" s="1500"/>
      <c r="I368" s="1500"/>
      <c r="J368" s="1500"/>
      <c r="K368" s="1500"/>
    </row>
    <row r="369" spans="1:14" s="23" customFormat="1" x14ac:dyDescent="0.3">
      <c r="A369" s="3" t="str">
        <f>IF(AND(I371=0,J371=0,K371=0,I372=0,J372=0,K372=0),"Do Not Print","Print")</f>
        <v>Do Not Print</v>
      </c>
      <c r="B369" s="585"/>
      <c r="C369" s="585"/>
      <c r="D369" s="474"/>
      <c r="E369" s="474"/>
      <c r="F369" s="474"/>
      <c r="G369" s="474"/>
      <c r="H369" s="604"/>
      <c r="I369" s="717" t="str">
        <f>I313</f>
        <v>2025/26</v>
      </c>
      <c r="J369" s="717" t="str">
        <f>J313</f>
        <v>2024/25</v>
      </c>
      <c r="K369" s="717" t="str">
        <f>K313</f>
        <v>2023/24</v>
      </c>
    </row>
    <row r="370" spans="1:14" s="23" customFormat="1" x14ac:dyDescent="0.3">
      <c r="A370" s="3" t="str">
        <f>IF(A369="Print","Print","Do Not Print")</f>
        <v>Do Not Print</v>
      </c>
      <c r="B370" s="585"/>
      <c r="C370" s="585"/>
      <c r="D370" s="474"/>
      <c r="E370" s="474"/>
      <c r="F370" s="474"/>
      <c r="G370" s="474"/>
      <c r="H370" s="486"/>
      <c r="I370" s="474" t="s">
        <v>768</v>
      </c>
      <c r="J370" s="474" t="s">
        <v>768</v>
      </c>
      <c r="K370" s="474" t="s">
        <v>768</v>
      </c>
    </row>
    <row r="371" spans="1:14" s="23" customFormat="1" x14ac:dyDescent="0.3">
      <c r="A371" s="3" t="str">
        <f>IF(AND(I371=0,J371=0,K371=0),"Do Not Print","Print")</f>
        <v>Do Not Print</v>
      </c>
      <c r="B371" s="585"/>
      <c r="C371" s="585"/>
      <c r="D371" s="2070" t="s">
        <v>772</v>
      </c>
      <c r="E371" s="2071"/>
      <c r="F371" s="2071"/>
      <c r="G371" s="2071"/>
      <c r="H371" s="2072"/>
      <c r="I371" s="506">
        <f t="shared" ref="I371:K372" si="10">IF(I346=0,0,I346/I330)</f>
        <v>0</v>
      </c>
      <c r="J371" s="506">
        <f t="shared" si="10"/>
        <v>0</v>
      </c>
      <c r="K371" s="506">
        <f t="shared" si="10"/>
        <v>0</v>
      </c>
    </row>
    <row r="372" spans="1:14" s="23" customFormat="1" x14ac:dyDescent="0.3">
      <c r="A372" s="3" t="str">
        <f>IF(AND(I372=0,J372=0,K372=0),"Do Not Print","Print")</f>
        <v>Do Not Print</v>
      </c>
      <c r="B372" s="585"/>
      <c r="C372" s="585"/>
      <c r="D372" s="2070" t="s">
        <v>773</v>
      </c>
      <c r="E372" s="2071"/>
      <c r="F372" s="2071"/>
      <c r="G372" s="2071"/>
      <c r="H372" s="2072"/>
      <c r="I372" s="506">
        <f t="shared" si="10"/>
        <v>0</v>
      </c>
      <c r="J372" s="506">
        <f t="shared" si="10"/>
        <v>0</v>
      </c>
      <c r="K372" s="506">
        <f t="shared" si="10"/>
        <v>0</v>
      </c>
    </row>
    <row r="373" spans="1:14" s="23" customFormat="1" x14ac:dyDescent="0.3">
      <c r="A373" s="3" t="str">
        <f>IF(A372="Print","Print","Do Not Print")</f>
        <v>Do Not Print</v>
      </c>
      <c r="B373" s="585"/>
      <c r="C373" s="585"/>
      <c r="D373" s="1969"/>
      <c r="E373" s="1969"/>
      <c r="F373" s="1969"/>
      <c r="G373" s="1969"/>
      <c r="H373" s="1969"/>
      <c r="I373" s="1969"/>
      <c r="J373" s="1969"/>
      <c r="K373" s="1969"/>
    </row>
    <row r="374" spans="1:14" s="23" customFormat="1" ht="13.5" customHeight="1" x14ac:dyDescent="0.3">
      <c r="A374" s="3" t="str">
        <f>IF(OR(A375="Print",A377="Print",A404="Print"),"Print","Do Not Print")</f>
        <v>Print</v>
      </c>
      <c r="B374" s="585"/>
      <c r="C374" s="585" t="str">
        <f>Checklist!E182</f>
        <v>e</v>
      </c>
      <c r="D374" s="1726" t="s">
        <v>314</v>
      </c>
      <c r="E374" s="1726"/>
      <c r="F374" s="1726"/>
      <c r="G374" s="1726"/>
      <c r="H374" s="1726"/>
      <c r="I374" s="1726"/>
      <c r="J374" s="1726"/>
      <c r="K374" s="1726"/>
    </row>
    <row r="375" spans="1:14" s="23" customFormat="1" ht="67.5" customHeight="1" x14ac:dyDescent="0.3">
      <c r="A375" s="3" t="str">
        <f>IF('GROUP Non TB - Group Acc notes'!F77=1,"Print","Do Not Print")</f>
        <v>Print</v>
      </c>
      <c r="B375" s="585"/>
      <c r="C375" s="585"/>
      <c r="D375" s="1513" t="str">
        <f>IF('GROUP Non TB - Group Acc notes'!F77=1,'GROUP Non TB - Group Acc notes'!H77,"")</f>
        <v>Liabilities have been assessed on an actuarial basis using the projected unit method, an estimate of the pensions that will be payable in the future years dependent on assumptions about mortality rates, salary levels, etc. The Group's Fund liabilities have been assessed by Hymans Robertson LLP, an independent firm of actuaries, estimates for the Group Fund being based on data pertaining to the latest full valuation of the scheme as at 31 March 20XX</v>
      </c>
      <c r="E375" s="1513"/>
      <c r="F375" s="1513"/>
      <c r="G375" s="1513"/>
      <c r="H375" s="1513"/>
      <c r="I375" s="1513"/>
      <c r="J375" s="1513"/>
      <c r="K375" s="1513"/>
    </row>
    <row r="376" spans="1:14" s="23" customFormat="1" x14ac:dyDescent="0.3">
      <c r="A376" s="3" t="str">
        <f>IF(A375="Print","Print","Do Not Print")</f>
        <v>Print</v>
      </c>
      <c r="B376" s="585"/>
      <c r="C376" s="585"/>
      <c r="D376" s="1500"/>
      <c r="E376" s="1500"/>
      <c r="F376" s="1500"/>
      <c r="G376" s="1500"/>
      <c r="H376" s="1500"/>
      <c r="I376" s="1500"/>
      <c r="J376" s="1500"/>
      <c r="K376" s="1500"/>
    </row>
    <row r="377" spans="1:14" s="23" customFormat="1" x14ac:dyDescent="0.3">
      <c r="A377" s="3" t="str">
        <f>IF(OR(A379="Print",A380="Print",A381="Print",A382="Print",A385="Print",A390="Print",A394="Print",A400="Print"),"Print","Do Not Print")</f>
        <v>Do Not Print</v>
      </c>
      <c r="B377" s="585"/>
      <c r="C377" s="585"/>
      <c r="D377" s="479" t="s">
        <v>774</v>
      </c>
      <c r="E377" s="474"/>
      <c r="F377" s="474"/>
      <c r="G377" s="474"/>
      <c r="H377" s="604"/>
      <c r="I377" s="474"/>
      <c r="J377" s="717" t="str">
        <f>J228</f>
        <v>2025/26</v>
      </c>
      <c r="K377" s="717" t="str">
        <f>K228</f>
        <v>2024/25</v>
      </c>
      <c r="L377" s="27"/>
    </row>
    <row r="378" spans="1:14" s="23" customFormat="1" x14ac:dyDescent="0.3">
      <c r="A378" s="3" t="str">
        <f>IF(A377="Print","Print","Do Not Print")</f>
        <v>Do Not Print</v>
      </c>
      <c r="B378" s="585"/>
      <c r="C378" s="585"/>
      <c r="D378" s="474"/>
      <c r="E378" s="474"/>
      <c r="F378" s="474"/>
      <c r="G378" s="474"/>
      <c r="H378" s="486"/>
      <c r="I378" s="474"/>
      <c r="J378" s="474" t="s">
        <v>768</v>
      </c>
      <c r="K378" s="474" t="s">
        <v>768</v>
      </c>
    </row>
    <row r="379" spans="1:14" s="23" customFormat="1" x14ac:dyDescent="0.3">
      <c r="A379" s="3" t="str">
        <f>IF(AND(J379=0,K379=0),"Do Not Print","Print")</f>
        <v>Do Not Print</v>
      </c>
      <c r="B379" s="585"/>
      <c r="C379" s="585"/>
      <c r="D379" s="2012" t="s">
        <v>506</v>
      </c>
      <c r="E379" s="2012"/>
      <c r="F379" s="2012"/>
      <c r="G379" s="2012"/>
      <c r="H379" s="2012"/>
      <c r="I379" s="2012"/>
      <c r="J379" s="625">
        <f>'GROUP Non TB - Group Acc notes'!H78</f>
        <v>0</v>
      </c>
      <c r="K379" s="625">
        <f>'GROUP Non TB - Group Acc notes'!I78</f>
        <v>0</v>
      </c>
      <c r="N379" s="3"/>
    </row>
    <row r="380" spans="1:14" s="23" customFormat="1" x14ac:dyDescent="0.3">
      <c r="A380" s="3" t="str">
        <f>IF(AND(J380=0,K380=0),"Do Not Print","Print")</f>
        <v>Do Not Print</v>
      </c>
      <c r="B380" s="585"/>
      <c r="C380" s="585"/>
      <c r="D380" s="2012" t="s">
        <v>507</v>
      </c>
      <c r="E380" s="2012"/>
      <c r="F380" s="2012"/>
      <c r="G380" s="2012"/>
      <c r="H380" s="2012"/>
      <c r="I380" s="2012"/>
      <c r="J380" s="625">
        <f>'GROUP Non TB - Group Acc notes'!H79</f>
        <v>0</v>
      </c>
      <c r="K380" s="625">
        <f>'GROUP Non TB - Group Acc notes'!I79</f>
        <v>0</v>
      </c>
    </row>
    <row r="381" spans="1:14" s="23" customFormat="1" x14ac:dyDescent="0.3">
      <c r="A381" s="3" t="str">
        <f>IF(AND(J381=0,K381=0),"Do Not Print","Print")</f>
        <v>Do Not Print</v>
      </c>
      <c r="B381" s="585"/>
      <c r="C381" s="585"/>
      <c r="D381" s="2012" t="s">
        <v>508</v>
      </c>
      <c r="E381" s="2012"/>
      <c r="F381" s="2012"/>
      <c r="G381" s="2012"/>
      <c r="H381" s="2012"/>
      <c r="I381" s="2012"/>
      <c r="J381" s="625">
        <f>'GROUP Non TB - Group Acc notes'!H80</f>
        <v>0</v>
      </c>
      <c r="K381" s="625">
        <f>'GROUP Non TB - Group Acc notes'!I80</f>
        <v>0</v>
      </c>
    </row>
    <row r="382" spans="1:14" s="23" customFormat="1" x14ac:dyDescent="0.3">
      <c r="A382" s="3" t="str">
        <f>IF(AND(J382=0,K382=0),"Do Not Print","Print")</f>
        <v>Do Not Print</v>
      </c>
      <c r="B382" s="585"/>
      <c r="C382" s="585"/>
      <c r="D382" s="2012" t="s">
        <v>509</v>
      </c>
      <c r="E382" s="2012"/>
      <c r="F382" s="2012"/>
      <c r="G382" s="2012"/>
      <c r="H382" s="2012"/>
      <c r="I382" s="2012"/>
      <c r="J382" s="625">
        <f>'GROUP Non TB - Group Acc notes'!H81</f>
        <v>0</v>
      </c>
      <c r="K382" s="625">
        <f>'GROUP Non TB - Group Acc notes'!I81</f>
        <v>0</v>
      </c>
    </row>
    <row r="383" spans="1:14" s="23" customFormat="1" x14ac:dyDescent="0.3">
      <c r="A383" s="3" t="str">
        <f>IF(A382="Print","Print","Do Not Print")</f>
        <v>Do Not Print</v>
      </c>
      <c r="B383" s="585"/>
      <c r="C383" s="585"/>
      <c r="D383" s="2012" t="s">
        <v>373</v>
      </c>
      <c r="E383" s="2012"/>
      <c r="F383" s="2012"/>
      <c r="G383" s="2012"/>
      <c r="H383" s="2012"/>
      <c r="I383" s="2012"/>
      <c r="J383" s="625">
        <f>'GROUP Non TB - Group Acc notes'!H82</f>
        <v>0</v>
      </c>
      <c r="K383" s="625">
        <f>'GROUP Non TB - Group Acc notes'!I82</f>
        <v>0</v>
      </c>
    </row>
    <row r="384" spans="1:14" s="23" customFormat="1" x14ac:dyDescent="0.3">
      <c r="A384" s="3" t="str">
        <f>IF(A377="Print","Print","Do Not Print")</f>
        <v>Do Not Print</v>
      </c>
      <c r="B384" s="585"/>
      <c r="C384" s="585"/>
      <c r="D384" s="2012"/>
      <c r="E384" s="2012"/>
      <c r="F384" s="2012"/>
      <c r="G384" s="2012"/>
      <c r="H384" s="2012"/>
      <c r="I384" s="2012"/>
      <c r="J384" s="610"/>
      <c r="K384" s="610"/>
    </row>
    <row r="385" spans="1:14" s="23" customFormat="1" x14ac:dyDescent="0.3">
      <c r="A385" s="3" t="str">
        <f>IF(OR(A387="Print",A388="Print"),"Print","Do Not Print")</f>
        <v>Do Not Print</v>
      </c>
      <c r="B385" s="585"/>
      <c r="C385" s="585"/>
      <c r="D385" s="2073" t="s">
        <v>775</v>
      </c>
      <c r="E385" s="2073"/>
      <c r="F385" s="2073"/>
      <c r="G385" s="2073"/>
      <c r="H385" s="2073"/>
      <c r="I385" s="2073"/>
      <c r="J385" s="610"/>
      <c r="K385" s="610"/>
    </row>
    <row r="386" spans="1:14" s="23" customFormat="1" x14ac:dyDescent="0.3">
      <c r="A386" s="3" t="str">
        <f>IF(A385="Print","Print","Do Not Print")</f>
        <v>Do Not Print</v>
      </c>
      <c r="B386" s="585"/>
      <c r="C386" s="585"/>
      <c r="D386" s="2075" t="s">
        <v>776</v>
      </c>
      <c r="E386" s="2075"/>
      <c r="F386" s="2075"/>
      <c r="G386" s="2075"/>
      <c r="H386" s="2075"/>
      <c r="I386" s="2075"/>
      <c r="J386" s="610" t="s">
        <v>1460</v>
      </c>
      <c r="K386" s="610" t="s">
        <v>1460</v>
      </c>
    </row>
    <row r="387" spans="1:14" s="23" customFormat="1" x14ac:dyDescent="0.3">
      <c r="A387" s="3" t="str">
        <f>IF(AND(J387=0,K387=0),"Do Not Print","Print")</f>
        <v>Do Not Print</v>
      </c>
      <c r="B387" s="585"/>
      <c r="C387" s="585"/>
      <c r="D387" s="2012" t="s">
        <v>777</v>
      </c>
      <c r="E387" s="2012"/>
      <c r="F387" s="2012"/>
      <c r="G387" s="2012"/>
      <c r="H387" s="2012"/>
      <c r="I387" s="2012"/>
      <c r="J387" s="713">
        <f>'GROUP Non TB - Group Acc notes'!H83</f>
        <v>0</v>
      </c>
      <c r="K387" s="713">
        <f>'GROUP Non TB - Group Acc notes'!I83</f>
        <v>0</v>
      </c>
    </row>
    <row r="388" spans="1:14" s="23" customFormat="1" x14ac:dyDescent="0.3">
      <c r="A388" s="3" t="str">
        <f>IF(AND(J388=0,K388=0),"Do Not Print","Print")</f>
        <v>Do Not Print</v>
      </c>
      <c r="B388" s="585"/>
      <c r="C388" s="585"/>
      <c r="D388" s="2012" t="s">
        <v>778</v>
      </c>
      <c r="E388" s="2012"/>
      <c r="F388" s="2012"/>
      <c r="G388" s="2012"/>
      <c r="H388" s="2012"/>
      <c r="I388" s="2012"/>
      <c r="J388" s="713">
        <f>'GROUP Non TB - Group Acc notes'!H84</f>
        <v>0</v>
      </c>
      <c r="K388" s="713">
        <f>'GROUP Non TB - Group Acc notes'!I84</f>
        <v>0</v>
      </c>
    </row>
    <row r="389" spans="1:14" s="23" customFormat="1" x14ac:dyDescent="0.3">
      <c r="A389" s="3" t="str">
        <f>IF(A388="Print","Print","Do Not Print")</f>
        <v>Do Not Print</v>
      </c>
      <c r="B389" s="585"/>
      <c r="C389" s="585"/>
      <c r="D389" s="2012"/>
      <c r="E389" s="2012"/>
      <c r="F389" s="2012"/>
      <c r="G389" s="2012"/>
      <c r="H389" s="2012"/>
      <c r="I389" s="2012"/>
      <c r="J389" s="610"/>
      <c r="K389" s="610"/>
    </row>
    <row r="390" spans="1:14" s="23" customFormat="1" x14ac:dyDescent="0.3">
      <c r="A390" s="3" t="str">
        <f>IF(OR(A391="Print",A392="Print"),"Print","Do Not Print")</f>
        <v>Do Not Print</v>
      </c>
      <c r="B390" s="585"/>
      <c r="C390" s="585"/>
      <c r="D390" s="2075" t="s">
        <v>779</v>
      </c>
      <c r="E390" s="2075"/>
      <c r="F390" s="2075"/>
      <c r="G390" s="2075"/>
      <c r="H390" s="2075"/>
      <c r="I390" s="2075"/>
      <c r="J390" s="610"/>
      <c r="K390" s="610"/>
    </row>
    <row r="391" spans="1:14" s="23" customFormat="1" x14ac:dyDescent="0.3">
      <c r="A391" s="3" t="str">
        <f>IF(AND(J391=0,K391=0),"Do Not Print","Print")</f>
        <v>Do Not Print</v>
      </c>
      <c r="B391" s="585"/>
      <c r="C391" s="585"/>
      <c r="D391" s="2012" t="s">
        <v>777</v>
      </c>
      <c r="E391" s="2012"/>
      <c r="F391" s="2012"/>
      <c r="G391" s="2012"/>
      <c r="H391" s="2012"/>
      <c r="I391" s="2012"/>
      <c r="J391" s="713">
        <f>'GROUP Non TB - Group Acc notes'!H85</f>
        <v>0</v>
      </c>
      <c r="K391" s="713">
        <f>'GROUP Non TB - Group Acc notes'!I85</f>
        <v>0</v>
      </c>
    </row>
    <row r="392" spans="1:14" s="23" customFormat="1" x14ac:dyDescent="0.3">
      <c r="A392" s="3" t="str">
        <f>IF(AND(J392=0,K392=0),"Do Not Print","Print")</f>
        <v>Do Not Print</v>
      </c>
      <c r="B392" s="585"/>
      <c r="C392" s="585"/>
      <c r="D392" s="2012" t="s">
        <v>778</v>
      </c>
      <c r="E392" s="2012"/>
      <c r="F392" s="2012"/>
      <c r="G392" s="2012"/>
      <c r="H392" s="2012"/>
      <c r="I392" s="2012"/>
      <c r="J392" s="713">
        <f>'GROUP Non TB - Group Acc notes'!H86</f>
        <v>0</v>
      </c>
      <c r="K392" s="713">
        <f>'GROUP Non TB - Group Acc notes'!I86</f>
        <v>0</v>
      </c>
    </row>
    <row r="393" spans="1:14" s="23" customFormat="1" x14ac:dyDescent="0.3">
      <c r="A393" s="3" t="str">
        <f>IF(A392="Print","Print","Do Not Print")</f>
        <v>Do Not Print</v>
      </c>
      <c r="B393" s="585"/>
      <c r="C393" s="585"/>
      <c r="D393" s="2012"/>
      <c r="E393" s="2012"/>
      <c r="F393" s="2012"/>
      <c r="G393" s="2012"/>
      <c r="H393" s="2012"/>
      <c r="I393" s="2012"/>
      <c r="J393" s="610"/>
      <c r="K393" s="610"/>
    </row>
    <row r="394" spans="1:14" s="23" customFormat="1" x14ac:dyDescent="0.3">
      <c r="A394" s="3" t="str">
        <f>IF(AND(J394=0,K394=0),"Do Not Print","Print")</f>
        <v>Do Not Print</v>
      </c>
      <c r="B394" s="585"/>
      <c r="C394" s="585"/>
      <c r="D394" s="2012" t="s">
        <v>780</v>
      </c>
      <c r="E394" s="2012"/>
      <c r="F394" s="2012"/>
      <c r="G394" s="2012"/>
      <c r="H394" s="2012"/>
      <c r="I394" s="2012"/>
      <c r="J394" s="626">
        <f>'GROUP Non TB - Group Acc notes'!H87</f>
        <v>0</v>
      </c>
      <c r="K394" s="626">
        <f>'GROUP Non TB - Group Acc notes'!I87</f>
        <v>0</v>
      </c>
    </row>
    <row r="395" spans="1:14" s="23" customFormat="1" x14ac:dyDescent="0.3">
      <c r="A395" s="3" t="str">
        <f>IF(AND(J395=0,K395=0),"Do Not Print","Print")</f>
        <v>Do Not Print</v>
      </c>
      <c r="B395" s="585"/>
      <c r="C395" s="585"/>
      <c r="D395" s="2012" t="s">
        <v>781</v>
      </c>
      <c r="E395" s="2012"/>
      <c r="F395" s="2012"/>
      <c r="G395" s="2012"/>
      <c r="H395" s="2012"/>
      <c r="I395" s="2012"/>
      <c r="J395" s="626">
        <f>'GROUP Non TB - Group Acc notes'!H88</f>
        <v>0</v>
      </c>
      <c r="K395" s="626">
        <f>'GROUP Non TB - Group Acc notes'!I88</f>
        <v>0</v>
      </c>
    </row>
    <row r="396" spans="1:14" s="23" customFormat="1" x14ac:dyDescent="0.3">
      <c r="A396" s="3" t="str">
        <f>IF(AND(J396=0,K396=0),"Do Not Print","Print")</f>
        <v>Do Not Print</v>
      </c>
      <c r="B396" s="585"/>
      <c r="C396" s="585"/>
      <c r="D396" s="2012" t="s">
        <v>782</v>
      </c>
      <c r="E396" s="2012"/>
      <c r="F396" s="2012"/>
      <c r="G396" s="2012"/>
      <c r="H396" s="2012"/>
      <c r="I396" s="2012"/>
      <c r="J396" s="626">
        <f>'GROUP Non TB - Group Acc notes'!H89</f>
        <v>0</v>
      </c>
      <c r="K396" s="626">
        <f>'GROUP Non TB - Group Acc notes'!I89</f>
        <v>0</v>
      </c>
    </row>
    <row r="397" spans="1:14" s="23" customFormat="1" x14ac:dyDescent="0.3">
      <c r="A397" s="3" t="str">
        <f>IF(AND(J397=0,K397=0),"Do Not Print","Print")</f>
        <v>Do Not Print</v>
      </c>
      <c r="B397" s="585"/>
      <c r="C397" s="585"/>
      <c r="D397" s="2012" t="s">
        <v>783</v>
      </c>
      <c r="E397" s="2012"/>
      <c r="F397" s="2012"/>
      <c r="G397" s="2012"/>
      <c r="H397" s="2012"/>
      <c r="I397" s="2012"/>
      <c r="J397" s="626">
        <f>'GROUP Non TB - Group Acc notes'!H90</f>
        <v>0</v>
      </c>
      <c r="K397" s="626">
        <f>'GROUP Non TB - Group Acc notes'!I90</f>
        <v>0</v>
      </c>
      <c r="N397" s="3"/>
    </row>
    <row r="398" spans="1:14" s="23" customFormat="1" x14ac:dyDescent="0.3">
      <c r="A398" s="3" t="str">
        <f>IF(A397="Print","Print","Do Not Print")</f>
        <v>Do Not Print</v>
      </c>
      <c r="B398" s="585"/>
      <c r="C398" s="585"/>
      <c r="D398" s="2012" t="s">
        <v>1587</v>
      </c>
      <c r="E398" s="2012"/>
      <c r="F398" s="2012"/>
      <c r="G398" s="2012"/>
      <c r="H398" s="2012"/>
      <c r="I398" s="2012"/>
      <c r="J398" s="626">
        <f>'GROUP Non TB - Group Acc notes'!H91</f>
        <v>0</v>
      </c>
      <c r="K398" s="626">
        <f>'GROUP Non TB - Group Acc notes'!I91</f>
        <v>0</v>
      </c>
    </row>
    <row r="399" spans="1:14" s="23" customFormat="1" x14ac:dyDescent="0.3">
      <c r="A399" s="3" t="str">
        <f>IF(A377="Print","Print","Do Not Print")</f>
        <v>Do Not Print</v>
      </c>
      <c r="B399" s="585"/>
      <c r="C399" s="585"/>
      <c r="D399" s="2012"/>
      <c r="E399" s="2012"/>
      <c r="F399" s="2012"/>
      <c r="G399" s="2012"/>
      <c r="H399" s="2012"/>
      <c r="I399" s="2012"/>
      <c r="J399" s="610"/>
      <c r="K399" s="610"/>
    </row>
    <row r="400" spans="1:14" s="23" customFormat="1" x14ac:dyDescent="0.3">
      <c r="A400" s="3" t="str">
        <f>IF(OR(A401="Print",A402="Print"),"Print","Do Not Print")</f>
        <v>Do Not Print</v>
      </c>
      <c r="B400" s="585"/>
      <c r="C400" s="585"/>
      <c r="D400" s="2074" t="s">
        <v>784</v>
      </c>
      <c r="E400" s="2074"/>
      <c r="F400" s="2074"/>
      <c r="G400" s="2074"/>
      <c r="H400" s="2074"/>
      <c r="I400" s="2074"/>
      <c r="J400" s="610"/>
      <c r="K400" s="610"/>
    </row>
    <row r="401" spans="1:11" s="23" customFormat="1" x14ac:dyDescent="0.3">
      <c r="A401" s="3" t="str">
        <f>IF(AND(J401=0,K401=0),"Do Not Print","Print")</f>
        <v>Do Not Print</v>
      </c>
      <c r="B401" s="585"/>
      <c r="C401" s="585"/>
      <c r="D401" s="2012" t="s">
        <v>785</v>
      </c>
      <c r="E401" s="2012"/>
      <c r="F401" s="2012"/>
      <c r="G401" s="2012"/>
      <c r="H401" s="2012"/>
      <c r="I401" s="2012"/>
      <c r="J401" s="627">
        <f>'GROUP Non TB - Group Acc notes'!H92</f>
        <v>0</v>
      </c>
      <c r="K401" s="627">
        <f>'GROUP Non TB - Group Acc notes'!I92</f>
        <v>0</v>
      </c>
    </row>
    <row r="402" spans="1:11" s="23" customFormat="1" x14ac:dyDescent="0.3">
      <c r="A402" s="3" t="str">
        <f>IF(AND(J402=0,K402=0),"Do Not Print","Print")</f>
        <v>Do Not Print</v>
      </c>
      <c r="B402" s="585"/>
      <c r="C402" s="585"/>
      <c r="D402" s="2012" t="s">
        <v>786</v>
      </c>
      <c r="E402" s="2012"/>
      <c r="F402" s="2012"/>
      <c r="G402" s="2012"/>
      <c r="H402" s="2012"/>
      <c r="I402" s="2012"/>
      <c r="J402" s="627">
        <f>'GROUP Non TB - Group Acc notes'!H93</f>
        <v>0</v>
      </c>
      <c r="K402" s="627">
        <f>'GROUP Non TB - Group Acc notes'!I93</f>
        <v>0</v>
      </c>
    </row>
    <row r="403" spans="1:11" s="23" customFormat="1" x14ac:dyDescent="0.3">
      <c r="A403" s="3" t="str">
        <f>IF(A402="Print","Print","Do Not Print")</f>
        <v>Do Not Print</v>
      </c>
      <c r="B403" s="585"/>
      <c r="C403" s="585"/>
      <c r="D403" s="1500"/>
      <c r="E403" s="1500"/>
      <c r="F403" s="1500"/>
      <c r="G403" s="1500"/>
      <c r="H403" s="1500"/>
      <c r="I403" s="1500"/>
      <c r="J403" s="1500"/>
      <c r="K403" s="1500"/>
    </row>
    <row r="404" spans="1:11" s="23" customFormat="1" x14ac:dyDescent="0.3">
      <c r="A404" s="3" t="str">
        <f>IF(OR(A406="Print",A408="Print",A410="Print"),"Print","Do Not Print")</f>
        <v>Print</v>
      </c>
      <c r="B404" s="585"/>
      <c r="C404" s="585"/>
      <c r="D404" s="1538" t="s">
        <v>1441</v>
      </c>
      <c r="E404" s="1538"/>
      <c r="F404" s="1538"/>
      <c r="G404" s="1538"/>
      <c r="H404" s="1538"/>
      <c r="I404" s="1538"/>
      <c r="J404" s="1538"/>
      <c r="K404" s="1538"/>
    </row>
    <row r="405" spans="1:11" s="23" customFormat="1" x14ac:dyDescent="0.3">
      <c r="A405" s="3" t="str">
        <f>IF(A404="Print","Print","Do Not Print")</f>
        <v>Print</v>
      </c>
      <c r="B405" s="585"/>
      <c r="C405" s="585"/>
      <c r="D405" s="1500"/>
      <c r="E405" s="1500"/>
      <c r="F405" s="1500"/>
      <c r="G405" s="1500"/>
      <c r="H405" s="1500"/>
      <c r="I405" s="1500"/>
      <c r="J405" s="1500"/>
      <c r="K405" s="1500"/>
    </row>
    <row r="406" spans="1:11" s="23" customFormat="1" ht="17.55" customHeight="1" x14ac:dyDescent="0.3">
      <c r="A406" s="3" t="str">
        <f>IF('GROUP Non TB - Group Acc notes'!F94=1,"Print","Do Not Print")</f>
        <v>Print</v>
      </c>
      <c r="B406" s="585"/>
      <c r="C406" s="585"/>
      <c r="D406" s="1501" t="str">
        <f>IF('GROUP Non TB - Group Acc notes'!F94=1,'GROUP Non TB - Group Acc notes'!H94,"")</f>
        <v>The pension figures disclosed in these financial statements are sensitive to the assumptions used.</v>
      </c>
      <c r="E406" s="1501"/>
      <c r="F406" s="1501"/>
      <c r="G406" s="1501"/>
      <c r="H406" s="1501"/>
      <c r="I406" s="1501"/>
      <c r="J406" s="1501"/>
      <c r="K406" s="1501"/>
    </row>
    <row r="407" spans="1:11" s="23" customFormat="1" x14ac:dyDescent="0.3">
      <c r="A407" s="3" t="str">
        <f>IF(A406="Print","Print","Do Not Print")</f>
        <v>Print</v>
      </c>
      <c r="B407" s="585"/>
      <c r="C407" s="585"/>
      <c r="D407" s="1500"/>
      <c r="E407" s="1500"/>
      <c r="F407" s="1500"/>
      <c r="G407" s="1500"/>
      <c r="H407" s="1500"/>
      <c r="I407" s="1500"/>
      <c r="J407" s="1500"/>
      <c r="K407" s="1500"/>
    </row>
    <row r="408" spans="1:11" s="23" customFormat="1" ht="30.6" customHeight="1" x14ac:dyDescent="0.3">
      <c r="A408" s="3" t="str">
        <f>IF('GROUP Non TB - Group Acc notes'!F95=1,"Print","Do Not Print")</f>
        <v>Print</v>
      </c>
      <c r="B408" s="585"/>
      <c r="C408" s="585"/>
      <c r="D408" s="1506" t="str">
        <f>IF('GROUP Non TB - Group Acc notes'!F95=1,'GROUP Non TB - Group Acc notes'!H95,"")</f>
        <v>The approximate impact of changing key assumptions on the present value of the funded defined benefit obligation as at 31 March 2026 is set out below.</v>
      </c>
      <c r="E408" s="1506"/>
      <c r="F408" s="1506"/>
      <c r="G408" s="1506"/>
      <c r="H408" s="1506"/>
      <c r="I408" s="1506"/>
      <c r="J408" s="1506"/>
      <c r="K408" s="1506"/>
    </row>
    <row r="409" spans="1:11" s="23" customFormat="1" x14ac:dyDescent="0.3">
      <c r="A409" s="3" t="str">
        <f>IF(A408="Print","Print","Do Not Print")</f>
        <v>Print</v>
      </c>
      <c r="B409" s="585"/>
      <c r="C409" s="585"/>
      <c r="D409" s="1500"/>
      <c r="E409" s="1500"/>
      <c r="F409" s="1500"/>
      <c r="G409" s="1500"/>
      <c r="H409" s="1500"/>
      <c r="I409" s="1500"/>
      <c r="J409" s="1500"/>
      <c r="K409" s="1500"/>
    </row>
    <row r="410" spans="1:11" s="23" customFormat="1" ht="29.1" customHeight="1" x14ac:dyDescent="0.3">
      <c r="A410" s="3" t="str">
        <f>IF('GROUP Non TB - Group Acc notes'!F96=1,"Print","Do Not Print")</f>
        <v>Print</v>
      </c>
      <c r="B410" s="585"/>
      <c r="C410" s="585"/>
      <c r="D410" s="1506" t="str">
        <f>IF('GROUP Non TB - Group Acc notes'!F96=1,'GROUP Non TB - Group Acc notes'!H96,"")</f>
        <v>In each case, only the assumption noted below is altered; all other assumptions remain the same and are summarised in the disclosure above.</v>
      </c>
      <c r="E410" s="1506"/>
      <c r="F410" s="1506"/>
      <c r="G410" s="1506"/>
      <c r="H410" s="1506"/>
      <c r="I410" s="1506"/>
      <c r="J410" s="1506"/>
      <c r="K410" s="1506"/>
    </row>
    <row r="411" spans="1:11" s="23" customFormat="1" x14ac:dyDescent="0.3">
      <c r="A411" s="3" t="str">
        <f>IF(A410="Print","Print","Do Not Print")</f>
        <v>Print</v>
      </c>
      <c r="B411" s="585"/>
      <c r="C411" s="585"/>
      <c r="D411" s="1500"/>
      <c r="E411" s="1500"/>
      <c r="F411" s="1500"/>
      <c r="G411" s="1500"/>
      <c r="H411" s="1500"/>
      <c r="I411" s="1500"/>
      <c r="J411" s="1500"/>
      <c r="K411" s="1500"/>
    </row>
    <row r="412" spans="1:11" s="23" customFormat="1" x14ac:dyDescent="0.3">
      <c r="A412" s="3" t="str">
        <f>IF(OR(A414="Print",A422="Print",A430="Print",A438="Print"),"Print","Do Not Print")</f>
        <v>Print</v>
      </c>
      <c r="B412" s="585"/>
      <c r="C412" s="585"/>
      <c r="D412" s="1967" t="s">
        <v>1444</v>
      </c>
      <c r="E412" s="1967"/>
      <c r="F412" s="1967"/>
      <c r="G412" s="1967"/>
      <c r="H412" s="1967"/>
      <c r="I412" s="1967"/>
      <c r="J412" s="1967"/>
      <c r="K412" s="1967"/>
    </row>
    <row r="413" spans="1:11" s="23" customFormat="1" x14ac:dyDescent="0.3">
      <c r="A413" s="3" t="str">
        <f>IF(A412="Print","Print","Do Not Print")</f>
        <v>Print</v>
      </c>
      <c r="B413" s="585"/>
      <c r="C413" s="585"/>
      <c r="D413" s="1500"/>
      <c r="E413" s="1500"/>
      <c r="F413" s="1500"/>
      <c r="G413" s="1500"/>
      <c r="H413" s="1500"/>
      <c r="I413" s="1500"/>
      <c r="J413" s="1500"/>
      <c r="K413" s="1500"/>
    </row>
    <row r="414" spans="1:11" s="23" customFormat="1" x14ac:dyDescent="0.3">
      <c r="A414" s="3" t="str">
        <f>IF(OR(A416="Print",A417="Print",A418="Print",A419="Print",A420="Print"),"Print","Do Not Print")</f>
        <v>Print</v>
      </c>
      <c r="B414" s="585"/>
      <c r="C414" s="585"/>
      <c r="D414" s="2073" t="s">
        <v>1461</v>
      </c>
      <c r="E414" s="2073"/>
      <c r="F414" s="2073"/>
      <c r="G414" s="2073"/>
      <c r="H414" s="2073"/>
      <c r="I414" s="2073"/>
      <c r="J414" s="2073"/>
      <c r="K414" s="2073"/>
    </row>
    <row r="415" spans="1:11" s="23" customFormat="1" x14ac:dyDescent="0.3">
      <c r="A415" s="3" t="str">
        <f>IF(A414="Print","Print","Do Not Print")</f>
        <v>Print</v>
      </c>
      <c r="B415" s="585"/>
      <c r="C415" s="585"/>
      <c r="D415" s="2012"/>
      <c r="E415" s="2012"/>
      <c r="F415" s="2012"/>
      <c r="G415" s="2012"/>
      <c r="H415" s="2012"/>
      <c r="I415" s="2012"/>
      <c r="J415" s="2012"/>
      <c r="K415" s="2012"/>
    </row>
    <row r="416" spans="1:11" s="23" customFormat="1" x14ac:dyDescent="0.3">
      <c r="A416" s="3" t="str">
        <f>IF(AND(J416=0,K416=0),"Do Not Print","Print")</f>
        <v>Print</v>
      </c>
      <c r="B416" s="585"/>
      <c r="C416" s="585"/>
      <c r="D416" s="2012" t="s">
        <v>1445</v>
      </c>
      <c r="E416" s="2012"/>
      <c r="F416" s="2012"/>
      <c r="G416" s="2012"/>
      <c r="H416" s="2012"/>
      <c r="I416" s="2012"/>
      <c r="J416" s="628" t="str">
        <f>'GROUP Non TB - Group Acc notes'!H97</f>
        <v>+0.1%p.a.</v>
      </c>
      <c r="K416" s="628" t="str">
        <f>'GROUP Non TB - Group Acc notes'!I97</f>
        <v>-0.1%p.a.</v>
      </c>
    </row>
    <row r="417" spans="1:11" s="23" customFormat="1" x14ac:dyDescent="0.3">
      <c r="A417" s="3" t="str">
        <f>IF(AND(J417=0,K417=0),"Do Not Print","Print")</f>
        <v>Do Not Print</v>
      </c>
      <c r="B417" s="585"/>
      <c r="C417" s="585"/>
      <c r="D417" s="2012" t="s">
        <v>1447</v>
      </c>
      <c r="E417" s="2012"/>
      <c r="F417" s="2012"/>
      <c r="G417" s="2012"/>
      <c r="H417" s="2012"/>
      <c r="I417" s="2012"/>
      <c r="J417" s="629">
        <f>'GROUP Non TB - Group Acc notes'!H98</f>
        <v>0</v>
      </c>
      <c r="K417" s="629">
        <f>'GROUP Non TB - Group Acc notes'!I98</f>
        <v>0</v>
      </c>
    </row>
    <row r="418" spans="1:11" s="23" customFormat="1" x14ac:dyDescent="0.3">
      <c r="A418" s="3" t="str">
        <f>IF(AND(J418=0,K418=0),"Do Not Print","Print")</f>
        <v>Do Not Print</v>
      </c>
      <c r="B418" s="585"/>
      <c r="C418" s="585"/>
      <c r="D418" s="2012" t="s">
        <v>1448</v>
      </c>
      <c r="E418" s="2012"/>
      <c r="F418" s="2012"/>
      <c r="G418" s="2012"/>
      <c r="H418" s="2012"/>
      <c r="I418" s="2012"/>
      <c r="J418" s="629">
        <f>'GROUP Non TB - Group Acc notes'!H99</f>
        <v>0</v>
      </c>
      <c r="K418" s="629">
        <f>'GROUP Non TB - Group Acc notes'!I99</f>
        <v>0</v>
      </c>
    </row>
    <row r="419" spans="1:11" s="23" customFormat="1" x14ac:dyDescent="0.3">
      <c r="A419" s="3" t="str">
        <f>IF(AND(J419=0,K419=0),"Do Not Print","Print")</f>
        <v>Do Not Print</v>
      </c>
      <c r="B419" s="585"/>
      <c r="C419" s="585"/>
      <c r="D419" s="2012" t="s">
        <v>1449</v>
      </c>
      <c r="E419" s="2012"/>
      <c r="F419" s="2012"/>
      <c r="G419" s="2012"/>
      <c r="H419" s="2012"/>
      <c r="I419" s="2012"/>
      <c r="J419" s="629">
        <f>'GROUP Non TB - Group Acc notes'!H100</f>
        <v>0</v>
      </c>
      <c r="K419" s="629">
        <f>'GROUP Non TB - Group Acc notes'!I100</f>
        <v>0</v>
      </c>
    </row>
    <row r="420" spans="1:11" s="23" customFormat="1" x14ac:dyDescent="0.3">
      <c r="A420" s="3" t="str">
        <f>IF(AND(J420=0,K420=0),"Do Not Print","Print")</f>
        <v>Do Not Print</v>
      </c>
      <c r="B420" s="585"/>
      <c r="C420" s="585"/>
      <c r="D420" s="2012" t="s">
        <v>1450</v>
      </c>
      <c r="E420" s="2012"/>
      <c r="F420" s="2012"/>
      <c r="G420" s="2012"/>
      <c r="H420" s="2012"/>
      <c r="I420" s="2012"/>
      <c r="J420" s="629">
        <f>'GROUP Non TB - Group Acc notes'!H101</f>
        <v>0</v>
      </c>
      <c r="K420" s="629">
        <f>'GROUP Non TB - Group Acc notes'!I101</f>
        <v>0</v>
      </c>
    </row>
    <row r="421" spans="1:11" s="23" customFormat="1" x14ac:dyDescent="0.3">
      <c r="A421" s="3" t="str">
        <f>IF(A420="Print","Print","Do Not Print")</f>
        <v>Do Not Print</v>
      </c>
      <c r="B421" s="585"/>
      <c r="C421" s="585"/>
      <c r="D421" s="2012"/>
      <c r="E421" s="2012"/>
      <c r="F421" s="2012"/>
      <c r="G421" s="2012"/>
      <c r="H421" s="2012"/>
      <c r="I421" s="2012"/>
      <c r="J421" s="610"/>
      <c r="K421" s="610"/>
    </row>
    <row r="422" spans="1:11" s="23" customFormat="1" x14ac:dyDescent="0.3">
      <c r="A422" s="3" t="str">
        <f>IF(OR(A424="Print",A425="Print",A426="Print",A427="Print",A428="Print"),"Print","Do Not Print")</f>
        <v>Print</v>
      </c>
      <c r="B422" s="585"/>
      <c r="C422" s="585"/>
      <c r="D422" s="2073" t="s">
        <v>1462</v>
      </c>
      <c r="E422" s="2073"/>
      <c r="F422" s="2073"/>
      <c r="G422" s="2073"/>
      <c r="H422" s="2073"/>
      <c r="I422" s="2073"/>
      <c r="J422" s="610"/>
      <c r="K422" s="610"/>
    </row>
    <row r="423" spans="1:11" s="23" customFormat="1" x14ac:dyDescent="0.3">
      <c r="A423" s="3" t="str">
        <f>IF(A422="Print","Print","Do Not Print")</f>
        <v>Print</v>
      </c>
      <c r="B423" s="585"/>
      <c r="C423" s="585"/>
      <c r="D423" s="2012"/>
      <c r="E423" s="2012"/>
      <c r="F423" s="2012"/>
      <c r="G423" s="2012"/>
      <c r="H423" s="2012"/>
      <c r="I423" s="2012"/>
      <c r="J423" s="610"/>
      <c r="K423" s="610"/>
    </row>
    <row r="424" spans="1:11" s="23" customFormat="1" x14ac:dyDescent="0.3">
      <c r="A424" s="3" t="str">
        <f>IF(AND(J424=0,K424=0),"Do Not Print","Print")</f>
        <v>Print</v>
      </c>
      <c r="B424" s="585"/>
      <c r="C424" s="585"/>
      <c r="D424" s="2012" t="s">
        <v>1452</v>
      </c>
      <c r="E424" s="2012"/>
      <c r="F424" s="2012"/>
      <c r="G424" s="2012"/>
      <c r="H424" s="2012"/>
      <c r="I424" s="2012"/>
      <c r="J424" s="628" t="str">
        <f>'GROUP Non TB - Group Acc notes'!H102</f>
        <v>+0.1%p.a.</v>
      </c>
      <c r="K424" s="628" t="str">
        <f>'GROUP Non TB - Group Acc notes'!I102</f>
        <v>-0.1%p.a.</v>
      </c>
    </row>
    <row r="425" spans="1:11" s="23" customFormat="1" x14ac:dyDescent="0.3">
      <c r="A425" s="3" t="str">
        <f>IF(AND(J425=0,K425=0),"Do Not Print","Print")</f>
        <v>Do Not Print</v>
      </c>
      <c r="B425" s="585"/>
      <c r="C425" s="585"/>
      <c r="D425" s="2012" t="s">
        <v>1447</v>
      </c>
      <c r="E425" s="2012"/>
      <c r="F425" s="2012"/>
      <c r="G425" s="2012"/>
      <c r="H425" s="2012"/>
      <c r="I425" s="2012"/>
      <c r="J425" s="630">
        <f>'GROUP Non TB - Group Acc notes'!H103</f>
        <v>0</v>
      </c>
      <c r="K425" s="630">
        <f>'GROUP Non TB - Group Acc notes'!I103</f>
        <v>0</v>
      </c>
    </row>
    <row r="426" spans="1:11" s="23" customFormat="1" x14ac:dyDescent="0.3">
      <c r="A426" s="3" t="str">
        <f>IF(AND(J426=0,K426=0),"Do Not Print","Print")</f>
        <v>Do Not Print</v>
      </c>
      <c r="B426" s="585"/>
      <c r="C426" s="585"/>
      <c r="D426" s="2012" t="s">
        <v>1448</v>
      </c>
      <c r="E426" s="2012"/>
      <c r="F426" s="2012"/>
      <c r="G426" s="2012"/>
      <c r="H426" s="2012"/>
      <c r="I426" s="2012"/>
      <c r="J426" s="630">
        <f>'GROUP Non TB - Group Acc notes'!H104</f>
        <v>0</v>
      </c>
      <c r="K426" s="630">
        <f>'GROUP Non TB - Group Acc notes'!I104</f>
        <v>0</v>
      </c>
    </row>
    <row r="427" spans="1:11" s="23" customFormat="1" x14ac:dyDescent="0.3">
      <c r="A427" s="3" t="str">
        <f>IF(AND(J427=0,K427=0),"Do Not Print","Print")</f>
        <v>Do Not Print</v>
      </c>
      <c r="B427" s="585"/>
      <c r="C427" s="585"/>
      <c r="D427" s="2012" t="s">
        <v>1449</v>
      </c>
      <c r="E427" s="2012"/>
      <c r="F427" s="2012"/>
      <c r="G427" s="2012"/>
      <c r="H427" s="2012"/>
      <c r="I427" s="2012"/>
      <c r="J427" s="630">
        <f>'GROUP Non TB - Group Acc notes'!H105</f>
        <v>0</v>
      </c>
      <c r="K427" s="630">
        <f>'GROUP Non TB - Group Acc notes'!I105</f>
        <v>0</v>
      </c>
    </row>
    <row r="428" spans="1:11" s="23" customFormat="1" x14ac:dyDescent="0.3">
      <c r="A428" s="3" t="str">
        <f>IF(AND(J428=0,K428=0),"Do Not Print","Print")</f>
        <v>Do Not Print</v>
      </c>
      <c r="B428" s="585"/>
      <c r="C428" s="585"/>
      <c r="D428" s="2012" t="s">
        <v>1450</v>
      </c>
      <c r="E428" s="2012"/>
      <c r="F428" s="2012"/>
      <c r="G428" s="2012"/>
      <c r="H428" s="2012"/>
      <c r="I428" s="2012"/>
      <c r="J428" s="630">
        <f>'GROUP Non TB - Group Acc notes'!H106</f>
        <v>0</v>
      </c>
      <c r="K428" s="630">
        <f>'GROUP Non TB - Group Acc notes'!I106</f>
        <v>0</v>
      </c>
    </row>
    <row r="429" spans="1:11" s="23" customFormat="1" x14ac:dyDescent="0.3">
      <c r="A429" s="3" t="str">
        <f>IF(A428="Print","Print","Do Not Print")</f>
        <v>Do Not Print</v>
      </c>
      <c r="B429" s="585"/>
      <c r="C429" s="585"/>
      <c r="D429" s="2012"/>
      <c r="E429" s="2012"/>
      <c r="F429" s="2012"/>
      <c r="G429" s="2012"/>
      <c r="H429" s="2012"/>
      <c r="I429" s="2012"/>
      <c r="J429" s="610"/>
      <c r="K429" s="610"/>
    </row>
    <row r="430" spans="1:11" s="23" customFormat="1" x14ac:dyDescent="0.3">
      <c r="A430" s="3" t="str">
        <f>IF(OR(A432="Print",A433="Print",A434="Print",A435="Print",A436="Print"),"Print","Do Not Print")</f>
        <v>Print</v>
      </c>
      <c r="B430" s="585"/>
      <c r="C430" s="585"/>
      <c r="D430" s="2073" t="s">
        <v>1463</v>
      </c>
      <c r="E430" s="2073"/>
      <c r="F430" s="2073"/>
      <c r="G430" s="2073"/>
      <c r="H430" s="2073"/>
      <c r="I430" s="2073"/>
      <c r="J430" s="610"/>
      <c r="K430" s="610"/>
    </row>
    <row r="431" spans="1:11" s="23" customFormat="1" x14ac:dyDescent="0.3">
      <c r="A431" s="3" t="str">
        <f>IF(A430="Print","Print","Do Not Print")</f>
        <v>Print</v>
      </c>
      <c r="B431" s="585"/>
      <c r="C431" s="585"/>
      <c r="D431" s="2012"/>
      <c r="E431" s="2012"/>
      <c r="F431" s="2012"/>
      <c r="G431" s="2012"/>
      <c r="H431" s="2012"/>
      <c r="I431" s="2012"/>
      <c r="J431" s="610"/>
      <c r="K431" s="610"/>
    </row>
    <row r="432" spans="1:11" s="23" customFormat="1" x14ac:dyDescent="0.3">
      <c r="A432" s="3" t="str">
        <f>IF(AND(J432=0,K432=0),"Do Not Print","Print")</f>
        <v>Print</v>
      </c>
      <c r="B432" s="585"/>
      <c r="C432" s="585"/>
      <c r="D432" s="2012" t="s">
        <v>1454</v>
      </c>
      <c r="E432" s="2012"/>
      <c r="F432" s="2012"/>
      <c r="G432" s="2012"/>
      <c r="H432" s="2012"/>
      <c r="I432" s="2012"/>
      <c r="J432" s="628" t="str">
        <f>'GROUP Non TB - Group Acc notes'!H107</f>
        <v>+0.1%p.a.</v>
      </c>
      <c r="K432" s="628" t="str">
        <f>'GROUP Non TB - Group Acc notes'!I107</f>
        <v>-0.1%p.a.</v>
      </c>
    </row>
    <row r="433" spans="1:11" s="23" customFormat="1" x14ac:dyDescent="0.3">
      <c r="A433" s="3" t="str">
        <f>IF(AND(J433=0,K433=0),"Do Not Print","Print")</f>
        <v>Do Not Print</v>
      </c>
      <c r="B433" s="585"/>
      <c r="C433" s="585"/>
      <c r="D433" s="2012" t="s">
        <v>1447</v>
      </c>
      <c r="E433" s="2012"/>
      <c r="F433" s="2012"/>
      <c r="G433" s="2012"/>
      <c r="H433" s="2012"/>
      <c r="I433" s="2012"/>
      <c r="J433" s="629">
        <f>'GROUP Non TB - Group Acc notes'!H108</f>
        <v>0</v>
      </c>
      <c r="K433" s="629">
        <f>'GROUP Non TB - Group Acc notes'!I108</f>
        <v>0</v>
      </c>
    </row>
    <row r="434" spans="1:11" s="23" customFormat="1" x14ac:dyDescent="0.3">
      <c r="A434" s="3" t="str">
        <f>IF(AND(J434=0,K434=0),"Do Not Print","Print")</f>
        <v>Do Not Print</v>
      </c>
      <c r="B434" s="585"/>
      <c r="C434" s="585"/>
      <c r="D434" s="2012" t="s">
        <v>1448</v>
      </c>
      <c r="E434" s="2012"/>
      <c r="F434" s="2012"/>
      <c r="G434" s="2012"/>
      <c r="H434" s="2012"/>
      <c r="I434" s="2012"/>
      <c r="J434" s="629">
        <f>'GROUP Non TB - Group Acc notes'!H109</f>
        <v>0</v>
      </c>
      <c r="K434" s="629">
        <f>'GROUP Non TB - Group Acc notes'!I109</f>
        <v>0</v>
      </c>
    </row>
    <row r="435" spans="1:11" s="23" customFormat="1" x14ac:dyDescent="0.3">
      <c r="A435" s="3" t="str">
        <f>IF(AND(J435=0,K435=0),"Do Not Print","Print")</f>
        <v>Do Not Print</v>
      </c>
      <c r="B435" s="585"/>
      <c r="C435" s="585"/>
      <c r="D435" s="2012" t="s">
        <v>1449</v>
      </c>
      <c r="E435" s="2012"/>
      <c r="F435" s="2012"/>
      <c r="G435" s="2012"/>
      <c r="H435" s="2012"/>
      <c r="I435" s="2012"/>
      <c r="J435" s="629">
        <f>'GROUP Non TB - Group Acc notes'!H110</f>
        <v>0</v>
      </c>
      <c r="K435" s="629">
        <f>'GROUP Non TB - Group Acc notes'!I110</f>
        <v>0</v>
      </c>
    </row>
    <row r="436" spans="1:11" s="23" customFormat="1" x14ac:dyDescent="0.3">
      <c r="A436" s="3" t="str">
        <f>IF(AND(J436=0,K436=0),"Do Not Print","Print")</f>
        <v>Do Not Print</v>
      </c>
      <c r="B436" s="585"/>
      <c r="C436" s="585"/>
      <c r="D436" s="2012" t="s">
        <v>1450</v>
      </c>
      <c r="E436" s="2012"/>
      <c r="F436" s="2012"/>
      <c r="G436" s="2012"/>
      <c r="H436" s="2012"/>
      <c r="I436" s="2012"/>
      <c r="J436" s="629">
        <f>'GROUP Non TB - Group Acc notes'!H111</f>
        <v>0</v>
      </c>
      <c r="K436" s="629">
        <f>'GROUP Non TB - Group Acc notes'!I111</f>
        <v>0</v>
      </c>
    </row>
    <row r="437" spans="1:11" s="23" customFormat="1" x14ac:dyDescent="0.3">
      <c r="A437" s="3" t="str">
        <f>IF(A436="Print","Print","Do Not Print")</f>
        <v>Do Not Print</v>
      </c>
      <c r="B437" s="585"/>
      <c r="C437" s="585"/>
      <c r="D437" s="2012"/>
      <c r="E437" s="2012"/>
      <c r="F437" s="2012"/>
      <c r="G437" s="2012"/>
      <c r="H437" s="2012"/>
      <c r="I437" s="2012"/>
      <c r="J437" s="610"/>
      <c r="K437" s="610"/>
    </row>
    <row r="438" spans="1:11" s="23" customFormat="1" x14ac:dyDescent="0.3">
      <c r="A438" s="3" t="str">
        <f>IF(OR(A440="Print",A441="Print",A442="Print",A443="Print",A444="Print"),"Print","Do Not Print")</f>
        <v>Print</v>
      </c>
      <c r="B438" s="585"/>
      <c r="C438" s="585"/>
      <c r="D438" s="2073" t="s">
        <v>1464</v>
      </c>
      <c r="E438" s="2073"/>
      <c r="F438" s="2073"/>
      <c r="G438" s="2073"/>
      <c r="H438" s="2073"/>
      <c r="I438" s="2073"/>
      <c r="J438" s="610"/>
      <c r="K438" s="610"/>
    </row>
    <row r="439" spans="1:11" s="23" customFormat="1" x14ac:dyDescent="0.3">
      <c r="A439" s="3" t="str">
        <f>IF(A438="Print","Print","Do Not Print")</f>
        <v>Print</v>
      </c>
      <c r="B439" s="585"/>
      <c r="C439" s="585"/>
      <c r="D439" s="2012"/>
      <c r="E439" s="2012"/>
      <c r="F439" s="2012"/>
      <c r="G439" s="2012"/>
      <c r="H439" s="2012"/>
      <c r="I439" s="2012"/>
      <c r="J439" s="610"/>
      <c r="K439" s="610"/>
    </row>
    <row r="440" spans="1:11" s="23" customFormat="1" x14ac:dyDescent="0.3">
      <c r="A440" s="3" t="str">
        <f>IF(AND(J440=0,K440=0),"Do Not Print","Print")</f>
        <v>Print</v>
      </c>
      <c r="B440" s="585"/>
      <c r="C440" s="585"/>
      <c r="D440" s="2012" t="s">
        <v>1465</v>
      </c>
      <c r="E440" s="2012"/>
      <c r="F440" s="2012"/>
      <c r="G440" s="2012"/>
      <c r="H440" s="2012"/>
      <c r="I440" s="2012"/>
      <c r="J440" s="628" t="str">
        <f>'GROUP Non TB - Group Acc notes'!H112</f>
        <v>- 1 Year</v>
      </c>
      <c r="K440" s="628" t="str">
        <f>'GROUP Non TB - Group Acc notes'!I112</f>
        <v>+1 Year</v>
      </c>
    </row>
    <row r="441" spans="1:11" s="23" customFormat="1" x14ac:dyDescent="0.3">
      <c r="A441" s="3" t="str">
        <f>IF(AND(J441=0,K441=0),"Do Not Print","Print")</f>
        <v>Do Not Print</v>
      </c>
      <c r="B441" s="585"/>
      <c r="C441" s="585"/>
      <c r="D441" s="2012" t="s">
        <v>1447</v>
      </c>
      <c r="E441" s="2012"/>
      <c r="F441" s="2012"/>
      <c r="G441" s="2012"/>
      <c r="H441" s="2012"/>
      <c r="I441" s="2012"/>
      <c r="J441" s="629">
        <f>'GROUP Non TB - Group Acc notes'!H113</f>
        <v>0</v>
      </c>
      <c r="K441" s="629">
        <f>'GROUP Non TB - Group Acc notes'!I113</f>
        <v>0</v>
      </c>
    </row>
    <row r="442" spans="1:11" s="23" customFormat="1" x14ac:dyDescent="0.3">
      <c r="A442" s="3" t="str">
        <f>IF(AND(J442=0,K442=0),"Do Not Print","Print")</f>
        <v>Do Not Print</v>
      </c>
      <c r="B442" s="585"/>
      <c r="C442" s="585"/>
      <c r="D442" s="2012" t="s">
        <v>1448</v>
      </c>
      <c r="E442" s="2012"/>
      <c r="F442" s="2012"/>
      <c r="G442" s="2012"/>
      <c r="H442" s="2012"/>
      <c r="I442" s="2012"/>
      <c r="J442" s="629">
        <f>'GROUP Non TB - Group Acc notes'!H114</f>
        <v>0</v>
      </c>
      <c r="K442" s="629">
        <f>'GROUP Non TB - Group Acc notes'!I114</f>
        <v>0</v>
      </c>
    </row>
    <row r="443" spans="1:11" s="23" customFormat="1" x14ac:dyDescent="0.3">
      <c r="A443" s="3" t="str">
        <f>IF(AND(J443=0,K443=0),"Do Not Print","Print")</f>
        <v>Do Not Print</v>
      </c>
      <c r="B443" s="585"/>
      <c r="C443" s="585"/>
      <c r="D443" s="2012" t="s">
        <v>1449</v>
      </c>
      <c r="E443" s="2012"/>
      <c r="F443" s="2012"/>
      <c r="G443" s="2012"/>
      <c r="H443" s="2012"/>
      <c r="I443" s="2012"/>
      <c r="J443" s="629">
        <f>'GROUP Non TB - Group Acc notes'!H115</f>
        <v>0</v>
      </c>
      <c r="K443" s="629">
        <f>'GROUP Non TB - Group Acc notes'!I115</f>
        <v>0</v>
      </c>
    </row>
    <row r="444" spans="1:11" s="23" customFormat="1" x14ac:dyDescent="0.3">
      <c r="A444" s="3" t="str">
        <f>IF(AND(J444=0,K444=0),"Do Not Print","Print")</f>
        <v>Do Not Print</v>
      </c>
      <c r="B444" s="585"/>
      <c r="C444" s="585"/>
      <c r="D444" s="2012" t="s">
        <v>1450</v>
      </c>
      <c r="E444" s="2012"/>
      <c r="F444" s="2012"/>
      <c r="G444" s="2012"/>
      <c r="H444" s="2012"/>
      <c r="I444" s="2012"/>
      <c r="J444" s="629">
        <f>'GROUP Non TB - Group Acc notes'!H116</f>
        <v>0</v>
      </c>
      <c r="K444" s="629">
        <f>'GROUP Non TB - Group Acc notes'!I116</f>
        <v>0</v>
      </c>
    </row>
    <row r="445" spans="1:11" s="23" customFormat="1" x14ac:dyDescent="0.3">
      <c r="A445" s="3" t="str">
        <f>IF(A444="Print","Print","Do Not Print")</f>
        <v>Do Not Print</v>
      </c>
      <c r="B445" s="585"/>
      <c r="C445" s="585"/>
      <c r="D445" s="1500"/>
      <c r="E445" s="1500"/>
      <c r="F445" s="1500"/>
      <c r="G445" s="1500"/>
      <c r="H445" s="1500"/>
      <c r="I445" s="1500"/>
      <c r="J445" s="1500"/>
      <c r="K445" s="1500"/>
    </row>
    <row r="446" spans="1:11" s="23" customFormat="1" ht="30.75" customHeight="1" x14ac:dyDescent="0.3">
      <c r="A446" s="3" t="str">
        <f>IF('GROUP Non TB - Group Acc notes'!F117=1,"Print","Do Not Print")</f>
        <v>Print</v>
      </c>
      <c r="B446" s="585"/>
      <c r="C446" s="585"/>
      <c r="D446" s="1506" t="str">
        <f>IF('GROUP Non TB - Group Acc notes'!F117=1,'GROUP Non TB - Group Acc notes'!H117,"")</f>
        <v>* A rating of +1 year means that members are assumed to follow the mortality pattern of the base table above for an individual that is 1 year older then that.</v>
      </c>
      <c r="E446" s="1506"/>
      <c r="F446" s="1506"/>
      <c r="G446" s="1506"/>
      <c r="H446" s="1506"/>
      <c r="I446" s="1506"/>
      <c r="J446" s="1506"/>
      <c r="K446" s="1506"/>
    </row>
    <row r="447" spans="1:11" s="23" customFormat="1" x14ac:dyDescent="0.3">
      <c r="A447" s="3" t="str">
        <f>IF(A446="Print","Print","Do Not Print")</f>
        <v>Print</v>
      </c>
      <c r="B447" s="585"/>
      <c r="C447" s="585"/>
      <c r="D447" s="401"/>
      <c r="E447" s="401"/>
      <c r="F447" s="401"/>
      <c r="G447" s="401"/>
      <c r="H447" s="401"/>
      <c r="I447" s="401"/>
      <c r="J447" s="401"/>
      <c r="K447" s="401"/>
    </row>
    <row r="448" spans="1:11" s="23" customFormat="1" ht="13.5" customHeight="1" x14ac:dyDescent="0.3">
      <c r="A448" s="3" t="str">
        <f>IF('GROUP Non TB - Group Acc notes'!F118=1,"Print","Do Not Print")</f>
        <v>Print</v>
      </c>
      <c r="B448" s="585"/>
      <c r="C448" s="585" t="str">
        <f>Checklist!E183</f>
        <v>f</v>
      </c>
      <c r="D448" s="1535" t="str">
        <f>IF('GROUP Non TB - Group Acc notes'!F118=1,'GROUP Non TB - Group Acc notes'!D118,"")</f>
        <v>Major categories of plan assets as percentage of total plan assets</v>
      </c>
      <c r="E448" s="1535"/>
      <c r="F448" s="1535"/>
      <c r="G448" s="1535"/>
      <c r="H448" s="1535"/>
      <c r="I448" s="1535"/>
      <c r="J448" s="1535"/>
      <c r="K448" s="1535"/>
    </row>
    <row r="449" spans="1:11" s="23" customFormat="1" x14ac:dyDescent="0.3">
      <c r="A449" s="3" t="str">
        <f>IF(A448="Print","Print","Do Not Print")</f>
        <v>Print</v>
      </c>
      <c r="B449" s="585"/>
      <c r="C449" s="585"/>
      <c r="D449" s="1500"/>
      <c r="E449" s="1500"/>
      <c r="F449" s="1500"/>
      <c r="G449" s="1500"/>
      <c r="H449" s="1500"/>
      <c r="I449" s="1500"/>
      <c r="J449" s="1500"/>
      <c r="K449" s="1500"/>
    </row>
    <row r="450" spans="1:11" s="23" customFormat="1" ht="28.5" customHeight="1" x14ac:dyDescent="0.3">
      <c r="A450" s="3" t="str">
        <f>IF('GROUP Non TB - Group Acc notes'!F118=1,"Print","Do Not Print")</f>
        <v>Print</v>
      </c>
      <c r="B450" s="585"/>
      <c r="C450" s="585"/>
      <c r="D450" s="1501" t="str">
        <f>IF('GROUP Non TB - Group Acc notes'!F118=1,'GROUP Non TB - Group Acc notes'!H118,"")</f>
        <v>The Northern Ireland Local Government Officers' Pension Fund's assets consist of the following categories, by proportion of the total assets held:</v>
      </c>
      <c r="E450" s="1501"/>
      <c r="F450" s="1501"/>
      <c r="G450" s="1501"/>
      <c r="H450" s="1501"/>
      <c r="I450" s="1501"/>
      <c r="J450" s="1501"/>
      <c r="K450" s="1501"/>
    </row>
    <row r="451" spans="1:11" s="23" customFormat="1" x14ac:dyDescent="0.3">
      <c r="A451" s="3" t="str">
        <f>IF(A448="Print","Print","Do Not Print")</f>
        <v>Print</v>
      </c>
      <c r="B451" s="585"/>
      <c r="C451" s="585"/>
      <c r="D451" s="1500"/>
      <c r="E451" s="1500"/>
      <c r="F451" s="1500"/>
      <c r="G451" s="1500"/>
      <c r="H451" s="1500"/>
      <c r="I451" s="1500"/>
      <c r="J451" s="1500"/>
      <c r="K451" s="1500"/>
    </row>
    <row r="452" spans="1:11" s="23" customFormat="1" x14ac:dyDescent="0.3">
      <c r="A452" s="3" t="str">
        <f>IF(OR(A454="Print",A456="Print",A457="Print",A458="Print"),"Print","Do Not Print")</f>
        <v>Do Not Print</v>
      </c>
      <c r="B452" s="585"/>
      <c r="C452" s="585"/>
      <c r="D452" s="474"/>
      <c r="E452" s="474"/>
      <c r="F452" s="474"/>
      <c r="G452" s="486"/>
      <c r="H452" s="486"/>
      <c r="I452" s="586">
        <v>46112</v>
      </c>
      <c r="J452" s="586">
        <v>45747</v>
      </c>
      <c r="K452" s="586">
        <v>45382</v>
      </c>
    </row>
    <row r="453" spans="1:11" s="23" customFormat="1" x14ac:dyDescent="0.3">
      <c r="A453" s="3" t="str">
        <f>IF(A452="Print","Print","Do Not Print")</f>
        <v>Do Not Print</v>
      </c>
      <c r="B453" s="585"/>
      <c r="C453" s="585"/>
      <c r="D453" s="474"/>
      <c r="E453" s="474"/>
      <c r="F453" s="474"/>
      <c r="G453" s="486"/>
      <c r="H453" s="486"/>
      <c r="I453" s="474" t="s">
        <v>768</v>
      </c>
      <c r="J453" s="474" t="s">
        <v>768</v>
      </c>
      <c r="K453" s="474" t="s">
        <v>768</v>
      </c>
    </row>
    <row r="454" spans="1:11" s="23" customFormat="1" x14ac:dyDescent="0.3">
      <c r="A454" s="3" t="str">
        <f t="shared" ref="A454:A460" si="11">IF(AND(I454=0,J454=0,K454=0),"Do Not Print","Print")</f>
        <v>Do Not Print</v>
      </c>
      <c r="B454" s="585"/>
      <c r="C454" s="585"/>
      <c r="D454" s="2012" t="s">
        <v>506</v>
      </c>
      <c r="E454" s="2012"/>
      <c r="F454" s="2012"/>
      <c r="G454" s="2012"/>
      <c r="H454" s="2012"/>
      <c r="I454" s="626">
        <f>'GROUP Non TB - Group Acc notes'!H119</f>
        <v>0</v>
      </c>
      <c r="J454" s="626">
        <f>'GROUP Non TB - Group Acc notes'!I119</f>
        <v>0</v>
      </c>
      <c r="K454" s="626">
        <f>'GROUP Non TB - Group Acc notes'!J119</f>
        <v>0</v>
      </c>
    </row>
    <row r="455" spans="1:11" s="23" customFormat="1" x14ac:dyDescent="0.3">
      <c r="A455" s="3" t="str">
        <f t="shared" si="11"/>
        <v>Do Not Print</v>
      </c>
      <c r="B455" s="585"/>
      <c r="C455" s="585"/>
      <c r="D455" s="2012" t="s">
        <v>1582</v>
      </c>
      <c r="E455" s="2012"/>
      <c r="F455" s="2012"/>
      <c r="G455" s="2012"/>
      <c r="H455" s="2012"/>
      <c r="I455" s="626">
        <f>'GROUP Non TB - Group Acc notes'!H120</f>
        <v>0</v>
      </c>
      <c r="J455" s="626">
        <f>'GROUP Non TB - Group Acc notes'!I120</f>
        <v>0</v>
      </c>
      <c r="K455" s="626">
        <f>'GROUP Non TB - Group Acc notes'!J120</f>
        <v>0</v>
      </c>
    </row>
    <row r="456" spans="1:11" s="23" customFormat="1" ht="12.75" customHeight="1" x14ac:dyDescent="0.3">
      <c r="A456" s="3" t="str">
        <f t="shared" si="11"/>
        <v>Do Not Print</v>
      </c>
      <c r="B456" s="585"/>
      <c r="C456" s="585"/>
      <c r="D456" s="2033" t="s">
        <v>1583</v>
      </c>
      <c r="E456" s="2033"/>
      <c r="F456" s="2033"/>
      <c r="G456" s="2033"/>
      <c r="H456" s="2033"/>
      <c r="I456" s="626">
        <f>'GROUP Non TB - Group Acc notes'!H121</f>
        <v>0</v>
      </c>
      <c r="J456" s="626">
        <f>'GROUP Non TB - Group Acc notes'!I121</f>
        <v>0</v>
      </c>
      <c r="K456" s="626">
        <f>'GROUP Non TB - Group Acc notes'!J121</f>
        <v>0</v>
      </c>
    </row>
    <row r="457" spans="1:11" s="23" customFormat="1" x14ac:dyDescent="0.3">
      <c r="A457" s="3" t="str">
        <f t="shared" si="11"/>
        <v>Do Not Print</v>
      </c>
      <c r="B457" s="585"/>
      <c r="C457" s="585"/>
      <c r="D457" s="2012" t="s">
        <v>508</v>
      </c>
      <c r="E457" s="2012"/>
      <c r="F457" s="2012"/>
      <c r="G457" s="2012"/>
      <c r="H457" s="2012"/>
      <c r="I457" s="626">
        <f>'GROUP Non TB - Group Acc notes'!H122</f>
        <v>0</v>
      </c>
      <c r="J457" s="626">
        <f>'GROUP Non TB - Group Acc notes'!I122</f>
        <v>0</v>
      </c>
      <c r="K457" s="626">
        <f>'GROUP Non TB - Group Acc notes'!J122</f>
        <v>0</v>
      </c>
    </row>
    <row r="458" spans="1:11" s="23" customFormat="1" x14ac:dyDescent="0.3">
      <c r="A458" s="3" t="str">
        <f t="shared" si="11"/>
        <v>Do Not Print</v>
      </c>
      <c r="B458" s="585"/>
      <c r="C458" s="585"/>
      <c r="D458" s="2012" t="s">
        <v>509</v>
      </c>
      <c r="E458" s="2012"/>
      <c r="F458" s="2012"/>
      <c r="G458" s="2012"/>
      <c r="H458" s="2012"/>
      <c r="I458" s="626">
        <f>'GROUP Non TB - Group Acc notes'!H123</f>
        <v>0</v>
      </c>
      <c r="J458" s="626">
        <f>'GROUP Non TB - Group Acc notes'!I123</f>
        <v>0</v>
      </c>
      <c r="K458" s="626">
        <f>'GROUP Non TB - Group Acc notes'!J123</f>
        <v>0</v>
      </c>
    </row>
    <row r="459" spans="1:11" s="23" customFormat="1" x14ac:dyDescent="0.3">
      <c r="A459" s="3" t="str">
        <f t="shared" si="11"/>
        <v>Do Not Print</v>
      </c>
      <c r="B459" s="585"/>
      <c r="C459" s="585"/>
      <c r="D459" s="2012" t="s">
        <v>373</v>
      </c>
      <c r="E459" s="2012"/>
      <c r="F459" s="2012"/>
      <c r="G459" s="2012"/>
      <c r="H459" s="2012"/>
      <c r="I459" s="626">
        <f>'GROUP Non TB - Group Acc notes'!H124</f>
        <v>0</v>
      </c>
      <c r="J459" s="626">
        <f>'GROUP Non TB - Group Acc notes'!I124</f>
        <v>0</v>
      </c>
      <c r="K459" s="626">
        <f>'GROUP Non TB - Group Acc notes'!J124</f>
        <v>0</v>
      </c>
    </row>
    <row r="460" spans="1:11" s="23" customFormat="1" x14ac:dyDescent="0.3">
      <c r="A460" s="3" t="str">
        <f t="shared" si="11"/>
        <v>Do Not Print</v>
      </c>
      <c r="B460" s="585"/>
      <c r="C460" s="585"/>
      <c r="D460" s="2073" t="s">
        <v>74</v>
      </c>
      <c r="E460" s="2073"/>
      <c r="F460" s="2073"/>
      <c r="G460" s="2073"/>
      <c r="H460" s="2073"/>
      <c r="I460" s="631">
        <f>SUM(I454:I459)</f>
        <v>0</v>
      </c>
      <c r="J460" s="631">
        <f>SUM(J454:J459)</f>
        <v>0</v>
      </c>
      <c r="K460" s="631">
        <f>SUM(K454:K459)</f>
        <v>0</v>
      </c>
    </row>
    <row r="461" spans="1:11" s="23" customFormat="1" x14ac:dyDescent="0.3">
      <c r="A461" s="3" t="str">
        <f>IF(A460="Print","Print","Do Not Print")</f>
        <v>Do Not Print</v>
      </c>
      <c r="B461" s="585"/>
      <c r="C461" s="585"/>
      <c r="D461" s="1500"/>
      <c r="E461" s="1500"/>
      <c r="F461" s="1500"/>
      <c r="G461" s="1500"/>
      <c r="H461" s="1500"/>
      <c r="I461" s="1500"/>
      <c r="J461" s="1500"/>
      <c r="K461" s="1500"/>
    </row>
    <row r="462" spans="1:11" s="23" customFormat="1" ht="16.5" customHeight="1" x14ac:dyDescent="0.3">
      <c r="A462" s="3" t="str">
        <f>IF(OR(A464="Print",A466="Print",A468="Print"),"Print","Do Not Print")</f>
        <v>Print</v>
      </c>
      <c r="B462" s="585"/>
      <c r="C462" s="585" t="str">
        <f>Checklist!E184</f>
        <v>g</v>
      </c>
      <c r="D462" s="1535" t="str">
        <f>IF('GROUP Non TB - Group Acc notes'!F125=1,'GROUP Non TB - Group Acc notes'!D125,"")</f>
        <v>Northern Ireland Civil Service Pension Arrangements</v>
      </c>
      <c r="E462" s="1535"/>
      <c r="F462" s="1535"/>
      <c r="G462" s="1535"/>
      <c r="H462" s="1535"/>
      <c r="I462" s="1535"/>
      <c r="J462" s="1535"/>
      <c r="K462" s="1535"/>
    </row>
    <row r="463" spans="1:11" s="23" customFormat="1" x14ac:dyDescent="0.3">
      <c r="A463" s="3" t="str">
        <f>IF(A462="Print","Print","Do Not Print")</f>
        <v>Print</v>
      </c>
      <c r="B463" s="585"/>
      <c r="C463" s="585"/>
      <c r="D463" s="1500"/>
      <c r="E463" s="1500"/>
      <c r="F463" s="1500"/>
      <c r="G463" s="1500"/>
      <c r="H463" s="1500"/>
      <c r="I463" s="1500"/>
      <c r="J463" s="1500"/>
      <c r="K463" s="1500"/>
    </row>
    <row r="464" spans="1:11" s="23" customFormat="1" ht="69.599999999999994" customHeight="1" x14ac:dyDescent="0.3">
      <c r="A464" s="3" t="str">
        <f>IF('GROUP Non TB - Group Acc notes'!F125=1,"Print","Do Not Print")</f>
        <v>Print</v>
      </c>
      <c r="B464" s="585"/>
      <c r="C464" s="585"/>
      <c r="D464" s="1506" t="str">
        <f>IF('GROUP Non TB - Group Acc notes'!F125=1,'GROUP Non TB - Group Acc notes'!H125,"")</f>
        <v xml:space="preserve">The Northern Ireland Civil Service Pension arrangements are unfunded multi-employer defined benefit schemes but the Group is unable to identify its share of the underlying assets and liabilities. The most up to date actuarial valuation was carried out as at DD/MM/20YY. This valuation is then reviewed by the Scheme Actuary and updated to reflect current conditions and rolled forward to the reporting date of the DoF Superannuation and Other Allowances Resource Accounts as at 31 March 2026. </v>
      </c>
      <c r="E464" s="1506"/>
      <c r="F464" s="1506"/>
      <c r="G464" s="1506"/>
      <c r="H464" s="1506"/>
      <c r="I464" s="1506"/>
      <c r="J464" s="1506"/>
      <c r="K464" s="1506"/>
    </row>
    <row r="465" spans="1:11" s="23" customFormat="1" x14ac:dyDescent="0.3">
      <c r="A465" s="3" t="str">
        <f>IF(A464="Print","Print","Do Not Print")</f>
        <v>Print</v>
      </c>
      <c r="B465" s="585"/>
      <c r="C465" s="585"/>
      <c r="D465" s="1500"/>
      <c r="E465" s="1500"/>
      <c r="F465" s="1500"/>
      <c r="G465" s="1500"/>
      <c r="H465" s="1500"/>
      <c r="I465" s="1500"/>
      <c r="J465" s="1500"/>
      <c r="K465" s="1500"/>
    </row>
    <row r="466" spans="1:11" s="23" customFormat="1" ht="52.5" customHeight="1" x14ac:dyDescent="0.3">
      <c r="A466" s="3" t="str">
        <f>IF('GROUP Non TB - Group Acc notes'!F126=1,"Print","Do Not Print")</f>
        <v>Print</v>
      </c>
      <c r="B466" s="585"/>
      <c r="C466" s="585"/>
      <c r="D466" s="1506" t="str">
        <f>IF('GROUP Non TB - Group Acc notes'!F126=1,'GROUP Non TB - Group Acc notes'!H126,"")</f>
        <v>Additional Group disclosure</v>
      </c>
      <c r="E466" s="1506"/>
      <c r="F466" s="1506"/>
      <c r="G466" s="1506"/>
      <c r="H466" s="1506"/>
      <c r="I466" s="1506"/>
      <c r="J466" s="1506"/>
      <c r="K466" s="1506"/>
    </row>
    <row r="467" spans="1:11" s="23" customFormat="1" x14ac:dyDescent="0.3">
      <c r="A467" s="3" t="str">
        <f>IF(A466="Print","Print","Do Not Print")</f>
        <v>Print</v>
      </c>
      <c r="B467" s="585"/>
      <c r="C467" s="585"/>
      <c r="D467" s="1506"/>
      <c r="E467" s="1506"/>
      <c r="F467" s="1506"/>
      <c r="G467" s="1506"/>
      <c r="H467" s="1506"/>
      <c r="I467" s="1506"/>
      <c r="J467" s="1506"/>
      <c r="K467" s="1506"/>
    </row>
    <row r="468" spans="1:11" s="23" customFormat="1" ht="55.5" customHeight="1" x14ac:dyDescent="0.3">
      <c r="A468" s="3" t="str">
        <f>IF('GROUP Non TB - Group Acc notes'!F127=1,"Print","Do Not Print")</f>
        <v>Print</v>
      </c>
      <c r="B468" s="585"/>
      <c r="C468" s="585"/>
      <c r="D468" s="1506" t="str">
        <f>IF('GROUP Non TB - Group Acc notes'!F127=1,'GROUP Non TB - Group Acc notes'!H127,"")</f>
        <v>Additional Group disclosure</v>
      </c>
      <c r="E468" s="1506"/>
      <c r="F468" s="1506"/>
      <c r="G468" s="1506"/>
      <c r="H468" s="1506"/>
      <c r="I468" s="1506"/>
      <c r="J468" s="1506"/>
      <c r="K468" s="1506"/>
    </row>
    <row r="469" spans="1:11" s="23" customFormat="1" x14ac:dyDescent="0.3">
      <c r="A469" s="3" t="str">
        <f>IF(A468="Print","Print","Do Not Print")</f>
        <v>Print</v>
      </c>
      <c r="B469" s="585"/>
      <c r="C469" s="585"/>
      <c r="D469" s="1500"/>
      <c r="E469" s="1500"/>
      <c r="F469" s="1500"/>
      <c r="G469" s="1500"/>
      <c r="H469" s="1500"/>
      <c r="I469" s="1500"/>
      <c r="J469" s="1500"/>
      <c r="K469" s="1500"/>
    </row>
    <row r="470" spans="1:11" x14ac:dyDescent="0.3">
      <c r="A470" s="10" t="str">
        <f>IF(A494="Print","Print","Do Not Print")</f>
        <v>Do Not Print</v>
      </c>
      <c r="B470" s="585" t="str">
        <f>Checklist!E185</f>
        <v>G9</v>
      </c>
      <c r="D470" s="585" t="s">
        <v>1548</v>
      </c>
      <c r="K470" s="401"/>
    </row>
    <row r="471" spans="1:11" x14ac:dyDescent="0.3">
      <c r="A471" s="10" t="str">
        <f>IF(A470="Print","Print","Do Not Print")</f>
        <v>Do Not Print</v>
      </c>
      <c r="C471" s="585" t="str">
        <f>Checklist!E186</f>
        <v>a</v>
      </c>
      <c r="D471" s="468" t="s">
        <v>803</v>
      </c>
      <c r="K471" s="401"/>
    </row>
    <row r="472" spans="1:11" x14ac:dyDescent="0.3">
      <c r="A472" s="10" t="str">
        <f>IF(A470="Print","Print","Do Not Print")</f>
        <v>Do Not Print</v>
      </c>
      <c r="K472" s="401"/>
    </row>
    <row r="473" spans="1:11" ht="39" customHeight="1" x14ac:dyDescent="0.3">
      <c r="A473" s="10" t="str">
        <f>IF(A470="Print","Print","Do Not Print")</f>
        <v>Do Not Print</v>
      </c>
      <c r="D473" s="2100" t="s">
        <v>1843</v>
      </c>
      <c r="E473" s="2100"/>
      <c r="F473" s="2100"/>
      <c r="G473" s="2100"/>
      <c r="H473" s="486" t="s">
        <v>343</v>
      </c>
      <c r="I473" s="586" t="str">
        <f>'Standing Data'!D34</f>
        <v>2025/26</v>
      </c>
      <c r="J473" s="586" t="str">
        <f>'Standing Data'!D52</f>
        <v>2024/25</v>
      </c>
    </row>
    <row r="474" spans="1:11" x14ac:dyDescent="0.3">
      <c r="A474" s="10" t="str">
        <f>IF(A470="Print","Print","Do Not Print")</f>
        <v>Do Not Print</v>
      </c>
      <c r="D474" s="2067"/>
      <c r="E474" s="2068"/>
      <c r="F474" s="2068"/>
      <c r="G474" s="2069"/>
      <c r="H474" s="599"/>
      <c r="I474" s="648" t="s">
        <v>450</v>
      </c>
      <c r="J474" s="648" t="s">
        <v>450</v>
      </c>
    </row>
    <row r="475" spans="1:11" x14ac:dyDescent="0.3">
      <c r="A475" s="10" t="str">
        <f>IF(AND(J475=0,I475=0),"Do Not Print","Print")</f>
        <v>Do Not Print</v>
      </c>
      <c r="D475" s="2067" t="s">
        <v>804</v>
      </c>
      <c r="E475" s="2068"/>
      <c r="F475" s="2068"/>
      <c r="G475" s="2069"/>
      <c r="H475" s="599"/>
      <c r="I475" s="601">
        <f>+('GROUP Det Group BS'!J20+'GROUP Det Group BS'!J44+'GROUP Det Group BS'!J68+'GROUP Det Group BS'!J92+'GROUP Det Group BS'!J116+'GROUP Det Group BS'!J140+'GROUP Det Group BS'!J164+'GROUP Det Group BS'!J188+'GROUP Det Group BS'!J245)</f>
        <v>0</v>
      </c>
      <c r="J475" s="601">
        <f>+('GROUP Det Group BS'!K20+'GROUP Det Group BS'!K44+'GROUP Det Group BS'!K68+'GROUP Det Group BS'!K92+'GROUP Det Group BS'!K116+'GROUP Det Group BS'!K140+'GROUP Det Group BS'!K164+'GROUP Det Group BS'!K188+'GROUP Det Group BS'!K245)</f>
        <v>0</v>
      </c>
    </row>
    <row r="476" spans="1:11" ht="29.25" customHeight="1" x14ac:dyDescent="0.3">
      <c r="A476" s="10" t="str">
        <f t="shared" ref="A476:A487" si="12">IF(AND(J476=0,I476=0),"Do Not Print","Print")</f>
        <v>Do Not Print</v>
      </c>
      <c r="D476" s="2067" t="s">
        <v>805</v>
      </c>
      <c r="E476" s="2068"/>
      <c r="F476" s="2068"/>
      <c r="G476" s="2069"/>
      <c r="H476" s="599"/>
      <c r="I476" s="600">
        <f>SUM(G38:G40)</f>
        <v>0</v>
      </c>
      <c r="J476" s="600">
        <f>SUM(I38:I40)</f>
        <v>0</v>
      </c>
    </row>
    <row r="477" spans="1:11" ht="13.5" customHeight="1" x14ac:dyDescent="0.3">
      <c r="A477" s="10" t="str">
        <f t="shared" si="12"/>
        <v>Do Not Print</v>
      </c>
      <c r="D477" s="2067" t="s">
        <v>806</v>
      </c>
      <c r="E477" s="2068"/>
      <c r="F477" s="2068"/>
      <c r="G477" s="2069"/>
      <c r="H477" s="599"/>
      <c r="I477" s="601">
        <v>0</v>
      </c>
      <c r="J477" s="600">
        <v>0</v>
      </c>
    </row>
    <row r="478" spans="1:11" x14ac:dyDescent="0.3">
      <c r="A478" s="10" t="str">
        <f t="shared" si="12"/>
        <v>Do Not Print</v>
      </c>
      <c r="D478" s="2067" t="s">
        <v>2762</v>
      </c>
      <c r="E478" s="2068"/>
      <c r="F478" s="2068"/>
      <c r="G478" s="2069"/>
      <c r="H478" s="599"/>
      <c r="I478" s="598">
        <f>'GROUP Non TB - Group Acc notes'!H128</f>
        <v>0</v>
      </c>
      <c r="J478" s="598">
        <f>'GROUP Non TB - Group Acc notes'!I128</f>
        <v>0</v>
      </c>
    </row>
    <row r="479" spans="1:11" ht="13.5" customHeight="1" x14ac:dyDescent="0.3">
      <c r="A479" s="10" t="str">
        <f t="shared" si="12"/>
        <v>Do Not Print</v>
      </c>
      <c r="D479" s="2067" t="s">
        <v>807</v>
      </c>
      <c r="E479" s="2068"/>
      <c r="F479" s="2068"/>
      <c r="G479" s="2069"/>
      <c r="H479" s="599"/>
      <c r="I479" s="598">
        <f>'GROUP Non TB - Group Acc notes'!H129</f>
        <v>0</v>
      </c>
      <c r="J479" s="598">
        <f>'GROUP Non TB - Group Acc notes'!I129</f>
        <v>0</v>
      </c>
    </row>
    <row r="480" spans="1:11" ht="28.05" customHeight="1" x14ac:dyDescent="0.3">
      <c r="A480" s="10" t="str">
        <f t="shared" si="12"/>
        <v>Do Not Print</v>
      </c>
      <c r="D480" s="2097" t="s">
        <v>2953</v>
      </c>
      <c r="E480" s="2098"/>
      <c r="F480" s="2098"/>
      <c r="G480" s="1659"/>
      <c r="H480" s="599"/>
      <c r="I480" s="598">
        <f>'GROUP Non TB - Group Acc notes'!H130</f>
        <v>0</v>
      </c>
      <c r="J480" s="598">
        <f>'GROUP Non TB - Group Acc notes'!I130</f>
        <v>0</v>
      </c>
    </row>
    <row r="481" spans="1:11" ht="13.5" customHeight="1" x14ac:dyDescent="0.3">
      <c r="A481" s="10" t="str">
        <f t="shared" si="12"/>
        <v>Do Not Print</v>
      </c>
      <c r="D481" s="2067" t="s">
        <v>808</v>
      </c>
      <c r="E481" s="2068"/>
      <c r="F481" s="2068"/>
      <c r="G481" s="2069"/>
      <c r="H481" s="599"/>
      <c r="I481" s="598">
        <f>'GROUP Non TB - Group Acc notes'!H131</f>
        <v>0</v>
      </c>
      <c r="J481" s="598">
        <f>'GROUP Non TB - Group Acc notes'!I131</f>
        <v>0</v>
      </c>
    </row>
    <row r="482" spans="1:11" ht="13.5" customHeight="1" x14ac:dyDescent="0.3">
      <c r="A482" s="10" t="str">
        <f t="shared" si="12"/>
        <v>Do Not Print</v>
      </c>
      <c r="D482" s="2067" t="s">
        <v>809</v>
      </c>
      <c r="E482" s="2068"/>
      <c r="F482" s="2068"/>
      <c r="G482" s="2069"/>
      <c r="H482" s="599"/>
      <c r="I482" s="598">
        <f>'GROUP Non TB - Group Acc notes'!H132</f>
        <v>0</v>
      </c>
      <c r="J482" s="598">
        <f>'GROUP Non TB - Group Acc notes'!I132</f>
        <v>0</v>
      </c>
    </row>
    <row r="483" spans="1:11" x14ac:dyDescent="0.3">
      <c r="A483" s="10" t="str">
        <f t="shared" si="12"/>
        <v>Do Not Print</v>
      </c>
      <c r="D483" s="2067" t="s">
        <v>810</v>
      </c>
      <c r="E483" s="2068"/>
      <c r="F483" s="2068"/>
      <c r="G483" s="2069"/>
      <c r="H483" s="599"/>
      <c r="I483" s="600">
        <f>H46+H57</f>
        <v>0</v>
      </c>
      <c r="J483" s="600">
        <f>J46+J57</f>
        <v>0</v>
      </c>
    </row>
    <row r="484" spans="1:11" ht="13.5" customHeight="1" x14ac:dyDescent="0.3">
      <c r="A484" s="10" t="str">
        <f t="shared" si="12"/>
        <v>Do Not Print</v>
      </c>
      <c r="D484" s="2067" t="s">
        <v>811</v>
      </c>
      <c r="E484" s="2068"/>
      <c r="F484" s="2068"/>
      <c r="G484" s="2069"/>
      <c r="H484" s="599"/>
      <c r="I484" s="601">
        <f>G43</f>
        <v>0</v>
      </c>
      <c r="J484" s="601">
        <f>I43</f>
        <v>0</v>
      </c>
    </row>
    <row r="485" spans="1:11" ht="13.5" customHeight="1" x14ac:dyDescent="0.3">
      <c r="A485" s="10" t="str">
        <f t="shared" si="12"/>
        <v>Do Not Print</v>
      </c>
      <c r="D485" s="2067" t="s">
        <v>812</v>
      </c>
      <c r="E485" s="2068"/>
      <c r="F485" s="2068"/>
      <c r="G485" s="2069"/>
      <c r="H485" s="599"/>
      <c r="I485" s="600">
        <f>G39</f>
        <v>0</v>
      </c>
      <c r="J485" s="600">
        <f>I39</f>
        <v>0</v>
      </c>
    </row>
    <row r="486" spans="1:11" ht="13.5" customHeight="1" x14ac:dyDescent="0.3">
      <c r="A486" s="10" t="str">
        <f t="shared" si="12"/>
        <v>Do Not Print</v>
      </c>
      <c r="D486" s="2067" t="s">
        <v>813</v>
      </c>
      <c r="E486" s="2068"/>
      <c r="F486" s="2068"/>
      <c r="G486" s="2069"/>
      <c r="H486" s="599"/>
      <c r="I486" s="598">
        <f>'GROUP Non TB - Group Acc notes'!H134</f>
        <v>0</v>
      </c>
      <c r="J486" s="598">
        <f>'GROUP Non TB - Group Acc notes'!I134</f>
        <v>0</v>
      </c>
    </row>
    <row r="487" spans="1:11" ht="40.5" customHeight="1" x14ac:dyDescent="0.3">
      <c r="A487" s="10" t="str">
        <f t="shared" si="12"/>
        <v>Do Not Print</v>
      </c>
      <c r="D487" s="2067" t="s">
        <v>814</v>
      </c>
      <c r="E487" s="2068"/>
      <c r="F487" s="2068"/>
      <c r="G487" s="2069"/>
      <c r="H487" s="599"/>
      <c r="I487" s="598">
        <f>'GROUP Non TB - Group Acc notes'!H133</f>
        <v>0</v>
      </c>
      <c r="J487" s="598">
        <f>'GROUP Non TB - Group Acc notes'!I133</f>
        <v>0</v>
      </c>
    </row>
    <row r="488" spans="1:11" ht="27.6" customHeight="1" x14ac:dyDescent="0.3">
      <c r="A488" s="10" t="str">
        <f>IF(AND(J488=0,I488=0),"Do Not Print","Print")</f>
        <v>Do Not Print</v>
      </c>
      <c r="D488" s="2067" t="s">
        <v>815</v>
      </c>
      <c r="E488" s="2068"/>
      <c r="F488" s="2068"/>
      <c r="G488" s="2069"/>
      <c r="H488" s="599"/>
      <c r="I488" s="600">
        <f>'Notes 11c to 24'!J1274</f>
        <v>0</v>
      </c>
      <c r="J488" s="600">
        <f>'Notes 11c to 24'!K1274</f>
        <v>0</v>
      </c>
    </row>
    <row r="489" spans="1:11" ht="18.75" customHeight="1" x14ac:dyDescent="0.3">
      <c r="A489" s="10" t="str">
        <f t="shared" ref="A489:A492" si="13">IF(AND(J489=0,I489=0),"Do Not Print","Print")</f>
        <v>Do Not Print</v>
      </c>
      <c r="D489" s="2065" t="s">
        <v>2692</v>
      </c>
      <c r="E489" s="2066"/>
      <c r="F489" s="2066"/>
      <c r="G489" s="2066"/>
      <c r="H489" s="1237"/>
      <c r="I489" s="1226">
        <f>'GROUP Non TB - Group Acc notes'!H135</f>
        <v>0</v>
      </c>
      <c r="J489" s="1226">
        <f>'GROUP Non TB - Group Acc notes'!I135</f>
        <v>0</v>
      </c>
    </row>
    <row r="490" spans="1:11" ht="18.75" customHeight="1" x14ac:dyDescent="0.3">
      <c r="A490" s="10" t="str">
        <f t="shared" si="13"/>
        <v>Do Not Print</v>
      </c>
      <c r="D490" s="2065" t="s">
        <v>2363</v>
      </c>
      <c r="E490" s="2066"/>
      <c r="F490" s="2066"/>
      <c r="G490" s="2066"/>
      <c r="H490" s="1237"/>
      <c r="I490" s="1226">
        <f>'GROUP Non TB - Group Acc notes'!H136</f>
        <v>0</v>
      </c>
      <c r="J490" s="1226">
        <f>'GROUP Non TB - Group Acc notes'!I136</f>
        <v>0</v>
      </c>
    </row>
    <row r="491" spans="1:11" ht="18.75" customHeight="1" x14ac:dyDescent="0.3">
      <c r="A491" s="10" t="str">
        <f t="shared" si="13"/>
        <v>Do Not Print</v>
      </c>
      <c r="D491" s="2065" t="s">
        <v>2364</v>
      </c>
      <c r="E491" s="2066"/>
      <c r="F491" s="2066"/>
      <c r="G491" s="2066"/>
      <c r="H491" s="1237"/>
      <c r="I491" s="1226">
        <f>'GROUP Non TB - Group Acc notes'!H137</f>
        <v>0</v>
      </c>
      <c r="J491" s="1226">
        <f>'GROUP Non TB - Group Acc notes'!I137</f>
        <v>0</v>
      </c>
    </row>
    <row r="492" spans="1:11" ht="18.75" customHeight="1" x14ac:dyDescent="0.3">
      <c r="A492" s="10" t="str">
        <f t="shared" si="13"/>
        <v>Do Not Print</v>
      </c>
      <c r="D492" s="2065" t="s">
        <v>2693</v>
      </c>
      <c r="E492" s="2066"/>
      <c r="F492" s="2066"/>
      <c r="G492" s="2066"/>
      <c r="H492" s="1237"/>
      <c r="I492" s="1226">
        <f>'GROUP Non TB - Group Acc notes'!H138</f>
        <v>0</v>
      </c>
      <c r="J492" s="1226">
        <f>'GROUP Non TB - Group Acc notes'!I138</f>
        <v>0</v>
      </c>
    </row>
    <row r="493" spans="1:11" x14ac:dyDescent="0.3">
      <c r="A493" s="10" t="str">
        <f>IF(A470="Print","Print","Do Not Print")</f>
        <v>Do Not Print</v>
      </c>
      <c r="D493" s="2067"/>
      <c r="E493" s="2068"/>
      <c r="F493" s="2068"/>
      <c r="G493" s="2069"/>
      <c r="H493" s="599"/>
      <c r="I493" s="600"/>
      <c r="J493" s="600"/>
    </row>
    <row r="494" spans="1:11" x14ac:dyDescent="0.3">
      <c r="A494" s="10" t="str">
        <f>IF(AND(I494=0,J494=0),"Do Not Print","Print")</f>
        <v>Do Not Print</v>
      </c>
      <c r="D494" s="2101"/>
      <c r="E494" s="2101"/>
      <c r="F494" s="2101"/>
      <c r="G494" s="2101"/>
      <c r="H494" s="651"/>
      <c r="I494" s="606">
        <f>SUM(I475:I492)</f>
        <v>0</v>
      </c>
      <c r="J494" s="606">
        <f>SUM(J475:J492)</f>
        <v>0</v>
      </c>
    </row>
    <row r="495" spans="1:11" x14ac:dyDescent="0.3">
      <c r="A495" s="10" t="str">
        <f>IF(A494="Print","Print","Do Not Print")</f>
        <v>Do Not Print</v>
      </c>
      <c r="D495" s="2036"/>
      <c r="E495" s="2036"/>
      <c r="F495" s="2036"/>
      <c r="G495" s="2036"/>
      <c r="H495" s="2036"/>
      <c r="I495" s="2036"/>
      <c r="J495" s="2036"/>
      <c r="K495" s="2036"/>
    </row>
    <row r="496" spans="1:11" x14ac:dyDescent="0.3">
      <c r="A496" s="10" t="str">
        <f>IF(A497="Print","Print","Do Not Print")</f>
        <v>Do Not Print</v>
      </c>
      <c r="D496" s="1501"/>
      <c r="E496" s="1501"/>
      <c r="F496" s="1501"/>
      <c r="G496" s="1501"/>
      <c r="H496" s="1501"/>
      <c r="I496" s="1501"/>
      <c r="J496" s="1501"/>
      <c r="K496" s="1501"/>
    </row>
    <row r="497" spans="1:11" ht="55.5" customHeight="1" x14ac:dyDescent="0.3">
      <c r="A497" s="10" t="str">
        <f>IF(A504="Print","Print","Do Not Print")</f>
        <v>Do Not Print</v>
      </c>
      <c r="D497" s="2103" t="s">
        <v>816</v>
      </c>
      <c r="E497" s="2103"/>
      <c r="F497" s="2103"/>
      <c r="G497" s="2103"/>
      <c r="H497" s="486" t="s">
        <v>343</v>
      </c>
      <c r="I497" s="586" t="str">
        <f>I473</f>
        <v>2025/26</v>
      </c>
      <c r="J497" s="586" t="str">
        <f>J473</f>
        <v>2024/25</v>
      </c>
    </row>
    <row r="498" spans="1:11" x14ac:dyDescent="0.3">
      <c r="A498" s="10" t="str">
        <f>IF(A497="Print","Print","Do Not Print")</f>
        <v>Do Not Print</v>
      </c>
      <c r="D498" s="2067"/>
      <c r="E498" s="2068"/>
      <c r="F498" s="2068"/>
      <c r="G498" s="2069"/>
      <c r="H498" s="599"/>
      <c r="I498" s="648" t="s">
        <v>450</v>
      </c>
      <c r="J498" s="648" t="s">
        <v>450</v>
      </c>
    </row>
    <row r="499" spans="1:11" ht="42" customHeight="1" x14ac:dyDescent="0.3">
      <c r="A499" s="10" t="str">
        <f>IF(AND(J499=0,I499=0),"Do Not Print","Print")</f>
        <v>Do Not Print</v>
      </c>
      <c r="D499" s="2067" t="s">
        <v>817</v>
      </c>
      <c r="E499" s="2068"/>
      <c r="F499" s="2068"/>
      <c r="G499" s="2069"/>
      <c r="H499" s="599"/>
      <c r="I499" s="598">
        <f>'GROUP Non TB - Group Acc notes'!H139</f>
        <v>0</v>
      </c>
      <c r="J499" s="598">
        <f>'GROUP Non TB - Group Acc notes'!I139</f>
        <v>0</v>
      </c>
    </row>
    <row r="500" spans="1:11" ht="53.55" customHeight="1" x14ac:dyDescent="0.3">
      <c r="A500" s="10" t="str">
        <f>IF(AND(J500=0,I500=0),"Do Not Print","Print")</f>
        <v>Do Not Print</v>
      </c>
      <c r="D500" s="2067" t="s">
        <v>818</v>
      </c>
      <c r="E500" s="2068"/>
      <c r="F500" s="2068"/>
      <c r="G500" s="2069"/>
      <c r="H500" s="599"/>
      <c r="I500" s="598">
        <f>'GROUP Non TB - Group Acc notes'!H140</f>
        <v>0</v>
      </c>
      <c r="J500" s="598">
        <f>'GROUP Non TB - Group Acc notes'!I140</f>
        <v>0</v>
      </c>
    </row>
    <row r="501" spans="1:11" ht="25.05" customHeight="1" x14ac:dyDescent="0.3">
      <c r="A501" s="10" t="str">
        <f>IF(AND(J501=0,I501=0),"Do Not Print","Print")</f>
        <v>Do Not Print</v>
      </c>
      <c r="D501" s="2067" t="s">
        <v>567</v>
      </c>
      <c r="E501" s="2068"/>
      <c r="F501" s="2068"/>
      <c r="G501" s="2069"/>
      <c r="H501" s="599"/>
      <c r="I501" s="601">
        <f>G44</f>
        <v>0</v>
      </c>
      <c r="J501" s="601">
        <f>I44</f>
        <v>0</v>
      </c>
    </row>
    <row r="502" spans="1:11" ht="25.05" customHeight="1" x14ac:dyDescent="0.3">
      <c r="A502" s="10" t="str">
        <f>IF(AND(J502=0,I502=0),"Do Not Print","Print")</f>
        <v>Do Not Print</v>
      </c>
      <c r="D502" s="2067" t="s">
        <v>51</v>
      </c>
      <c r="E502" s="2068"/>
      <c r="F502" s="2068"/>
      <c r="G502" s="2069"/>
      <c r="H502" s="599"/>
      <c r="I502" s="598">
        <f>'GROUP Non TB - Group Acc notes'!H141</f>
        <v>0</v>
      </c>
      <c r="J502" s="598">
        <f>'GROUP Non TB - Group Acc notes'!I141</f>
        <v>0</v>
      </c>
    </row>
    <row r="503" spans="1:11" x14ac:dyDescent="0.3">
      <c r="A503" s="10" t="str">
        <f>IF(A497="Print","Print","Do Not Print")</f>
        <v>Do Not Print</v>
      </c>
      <c r="D503" s="2067"/>
      <c r="E503" s="2068"/>
      <c r="F503" s="2068"/>
      <c r="G503" s="2069"/>
      <c r="H503" s="599"/>
      <c r="I503" s="600"/>
      <c r="J503" s="600"/>
    </row>
    <row r="504" spans="1:11" x14ac:dyDescent="0.3">
      <c r="A504" s="10" t="str">
        <f>IF(AND(J504=0,I504=0),"Do Not Print","Print")</f>
        <v>Do Not Print</v>
      </c>
      <c r="D504" s="2104"/>
      <c r="E504" s="2104"/>
      <c r="F504" s="2104"/>
      <c r="G504" s="2104"/>
      <c r="H504" s="633"/>
      <c r="I504" s="617">
        <f>SUM(I499:I502)</f>
        <v>0</v>
      </c>
      <c r="J504" s="617">
        <f>SUM(J499:J502)</f>
        <v>0</v>
      </c>
    </row>
    <row r="505" spans="1:11" x14ac:dyDescent="0.3">
      <c r="A505" s="10" t="str">
        <f>IF(A504="Print","Print","Do Not Print")</f>
        <v>Do Not Print</v>
      </c>
      <c r="D505" s="1500"/>
      <c r="E505" s="1500"/>
      <c r="F505" s="1500"/>
      <c r="G505" s="1500"/>
      <c r="H505" s="1500"/>
      <c r="I505" s="1500"/>
      <c r="J505" s="1500"/>
      <c r="K505" s="1500"/>
    </row>
    <row r="506" spans="1:11" x14ac:dyDescent="0.3">
      <c r="C506" s="585" t="str">
        <f>Checklist!E187</f>
        <v>b</v>
      </c>
      <c r="D506" s="1726" t="s">
        <v>382</v>
      </c>
      <c r="E506" s="1726"/>
      <c r="F506" s="1726"/>
      <c r="G506" s="1726"/>
      <c r="H506" s="1726"/>
      <c r="I506" s="1726"/>
      <c r="J506" s="1726"/>
      <c r="K506" s="1726"/>
    </row>
    <row r="507" spans="1:11" x14ac:dyDescent="0.3">
      <c r="A507" s="10" t="str">
        <f>IF(A506="Print","Print","Do Not Print")</f>
        <v>Do Not Print</v>
      </c>
      <c r="D507" s="1500"/>
      <c r="E507" s="1500"/>
      <c r="F507" s="1500"/>
      <c r="G507" s="1500"/>
      <c r="H507" s="1500"/>
      <c r="I507" s="1500"/>
      <c r="J507" s="1500"/>
      <c r="K507" s="1500"/>
    </row>
    <row r="508" spans="1:11" x14ac:dyDescent="0.3">
      <c r="A508" s="10" t="str">
        <f>IF(A516="Print","Print","Do Not Print")</f>
        <v>Do Not Print</v>
      </c>
      <c r="D508" s="1816"/>
      <c r="E508" s="1816"/>
      <c r="F508" s="1816"/>
      <c r="G508" s="1816"/>
      <c r="H508" s="486" t="s">
        <v>343</v>
      </c>
      <c r="I508" s="586" t="str">
        <f>I473</f>
        <v>2025/26</v>
      </c>
      <c r="J508" s="586" t="str">
        <f>J473</f>
        <v>2024/25</v>
      </c>
    </row>
    <row r="509" spans="1:11" x14ac:dyDescent="0.3">
      <c r="A509" s="10" t="str">
        <f>IF(A508="Print","Print","Do Not Print")</f>
        <v>Do Not Print</v>
      </c>
      <c r="D509" s="2067"/>
      <c r="E509" s="2068"/>
      <c r="F509" s="2068"/>
      <c r="G509" s="2068"/>
      <c r="H509" s="716"/>
      <c r="I509" s="648" t="s">
        <v>450</v>
      </c>
      <c r="J509" s="648" t="s">
        <v>450</v>
      </c>
    </row>
    <row r="510" spans="1:11" x14ac:dyDescent="0.3">
      <c r="A510" s="10" t="str">
        <f>IF(A509="Print","Print","Do Not Print")</f>
        <v>Do Not Print</v>
      </c>
      <c r="D510" s="2067"/>
      <c r="E510" s="2068"/>
      <c r="F510" s="2068"/>
      <c r="G510" s="2068"/>
      <c r="H510" s="716"/>
      <c r="I510" s="610"/>
      <c r="J510" s="610"/>
    </row>
    <row r="511" spans="1:11" x14ac:dyDescent="0.3">
      <c r="A511" s="10" t="str">
        <f>IF(AND(J511=0,I511=0),"Do Not Print","Print")</f>
        <v>Do Not Print</v>
      </c>
      <c r="D511" s="2067" t="s">
        <v>53</v>
      </c>
      <c r="E511" s="2068"/>
      <c r="F511" s="2068"/>
      <c r="G511" s="2069"/>
      <c r="H511" s="610"/>
      <c r="I511" s="600">
        <f>'GROUP Det Group BS'!J362</f>
        <v>0</v>
      </c>
      <c r="J511" s="600">
        <f>'GROUP Det Group BS'!K362</f>
        <v>0</v>
      </c>
    </row>
    <row r="512" spans="1:11" ht="13.5" customHeight="1" x14ac:dyDescent="0.3">
      <c r="A512" s="10" t="str">
        <f>IF(AND(J512=0,I512=0),"Do Not Print","Print")</f>
        <v>Do Not Print</v>
      </c>
      <c r="D512" s="2067" t="s">
        <v>536</v>
      </c>
      <c r="E512" s="2068"/>
      <c r="F512" s="2068"/>
      <c r="G512" s="2069"/>
      <c r="H512" s="610"/>
      <c r="I512" s="600">
        <f>'GROUP Det Group BS'!F363</f>
        <v>0</v>
      </c>
      <c r="J512" s="600">
        <f>'GROUP Det Group BS'!G363</f>
        <v>0</v>
      </c>
    </row>
    <row r="513" spans="1:11" ht="28.5" customHeight="1" x14ac:dyDescent="0.3">
      <c r="A513" s="10" t="str">
        <f>IF(AND(J513=0,I513=0),"Do Not Print","Print")</f>
        <v>Do Not Print</v>
      </c>
      <c r="D513" s="2067" t="s">
        <v>54</v>
      </c>
      <c r="E513" s="2068"/>
      <c r="F513" s="2068"/>
      <c r="G513" s="2069"/>
      <c r="H513" s="610"/>
      <c r="I513" s="598">
        <f>'GROUP Non TB - Group Acc notes'!H153</f>
        <v>0</v>
      </c>
      <c r="J513" s="598">
        <f>'GROUP Non TB - Group Acc notes'!I153</f>
        <v>0</v>
      </c>
    </row>
    <row r="514" spans="1:11" x14ac:dyDescent="0.3">
      <c r="A514" s="10" t="str">
        <f>IF(AND(J514=0,I514=0),"Do Not Print","Print")</f>
        <v>Do Not Print</v>
      </c>
      <c r="D514" s="2067" t="s">
        <v>386</v>
      </c>
      <c r="E514" s="2068"/>
      <c r="F514" s="2068"/>
      <c r="G514" s="2069"/>
      <c r="H514" s="610"/>
      <c r="I514" s="600">
        <f>'GROUP Det Group BS'!F389</f>
        <v>0</v>
      </c>
      <c r="J514" s="600">
        <f>'GROUP Det Group BS'!G389</f>
        <v>0</v>
      </c>
    </row>
    <row r="515" spans="1:11" x14ac:dyDescent="0.3">
      <c r="A515" s="10" t="str">
        <f>IF(A506="Print","Print","Do Not Print")</f>
        <v>Do Not Print</v>
      </c>
      <c r="D515" s="2067"/>
      <c r="E515" s="2068"/>
      <c r="F515" s="2068"/>
      <c r="G515" s="2068"/>
      <c r="H515" s="715"/>
      <c r="I515" s="715"/>
      <c r="J515" s="715"/>
    </row>
    <row r="516" spans="1:11" x14ac:dyDescent="0.3">
      <c r="A516" s="10" t="str">
        <f>IF(AND(J516=0,I516=0),"Do Not Print","Print")</f>
        <v>Do Not Print</v>
      </c>
      <c r="D516" s="2102"/>
      <c r="E516" s="2102"/>
      <c r="F516" s="2102"/>
      <c r="G516" s="2102"/>
      <c r="H516" s="604"/>
      <c r="I516" s="617">
        <f>SUM(I511:I514)</f>
        <v>0</v>
      </c>
      <c r="J516" s="606">
        <f>SUM(J511:J514)</f>
        <v>0</v>
      </c>
    </row>
    <row r="517" spans="1:11" x14ac:dyDescent="0.3">
      <c r="A517" s="10" t="str">
        <f>IF(A516="Print","Print","Do Not Print")</f>
        <v>Do Not Print</v>
      </c>
      <c r="K517" s="401"/>
    </row>
    <row r="518" spans="1:11" x14ac:dyDescent="0.3">
      <c r="A518" s="10" t="str">
        <f>IF(A523="Print","Print","Do Not Print")</f>
        <v>Do Not Print</v>
      </c>
      <c r="C518" s="585" t="str">
        <f>Checklist!E188</f>
        <v>c</v>
      </c>
      <c r="D518" s="2099" t="s">
        <v>1549</v>
      </c>
      <c r="E518" s="2099"/>
      <c r="F518" s="2099"/>
      <c r="G518" s="2099"/>
      <c r="H518" s="486" t="s">
        <v>343</v>
      </c>
      <c r="I518" s="586" t="str">
        <f>I473</f>
        <v>2025/26</v>
      </c>
      <c r="J518" s="586" t="str">
        <f>J473</f>
        <v>2024/25</v>
      </c>
    </row>
    <row r="519" spans="1:11" ht="13.5" customHeight="1" x14ac:dyDescent="0.3">
      <c r="A519" s="10" t="str">
        <f>IF(A523="Print","Print","Do Not Print")</f>
        <v>Do Not Print</v>
      </c>
      <c r="D519" s="2067" t="s">
        <v>537</v>
      </c>
      <c r="E519" s="2068"/>
      <c r="F519" s="2068"/>
      <c r="G519" s="2069"/>
      <c r="H519" s="652"/>
      <c r="I519" s="653" t="s">
        <v>450</v>
      </c>
      <c r="J519" s="653" t="s">
        <v>450</v>
      </c>
    </row>
    <row r="520" spans="1:11" x14ac:dyDescent="0.3">
      <c r="A520" s="10" t="str">
        <f>IF(AND(J520=0,I520=0),"Do Not Print","Print")</f>
        <v>Do Not Print</v>
      </c>
      <c r="D520" s="2070" t="s">
        <v>538</v>
      </c>
      <c r="E520" s="2071"/>
      <c r="F520" s="2071"/>
      <c r="G520" s="2072"/>
      <c r="H520" s="652"/>
      <c r="I520" s="517">
        <f>'GROUP Non TB - Group Acc notes'!H142</f>
        <v>0</v>
      </c>
      <c r="J520" s="517">
        <f>'GROUP Non TB - Group Acc notes'!I142</f>
        <v>0</v>
      </c>
    </row>
    <row r="521" spans="1:11" ht="14.4" thickBot="1" x14ac:dyDescent="0.35">
      <c r="A521" s="10" t="str">
        <f>IF(A523="Print","Print","Do Not Print")</f>
        <v>Do Not Print</v>
      </c>
      <c r="D521" s="2070"/>
      <c r="E521" s="2071"/>
      <c r="F521" s="2071"/>
      <c r="G521" s="2072"/>
      <c r="H521" s="652"/>
      <c r="I521" s="654"/>
      <c r="J521" s="654"/>
    </row>
    <row r="522" spans="1:11" ht="15" thickTop="1" thickBot="1" x14ac:dyDescent="0.35">
      <c r="A522" s="10" t="str">
        <f>IF(AND(J522=0,I522=0),"Do Not Print","Print")</f>
        <v>Do Not Print</v>
      </c>
      <c r="D522" s="2070" t="s">
        <v>539</v>
      </c>
      <c r="E522" s="2071"/>
      <c r="F522" s="2071"/>
      <c r="G522" s="2072"/>
      <c r="H522" s="652"/>
      <c r="I522" s="655">
        <f>'GROUP Non TB - Group Acc notes'!H143</f>
        <v>0</v>
      </c>
      <c r="J522" s="655">
        <f>'GROUP Non TB - Group Acc notes'!I143</f>
        <v>0</v>
      </c>
    </row>
    <row r="523" spans="1:11" ht="14.4" thickTop="1" x14ac:dyDescent="0.3">
      <c r="A523" s="10" t="str">
        <f>IF(A522="Print","Print","Do Not Print")</f>
        <v>Do Not Print</v>
      </c>
      <c r="D523" s="2070"/>
      <c r="E523" s="2071"/>
      <c r="F523" s="2071"/>
      <c r="G523" s="2072"/>
      <c r="H523" s="652"/>
      <c r="I523" s="746"/>
      <c r="J523" s="746"/>
    </row>
    <row r="524" spans="1:11" x14ac:dyDescent="0.3">
      <c r="A524" s="10" t="str">
        <f>IF(A523="Print","Print","Do Not Print")</f>
        <v>Do Not Print</v>
      </c>
      <c r="D524" s="1500"/>
      <c r="E524" s="1500"/>
      <c r="F524" s="1500"/>
      <c r="G524" s="1500"/>
      <c r="H524" s="1500"/>
      <c r="I524" s="1500"/>
      <c r="J524" s="1500"/>
      <c r="K524" s="1500"/>
    </row>
    <row r="525" spans="1:11" x14ac:dyDescent="0.3">
      <c r="A525" s="10" t="str">
        <f>IF(A537="Print","Print","Do Not Print")</f>
        <v>Do Not Print</v>
      </c>
      <c r="C525" s="585" t="str">
        <f>Checklist!E189</f>
        <v>d</v>
      </c>
      <c r="D525" s="2099" t="s">
        <v>540</v>
      </c>
      <c r="E525" s="2099"/>
      <c r="F525" s="2099"/>
      <c r="G525" s="2099"/>
      <c r="H525" s="479"/>
      <c r="I525" s="586" t="str">
        <f>I473</f>
        <v>2025/26</v>
      </c>
      <c r="J525" s="586" t="str">
        <f>J473</f>
        <v>2024/25</v>
      </c>
    </row>
    <row r="526" spans="1:11" x14ac:dyDescent="0.3">
      <c r="A526" s="10" t="str">
        <f>IF(A537="Print","Print","Do Not Print")</f>
        <v>Do Not Print</v>
      </c>
      <c r="D526" s="2070"/>
      <c r="E526" s="2071"/>
      <c r="F526" s="2071"/>
      <c r="G526" s="2072"/>
      <c r="H526" s="610"/>
      <c r="I526" s="648" t="s">
        <v>450</v>
      </c>
      <c r="J526" s="648" t="s">
        <v>450</v>
      </c>
    </row>
    <row r="527" spans="1:11" ht="29.1" customHeight="1" x14ac:dyDescent="0.3">
      <c r="A527" s="10" t="str">
        <f>IF(AND(J527=0,I527=0),"Do Not Print","Print")</f>
        <v>Do Not Print</v>
      </c>
      <c r="D527" s="2067" t="s">
        <v>541</v>
      </c>
      <c r="E527" s="2068"/>
      <c r="F527" s="2068"/>
      <c r="G527" s="2069"/>
      <c r="H527" s="610"/>
      <c r="I527" s="598">
        <f>'GROUP Non TB - Group Acc notes'!H144</f>
        <v>0</v>
      </c>
      <c r="J527" s="598">
        <f>'GROUP Non TB - Group Acc notes'!I144</f>
        <v>0</v>
      </c>
    </row>
    <row r="528" spans="1:11" ht="29.1" customHeight="1" x14ac:dyDescent="0.3">
      <c r="A528" s="10" t="str">
        <f t="shared" ref="A528:A534" si="14">IF(AND(J528=0,I528=0),"Do Not Print","Print")</f>
        <v>Do Not Print</v>
      </c>
      <c r="D528" s="2067" t="s">
        <v>542</v>
      </c>
      <c r="E528" s="2068"/>
      <c r="F528" s="2068"/>
      <c r="G528" s="2069"/>
      <c r="H528" s="610"/>
      <c r="I528" s="598">
        <f>'GROUP Non TB - Group Acc notes'!H145</f>
        <v>0</v>
      </c>
      <c r="J528" s="598">
        <f>'GROUP Non TB - Group Acc notes'!I145</f>
        <v>0</v>
      </c>
    </row>
    <row r="529" spans="1:11" ht="13.5" customHeight="1" x14ac:dyDescent="0.3">
      <c r="A529" s="10" t="str">
        <f t="shared" si="14"/>
        <v>Do Not Print</v>
      </c>
      <c r="D529" s="2067" t="s">
        <v>543</v>
      </c>
      <c r="E529" s="2068"/>
      <c r="F529" s="2068"/>
      <c r="G529" s="2069"/>
      <c r="H529" s="610"/>
      <c r="I529" s="598">
        <f>'GROUP Non TB - Group Acc notes'!H146</f>
        <v>0</v>
      </c>
      <c r="J529" s="598">
        <f>'GROUP Non TB - Group Acc notes'!I146</f>
        <v>0</v>
      </c>
    </row>
    <row r="530" spans="1:11" ht="13.5" customHeight="1" x14ac:dyDescent="0.3">
      <c r="A530" s="10" t="str">
        <f t="shared" si="14"/>
        <v>Do Not Print</v>
      </c>
      <c r="D530" s="2067" t="s">
        <v>544</v>
      </c>
      <c r="E530" s="2068"/>
      <c r="F530" s="2068"/>
      <c r="G530" s="2069"/>
      <c r="H530" s="610"/>
      <c r="I530" s="598">
        <f>'GROUP Non TB - Group Acc notes'!H147</f>
        <v>0</v>
      </c>
      <c r="J530" s="598">
        <f>'GROUP Non TB - Group Acc notes'!I147</f>
        <v>0</v>
      </c>
    </row>
    <row r="531" spans="1:11" ht="28.5" customHeight="1" x14ac:dyDescent="0.3">
      <c r="A531" s="10" t="str">
        <f t="shared" si="14"/>
        <v>Do Not Print</v>
      </c>
      <c r="D531" s="2067" t="s">
        <v>567</v>
      </c>
      <c r="E531" s="2068"/>
      <c r="F531" s="2068"/>
      <c r="G531" s="2069"/>
      <c r="H531" s="610"/>
      <c r="I531" s="601">
        <f>I501</f>
        <v>0</v>
      </c>
      <c r="J531" s="601">
        <f>J501</f>
        <v>0</v>
      </c>
    </row>
    <row r="532" spans="1:11" ht="26.25" customHeight="1" x14ac:dyDescent="0.3">
      <c r="A532" s="10" t="str">
        <f t="shared" si="14"/>
        <v>Do Not Print</v>
      </c>
      <c r="D532" s="2067" t="s">
        <v>545</v>
      </c>
      <c r="E532" s="2068"/>
      <c r="F532" s="2068"/>
      <c r="G532" s="2069"/>
      <c r="H532" s="610"/>
      <c r="I532" s="598">
        <f>'GROUP Non TB - Group Acc notes'!H148</f>
        <v>0</v>
      </c>
      <c r="J532" s="598">
        <f>'GROUP Non TB - Group Acc notes'!I148</f>
        <v>0</v>
      </c>
    </row>
    <row r="533" spans="1:11" ht="13.5" customHeight="1" x14ac:dyDescent="0.3">
      <c r="A533" s="10" t="str">
        <f t="shared" si="14"/>
        <v>Do Not Print</v>
      </c>
      <c r="D533" s="2067" t="s">
        <v>546</v>
      </c>
      <c r="E533" s="2068"/>
      <c r="F533" s="2068"/>
      <c r="G533" s="2069"/>
      <c r="H533" s="610"/>
      <c r="I533" s="598">
        <f>'GROUP Non TB - Group Acc notes'!H149</f>
        <v>0</v>
      </c>
      <c r="J533" s="598">
        <f>'GROUP Non TB - Group Acc notes'!I149</f>
        <v>0</v>
      </c>
    </row>
    <row r="534" spans="1:11" ht="13.5" customHeight="1" x14ac:dyDescent="0.3">
      <c r="A534" s="10" t="str">
        <f t="shared" si="14"/>
        <v>Do Not Print</v>
      </c>
      <c r="D534" s="2067" t="s">
        <v>547</v>
      </c>
      <c r="E534" s="2068"/>
      <c r="F534" s="2068"/>
      <c r="G534" s="2069"/>
      <c r="H534" s="610"/>
      <c r="I534" s="598">
        <f>'GROUP Non TB - Group Acc notes'!H150</f>
        <v>0</v>
      </c>
      <c r="J534" s="598">
        <f>'GROUP Non TB - Group Acc notes'!I150</f>
        <v>0</v>
      </c>
    </row>
    <row r="535" spans="1:11" ht="13.5" customHeight="1" x14ac:dyDescent="0.3">
      <c r="A535" s="10" t="str">
        <f>IF(AND(J535=0,I535=0),"Do Not Print","Print")</f>
        <v>Do Not Print</v>
      </c>
      <c r="D535" s="2067" t="s">
        <v>548</v>
      </c>
      <c r="E535" s="2068"/>
      <c r="F535" s="2068"/>
      <c r="G535" s="2069"/>
      <c r="H535" s="610"/>
      <c r="I535" s="598">
        <f>'GROUP Non TB - Group Acc notes'!H151</f>
        <v>0</v>
      </c>
      <c r="J535" s="598">
        <f>'GROUP Non TB - Group Acc notes'!I151</f>
        <v>0</v>
      </c>
    </row>
    <row r="536" spans="1:11" x14ac:dyDescent="0.3">
      <c r="A536" s="10" t="str">
        <f>IF(A537="Print","Print","Do Not Print")</f>
        <v>Do Not Print</v>
      </c>
      <c r="D536" s="2070"/>
      <c r="E536" s="2071"/>
      <c r="F536" s="2071"/>
      <c r="G536" s="2071"/>
      <c r="H536" s="747"/>
      <c r="I536" s="747"/>
      <c r="J536" s="748"/>
    </row>
    <row r="537" spans="1:11" x14ac:dyDescent="0.3">
      <c r="A537" s="10" t="str">
        <f>IF(AND(J537=0,I537=0),"Do Not Print","Print")</f>
        <v>Do Not Print</v>
      </c>
      <c r="D537" s="2102" t="s">
        <v>549</v>
      </c>
      <c r="E537" s="2102"/>
      <c r="F537" s="2102"/>
      <c r="G537" s="2102"/>
      <c r="H537" s="474"/>
      <c r="I537" s="606">
        <f>SUM(I527:I535)</f>
        <v>0</v>
      </c>
      <c r="J537" s="606">
        <f>SUM(J527:J535)</f>
        <v>0</v>
      </c>
    </row>
    <row r="538" spans="1:11" x14ac:dyDescent="0.3">
      <c r="A538" s="10" t="str">
        <f>IF(A537="Print","Print","Do Not Print")</f>
        <v>Do Not Print</v>
      </c>
      <c r="K538" s="401"/>
    </row>
    <row r="539" spans="1:11" x14ac:dyDescent="0.3">
      <c r="A539" s="10" t="str">
        <f>IF(A548="Print","Print","Do Not Print")</f>
        <v>Do Not Print</v>
      </c>
      <c r="K539" s="401"/>
    </row>
    <row r="540" spans="1:11" x14ac:dyDescent="0.3">
      <c r="A540" s="10" t="str">
        <f>IF(A548="Print","Print","Do Not Print")</f>
        <v>Do Not Print</v>
      </c>
      <c r="C540" s="585" t="str">
        <f>Checklist!E190</f>
        <v>e</v>
      </c>
      <c r="D540" s="1816" t="s">
        <v>550</v>
      </c>
      <c r="E540" s="1816"/>
      <c r="F540" s="1816"/>
      <c r="G540" s="1816"/>
      <c r="H540" s="474"/>
      <c r="I540" s="586" t="str">
        <f>I473</f>
        <v>2025/26</v>
      </c>
      <c r="J540" s="586" t="str">
        <f>J473</f>
        <v>2024/25</v>
      </c>
    </row>
    <row r="541" spans="1:11" x14ac:dyDescent="0.3">
      <c r="A541" s="10" t="str">
        <f>IF(A548="Print","Print","Do Not Print")</f>
        <v>Do Not Print</v>
      </c>
      <c r="D541" s="2070"/>
      <c r="E541" s="2071"/>
      <c r="F541" s="2071"/>
      <c r="G541" s="2072"/>
      <c r="H541" s="610"/>
      <c r="I541" s="648" t="s">
        <v>450</v>
      </c>
      <c r="J541" s="648" t="s">
        <v>450</v>
      </c>
    </row>
    <row r="542" spans="1:11" x14ac:dyDescent="0.3">
      <c r="A542" s="10" t="str">
        <f>IF(AND(J542=0,I542=0),"Do Not Print","Print")</f>
        <v>Do Not Print</v>
      </c>
      <c r="D542" s="2070" t="s">
        <v>551</v>
      </c>
      <c r="E542" s="2071"/>
      <c r="F542" s="2071"/>
      <c r="G542" s="2072"/>
      <c r="H542" s="610"/>
      <c r="I542" s="598">
        <f>'GROUP Non TB - Group Acc notes'!H154</f>
        <v>0</v>
      </c>
      <c r="J542" s="598">
        <f>'GROUP Non TB - Group Acc notes'!I154</f>
        <v>0</v>
      </c>
    </row>
    <row r="543" spans="1:11" x14ac:dyDescent="0.3">
      <c r="A543" s="10" t="str">
        <f>IF(AND(J543=0,I543=0),"Do Not Print","Print")</f>
        <v>Do Not Print</v>
      </c>
      <c r="D543" s="2070" t="s">
        <v>552</v>
      </c>
      <c r="E543" s="2071"/>
      <c r="F543" s="2071"/>
      <c r="G543" s="2072"/>
      <c r="H543" s="610"/>
      <c r="I543" s="598">
        <f>'GROUP Non TB - Group Acc notes'!H155</f>
        <v>0</v>
      </c>
      <c r="J543" s="598">
        <f>'GROUP Non TB - Group Acc notes'!I155</f>
        <v>0</v>
      </c>
    </row>
    <row r="544" spans="1:11" ht="13.5" customHeight="1" x14ac:dyDescent="0.3">
      <c r="A544" s="10" t="str">
        <f>IF(AND(J544=0,I544=0),"Do Not Print","Print")</f>
        <v>Do Not Print</v>
      </c>
      <c r="D544" s="2097" t="s">
        <v>2843</v>
      </c>
      <c r="E544" s="2098"/>
      <c r="F544" s="2098"/>
      <c r="G544" s="1659"/>
      <c r="H544" s="610"/>
      <c r="I544" s="598">
        <f>'GROUP Non TB - Group Acc notes'!H156</f>
        <v>0</v>
      </c>
      <c r="J544" s="598">
        <f>'GROUP Non TB - Group Acc notes'!I156</f>
        <v>0</v>
      </c>
    </row>
    <row r="545" spans="1:10" x14ac:dyDescent="0.3">
      <c r="A545" s="10" t="str">
        <f>IF(AND(J545=0,I545=0),"Do Not Print","Print")</f>
        <v>Do Not Print</v>
      </c>
      <c r="D545" s="2070" t="s">
        <v>553</v>
      </c>
      <c r="E545" s="2071"/>
      <c r="F545" s="2071"/>
      <c r="G545" s="2072"/>
      <c r="H545" s="610"/>
      <c r="I545" s="598">
        <f>'GROUP Non TB - Group Acc notes'!H157</f>
        <v>0</v>
      </c>
      <c r="J545" s="598">
        <f>'GROUP Non TB - Group Acc notes'!I157</f>
        <v>0</v>
      </c>
    </row>
    <row r="546" spans="1:10" x14ac:dyDescent="0.3">
      <c r="A546" s="10" t="str">
        <f>IF(AND(J546=0,I546=0),"Do Not Print","Print")</f>
        <v>Do Not Print</v>
      </c>
      <c r="D546" s="2070" t="s">
        <v>554</v>
      </c>
      <c r="E546" s="2071"/>
      <c r="F546" s="2071"/>
      <c r="G546" s="2072"/>
      <c r="H546" s="610"/>
      <c r="I546" s="598">
        <f>'GROUP Non TB - Group Acc notes'!H158</f>
        <v>0</v>
      </c>
      <c r="J546" s="598">
        <f>'GROUP Non TB - Group Acc notes'!I158</f>
        <v>0</v>
      </c>
    </row>
    <row r="547" spans="1:10" x14ac:dyDescent="0.3">
      <c r="A547" s="10" t="str">
        <f>IF(A548="Print","Print","Do Not Print")</f>
        <v>Do Not Print</v>
      </c>
      <c r="D547" s="2070"/>
      <c r="E547" s="2071"/>
      <c r="F547" s="2071"/>
      <c r="G547" s="2072"/>
      <c r="H547" s="610"/>
      <c r="I547" s="610"/>
      <c r="J547" s="610"/>
    </row>
    <row r="548" spans="1:10" x14ac:dyDescent="0.3">
      <c r="A548" s="10" t="str">
        <f>IF(AND(J548=0,I548=0),"Do Not Print","Print")</f>
        <v>Do Not Print</v>
      </c>
      <c r="D548" s="2102" t="s">
        <v>555</v>
      </c>
      <c r="E548" s="2102"/>
      <c r="F548" s="2102"/>
      <c r="G548" s="2102"/>
      <c r="H548" s="474"/>
      <c r="I548" s="606">
        <f>SUM(I542:I546)</f>
        <v>0</v>
      </c>
      <c r="J548" s="606">
        <f>SUM(J542:J546)</f>
        <v>0</v>
      </c>
    </row>
    <row r="549" spans="1:10" x14ac:dyDescent="0.3">
      <c r="A549" s="10" t="str">
        <f>IF(A548="Print","Print","Do Not Print")</f>
        <v>Do Not Print</v>
      </c>
    </row>
    <row r="550" spans="1:10" x14ac:dyDescent="0.3">
      <c r="A550" s="10" t="str">
        <f>IF(A548="Print","Print","Do Not Print")</f>
        <v>Do Not Print</v>
      </c>
    </row>
    <row r="551" spans="1:10" x14ac:dyDescent="0.3">
      <c r="A551" s="10" t="str">
        <f>IF(A548="Print","Print","Do Not Print")</f>
        <v>Do Not Print</v>
      </c>
    </row>
    <row r="552" spans="1:10" x14ac:dyDescent="0.3">
      <c r="A552" s="10" t="str">
        <f>IF(A548="Print","Print","Do Not Print")</f>
        <v>Do Not Print</v>
      </c>
    </row>
    <row r="553" spans="1:10" x14ac:dyDescent="0.3">
      <c r="A553" s="10" t="s">
        <v>448</v>
      </c>
    </row>
    <row r="554" spans="1:10" x14ac:dyDescent="0.3">
      <c r="A554" s="10" t="s">
        <v>448</v>
      </c>
    </row>
  </sheetData>
  <autoFilter ref="A4:S4" xr:uid="{00000000-0001-0000-2100-000000000000}"/>
  <mergeCells count="491">
    <mergeCell ref="D546:G546"/>
    <mergeCell ref="D547:G547"/>
    <mergeCell ref="D548:G548"/>
    <mergeCell ref="D497:G497"/>
    <mergeCell ref="D537:G537"/>
    <mergeCell ref="D540:G540"/>
    <mergeCell ref="D541:G541"/>
    <mergeCell ref="D542:G542"/>
    <mergeCell ref="D543:G543"/>
    <mergeCell ref="D504:G504"/>
    <mergeCell ref="D508:G508"/>
    <mergeCell ref="D509:G509"/>
    <mergeCell ref="D510:G510"/>
    <mergeCell ref="D515:G515"/>
    <mergeCell ref="D514:G514"/>
    <mergeCell ref="D516:G516"/>
    <mergeCell ref="D518:G518"/>
    <mergeCell ref="D519:G519"/>
    <mergeCell ref="D520:G520"/>
    <mergeCell ref="D507:K507"/>
    <mergeCell ref="D511:G511"/>
    <mergeCell ref="D512:G512"/>
    <mergeCell ref="D521:G521"/>
    <mergeCell ref="D522:G522"/>
    <mergeCell ref="D525:G525"/>
    <mergeCell ref="D526:G526"/>
    <mergeCell ref="D513:G513"/>
    <mergeCell ref="D473:G473"/>
    <mergeCell ref="D474:G474"/>
    <mergeCell ref="D475:G475"/>
    <mergeCell ref="D476:G476"/>
    <mergeCell ref="D477:G477"/>
    <mergeCell ref="D478:G478"/>
    <mergeCell ref="D479:G479"/>
    <mergeCell ref="D480:G480"/>
    <mergeCell ref="D481:G481"/>
    <mergeCell ref="D506:K506"/>
    <mergeCell ref="D499:G499"/>
    <mergeCell ref="D500:G500"/>
    <mergeCell ref="D501:G501"/>
    <mergeCell ref="D502:G502"/>
    <mergeCell ref="D503:G503"/>
    <mergeCell ref="D495:K495"/>
    <mergeCell ref="D496:K496"/>
    <mergeCell ref="D482:G482"/>
    <mergeCell ref="D483:G483"/>
    <mergeCell ref="D484:G484"/>
    <mergeCell ref="D494:G494"/>
    <mergeCell ref="D544:G544"/>
    <mergeCell ref="D545:G545"/>
    <mergeCell ref="D532:G532"/>
    <mergeCell ref="D533:G533"/>
    <mergeCell ref="D534:G534"/>
    <mergeCell ref="D535:G535"/>
    <mergeCell ref="D536:G536"/>
    <mergeCell ref="D527:G527"/>
    <mergeCell ref="D528:G528"/>
    <mergeCell ref="D529:G529"/>
    <mergeCell ref="D530:G530"/>
    <mergeCell ref="D531:G531"/>
    <mergeCell ref="D498:G498"/>
    <mergeCell ref="D487:G487"/>
    <mergeCell ref="D488:G488"/>
    <mergeCell ref="D505:K505"/>
    <mergeCell ref="D524:K524"/>
    <mergeCell ref="D211:J211"/>
    <mergeCell ref="D493:G493"/>
    <mergeCell ref="D212:K212"/>
    <mergeCell ref="D213:K213"/>
    <mergeCell ref="D214:K214"/>
    <mergeCell ref="D215:K215"/>
    <mergeCell ref="D216:K216"/>
    <mergeCell ref="D217:K217"/>
    <mergeCell ref="D218:K218"/>
    <mergeCell ref="D219:K219"/>
    <mergeCell ref="D220:K220"/>
    <mergeCell ref="D221:K221"/>
    <mergeCell ref="D222:K222"/>
    <mergeCell ref="D223:K223"/>
    <mergeCell ref="D224:K224"/>
    <mergeCell ref="D225:K225"/>
    <mergeCell ref="D523:G523"/>
    <mergeCell ref="D226:K226"/>
    <mergeCell ref="D227:K227"/>
    <mergeCell ref="D230:H230"/>
    <mergeCell ref="D231:H231"/>
    <mergeCell ref="D232:H232"/>
    <mergeCell ref="D233:H233"/>
    <mergeCell ref="D234:H234"/>
    <mergeCell ref="D235:H235"/>
    <mergeCell ref="D206:J206"/>
    <mergeCell ref="D204:G204"/>
    <mergeCell ref="D208:J208"/>
    <mergeCell ref="D210:J210"/>
    <mergeCell ref="D187:G187"/>
    <mergeCell ref="D199:G199"/>
    <mergeCell ref="D193:H194"/>
    <mergeCell ref="D189:J189"/>
    <mergeCell ref="D192:J192"/>
    <mergeCell ref="D195:G195"/>
    <mergeCell ref="D196:G196"/>
    <mergeCell ref="D197:G197"/>
    <mergeCell ref="D191:J191"/>
    <mergeCell ref="D203:G203"/>
    <mergeCell ref="D188:G188"/>
    <mergeCell ref="D205:G205"/>
    <mergeCell ref="D173:J173"/>
    <mergeCell ref="D177:G177"/>
    <mergeCell ref="D165:G165"/>
    <mergeCell ref="D166:G166"/>
    <mergeCell ref="D168:J168"/>
    <mergeCell ref="D170:J170"/>
    <mergeCell ref="D172:J172"/>
    <mergeCell ref="D183:G183"/>
    <mergeCell ref="D184:G184"/>
    <mergeCell ref="D178:G178"/>
    <mergeCell ref="D179:G179"/>
    <mergeCell ref="D180:G180"/>
    <mergeCell ref="D181:G181"/>
    <mergeCell ref="D182:G182"/>
    <mergeCell ref="D167:G167"/>
    <mergeCell ref="D198:G198"/>
    <mergeCell ref="D200:G200"/>
    <mergeCell ref="D201:G201"/>
    <mergeCell ref="D202:G202"/>
    <mergeCell ref="D185:G185"/>
    <mergeCell ref="D186:G186"/>
    <mergeCell ref="D161:G161"/>
    <mergeCell ref="D162:G162"/>
    <mergeCell ref="D163:G163"/>
    <mergeCell ref="D164:G164"/>
    <mergeCell ref="D155:G155"/>
    <mergeCell ref="D156:G156"/>
    <mergeCell ref="D157:G157"/>
    <mergeCell ref="D158:G158"/>
    <mergeCell ref="D159:G159"/>
    <mergeCell ref="D152:G152"/>
    <mergeCell ref="D153:G153"/>
    <mergeCell ref="D154:G154"/>
    <mergeCell ref="D141:G141"/>
    <mergeCell ref="D142:G142"/>
    <mergeCell ref="D143:G143"/>
    <mergeCell ref="D144:G144"/>
    <mergeCell ref="D146:J146"/>
    <mergeCell ref="D160:G160"/>
    <mergeCell ref="D139:G139"/>
    <mergeCell ref="D140:G140"/>
    <mergeCell ref="D131:G131"/>
    <mergeCell ref="D132:G132"/>
    <mergeCell ref="D133:G133"/>
    <mergeCell ref="D134:G134"/>
    <mergeCell ref="D135:G135"/>
    <mergeCell ref="D148:J148"/>
    <mergeCell ref="D151:G151"/>
    <mergeCell ref="D145:G145"/>
    <mergeCell ref="D130:G130"/>
    <mergeCell ref="D114:J114"/>
    <mergeCell ref="D117:H117"/>
    <mergeCell ref="D118:H118"/>
    <mergeCell ref="D119:H119"/>
    <mergeCell ref="D120:H120"/>
    <mergeCell ref="D136:G136"/>
    <mergeCell ref="D137:G137"/>
    <mergeCell ref="D138:G138"/>
    <mergeCell ref="D100:H100"/>
    <mergeCell ref="D101:H101"/>
    <mergeCell ref="D102:H102"/>
    <mergeCell ref="D103:J103"/>
    <mergeCell ref="D105:J105"/>
    <mergeCell ref="D121:H121"/>
    <mergeCell ref="D122:H122"/>
    <mergeCell ref="D123:H123"/>
    <mergeCell ref="D124:J124"/>
    <mergeCell ref="D80:J80"/>
    <mergeCell ref="G63:H63"/>
    <mergeCell ref="D94:J94"/>
    <mergeCell ref="D95:J95"/>
    <mergeCell ref="D98:H98"/>
    <mergeCell ref="D89:J89"/>
    <mergeCell ref="D90:J90"/>
    <mergeCell ref="D91:J91"/>
    <mergeCell ref="D92:J92"/>
    <mergeCell ref="D93:J93"/>
    <mergeCell ref="D66:J66"/>
    <mergeCell ref="G65:H65"/>
    <mergeCell ref="G67:H67"/>
    <mergeCell ref="G68:H68"/>
    <mergeCell ref="G69:H69"/>
    <mergeCell ref="D71:F71"/>
    <mergeCell ref="D73:F73"/>
    <mergeCell ref="I68:J68"/>
    <mergeCell ref="I69:J69"/>
    <mergeCell ref="G71:H71"/>
    <mergeCell ref="G73:H73"/>
    <mergeCell ref="G75:H75"/>
    <mergeCell ref="I73:J73"/>
    <mergeCell ref="I75:J75"/>
    <mergeCell ref="D40:E40"/>
    <mergeCell ref="D41:E41"/>
    <mergeCell ref="D42:E42"/>
    <mergeCell ref="D43:E43"/>
    <mergeCell ref="D50:E50"/>
    <mergeCell ref="D51:E51"/>
    <mergeCell ref="D52:E52"/>
    <mergeCell ref="D53:E53"/>
    <mergeCell ref="D54:E54"/>
    <mergeCell ref="D45:E45"/>
    <mergeCell ref="D46:E46"/>
    <mergeCell ref="D47:E47"/>
    <mergeCell ref="D48:E48"/>
    <mergeCell ref="D49:E49"/>
    <mergeCell ref="D72:J72"/>
    <mergeCell ref="D70:J70"/>
    <mergeCell ref="D10:J10"/>
    <mergeCell ref="D11:J11"/>
    <mergeCell ref="D18:J18"/>
    <mergeCell ref="D19:J19"/>
    <mergeCell ref="D20:J20"/>
    <mergeCell ref="D21:J21"/>
    <mergeCell ref="D23:J23"/>
    <mergeCell ref="D24:J24"/>
    <mergeCell ref="D25:J25"/>
    <mergeCell ref="D17:J17"/>
    <mergeCell ref="D16:J16"/>
    <mergeCell ref="D26:J26"/>
    <mergeCell ref="D27:J27"/>
    <mergeCell ref="D28:J28"/>
    <mergeCell ref="D22:J22"/>
    <mergeCell ref="D29:J29"/>
    <mergeCell ref="D30:J30"/>
    <mergeCell ref="D31:J31"/>
    <mergeCell ref="D12:J12"/>
    <mergeCell ref="D13:J13"/>
    <mergeCell ref="D14:J14"/>
    <mergeCell ref="D15:J15"/>
    <mergeCell ref="D77:J77"/>
    <mergeCell ref="D85:H85"/>
    <mergeCell ref="D63:F63"/>
    <mergeCell ref="D64:F64"/>
    <mergeCell ref="I63:J63"/>
    <mergeCell ref="I64:J64"/>
    <mergeCell ref="D32:J32"/>
    <mergeCell ref="D33:J33"/>
    <mergeCell ref="D34:J34"/>
    <mergeCell ref="D37:J37"/>
    <mergeCell ref="D38:E38"/>
    <mergeCell ref="D39:E39"/>
    <mergeCell ref="D44:E44"/>
    <mergeCell ref="D62:J62"/>
    <mergeCell ref="I35:J35"/>
    <mergeCell ref="D55:E55"/>
    <mergeCell ref="D56:E56"/>
    <mergeCell ref="D57:E57"/>
    <mergeCell ref="D59:E59"/>
    <mergeCell ref="G35:H35"/>
    <mergeCell ref="I74:J74"/>
    <mergeCell ref="I71:J71"/>
    <mergeCell ref="I65:J65"/>
    <mergeCell ref="I67:J67"/>
    <mergeCell ref="D86:H86"/>
    <mergeCell ref="D87:J87"/>
    <mergeCell ref="D99:H99"/>
    <mergeCell ref="D106:J106"/>
    <mergeCell ref="D109:H109"/>
    <mergeCell ref="D110:H110"/>
    <mergeCell ref="D111:J111"/>
    <mergeCell ref="D113:J113"/>
    <mergeCell ref="G64:H64"/>
    <mergeCell ref="D75:F75"/>
    <mergeCell ref="D76:F76"/>
    <mergeCell ref="D65:F65"/>
    <mergeCell ref="D67:F67"/>
    <mergeCell ref="D68:F68"/>
    <mergeCell ref="D69:F69"/>
    <mergeCell ref="D74:F74"/>
    <mergeCell ref="G74:H74"/>
    <mergeCell ref="I76:J76"/>
    <mergeCell ref="D78:F78"/>
    <mergeCell ref="D84:H84"/>
    <mergeCell ref="D79:J79"/>
    <mergeCell ref="I78:J78"/>
    <mergeCell ref="G76:H76"/>
    <mergeCell ref="G78:H78"/>
    <mergeCell ref="D236:H236"/>
    <mergeCell ref="D237:H237"/>
    <mergeCell ref="D238:H238"/>
    <mergeCell ref="D239:H239"/>
    <mergeCell ref="D240:H240"/>
    <mergeCell ref="D241:H241"/>
    <mergeCell ref="D242:H242"/>
    <mergeCell ref="D243:K243"/>
    <mergeCell ref="D245:K245"/>
    <mergeCell ref="D247:K247"/>
    <mergeCell ref="D248:G248"/>
    <mergeCell ref="D250:H250"/>
    <mergeCell ref="D251:H251"/>
    <mergeCell ref="D252:H252"/>
    <mergeCell ref="D246:K246"/>
    <mergeCell ref="D253:H253"/>
    <mergeCell ref="D254:K254"/>
    <mergeCell ref="D255:I255"/>
    <mergeCell ref="D260:H260"/>
    <mergeCell ref="D258:H259"/>
    <mergeCell ref="D261:H261"/>
    <mergeCell ref="D262:H262"/>
    <mergeCell ref="D263:H263"/>
    <mergeCell ref="D264:H264"/>
    <mergeCell ref="D265:D268"/>
    <mergeCell ref="E265:H265"/>
    <mergeCell ref="E266:H266"/>
    <mergeCell ref="E267:H267"/>
    <mergeCell ref="E268:H268"/>
    <mergeCell ref="D269:H269"/>
    <mergeCell ref="D270:H270"/>
    <mergeCell ref="D271:H271"/>
    <mergeCell ref="D272:H272"/>
    <mergeCell ref="D273:H273"/>
    <mergeCell ref="D274:I274"/>
    <mergeCell ref="D276:K276"/>
    <mergeCell ref="D279:H279"/>
    <mergeCell ref="D280:H280"/>
    <mergeCell ref="D281:H281"/>
    <mergeCell ref="D282:H282"/>
    <mergeCell ref="D283:H283"/>
    <mergeCell ref="D284:H284"/>
    <mergeCell ref="D285:H285"/>
    <mergeCell ref="D286:H286"/>
    <mergeCell ref="D287:H287"/>
    <mergeCell ref="D288:K288"/>
    <mergeCell ref="D290:K290"/>
    <mergeCell ref="D291:K291"/>
    <mergeCell ref="D292:K292"/>
    <mergeCell ref="D293:K293"/>
    <mergeCell ref="D294:K294"/>
    <mergeCell ref="D297:H297"/>
    <mergeCell ref="D298:H298"/>
    <mergeCell ref="D299:H299"/>
    <mergeCell ref="D300:H300"/>
    <mergeCell ref="D302:K302"/>
    <mergeCell ref="D301:H301"/>
    <mergeCell ref="D304:K304"/>
    <mergeCell ref="D305:K305"/>
    <mergeCell ref="D306:K306"/>
    <mergeCell ref="D307:K307"/>
    <mergeCell ref="D308:K308"/>
    <mergeCell ref="D309:K309"/>
    <mergeCell ref="D310:K310"/>
    <mergeCell ref="D311:K311"/>
    <mergeCell ref="D312:K312"/>
    <mergeCell ref="D315:H315"/>
    <mergeCell ref="D316:H316"/>
    <mergeCell ref="D317:H317"/>
    <mergeCell ref="D318:H318"/>
    <mergeCell ref="D319:H319"/>
    <mergeCell ref="D320:H320"/>
    <mergeCell ref="D321:H321"/>
    <mergeCell ref="D322:H322"/>
    <mergeCell ref="D323:H323"/>
    <mergeCell ref="D324:H324"/>
    <mergeCell ref="D330:H330"/>
    <mergeCell ref="D331:H331"/>
    <mergeCell ref="D337:H337"/>
    <mergeCell ref="D338:H338"/>
    <mergeCell ref="D339:H339"/>
    <mergeCell ref="D340:H340"/>
    <mergeCell ref="D341:H341"/>
    <mergeCell ref="D342:H342"/>
    <mergeCell ref="D335:G335"/>
    <mergeCell ref="D343:H343"/>
    <mergeCell ref="D344:H344"/>
    <mergeCell ref="D345:H345"/>
    <mergeCell ref="D346:H346"/>
    <mergeCell ref="D347:H347"/>
    <mergeCell ref="D348:K348"/>
    <mergeCell ref="D349:K349"/>
    <mergeCell ref="D350:K350"/>
    <mergeCell ref="D351:K351"/>
    <mergeCell ref="D360:I360"/>
    <mergeCell ref="D361:K361"/>
    <mergeCell ref="D364:K364"/>
    <mergeCell ref="D367:K367"/>
    <mergeCell ref="D375:K375"/>
    <mergeCell ref="D379:I379"/>
    <mergeCell ref="D380:I380"/>
    <mergeCell ref="D381:I381"/>
    <mergeCell ref="D382:I382"/>
    <mergeCell ref="D363:K363"/>
    <mergeCell ref="D365:K365"/>
    <mergeCell ref="D366:K366"/>
    <mergeCell ref="D368:K368"/>
    <mergeCell ref="D373:K373"/>
    <mergeCell ref="D374:K374"/>
    <mergeCell ref="D376:K376"/>
    <mergeCell ref="D383:I383"/>
    <mergeCell ref="D384:I384"/>
    <mergeCell ref="D385:I385"/>
    <mergeCell ref="D386:I386"/>
    <mergeCell ref="D387:I387"/>
    <mergeCell ref="D388:I388"/>
    <mergeCell ref="D389:I389"/>
    <mergeCell ref="D390:I390"/>
    <mergeCell ref="D391:I391"/>
    <mergeCell ref="D392:I392"/>
    <mergeCell ref="D393:I393"/>
    <mergeCell ref="D394:I394"/>
    <mergeCell ref="D395:I395"/>
    <mergeCell ref="D396:I396"/>
    <mergeCell ref="D397:I397"/>
    <mergeCell ref="D398:I398"/>
    <mergeCell ref="D399:I399"/>
    <mergeCell ref="D400:I400"/>
    <mergeCell ref="D401:I401"/>
    <mergeCell ref="D402:I402"/>
    <mergeCell ref="D403:K403"/>
    <mergeCell ref="D404:K404"/>
    <mergeCell ref="D405:K405"/>
    <mergeCell ref="D406:K406"/>
    <mergeCell ref="D407:K407"/>
    <mergeCell ref="D408:K408"/>
    <mergeCell ref="D409:K409"/>
    <mergeCell ref="D410:K410"/>
    <mergeCell ref="D411:K411"/>
    <mergeCell ref="D412:K412"/>
    <mergeCell ref="D413:K413"/>
    <mergeCell ref="D414:K414"/>
    <mergeCell ref="D415:K415"/>
    <mergeCell ref="D416:I416"/>
    <mergeCell ref="D417:I417"/>
    <mergeCell ref="D418:I418"/>
    <mergeCell ref="D419:I419"/>
    <mergeCell ref="D420:I420"/>
    <mergeCell ref="D421:I421"/>
    <mergeCell ref="D422:I422"/>
    <mergeCell ref="D423:I423"/>
    <mergeCell ref="D424:I424"/>
    <mergeCell ref="D425:I425"/>
    <mergeCell ref="D426:I426"/>
    <mergeCell ref="D427:I427"/>
    <mergeCell ref="D439:I439"/>
    <mergeCell ref="D440:I440"/>
    <mergeCell ref="D441:I441"/>
    <mergeCell ref="D442:I442"/>
    <mergeCell ref="D443:I443"/>
    <mergeCell ref="D444:I444"/>
    <mergeCell ref="D445:K445"/>
    <mergeCell ref="D428:I428"/>
    <mergeCell ref="D429:I429"/>
    <mergeCell ref="D430:I430"/>
    <mergeCell ref="D431:I431"/>
    <mergeCell ref="D432:I432"/>
    <mergeCell ref="D433:I433"/>
    <mergeCell ref="D434:I434"/>
    <mergeCell ref="D435:I435"/>
    <mergeCell ref="D436:I436"/>
    <mergeCell ref="D352:K352"/>
    <mergeCell ref="D353:K353"/>
    <mergeCell ref="D354:K354"/>
    <mergeCell ref="D357:I357"/>
    <mergeCell ref="D358:I358"/>
    <mergeCell ref="D359:I359"/>
    <mergeCell ref="D448:K448"/>
    <mergeCell ref="D462:K462"/>
    <mergeCell ref="D449:K449"/>
    <mergeCell ref="D450:K450"/>
    <mergeCell ref="D451:K451"/>
    <mergeCell ref="D371:H371"/>
    <mergeCell ref="D372:H372"/>
    <mergeCell ref="D446:K446"/>
    <mergeCell ref="D454:H454"/>
    <mergeCell ref="D455:H455"/>
    <mergeCell ref="D456:H456"/>
    <mergeCell ref="D457:H457"/>
    <mergeCell ref="D458:H458"/>
    <mergeCell ref="D459:H459"/>
    <mergeCell ref="D460:H460"/>
    <mergeCell ref="D461:K461"/>
    <mergeCell ref="D437:I437"/>
    <mergeCell ref="D438:I438"/>
    <mergeCell ref="D489:G489"/>
    <mergeCell ref="D490:G490"/>
    <mergeCell ref="D491:G491"/>
    <mergeCell ref="D492:G492"/>
    <mergeCell ref="D463:K463"/>
    <mergeCell ref="D464:K464"/>
    <mergeCell ref="D465:K465"/>
    <mergeCell ref="D466:K466"/>
    <mergeCell ref="D467:K467"/>
    <mergeCell ref="D468:K468"/>
    <mergeCell ref="D469:K469"/>
    <mergeCell ref="D485:G485"/>
    <mergeCell ref="D486:G486"/>
  </mergeCells>
  <pageMargins left="0.7" right="0.7" top="0.75" bottom="0.75" header="0.3" footer="0.3"/>
  <pageSetup paperSize="9" orientation="portrait" verticalDpi="0" r:id="rId1"/>
  <ignoredErrors>
    <ignoredError sqref="G73 I73 G67:J67" formulaRange="1"/>
    <ignoredError sqref="A20:A31 I44 A38:A54 A61:A80 A56:A57 A84:A87 A89:A95 A97:A106 A108:A111 A113:A114 A117:A124 A493:A554 A189:A204 A168:A187 A126:A144 A146:A166 A206:A488"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104"/>
  <sheetViews>
    <sheetView topLeftCell="A79" zoomScaleNormal="100" workbookViewId="0">
      <selection activeCell="D68" sqref="D68"/>
    </sheetView>
  </sheetViews>
  <sheetFormatPr defaultColWidth="9.109375" defaultRowHeight="13.8" x14ac:dyDescent="0.3"/>
  <cols>
    <col min="1" max="1" width="14.88671875" customWidth="1"/>
    <col min="2" max="2" width="5.109375" style="401" customWidth="1"/>
    <col min="3" max="3" width="2.6640625" style="401" customWidth="1"/>
    <col min="4" max="4" width="26.33203125" style="401" customWidth="1"/>
    <col min="5" max="5" width="12.44140625" style="401" customWidth="1"/>
    <col min="6" max="6" width="11" style="401" bestFit="1" customWidth="1"/>
    <col min="7" max="7" width="12.5546875" style="401" customWidth="1"/>
    <col min="8" max="8" width="11.33203125" style="401" customWidth="1"/>
    <col min="9" max="9" width="12.5546875" style="401" customWidth="1"/>
    <col min="10" max="10" width="10.109375" style="401" customWidth="1"/>
    <col min="11" max="11" width="11.33203125" style="401" customWidth="1"/>
    <col min="12" max="12" width="9.5546875" style="401" bestFit="1" customWidth="1"/>
    <col min="13" max="13" width="12.88671875" style="405" customWidth="1"/>
    <col min="14" max="14" width="10.44140625" style="401" bestFit="1" customWidth="1"/>
    <col min="15" max="15" width="11" style="401" customWidth="1"/>
    <col min="16" max="16" width="12.6640625" style="405" customWidth="1"/>
    <col min="17" max="17" width="10" bestFit="1" customWidth="1"/>
  </cols>
  <sheetData>
    <row r="1" spans="1:17" x14ac:dyDescent="0.3">
      <c r="A1" t="s">
        <v>448</v>
      </c>
      <c r="D1" s="545" t="s">
        <v>448</v>
      </c>
      <c r="E1" s="545" t="str">
        <f t="shared" ref="E1:P1" si="0">IF(E24+E61+E66+E80=0,"Do Not Print","Print")</f>
        <v>Do Not Print</v>
      </c>
      <c r="F1" s="545" t="str">
        <f t="shared" si="0"/>
        <v>Do Not Print</v>
      </c>
      <c r="G1" s="545" t="str">
        <f t="shared" si="0"/>
        <v>Do Not Print</v>
      </c>
      <c r="H1" s="545" t="str">
        <f t="shared" si="0"/>
        <v>Do Not Print</v>
      </c>
      <c r="I1" s="545" t="str">
        <f t="shared" si="0"/>
        <v>Do Not Print</v>
      </c>
      <c r="J1" s="545" t="str">
        <f t="shared" si="0"/>
        <v>Do Not Print</v>
      </c>
      <c r="K1" s="545" t="str">
        <f t="shared" si="0"/>
        <v>Do Not Print</v>
      </c>
      <c r="L1" s="545" t="str">
        <f t="shared" si="0"/>
        <v>Do Not Print</v>
      </c>
      <c r="M1" s="546" t="str">
        <f t="shared" si="0"/>
        <v>Do Not Print</v>
      </c>
      <c r="N1" s="545" t="str">
        <f t="shared" si="0"/>
        <v>Do Not Print</v>
      </c>
      <c r="O1" s="545" t="str">
        <f t="shared" si="0"/>
        <v>Do Not Print</v>
      </c>
      <c r="P1" s="546" t="str">
        <f t="shared" si="0"/>
        <v>Do Not Print</v>
      </c>
    </row>
    <row r="2" spans="1:17" x14ac:dyDescent="0.3">
      <c r="A2" s="10" t="s">
        <v>448</v>
      </c>
      <c r="B2" s="545"/>
      <c r="C2" s="545"/>
    </row>
    <row r="3" spans="1:17" x14ac:dyDescent="0.3">
      <c r="A3" s="10" t="s">
        <v>448</v>
      </c>
      <c r="B3" s="545"/>
      <c r="C3" s="545"/>
      <c r="D3" s="467" t="str">
        <f>'Standing Data'!$D$4</f>
        <v>NAME OF COUNCIL</v>
      </c>
    </row>
    <row r="4" spans="1:17" x14ac:dyDescent="0.3">
      <c r="A4" s="10" t="s">
        <v>448</v>
      </c>
      <c r="B4" s="545"/>
      <c r="C4" s="545"/>
      <c r="D4" s="467" t="str">
        <f>'Standing Data'!$D$30</f>
        <v>Notes to the Group Financial Statements</v>
      </c>
    </row>
    <row r="5" spans="1:17" x14ac:dyDescent="0.3">
      <c r="A5" s="10" t="s">
        <v>448</v>
      </c>
      <c r="B5" s="545"/>
      <c r="C5" s="545"/>
      <c r="D5" s="467" t="str">
        <f>'Standing Data'!$D$32</f>
        <v>FOR THE YEAR ENDED 31 March 2026</v>
      </c>
    </row>
    <row r="6" spans="1:17" x14ac:dyDescent="0.3">
      <c r="A6" s="10" t="s">
        <v>448</v>
      </c>
      <c r="B6" s="545"/>
      <c r="C6" s="545"/>
    </row>
    <row r="7" spans="1:17" x14ac:dyDescent="0.3">
      <c r="A7" s="10" t="s">
        <v>448</v>
      </c>
      <c r="B7" s="585" t="str">
        <f>Checklist!E191</f>
        <v>G10</v>
      </c>
      <c r="C7" s="545"/>
      <c r="D7" s="401" t="s">
        <v>672</v>
      </c>
    </row>
    <row r="8" spans="1:17" x14ac:dyDescent="0.3">
      <c r="A8" s="10" t="s">
        <v>448</v>
      </c>
      <c r="B8" s="545"/>
      <c r="C8" s="585" t="str">
        <f>Checklist!E192</f>
        <v>a</v>
      </c>
    </row>
    <row r="9" spans="1:17" ht="42.75" customHeight="1" x14ac:dyDescent="0.3">
      <c r="A9" s="10" t="s">
        <v>448</v>
      </c>
      <c r="B9" s="545"/>
      <c r="C9" s="545"/>
      <c r="D9" s="547" t="s">
        <v>96</v>
      </c>
      <c r="E9" s="548" t="s">
        <v>91</v>
      </c>
      <c r="F9" s="548" t="s">
        <v>681</v>
      </c>
      <c r="G9" s="548" t="s">
        <v>901</v>
      </c>
      <c r="H9" s="548" t="s">
        <v>1062</v>
      </c>
      <c r="I9" s="548" t="s">
        <v>97</v>
      </c>
      <c r="J9" s="548" t="s">
        <v>725</v>
      </c>
      <c r="K9" s="548" t="s">
        <v>98</v>
      </c>
      <c r="L9" s="548" t="s">
        <v>92</v>
      </c>
      <c r="M9" s="548" t="s">
        <v>99</v>
      </c>
      <c r="N9" s="548" t="s">
        <v>1842</v>
      </c>
      <c r="O9" s="548" t="s">
        <v>903</v>
      </c>
      <c r="P9" s="548" t="s">
        <v>592</v>
      </c>
    </row>
    <row r="10" spans="1:17" x14ac:dyDescent="0.3">
      <c r="A10" s="10" t="s">
        <v>448</v>
      </c>
      <c r="B10" s="545"/>
      <c r="C10" s="545"/>
      <c r="D10" s="549"/>
      <c r="E10" s="550" t="s">
        <v>450</v>
      </c>
      <c r="F10" s="550" t="s">
        <v>450</v>
      </c>
      <c r="G10" s="550" t="s">
        <v>450</v>
      </c>
      <c r="H10" s="550" t="s">
        <v>450</v>
      </c>
      <c r="I10" s="550" t="s">
        <v>450</v>
      </c>
      <c r="J10" s="550" t="s">
        <v>450</v>
      </c>
      <c r="K10" s="550" t="s">
        <v>450</v>
      </c>
      <c r="L10" s="550" t="s">
        <v>450</v>
      </c>
      <c r="M10" s="551" t="s">
        <v>450</v>
      </c>
      <c r="N10" s="550" t="s">
        <v>450</v>
      </c>
      <c r="O10" s="550" t="s">
        <v>450</v>
      </c>
      <c r="P10" s="551" t="s">
        <v>450</v>
      </c>
    </row>
    <row r="11" spans="1:17" ht="20.25" customHeight="1" x14ac:dyDescent="0.3">
      <c r="A11" s="10" t="str">
        <f>IF(AND(E11=0,F11=0,G11=0,H11=0,I11=0,J11=0,K11=0,L11=0,M11=0,N11=0,O11=0,P11=0),"Do Not Print","Print")</f>
        <v>Do Not Print</v>
      </c>
      <c r="B11" s="545"/>
      <c r="C11" s="545"/>
      <c r="D11" s="552" t="str">
        <f>'Standing Data'!D48</f>
        <v>Balance as at 1 April 2025</v>
      </c>
      <c r="E11" s="553">
        <f>'GROUP Det Group BS'!J7</f>
        <v>0</v>
      </c>
      <c r="F11" s="553">
        <f>'GROUP Det Group BS'!J31</f>
        <v>0</v>
      </c>
      <c r="G11" s="553">
        <f>'GROUP Det Group BS'!J55</f>
        <v>0</v>
      </c>
      <c r="H11" s="553">
        <f>'GROUP Det Group BS'!J79</f>
        <v>0</v>
      </c>
      <c r="I11" s="553">
        <f>'GROUP Det Group BS'!J103</f>
        <v>0</v>
      </c>
      <c r="J11" s="553">
        <f>'GROUP Det Group BS'!J127</f>
        <v>0</v>
      </c>
      <c r="K11" s="553">
        <f>'GROUP Det Group BS'!J151</f>
        <v>0</v>
      </c>
      <c r="L11" s="553">
        <f>'GROUP Det Group BS'!J175</f>
        <v>0</v>
      </c>
      <c r="M11" s="554">
        <f>SUM(E11:L11)</f>
        <v>0</v>
      </c>
      <c r="N11" s="553">
        <f>'GROUP Det Group BS'!J199</f>
        <v>0</v>
      </c>
      <c r="O11" s="553">
        <f>'GROUP Det Group BS'!J257</f>
        <v>0</v>
      </c>
      <c r="P11" s="554">
        <f>M11+SUM(N11:O11)</f>
        <v>0</v>
      </c>
      <c r="Q11" s="3"/>
    </row>
    <row r="12" spans="1:17" ht="53.25" customHeight="1" x14ac:dyDescent="0.3">
      <c r="A12" s="10" t="str">
        <f t="shared" ref="A12:A13" si="1">IF(AND(E12=0,F12=0,G12=0,H12=0,I12=0,J12=0,K12=0,L12=0,M12=0,N12=0,O12=0,P12=0),"Do Not Print","Print")</f>
        <v>Do Not Print</v>
      </c>
      <c r="B12" s="545"/>
      <c r="C12" s="545"/>
      <c r="D12" s="555" t="s">
        <v>101</v>
      </c>
      <c r="E12" s="553">
        <f>'GROUP Det Group BS'!J8</f>
        <v>0</v>
      </c>
      <c r="F12" s="553">
        <f>'GROUP Det Group BS'!J32</f>
        <v>0</v>
      </c>
      <c r="G12" s="553">
        <f>'GROUP Det Group BS'!J56</f>
        <v>0</v>
      </c>
      <c r="H12" s="553">
        <f>'GROUP Det Group BS'!J80</f>
        <v>0</v>
      </c>
      <c r="I12" s="553">
        <f>'GROUP Det Group BS'!J104</f>
        <v>0</v>
      </c>
      <c r="J12" s="553">
        <f>'GROUP Det Group BS'!J128</f>
        <v>0</v>
      </c>
      <c r="K12" s="553">
        <f>'GROUP Det Group BS'!J152</f>
        <v>0</v>
      </c>
      <c r="L12" s="553">
        <f>'GROUP Det Group BS'!J176</f>
        <v>0</v>
      </c>
      <c r="M12" s="554">
        <f>SUM(E12:L12)</f>
        <v>0</v>
      </c>
      <c r="N12" s="553">
        <f>'GROUP Det Group BS'!J200</f>
        <v>0</v>
      </c>
      <c r="O12" s="553">
        <f>'GROUP Det Group BS'!J258</f>
        <v>0</v>
      </c>
      <c r="P12" s="554">
        <f>M12+SUM(N12:O12)</f>
        <v>0</v>
      </c>
      <c r="Q12" s="3"/>
    </row>
    <row r="13" spans="1:17" x14ac:dyDescent="0.3">
      <c r="A13" s="10" t="str">
        <f t="shared" si="1"/>
        <v>Do Not Print</v>
      </c>
      <c r="B13" s="545"/>
      <c r="C13" s="545"/>
      <c r="D13" s="556" t="str">
        <f>D11</f>
        <v>Balance as at 1 April 2025</v>
      </c>
      <c r="E13" s="557">
        <f>SUM(E11:E12)</f>
        <v>0</v>
      </c>
      <c r="F13" s="557">
        <f t="shared" ref="F13:P13" si="2">SUM(F11:F12)</f>
        <v>0</v>
      </c>
      <c r="G13" s="557">
        <f t="shared" si="2"/>
        <v>0</v>
      </c>
      <c r="H13" s="557">
        <f t="shared" si="2"/>
        <v>0</v>
      </c>
      <c r="I13" s="557">
        <f t="shared" si="2"/>
        <v>0</v>
      </c>
      <c r="J13" s="557">
        <f t="shared" si="2"/>
        <v>0</v>
      </c>
      <c r="K13" s="557">
        <f t="shared" si="2"/>
        <v>0</v>
      </c>
      <c r="L13" s="557">
        <f t="shared" si="2"/>
        <v>0</v>
      </c>
      <c r="M13" s="557">
        <f t="shared" si="2"/>
        <v>0</v>
      </c>
      <c r="N13" s="557">
        <f t="shared" si="2"/>
        <v>0</v>
      </c>
      <c r="O13" s="557">
        <f t="shared" si="2"/>
        <v>0</v>
      </c>
      <c r="P13" s="557">
        <f t="shared" si="2"/>
        <v>0</v>
      </c>
      <c r="Q13" s="3"/>
    </row>
    <row r="14" spans="1:17" ht="11.25" customHeight="1" x14ac:dyDescent="0.3">
      <c r="A14" s="10" t="s">
        <v>448</v>
      </c>
      <c r="B14" s="545"/>
      <c r="C14" s="545"/>
      <c r="D14" s="552"/>
      <c r="E14" s="553"/>
      <c r="F14" s="553"/>
      <c r="G14" s="553"/>
      <c r="H14" s="553"/>
      <c r="I14" s="553"/>
      <c r="J14" s="553"/>
      <c r="K14" s="553"/>
      <c r="L14" s="553"/>
      <c r="M14" s="554"/>
      <c r="N14" s="553"/>
      <c r="O14" s="553"/>
      <c r="P14" s="554"/>
    </row>
    <row r="15" spans="1:17" x14ac:dyDescent="0.3">
      <c r="A15" s="10" t="str">
        <f>IF(AND(E15=0,F15=0,G15=0,H15=0,I15=0,J15=0,K15=0,L15=0,M15=0,N15=0,O15=0,P15=0),"Do Not Print","Print")</f>
        <v>Do Not Print</v>
      </c>
      <c r="B15" s="545"/>
      <c r="C15" s="545"/>
      <c r="D15" s="555" t="s">
        <v>1559</v>
      </c>
      <c r="E15" s="553">
        <f>'GROUP Det Group BS'!J9</f>
        <v>0</v>
      </c>
      <c r="F15" s="553">
        <f>'GROUP Det Group BS'!J33</f>
        <v>0</v>
      </c>
      <c r="G15" s="553">
        <f>'GROUP Det Group BS'!J57</f>
        <v>0</v>
      </c>
      <c r="H15" s="553">
        <f>'GROUP Det Group BS'!J81</f>
        <v>0</v>
      </c>
      <c r="I15" s="553">
        <f>'GROUP Det Group BS'!J105</f>
        <v>0</v>
      </c>
      <c r="J15" s="553">
        <f>'GROUP Det Group BS'!J129</f>
        <v>0</v>
      </c>
      <c r="K15" s="553">
        <f>'GROUP Det Group BS'!J153</f>
        <v>0</v>
      </c>
      <c r="L15" s="553">
        <f>'GROUP Det Group BS'!J177</f>
        <v>0</v>
      </c>
      <c r="M15" s="554">
        <f>SUM(E15:L15)</f>
        <v>0</v>
      </c>
      <c r="N15" s="553">
        <f>'GROUP Det Group BS'!J201</f>
        <v>0</v>
      </c>
      <c r="O15" s="553">
        <f>'GROUP Det Group BS'!J259</f>
        <v>0</v>
      </c>
      <c r="P15" s="554">
        <f t="shared" ref="P15:P24" si="3">M15+SUM(N15:O15)</f>
        <v>0</v>
      </c>
      <c r="Q15" s="3"/>
    </row>
    <row r="16" spans="1:17" x14ac:dyDescent="0.3">
      <c r="A16" s="10" t="str">
        <f t="shared" ref="A16:A24" si="4">IF(AND(E16=0,F16=0,G16=0,H16=0,I16=0,J16=0,K16=0,L16=0,M16=0,N16=0,O16=0,P16=0),"Do Not Print","Print")</f>
        <v>Do Not Print</v>
      </c>
      <c r="B16" s="545"/>
      <c r="C16" s="545"/>
      <c r="D16" s="555" t="s">
        <v>103</v>
      </c>
      <c r="E16" s="553">
        <f>'GROUP Det Group BS'!J10</f>
        <v>0</v>
      </c>
      <c r="F16" s="553">
        <f>'GROUP Det Group BS'!J34</f>
        <v>0</v>
      </c>
      <c r="G16" s="553">
        <f>'GROUP Det Group BS'!J58</f>
        <v>0</v>
      </c>
      <c r="H16" s="553">
        <f>'GROUP Det Group BS'!J82</f>
        <v>0</v>
      </c>
      <c r="I16" s="553">
        <f>'GROUP Det Group BS'!J106</f>
        <v>0</v>
      </c>
      <c r="J16" s="553">
        <f>'GROUP Det Group BS'!J130</f>
        <v>0</v>
      </c>
      <c r="K16" s="553">
        <f>'GROUP Det Group BS'!J154</f>
        <v>0</v>
      </c>
      <c r="L16" s="553">
        <f>'GROUP Det Group BS'!J178</f>
        <v>0</v>
      </c>
      <c r="M16" s="554">
        <f>SUM(E16:L16)</f>
        <v>0</v>
      </c>
      <c r="N16" s="553">
        <f>'GROUP Det Group BS'!J202</f>
        <v>0</v>
      </c>
      <c r="O16" s="553">
        <f>'GROUP Det Group BS'!J260</f>
        <v>0</v>
      </c>
      <c r="P16" s="554">
        <f t="shared" si="3"/>
        <v>0</v>
      </c>
      <c r="Q16" s="3"/>
    </row>
    <row r="17" spans="1:17" ht="46.5" customHeight="1" x14ac:dyDescent="0.3">
      <c r="A17" s="10" t="str">
        <f t="shared" si="4"/>
        <v>Do Not Print</v>
      </c>
      <c r="B17" s="545"/>
      <c r="C17" s="545"/>
      <c r="D17" s="555" t="s">
        <v>2959</v>
      </c>
      <c r="E17" s="553">
        <f>'GROUP Det Group BS'!J11</f>
        <v>0</v>
      </c>
      <c r="F17" s="553">
        <f>'GROUP Det Group BS'!J35</f>
        <v>0</v>
      </c>
      <c r="G17" s="553">
        <f>'GROUP Det Group BS'!J59</f>
        <v>0</v>
      </c>
      <c r="H17" s="553">
        <f>'GROUP Det Group BS'!J83</f>
        <v>0</v>
      </c>
      <c r="I17" s="553">
        <f>'GROUP Det Group BS'!J108</f>
        <v>0</v>
      </c>
      <c r="J17" s="553">
        <f>'GROUP Det Group BS'!J131</f>
        <v>0</v>
      </c>
      <c r="K17" s="553">
        <f>'GROUP Det Group BS'!J155</f>
        <v>0</v>
      </c>
      <c r="L17" s="553">
        <f>'GROUP Det Group BS'!J179</f>
        <v>0</v>
      </c>
      <c r="M17" s="554">
        <f t="shared" ref="M17:M23" si="5">SUM(E17:L17)</f>
        <v>0</v>
      </c>
      <c r="N17" s="553">
        <f>'GROUP Det Group BS'!J203</f>
        <v>0</v>
      </c>
      <c r="O17" s="553">
        <f>'GROUP Det Group BS'!J261</f>
        <v>0</v>
      </c>
      <c r="P17" s="554">
        <f t="shared" si="3"/>
        <v>0</v>
      </c>
    </row>
    <row r="18" spans="1:17" ht="59.25" customHeight="1" x14ac:dyDescent="0.3">
      <c r="A18" s="10" t="str">
        <f t="shared" si="4"/>
        <v>Do Not Print</v>
      </c>
      <c r="B18" s="545"/>
      <c r="C18" s="545"/>
      <c r="D18" s="555" t="s">
        <v>2958</v>
      </c>
      <c r="E18" s="553">
        <f>'GROUP Det Group BS'!J12</f>
        <v>0</v>
      </c>
      <c r="F18" s="553">
        <f>'GROUP Det Group BS'!J36</f>
        <v>0</v>
      </c>
      <c r="G18" s="553">
        <f>'GROUP Det Group BS'!J60</f>
        <v>0</v>
      </c>
      <c r="H18" s="553">
        <f>'GROUP Det Group BS'!J84</f>
        <v>0</v>
      </c>
      <c r="I18" s="553">
        <f>'GROUP Det Group BS'!J109</f>
        <v>0</v>
      </c>
      <c r="J18" s="553">
        <f>'GROUP Det Group BS'!J132</f>
        <v>0</v>
      </c>
      <c r="K18" s="553">
        <f>'GROUP Det Group BS'!J156</f>
        <v>0</v>
      </c>
      <c r="L18" s="553">
        <f>'GROUP Det Group BS'!J180</f>
        <v>0</v>
      </c>
      <c r="M18" s="554">
        <f t="shared" si="5"/>
        <v>0</v>
      </c>
      <c r="N18" s="553">
        <f>'GROUP Det Group BS'!J204</f>
        <v>0</v>
      </c>
      <c r="O18" s="553">
        <f>'GROUP Det Group BS'!J262</f>
        <v>0</v>
      </c>
      <c r="P18" s="554">
        <f t="shared" si="3"/>
        <v>0</v>
      </c>
    </row>
    <row r="19" spans="1:17" ht="46.5" customHeight="1" x14ac:dyDescent="0.3">
      <c r="A19" s="10" t="str">
        <f t="shared" si="4"/>
        <v>Do Not Print</v>
      </c>
      <c r="B19" s="545"/>
      <c r="C19" s="545"/>
      <c r="D19" s="555" t="s">
        <v>1089</v>
      </c>
      <c r="E19" s="553">
        <f>'GROUP Det Group BS'!J13</f>
        <v>0</v>
      </c>
      <c r="F19" s="553">
        <f>'GROUP Det Group BS'!J37</f>
        <v>0</v>
      </c>
      <c r="G19" s="553">
        <f>'GROUP Det Group BS'!J61</f>
        <v>0</v>
      </c>
      <c r="H19" s="553">
        <f>'GROUP Det Group BS'!J85</f>
        <v>0</v>
      </c>
      <c r="I19" s="553">
        <f>'GROUP Det Group BS'!J110</f>
        <v>0</v>
      </c>
      <c r="J19" s="553">
        <f>'GROUP Det Group BS'!J133</f>
        <v>0</v>
      </c>
      <c r="K19" s="553">
        <f>'GROUP Det Group BS'!J157</f>
        <v>0</v>
      </c>
      <c r="L19" s="553">
        <f>'GROUP Det Group BS'!J181</f>
        <v>0</v>
      </c>
      <c r="M19" s="554">
        <f t="shared" si="5"/>
        <v>0</v>
      </c>
      <c r="N19" s="553">
        <f>'GROUP Det Group BS'!J205</f>
        <v>0</v>
      </c>
      <c r="O19" s="553">
        <f>'GROUP Det Group BS'!J263</f>
        <v>0</v>
      </c>
      <c r="P19" s="554">
        <f t="shared" si="3"/>
        <v>0</v>
      </c>
    </row>
    <row r="20" spans="1:17" ht="13.05" customHeight="1" x14ac:dyDescent="0.3">
      <c r="A20" s="10" t="str">
        <f t="shared" si="4"/>
        <v>Do Not Print</v>
      </c>
      <c r="B20" s="545"/>
      <c r="C20" s="545"/>
      <c r="D20" s="555" t="s">
        <v>105</v>
      </c>
      <c r="E20" s="553">
        <f>'GROUP Det Group BS'!J14</f>
        <v>0</v>
      </c>
      <c r="F20" s="553">
        <f>'GROUP Det Group BS'!J38</f>
        <v>0</v>
      </c>
      <c r="G20" s="553">
        <f>'GROUP Det Group BS'!J62</f>
        <v>0</v>
      </c>
      <c r="H20" s="553">
        <f>'GROUP Det Group BS'!J86</f>
        <v>0</v>
      </c>
      <c r="I20" s="553">
        <f>'GROUP Det Group BS'!J107</f>
        <v>0</v>
      </c>
      <c r="J20" s="553">
        <f>'GROUP Det Group BS'!J134</f>
        <v>0</v>
      </c>
      <c r="K20" s="553">
        <f>'GROUP Det Group BS'!J158</f>
        <v>0</v>
      </c>
      <c r="L20" s="553">
        <f>'GROUP Det Group BS'!J182</f>
        <v>0</v>
      </c>
      <c r="M20" s="554">
        <f t="shared" si="5"/>
        <v>0</v>
      </c>
      <c r="N20" s="553">
        <f>'GROUP Det Group BS'!J206</f>
        <v>0</v>
      </c>
      <c r="O20" s="553">
        <f>'GROUP Det Group BS'!J264</f>
        <v>0</v>
      </c>
      <c r="P20" s="554">
        <f t="shared" si="3"/>
        <v>0</v>
      </c>
    </row>
    <row r="21" spans="1:17" ht="13.05" customHeight="1" x14ac:dyDescent="0.3">
      <c r="A21" s="10" t="str">
        <f t="shared" si="4"/>
        <v>Do Not Print</v>
      </c>
      <c r="B21" s="545"/>
      <c r="C21" s="545"/>
      <c r="D21" s="555" t="s">
        <v>106</v>
      </c>
      <c r="E21" s="553">
        <f>'GROUP Det Group BS'!J15</f>
        <v>0</v>
      </c>
      <c r="F21" s="553">
        <f>'GROUP Det Group BS'!J39</f>
        <v>0</v>
      </c>
      <c r="G21" s="553">
        <f>'GROUP Det Group BS'!J63</f>
        <v>0</v>
      </c>
      <c r="H21" s="553">
        <f>'GROUP Det Group BS'!J87</f>
        <v>0</v>
      </c>
      <c r="I21" s="553">
        <f>'GROUP Det Group BS'!J111</f>
        <v>0</v>
      </c>
      <c r="J21" s="553">
        <f>'GROUP Det Group BS'!J135</f>
        <v>0</v>
      </c>
      <c r="K21" s="553">
        <f>'GROUP Det Group BS'!J159</f>
        <v>0</v>
      </c>
      <c r="L21" s="553">
        <f>'GROUP Det Group BS'!J183</f>
        <v>0</v>
      </c>
      <c r="M21" s="554">
        <f t="shared" si="5"/>
        <v>0</v>
      </c>
      <c r="N21" s="553">
        <f>'GROUP Det Group BS'!J207</f>
        <v>0</v>
      </c>
      <c r="O21" s="553">
        <f>'GROUP Det Group BS'!J265</f>
        <v>0</v>
      </c>
      <c r="P21" s="554">
        <f t="shared" si="3"/>
        <v>0</v>
      </c>
    </row>
    <row r="22" spans="1:17" x14ac:dyDescent="0.3">
      <c r="A22" s="10" t="str">
        <f t="shared" si="4"/>
        <v>Do Not Print</v>
      </c>
      <c r="B22" s="545"/>
      <c r="C22" s="545"/>
      <c r="D22" s="555" t="s">
        <v>107</v>
      </c>
      <c r="E22" s="553">
        <f>'GROUP Det Group BS'!J16</f>
        <v>0</v>
      </c>
      <c r="F22" s="553">
        <f>'GROUP Det Group BS'!J40</f>
        <v>0</v>
      </c>
      <c r="G22" s="553">
        <f>'GROUP Det Group BS'!J64</f>
        <v>0</v>
      </c>
      <c r="H22" s="553">
        <f>'GROUP Det Group BS'!J88</f>
        <v>0</v>
      </c>
      <c r="I22" s="553">
        <f>'GROUP Det Group BS'!J112</f>
        <v>0</v>
      </c>
      <c r="J22" s="553">
        <f>'GROUP Det Group BS'!J136</f>
        <v>0</v>
      </c>
      <c r="K22" s="553">
        <f>'GROUP Det Group BS'!J160</f>
        <v>0</v>
      </c>
      <c r="L22" s="553">
        <f>'GROUP Det Group BS'!J184</f>
        <v>0</v>
      </c>
      <c r="M22" s="554">
        <f>SUM(E22:L22)</f>
        <v>0</v>
      </c>
      <c r="N22" s="553">
        <f>'GROUP Det Group BS'!J208</f>
        <v>0</v>
      </c>
      <c r="O22" s="553">
        <f>'GROUP Det Group BS'!J266</f>
        <v>0</v>
      </c>
      <c r="P22" s="554">
        <f t="shared" si="3"/>
        <v>0</v>
      </c>
    </row>
    <row r="23" spans="1:17" ht="26.4" x14ac:dyDescent="0.3">
      <c r="A23" s="10" t="str">
        <f t="shared" si="4"/>
        <v>Do Not Print</v>
      </c>
      <c r="B23" s="545"/>
      <c r="C23" s="545"/>
      <c r="D23" s="555" t="s">
        <v>2995</v>
      </c>
      <c r="E23" s="553">
        <f>'GROUP Det Group BS'!J17</f>
        <v>0</v>
      </c>
      <c r="F23" s="553">
        <f>'GROUP Det Group BS'!J41</f>
        <v>0</v>
      </c>
      <c r="G23" s="553">
        <f>'GROUP Det Group BS'!J65</f>
        <v>0</v>
      </c>
      <c r="H23" s="553">
        <f>'GROUP Det Group BS'!J89</f>
        <v>0</v>
      </c>
      <c r="I23" s="553">
        <f>'GROUP Det Group BS'!J113</f>
        <v>0</v>
      </c>
      <c r="J23" s="553">
        <f>'GROUP Det Group BS'!J137</f>
        <v>0</v>
      </c>
      <c r="K23" s="553">
        <f>'GROUP Det Group BS'!J161</f>
        <v>0</v>
      </c>
      <c r="L23" s="553">
        <f>'GROUP Det Group BS'!J185</f>
        <v>0</v>
      </c>
      <c r="M23" s="554">
        <f t="shared" si="5"/>
        <v>0</v>
      </c>
      <c r="N23" s="553">
        <f>'GROUP Det Group BS'!J209</f>
        <v>0</v>
      </c>
      <c r="O23" s="553">
        <f>'GROUP Det Group BS'!J267</f>
        <v>0</v>
      </c>
      <c r="P23" s="554">
        <f t="shared" si="3"/>
        <v>0</v>
      </c>
    </row>
    <row r="24" spans="1:17" s="6" customFormat="1" x14ac:dyDescent="0.3">
      <c r="A24" s="10" t="str">
        <f t="shared" si="4"/>
        <v>Do Not Print</v>
      </c>
      <c r="B24" s="546"/>
      <c r="C24" s="546"/>
      <c r="D24" s="552" t="str">
        <f>'Standing Data'!D46</f>
        <v>Balance as at 31 March 2026</v>
      </c>
      <c r="E24" s="554">
        <f t="shared" ref="E24:O24" si="6">SUM(E13:E23)</f>
        <v>0</v>
      </c>
      <c r="F24" s="554">
        <f t="shared" si="6"/>
        <v>0</v>
      </c>
      <c r="G24" s="554">
        <f t="shared" si="6"/>
        <v>0</v>
      </c>
      <c r="H24" s="554">
        <f t="shared" si="6"/>
        <v>0</v>
      </c>
      <c r="I24" s="554">
        <f t="shared" si="6"/>
        <v>0</v>
      </c>
      <c r="J24" s="554">
        <f t="shared" si="6"/>
        <v>0</v>
      </c>
      <c r="K24" s="554">
        <f t="shared" si="6"/>
        <v>0</v>
      </c>
      <c r="L24" s="554">
        <f t="shared" si="6"/>
        <v>0</v>
      </c>
      <c r="M24" s="554">
        <f t="shared" si="6"/>
        <v>0</v>
      </c>
      <c r="N24" s="554">
        <f t="shared" si="6"/>
        <v>0</v>
      </c>
      <c r="O24" s="554">
        <f t="shared" si="6"/>
        <v>0</v>
      </c>
      <c r="P24" s="554">
        <f t="shared" si="3"/>
        <v>0</v>
      </c>
    </row>
    <row r="25" spans="1:17" ht="35.4" x14ac:dyDescent="0.3">
      <c r="A25" s="10" t="s">
        <v>448</v>
      </c>
      <c r="B25" s="545"/>
      <c r="C25" s="545"/>
      <c r="D25" s="712" t="s">
        <v>108</v>
      </c>
      <c r="E25" s="548" t="s">
        <v>91</v>
      </c>
      <c r="F25" s="548" t="s">
        <v>681</v>
      </c>
      <c r="G25" s="548" t="s">
        <v>901</v>
      </c>
      <c r="H25" s="548" t="s">
        <v>1062</v>
      </c>
      <c r="I25" s="548" t="s">
        <v>97</v>
      </c>
      <c r="J25" s="548" t="s">
        <v>725</v>
      </c>
      <c r="K25" s="548" t="s">
        <v>98</v>
      </c>
      <c r="L25" s="548" t="s">
        <v>92</v>
      </c>
      <c r="M25" s="548" t="s">
        <v>99</v>
      </c>
      <c r="N25" s="548" t="s">
        <v>741</v>
      </c>
      <c r="O25" s="548" t="s">
        <v>903</v>
      </c>
      <c r="P25" s="548" t="s">
        <v>100</v>
      </c>
    </row>
    <row r="26" spans="1:17" x14ac:dyDescent="0.3">
      <c r="A26" s="10" t="s">
        <v>448</v>
      </c>
      <c r="B26" s="545"/>
      <c r="C26" s="545"/>
      <c r="D26" s="559"/>
      <c r="E26" s="550" t="s">
        <v>450</v>
      </c>
      <c r="F26" s="550" t="s">
        <v>450</v>
      </c>
      <c r="G26" s="550" t="s">
        <v>450</v>
      </c>
      <c r="H26" s="550" t="s">
        <v>450</v>
      </c>
      <c r="I26" s="550" t="s">
        <v>450</v>
      </c>
      <c r="J26" s="550" t="s">
        <v>450</v>
      </c>
      <c r="K26" s="550" t="s">
        <v>450</v>
      </c>
      <c r="L26" s="550" t="s">
        <v>450</v>
      </c>
      <c r="M26" s="551" t="s">
        <v>450</v>
      </c>
      <c r="N26" s="550" t="s">
        <v>450</v>
      </c>
      <c r="O26" s="550" t="s">
        <v>450</v>
      </c>
      <c r="P26" s="551" t="s">
        <v>450</v>
      </c>
    </row>
    <row r="27" spans="1:17" x14ac:dyDescent="0.3">
      <c r="A27" s="10" t="str">
        <f>IF(AND(E27=0,F27=0,G27=0,H27=0,I27=0,J27=0,K27=0,L27=0,M27=0,N27=0,O27=0,P27=0),"Do Not Print","Print")</f>
        <v>Do Not Print</v>
      </c>
      <c r="B27" s="545"/>
      <c r="C27" s="545"/>
      <c r="D27" s="560" t="str">
        <f>D13</f>
        <v>Balance as at 1 April 2025</v>
      </c>
      <c r="E27" s="553">
        <f>'GROUP Det Group BS'!J18</f>
        <v>0</v>
      </c>
      <c r="F27" s="553">
        <f>'GROUP Det Group BS'!J42</f>
        <v>0</v>
      </c>
      <c r="G27" s="553">
        <f>'GROUP Det Group BS'!J66</f>
        <v>0</v>
      </c>
      <c r="H27" s="553">
        <f>'GROUP Det Group BS'!J90</f>
        <v>0</v>
      </c>
      <c r="I27" s="553">
        <f>'GROUP Det Group BS'!J114</f>
        <v>0</v>
      </c>
      <c r="J27" s="553">
        <f>'GROUP Det Group BS'!J138</f>
        <v>0</v>
      </c>
      <c r="K27" s="553">
        <f>'GROUP Det Group BS'!J162</f>
        <v>0</v>
      </c>
      <c r="L27" s="553">
        <f>'GROUP Det Group BS'!J186</f>
        <v>0</v>
      </c>
      <c r="M27" s="554">
        <f>SUM(E27:L27)</f>
        <v>0</v>
      </c>
      <c r="N27" s="553">
        <f>'GROUP Det Group BS'!J210</f>
        <v>0</v>
      </c>
      <c r="O27" s="553">
        <f>'GROUP Det Group BS'!J268</f>
        <v>0</v>
      </c>
      <c r="P27" s="554">
        <f>M27+SUM(N27:O27)</f>
        <v>0</v>
      </c>
    </row>
    <row r="28" spans="1:17" ht="39.6" x14ac:dyDescent="0.3">
      <c r="A28" s="10" t="str">
        <f t="shared" ref="A28:A40" si="7">IF(AND(E28=0,F28=0,G28=0,H28=0,I28=0,J28=0,K28=0,L28=0,M28=0,N28=0,O28=0,P28=0),"Do Not Print","Print")</f>
        <v>Do Not Print</v>
      </c>
      <c r="B28" s="545"/>
      <c r="C28" s="545"/>
      <c r="D28" s="555" t="s">
        <v>101</v>
      </c>
      <c r="E28" s="553">
        <f>'GROUP Det Group BS'!J19</f>
        <v>0</v>
      </c>
      <c r="F28" s="553">
        <f>'GROUP Det Group BS'!J43</f>
        <v>0</v>
      </c>
      <c r="G28" s="553">
        <f>'GROUP Det Group BS'!J67</f>
        <v>0</v>
      </c>
      <c r="H28" s="553">
        <f>'GROUP Det Group BS'!J91</f>
        <v>0</v>
      </c>
      <c r="I28" s="553">
        <f>'GROUP Det Group BS'!J115</f>
        <v>0</v>
      </c>
      <c r="J28" s="553">
        <f>'GROUP Det Group BS'!J139</f>
        <v>0</v>
      </c>
      <c r="K28" s="553">
        <f>'GROUP Det Group BS'!J163</f>
        <v>0</v>
      </c>
      <c r="L28" s="553">
        <f>'GROUP Det Group BS'!J187</f>
        <v>0</v>
      </c>
      <c r="M28" s="554">
        <f>SUM(E28:L28)</f>
        <v>0</v>
      </c>
      <c r="N28" s="553">
        <f>'GROUP Det Group BS'!J211</f>
        <v>0</v>
      </c>
      <c r="O28" s="553">
        <f>'GROUP Det Group BS'!J269</f>
        <v>0</v>
      </c>
      <c r="P28" s="554">
        <f>M28+SUM(N28:O28)</f>
        <v>0</v>
      </c>
    </row>
    <row r="29" spans="1:17" x14ac:dyDescent="0.3">
      <c r="A29" s="10" t="str">
        <f t="shared" si="7"/>
        <v>Do Not Print</v>
      </c>
      <c r="B29" s="545"/>
      <c r="C29" s="545"/>
      <c r="D29" s="561" t="str">
        <f>D13</f>
        <v>Balance as at 1 April 2025</v>
      </c>
      <c r="E29" s="557">
        <f>SUM(E27:E28)</f>
        <v>0</v>
      </c>
      <c r="F29" s="557">
        <f t="shared" ref="F29:P29" si="8">SUM(F27:F28)</f>
        <v>0</v>
      </c>
      <c r="G29" s="557">
        <f t="shared" si="8"/>
        <v>0</v>
      </c>
      <c r="H29" s="557">
        <f t="shared" si="8"/>
        <v>0</v>
      </c>
      <c r="I29" s="557">
        <f t="shared" si="8"/>
        <v>0</v>
      </c>
      <c r="J29" s="557">
        <f t="shared" si="8"/>
        <v>0</v>
      </c>
      <c r="K29" s="557">
        <f t="shared" si="8"/>
        <v>0</v>
      </c>
      <c r="L29" s="557">
        <f t="shared" si="8"/>
        <v>0</v>
      </c>
      <c r="M29" s="557">
        <f t="shared" si="8"/>
        <v>0</v>
      </c>
      <c r="N29" s="557">
        <f t="shared" si="8"/>
        <v>0</v>
      </c>
      <c r="O29" s="557">
        <f t="shared" si="8"/>
        <v>0</v>
      </c>
      <c r="P29" s="557">
        <f t="shared" si="8"/>
        <v>0</v>
      </c>
    </row>
    <row r="30" spans="1:17" x14ac:dyDescent="0.3">
      <c r="A30" s="10" t="str">
        <f t="shared" si="7"/>
        <v>Do Not Print</v>
      </c>
      <c r="B30" s="545"/>
      <c r="C30" s="545"/>
      <c r="D30" s="560"/>
      <c r="E30" s="553"/>
      <c r="F30" s="553"/>
      <c r="G30" s="553"/>
      <c r="H30" s="553"/>
      <c r="I30" s="553"/>
      <c r="J30" s="553"/>
      <c r="K30" s="553"/>
      <c r="L30" s="553"/>
      <c r="M30" s="554"/>
      <c r="N30" s="553"/>
      <c r="O30" s="553"/>
      <c r="P30" s="554"/>
    </row>
    <row r="31" spans="1:17" x14ac:dyDescent="0.3">
      <c r="A31" s="10" t="str">
        <f t="shared" si="7"/>
        <v>Do Not Print</v>
      </c>
      <c r="B31" s="545"/>
      <c r="C31" s="545"/>
      <c r="D31" s="562" t="s">
        <v>109</v>
      </c>
      <c r="E31" s="553">
        <f>'GROUP Det Group BS'!J20</f>
        <v>0</v>
      </c>
      <c r="F31" s="553">
        <f>'GROUP Det Group BS'!J44</f>
        <v>0</v>
      </c>
      <c r="G31" s="553">
        <f>'GROUP Det Group BS'!J68</f>
        <v>0</v>
      </c>
      <c r="H31" s="553">
        <f>'GROUP Det Group BS'!J92</f>
        <v>0</v>
      </c>
      <c r="I31" s="553">
        <f>'GROUP Det Group BS'!J116</f>
        <v>0</v>
      </c>
      <c r="J31" s="553">
        <f>'GROUP Det Group BS'!J140</f>
        <v>0</v>
      </c>
      <c r="K31" s="553">
        <f>'GROUP Det Group BS'!J164</f>
        <v>0</v>
      </c>
      <c r="L31" s="553">
        <f>'GROUP Det Group BS'!J188</f>
        <v>0</v>
      </c>
      <c r="M31" s="554">
        <f t="shared" ref="M31:M39" si="9">SUM(E31:L31)</f>
        <v>0</v>
      </c>
      <c r="N31" s="553">
        <f>'GROUP Det Group BS'!J212</f>
        <v>0</v>
      </c>
      <c r="O31" s="553">
        <f>'GROUP Det Group BS'!J270</f>
        <v>0</v>
      </c>
      <c r="P31" s="554">
        <f>M31+SUM(N31:O31)</f>
        <v>0</v>
      </c>
    </row>
    <row r="32" spans="1:17" ht="30" customHeight="1" x14ac:dyDescent="0.3">
      <c r="A32" s="10" t="str">
        <f t="shared" si="7"/>
        <v>Do Not Print</v>
      </c>
      <c r="B32" s="545"/>
      <c r="C32" s="545"/>
      <c r="D32" s="555" t="s">
        <v>110</v>
      </c>
      <c r="E32" s="553">
        <f>'GROUP Det Group BS'!J21</f>
        <v>0</v>
      </c>
      <c r="F32" s="553">
        <f>'GROUP Det Group BS'!J45</f>
        <v>0</v>
      </c>
      <c r="G32" s="553">
        <f>'GROUP Det Group BS'!J69</f>
        <v>0</v>
      </c>
      <c r="H32" s="553">
        <f>'GROUP Det Group BS'!J93</f>
        <v>0</v>
      </c>
      <c r="I32" s="553">
        <f>'GROUP Det Group BS'!J117</f>
        <v>0</v>
      </c>
      <c r="J32" s="553">
        <f>'GROUP Det Group BS'!J141</f>
        <v>0</v>
      </c>
      <c r="K32" s="553">
        <f>'GROUP Det Group BS'!J165</f>
        <v>0</v>
      </c>
      <c r="L32" s="553">
        <f>'GROUP Det Group BS'!J189</f>
        <v>0</v>
      </c>
      <c r="M32" s="554">
        <f t="shared" si="9"/>
        <v>0</v>
      </c>
      <c r="N32" s="553">
        <f>'GROUP Det Group BS'!J213</f>
        <v>0</v>
      </c>
      <c r="O32" s="553">
        <f>'GROUP Det Group BS'!J271</f>
        <v>0</v>
      </c>
      <c r="P32" s="554">
        <f>M32+SUM(N32:O32)</f>
        <v>0</v>
      </c>
      <c r="Q32" s="3"/>
    </row>
    <row r="33" spans="1:17" ht="52.8" x14ac:dyDescent="0.3">
      <c r="A33" s="10" t="str">
        <f t="shared" si="7"/>
        <v>Do Not Print</v>
      </c>
      <c r="B33" s="545"/>
      <c r="C33" s="545"/>
      <c r="D33" s="555" t="s">
        <v>111</v>
      </c>
      <c r="E33" s="553">
        <f>'GROUP Det Group BS'!J22</f>
        <v>0</v>
      </c>
      <c r="F33" s="553">
        <f>'GROUP Det Group BS'!J46</f>
        <v>0</v>
      </c>
      <c r="G33" s="553">
        <f>'GROUP Det Group BS'!J70</f>
        <v>0</v>
      </c>
      <c r="H33" s="553">
        <f>'GROUP Det Group BS'!J94</f>
        <v>0</v>
      </c>
      <c r="I33" s="553">
        <f>'GROUP Det Group BS'!J118</f>
        <v>0</v>
      </c>
      <c r="J33" s="553">
        <f>'GROUP Det Group BS'!J142</f>
        <v>0</v>
      </c>
      <c r="K33" s="553">
        <f>'GROUP Det Group BS'!J166</f>
        <v>0</v>
      </c>
      <c r="L33" s="553">
        <f>'GROUP Det Group BS'!J190</f>
        <v>0</v>
      </c>
      <c r="M33" s="554">
        <f t="shared" si="9"/>
        <v>0</v>
      </c>
      <c r="N33" s="553">
        <f>'GROUP Det Group BS'!J214</f>
        <v>0</v>
      </c>
      <c r="O33" s="553">
        <f>'GROUP Det Group BS'!J272</f>
        <v>0</v>
      </c>
      <c r="P33" s="554">
        <f>M33+SUM(N33:O33)</f>
        <v>0</v>
      </c>
      <c r="Q33" s="3"/>
    </row>
    <row r="34" spans="1:17" ht="26.4" x14ac:dyDescent="0.3">
      <c r="A34" s="10" t="str">
        <f t="shared" si="7"/>
        <v>Do Not Print</v>
      </c>
      <c r="B34" s="545"/>
      <c r="C34" s="545"/>
      <c r="D34" s="555" t="s">
        <v>112</v>
      </c>
      <c r="E34" s="553">
        <f>'GROUP Det Group BS'!J24</f>
        <v>0</v>
      </c>
      <c r="F34" s="553">
        <f>'GROUP Det Group BS'!J48</f>
        <v>0</v>
      </c>
      <c r="G34" s="553">
        <f>'GROUP Det Group BS'!J72</f>
        <v>0</v>
      </c>
      <c r="H34" s="553">
        <f>'GROUP Det Group BS'!J96</f>
        <v>0</v>
      </c>
      <c r="I34" s="553">
        <f>'GROUP Det Group BS'!J120</f>
        <v>0</v>
      </c>
      <c r="J34" s="553">
        <f>'GROUP Det Group BS'!J144</f>
        <v>0</v>
      </c>
      <c r="K34" s="553">
        <f>'GROUP Det Group BS'!J168</f>
        <v>0</v>
      </c>
      <c r="L34" s="553">
        <f>'GROUP Det Group BS'!J192</f>
        <v>0</v>
      </c>
      <c r="M34" s="554">
        <f t="shared" si="9"/>
        <v>0</v>
      </c>
      <c r="N34" s="553">
        <f>'GROUP Det Group BS'!J216</f>
        <v>0</v>
      </c>
      <c r="O34" s="553">
        <f>'GROUP Det Group BS'!J274</f>
        <v>0</v>
      </c>
      <c r="P34" s="554">
        <f>M34+SUM(N34:O34)</f>
        <v>0</v>
      </c>
      <c r="Q34" s="3"/>
    </row>
    <row r="35" spans="1:17" ht="50.25" customHeight="1" x14ac:dyDescent="0.3">
      <c r="A35" s="10" t="str">
        <f t="shared" si="7"/>
        <v>Do Not Print</v>
      </c>
      <c r="B35" s="545"/>
      <c r="C35" s="545"/>
      <c r="D35" s="555" t="s">
        <v>113</v>
      </c>
      <c r="E35" s="553">
        <f>'GROUP Det Group BS'!J23</f>
        <v>0</v>
      </c>
      <c r="F35" s="553">
        <f>'GROUP Det Group BS'!J47</f>
        <v>0</v>
      </c>
      <c r="G35" s="553">
        <f>'GROUP Det Group BS'!J71</f>
        <v>0</v>
      </c>
      <c r="H35" s="553">
        <f>'GROUP Det Group BS'!J95</f>
        <v>0</v>
      </c>
      <c r="I35" s="553">
        <f>'GROUP Det Group BS'!J119</f>
        <v>0</v>
      </c>
      <c r="J35" s="553">
        <f>'GROUP Det Group BS'!J143</f>
        <v>0</v>
      </c>
      <c r="K35" s="553">
        <f>'GROUP Det Group BS'!J167</f>
        <v>0</v>
      </c>
      <c r="L35" s="553">
        <f>'GROUP Det Group BS'!J191</f>
        <v>0</v>
      </c>
      <c r="M35" s="554">
        <f t="shared" si="9"/>
        <v>0</v>
      </c>
      <c r="N35" s="553">
        <f>'GROUP Det Group BS'!J215</f>
        <v>0</v>
      </c>
      <c r="O35" s="553">
        <f>'GROUP Det Group BS'!J273</f>
        <v>0</v>
      </c>
      <c r="P35" s="554">
        <f t="shared" ref="P35:P40" si="10">M35+SUM(N35:O35)</f>
        <v>0</v>
      </c>
      <c r="Q35" s="3"/>
    </row>
    <row r="36" spans="1:17" x14ac:dyDescent="0.3">
      <c r="A36" s="10" t="str">
        <f t="shared" si="7"/>
        <v>Do Not Print</v>
      </c>
      <c r="B36" s="545"/>
      <c r="C36" s="545"/>
      <c r="D36" s="562" t="s">
        <v>114</v>
      </c>
      <c r="E36" s="553">
        <f>'GROUP Det Group BS'!J25</f>
        <v>0</v>
      </c>
      <c r="F36" s="553">
        <f>'GROUP Det Group BS'!J49</f>
        <v>0</v>
      </c>
      <c r="G36" s="553">
        <f>'GROUP Det Group BS'!J73</f>
        <v>0</v>
      </c>
      <c r="H36" s="553">
        <f>'GROUP Det Group BS'!J97</f>
        <v>0</v>
      </c>
      <c r="I36" s="553">
        <f>'GROUP Det Group BS'!J121</f>
        <v>0</v>
      </c>
      <c r="J36" s="553">
        <f>'GROUP Det Group BS'!J145</f>
        <v>0</v>
      </c>
      <c r="K36" s="553">
        <f>'GROUP Det Group BS'!J169</f>
        <v>0</v>
      </c>
      <c r="L36" s="553">
        <f>'GROUP Det Group BS'!J193</f>
        <v>0</v>
      </c>
      <c r="M36" s="554">
        <f t="shared" si="9"/>
        <v>0</v>
      </c>
      <c r="N36" s="553">
        <f>'GROUP Det Group BS'!J217</f>
        <v>0</v>
      </c>
      <c r="O36" s="553">
        <f>'GROUP Det Group BS'!J275</f>
        <v>0</v>
      </c>
      <c r="P36" s="554">
        <f t="shared" si="10"/>
        <v>0</v>
      </c>
      <c r="Q36" s="3"/>
    </row>
    <row r="37" spans="1:17" x14ac:dyDescent="0.3">
      <c r="A37" s="10" t="str">
        <f t="shared" si="7"/>
        <v>Do Not Print</v>
      </c>
      <c r="B37" s="545"/>
      <c r="C37" s="545"/>
      <c r="D37" s="562" t="s">
        <v>106</v>
      </c>
      <c r="E37" s="553">
        <f>'GROUP Det Group BS'!J26</f>
        <v>0</v>
      </c>
      <c r="F37" s="553">
        <f>'GROUP Det Group BS'!J50</f>
        <v>0</v>
      </c>
      <c r="G37" s="553">
        <f>'GROUP Det Group BS'!J74</f>
        <v>0</v>
      </c>
      <c r="H37" s="553">
        <f>'GROUP Det Group BS'!J98</f>
        <v>0</v>
      </c>
      <c r="I37" s="553">
        <f>'GROUP Det Group BS'!J122</f>
        <v>0</v>
      </c>
      <c r="J37" s="553">
        <f>'GROUP Det Group BS'!J146</f>
        <v>0</v>
      </c>
      <c r="K37" s="553">
        <f>'GROUP Det Group BS'!J170</f>
        <v>0</v>
      </c>
      <c r="L37" s="553">
        <f>'GROUP Det Group BS'!J194</f>
        <v>0</v>
      </c>
      <c r="M37" s="554">
        <f t="shared" si="9"/>
        <v>0</v>
      </c>
      <c r="N37" s="553">
        <f>'GROUP Det Group BS'!J218</f>
        <v>0</v>
      </c>
      <c r="O37" s="553">
        <f>'GROUP Det Group BS'!J276</f>
        <v>0</v>
      </c>
      <c r="P37" s="554">
        <f t="shared" si="10"/>
        <v>0</v>
      </c>
      <c r="Q37" s="3"/>
    </row>
    <row r="38" spans="1:17" x14ac:dyDescent="0.3">
      <c r="A38" s="10" t="str">
        <f t="shared" si="7"/>
        <v>Do Not Print</v>
      </c>
      <c r="B38" s="545"/>
      <c r="C38" s="545"/>
      <c r="D38" s="562" t="s">
        <v>107</v>
      </c>
      <c r="E38" s="553">
        <f>'GROUP Det Group BS'!J27</f>
        <v>0</v>
      </c>
      <c r="F38" s="553">
        <f>'GROUP Det Group BS'!J51</f>
        <v>0</v>
      </c>
      <c r="G38" s="553">
        <f>'GROUP Det Group BS'!J75</f>
        <v>0</v>
      </c>
      <c r="H38" s="553">
        <f>'GROUP Det Group BS'!J99</f>
        <v>0</v>
      </c>
      <c r="I38" s="553">
        <f>'GROUP Det Group BS'!J123</f>
        <v>0</v>
      </c>
      <c r="J38" s="553">
        <f>'GROUP Det Group BS'!J147</f>
        <v>0</v>
      </c>
      <c r="K38" s="553">
        <f>'GROUP Det Group BS'!J171</f>
        <v>0</v>
      </c>
      <c r="L38" s="553">
        <f>'GROUP Det Group BS'!J195</f>
        <v>0</v>
      </c>
      <c r="M38" s="554">
        <f t="shared" si="9"/>
        <v>0</v>
      </c>
      <c r="N38" s="553">
        <f>'GROUP Det Group BS'!J219</f>
        <v>0</v>
      </c>
      <c r="O38" s="553">
        <f>'GROUP Det Group BS'!J277</f>
        <v>0</v>
      </c>
      <c r="P38" s="554">
        <f t="shared" si="10"/>
        <v>0</v>
      </c>
      <c r="Q38" s="3"/>
    </row>
    <row r="39" spans="1:17" ht="26.4" x14ac:dyDescent="0.3">
      <c r="A39" s="10" t="str">
        <f t="shared" si="7"/>
        <v>Do Not Print</v>
      </c>
      <c r="B39" s="545"/>
      <c r="C39" s="545"/>
      <c r="D39" s="555" t="s">
        <v>115</v>
      </c>
      <c r="E39" s="553">
        <f>'GROUP Det Group BS'!J28</f>
        <v>0</v>
      </c>
      <c r="F39" s="553">
        <f>'GROUP Det Group BS'!J52</f>
        <v>0</v>
      </c>
      <c r="G39" s="553">
        <f>'GROUP Det Group BS'!J76</f>
        <v>0</v>
      </c>
      <c r="H39" s="553">
        <f>'GROUP Det Group BS'!J100</f>
        <v>0</v>
      </c>
      <c r="I39" s="553">
        <f>'GROUP Det Group BS'!J124</f>
        <v>0</v>
      </c>
      <c r="J39" s="553">
        <f>'GROUP Det Group BS'!J148</f>
        <v>0</v>
      </c>
      <c r="K39" s="553">
        <f>'GROUP Det Group BS'!J172</f>
        <v>0</v>
      </c>
      <c r="L39" s="553">
        <f>'GROUP Det Group BS'!J196</f>
        <v>0</v>
      </c>
      <c r="M39" s="554">
        <f t="shared" si="9"/>
        <v>0</v>
      </c>
      <c r="N39" s="553">
        <f>'GROUP Det Group BS'!J220</f>
        <v>0</v>
      </c>
      <c r="O39" s="553">
        <f>'GROUP Det Group BS'!J278</f>
        <v>0</v>
      </c>
      <c r="P39" s="554">
        <f t="shared" si="10"/>
        <v>0</v>
      </c>
      <c r="Q39" s="3"/>
    </row>
    <row r="40" spans="1:17" x14ac:dyDescent="0.3">
      <c r="A40" s="10" t="str">
        <f t="shared" si="7"/>
        <v>Do Not Print</v>
      </c>
      <c r="B40" s="545"/>
      <c r="C40" s="545"/>
      <c r="D40" s="560" t="str">
        <f>D24</f>
        <v>Balance as at 31 March 2026</v>
      </c>
      <c r="E40" s="553">
        <f t="shared" ref="E40:J40" si="11">SUM(E29:E39)</f>
        <v>0</v>
      </c>
      <c r="F40" s="553">
        <f t="shared" si="11"/>
        <v>0</v>
      </c>
      <c r="G40" s="553">
        <f t="shared" si="11"/>
        <v>0</v>
      </c>
      <c r="H40" s="553">
        <f t="shared" si="11"/>
        <v>0</v>
      </c>
      <c r="I40" s="553">
        <f t="shared" si="11"/>
        <v>0</v>
      </c>
      <c r="J40" s="553">
        <f t="shared" si="11"/>
        <v>0</v>
      </c>
      <c r="K40" s="553">
        <f t="shared" ref="K40:O40" si="12">SUM(K29:K39)</f>
        <v>0</v>
      </c>
      <c r="L40" s="553">
        <f t="shared" si="12"/>
        <v>0</v>
      </c>
      <c r="M40" s="554">
        <f t="shared" si="12"/>
        <v>0</v>
      </c>
      <c r="N40" s="553">
        <f t="shared" si="12"/>
        <v>0</v>
      </c>
      <c r="O40" s="553">
        <f t="shared" si="12"/>
        <v>0</v>
      </c>
      <c r="P40" s="554">
        <f t="shared" si="10"/>
        <v>0</v>
      </c>
      <c r="Q40" s="3"/>
    </row>
    <row r="41" spans="1:17" x14ac:dyDescent="0.3">
      <c r="A41" s="10" t="s">
        <v>448</v>
      </c>
      <c r="B41" s="545"/>
      <c r="C41" s="545"/>
      <c r="D41" s="563"/>
      <c r="E41" s="564"/>
      <c r="F41" s="564"/>
      <c r="G41" s="564"/>
      <c r="H41" s="564"/>
      <c r="I41" s="564"/>
      <c r="J41" s="564"/>
      <c r="K41" s="564"/>
      <c r="L41" s="564"/>
      <c r="M41" s="565"/>
      <c r="N41" s="564"/>
      <c r="O41" s="564"/>
      <c r="P41" s="565"/>
    </row>
    <row r="42" spans="1:17" x14ac:dyDescent="0.3">
      <c r="A42" s="10" t="s">
        <v>448</v>
      </c>
      <c r="B42" s="545"/>
      <c r="C42" s="545"/>
      <c r="D42" s="546" t="s">
        <v>116</v>
      </c>
      <c r="E42" s="566"/>
      <c r="F42" s="566"/>
      <c r="G42" s="566"/>
      <c r="H42" s="566"/>
      <c r="I42" s="566"/>
      <c r="J42" s="566"/>
      <c r="K42" s="566"/>
      <c r="L42" s="566"/>
      <c r="M42" s="567"/>
      <c r="N42" s="566"/>
      <c r="O42" s="566"/>
      <c r="P42" s="567"/>
    </row>
    <row r="43" spans="1:17" x14ac:dyDescent="0.3">
      <c r="A43" s="10" t="str">
        <f>IF(AND(E43=0,F43=0,G43=0,H43=0,I43=0,J43=0,K43=0,L43=0,M43=0,N43=0,O43=0,P43=0),"Do Not Print","Print")</f>
        <v>Do Not Print</v>
      </c>
      <c r="B43" s="545"/>
      <c r="C43" s="545"/>
      <c r="D43" s="568" t="str">
        <f>D24</f>
        <v>Balance as at 31 March 2026</v>
      </c>
      <c r="E43" s="569">
        <f>E24-E40</f>
        <v>0</v>
      </c>
      <c r="F43" s="569">
        <f>F24-F40</f>
        <v>0</v>
      </c>
      <c r="G43" s="569">
        <f t="shared" ref="G43:P43" si="13">G24-G40</f>
        <v>0</v>
      </c>
      <c r="H43" s="569">
        <f t="shared" si="13"/>
        <v>0</v>
      </c>
      <c r="I43" s="569">
        <f t="shared" si="13"/>
        <v>0</v>
      </c>
      <c r="J43" s="569">
        <f t="shared" si="13"/>
        <v>0</v>
      </c>
      <c r="K43" s="569">
        <f t="shared" si="13"/>
        <v>0</v>
      </c>
      <c r="L43" s="569">
        <f t="shared" si="13"/>
        <v>0</v>
      </c>
      <c r="M43" s="569">
        <f t="shared" si="13"/>
        <v>0</v>
      </c>
      <c r="N43" s="569">
        <f t="shared" si="13"/>
        <v>0</v>
      </c>
      <c r="O43" s="569">
        <f t="shared" si="13"/>
        <v>0</v>
      </c>
      <c r="P43" s="569">
        <f t="shared" si="13"/>
        <v>0</v>
      </c>
    </row>
    <row r="44" spans="1:17" x14ac:dyDescent="0.3">
      <c r="A44" s="10" t="s">
        <v>448</v>
      </c>
      <c r="B44" s="545"/>
      <c r="C44" s="545"/>
      <c r="D44" s="570"/>
      <c r="E44" s="571"/>
      <c r="F44" s="571"/>
      <c r="G44" s="571"/>
      <c r="H44" s="571"/>
      <c r="I44" s="571"/>
      <c r="J44" s="571"/>
      <c r="K44" s="571"/>
      <c r="L44" s="571"/>
      <c r="M44" s="572"/>
      <c r="N44" s="571"/>
      <c r="O44" s="571"/>
      <c r="P44" s="572"/>
      <c r="Q44" s="3"/>
    </row>
    <row r="45" spans="1:17" ht="46.5" customHeight="1" x14ac:dyDescent="0.3">
      <c r="A45" s="10" t="s">
        <v>448</v>
      </c>
      <c r="B45" s="545"/>
      <c r="C45" s="585" t="str">
        <f>Checklist!E193</f>
        <v>b</v>
      </c>
      <c r="D45" s="547" t="s">
        <v>96</v>
      </c>
      <c r="E45" s="548" t="s">
        <v>91</v>
      </c>
      <c r="F45" s="548" t="s">
        <v>681</v>
      </c>
      <c r="G45" s="548" t="s">
        <v>901</v>
      </c>
      <c r="H45" s="548" t="s">
        <v>1062</v>
      </c>
      <c r="I45" s="548" t="s">
        <v>97</v>
      </c>
      <c r="J45" s="548" t="s">
        <v>725</v>
      </c>
      <c r="K45" s="548" t="s">
        <v>98</v>
      </c>
      <c r="L45" s="548" t="s">
        <v>92</v>
      </c>
      <c r="M45" s="548" t="s">
        <v>99</v>
      </c>
      <c r="N45" s="548" t="s">
        <v>741</v>
      </c>
      <c r="O45" s="548" t="s">
        <v>903</v>
      </c>
      <c r="P45" s="548" t="s">
        <v>592</v>
      </c>
      <c r="Q45" s="3"/>
    </row>
    <row r="46" spans="1:17" x14ac:dyDescent="0.3">
      <c r="A46" s="10" t="s">
        <v>448</v>
      </c>
      <c r="B46" s="545"/>
      <c r="C46" s="545"/>
      <c r="D46" s="549"/>
      <c r="E46" s="550" t="s">
        <v>450</v>
      </c>
      <c r="F46" s="550" t="s">
        <v>450</v>
      </c>
      <c r="G46" s="550" t="s">
        <v>450</v>
      </c>
      <c r="H46" s="550" t="s">
        <v>450</v>
      </c>
      <c r="I46" s="550" t="s">
        <v>450</v>
      </c>
      <c r="J46" s="550" t="s">
        <v>450</v>
      </c>
      <c r="K46" s="550" t="s">
        <v>450</v>
      </c>
      <c r="L46" s="550" t="s">
        <v>450</v>
      </c>
      <c r="M46" s="551" t="s">
        <v>450</v>
      </c>
      <c r="N46" s="550" t="s">
        <v>450</v>
      </c>
      <c r="O46" s="550" t="s">
        <v>450</v>
      </c>
      <c r="P46" s="551" t="s">
        <v>450</v>
      </c>
      <c r="Q46" s="3"/>
    </row>
    <row r="47" spans="1:17" x14ac:dyDescent="0.3">
      <c r="A47" s="10" t="str">
        <f>IF(AND(E47=0,F47=0,G47=0,H47=0,I47=0,J47=0,K47=0,L47=0,M47=0,N47=0,,O47=0,P47=0),"Do Not Print","Print")</f>
        <v>Print</v>
      </c>
      <c r="B47" s="545"/>
      <c r="C47" s="545"/>
      <c r="D47" s="552" t="str">
        <f>'Standing Data'!D86</f>
        <v>Balance as at 1 April 2024</v>
      </c>
      <c r="E47" s="553">
        <f>'GROUP Det Group BS'!K7</f>
        <v>0</v>
      </c>
      <c r="F47" s="553">
        <f>'GROUP Det Group BS'!K31</f>
        <v>0</v>
      </c>
      <c r="G47" s="553">
        <f>'GROUP Det Group BS'!K55</f>
        <v>0</v>
      </c>
      <c r="H47" s="553">
        <f>'GROUP Det Group BS'!K79</f>
        <v>0</v>
      </c>
      <c r="I47" s="553">
        <f>'GROUP Det Group BS'!K103</f>
        <v>0</v>
      </c>
      <c r="J47" s="553">
        <f>'GROUP Det Group BS'!K127</f>
        <v>0</v>
      </c>
      <c r="K47" s="553">
        <f>'GROUP Det Group BS'!K151</f>
        <v>0</v>
      </c>
      <c r="L47" s="553">
        <f>'GROUP Det Group BS'!K175</f>
        <v>0</v>
      </c>
      <c r="M47" s="554">
        <f>SUM(E47:L47)</f>
        <v>0</v>
      </c>
      <c r="N47" s="553">
        <f>'GROUP Det Group BS'!K199</f>
        <v>0</v>
      </c>
      <c r="O47" s="553">
        <f>'GROUP Det Group BS'!K257</f>
        <v>0</v>
      </c>
      <c r="P47" s="554">
        <f>M47+SUM(N47:O47)</f>
        <v>0</v>
      </c>
    </row>
    <row r="48" spans="1:17" ht="39.6" x14ac:dyDescent="0.3">
      <c r="A48" s="10" t="str">
        <f>IF(AND(E48=0,F48=0,G48=0,H48=0,I48=0,J48=0,K48=0,L48=0,M48=0,N48=0,O48=0,P48=0),"Do Not Print","Print")</f>
        <v>Do Not Print</v>
      </c>
      <c r="B48" s="545"/>
      <c r="C48" s="545"/>
      <c r="D48" s="555" t="s">
        <v>101</v>
      </c>
      <c r="E48" s="553">
        <f>'GROUP Det Group BS'!K8</f>
        <v>0</v>
      </c>
      <c r="F48" s="553">
        <f>'GROUP Det Group BS'!K32</f>
        <v>0</v>
      </c>
      <c r="G48" s="553">
        <f>'GROUP Det Group BS'!K56</f>
        <v>0</v>
      </c>
      <c r="H48" s="553">
        <f>'GROUP Det Group BS'!K80</f>
        <v>0</v>
      </c>
      <c r="I48" s="553">
        <f>'GROUP Det Group BS'!K104</f>
        <v>0</v>
      </c>
      <c r="J48" s="553">
        <f>'GROUP Det Group BS'!K128</f>
        <v>0</v>
      </c>
      <c r="K48" s="553">
        <f>'GROUP Det Group BS'!K152</f>
        <v>0</v>
      </c>
      <c r="L48" s="553">
        <f>'GROUP Det Group BS'!K176</f>
        <v>0</v>
      </c>
      <c r="M48" s="554">
        <f>SUM(E48:L48)</f>
        <v>0</v>
      </c>
      <c r="N48" s="553">
        <f>'GROUP Det Group BS'!K200</f>
        <v>0</v>
      </c>
      <c r="O48" s="553">
        <f>'GROUP Det Group BS'!K258</f>
        <v>0</v>
      </c>
      <c r="P48" s="554">
        <f>M48+SUM(N48:O48)</f>
        <v>0</v>
      </c>
    </row>
    <row r="49" spans="1:17" x14ac:dyDescent="0.3">
      <c r="A49" s="10" t="str">
        <f>IF(AND(E49=0,F49=0,G49=0,H49=0,I49=0,J49=0,K49=0,L49=0,M49=0,N49=0,O49=0,P49=0),"Do Not Print","Print")</f>
        <v>Do Not Print</v>
      </c>
      <c r="B49" s="545"/>
      <c r="C49" s="545"/>
      <c r="D49" s="556" t="str">
        <f>D47</f>
        <v>Balance as at 1 April 2024</v>
      </c>
      <c r="E49" s="557">
        <f>SUM(E47:E48)</f>
        <v>0</v>
      </c>
      <c r="F49" s="557">
        <f t="shared" ref="F49:L49" si="14">SUM(F47:F48)</f>
        <v>0</v>
      </c>
      <c r="G49" s="557">
        <f t="shared" si="14"/>
        <v>0</v>
      </c>
      <c r="H49" s="557">
        <f t="shared" si="14"/>
        <v>0</v>
      </c>
      <c r="I49" s="557">
        <f t="shared" si="14"/>
        <v>0</v>
      </c>
      <c r="J49" s="557">
        <f t="shared" si="14"/>
        <v>0</v>
      </c>
      <c r="K49" s="557">
        <f t="shared" si="14"/>
        <v>0</v>
      </c>
      <c r="L49" s="557">
        <f t="shared" si="14"/>
        <v>0</v>
      </c>
      <c r="M49" s="557">
        <f>SUM(E49:L49)</f>
        <v>0</v>
      </c>
      <c r="N49" s="557">
        <f>SUM(N47:N48)</f>
        <v>0</v>
      </c>
      <c r="O49" s="557">
        <f>SUM(O47:O48)</f>
        <v>0</v>
      </c>
      <c r="P49" s="557">
        <f>SUM(P47:P48)</f>
        <v>0</v>
      </c>
    </row>
    <row r="50" spans="1:17" x14ac:dyDescent="0.3">
      <c r="A50" s="10" t="s">
        <v>448</v>
      </c>
      <c r="B50" s="545"/>
      <c r="C50" s="545"/>
      <c r="D50" s="552"/>
      <c r="E50" s="553"/>
      <c r="F50" s="553"/>
      <c r="G50" s="553"/>
      <c r="H50" s="553"/>
      <c r="I50" s="553"/>
      <c r="J50" s="553"/>
      <c r="K50" s="553"/>
      <c r="L50" s="553"/>
      <c r="M50" s="554"/>
      <c r="N50" s="553"/>
      <c r="O50" s="553"/>
      <c r="P50" s="554"/>
    </row>
    <row r="51" spans="1:17" x14ac:dyDescent="0.3">
      <c r="A51" s="10" t="str">
        <f>IF(AND(E51=0,F51=0,G51=0,H51=0,I51=0,J51=0,K51=0,L51=0,M51=0,N51=0,O51=0,P51=0),"Do Not Print","Print")</f>
        <v>Do Not Print</v>
      </c>
      <c r="B51" s="545"/>
      <c r="C51" s="545"/>
      <c r="D51" s="555" t="s">
        <v>102</v>
      </c>
      <c r="E51" s="553">
        <f>'GROUP Det Group BS'!K9</f>
        <v>0</v>
      </c>
      <c r="F51" s="553">
        <f>'GROUP Det Group BS'!K33</f>
        <v>0</v>
      </c>
      <c r="G51" s="553">
        <f>'GROUP Det Group BS'!K57</f>
        <v>0</v>
      </c>
      <c r="H51" s="553">
        <f>'GROUP Det Group BS'!K81</f>
        <v>0</v>
      </c>
      <c r="I51" s="553">
        <f>'GROUP Det Group BS'!K105</f>
        <v>0</v>
      </c>
      <c r="J51" s="553">
        <f>'GROUP Det Group BS'!K129</f>
        <v>0</v>
      </c>
      <c r="K51" s="553">
        <f>'GROUP Det Group BS'!K153</f>
        <v>0</v>
      </c>
      <c r="L51" s="553">
        <f>'GROUP Det Group BS'!K177</f>
        <v>0</v>
      </c>
      <c r="M51" s="554">
        <f>SUM(E51:L51)</f>
        <v>0</v>
      </c>
      <c r="N51" s="553">
        <f>'GROUP Det Group BS'!K201</f>
        <v>0</v>
      </c>
      <c r="O51" s="553">
        <f>'GROUP Det Group BS'!K259</f>
        <v>0</v>
      </c>
      <c r="P51" s="554">
        <f>M51+SUM(N51:O51)</f>
        <v>0</v>
      </c>
    </row>
    <row r="52" spans="1:17" x14ac:dyDescent="0.3">
      <c r="A52" s="10" t="str">
        <f t="shared" ref="A52:A59" si="15">IF(AND(E52=0,F52=0,G52=0,H52=0,I52=0,J52=0,K52=0,L52=0,M52=0,N52=0,O52=0,P52=0),"Do Not Print","Print")</f>
        <v>Do Not Print</v>
      </c>
      <c r="B52" s="545"/>
      <c r="C52" s="545"/>
      <c r="D52" s="555" t="s">
        <v>103</v>
      </c>
      <c r="E52" s="553">
        <f>'GROUP Det Group BS'!K10</f>
        <v>0</v>
      </c>
      <c r="F52" s="553">
        <f>'GROUP Det Group BS'!K34</f>
        <v>0</v>
      </c>
      <c r="G52" s="553">
        <f>'GROUP Det Group BS'!K58</f>
        <v>0</v>
      </c>
      <c r="H52" s="553">
        <f>'GROUP Det Group BS'!K82</f>
        <v>0</v>
      </c>
      <c r="I52" s="553">
        <f>'GROUP Det Group BS'!K106</f>
        <v>0</v>
      </c>
      <c r="J52" s="553">
        <f>'GROUP Det Group BS'!K130</f>
        <v>0</v>
      </c>
      <c r="K52" s="553">
        <f>'GROUP Det Group BS'!K154</f>
        <v>0</v>
      </c>
      <c r="L52" s="553">
        <f>'GROUP Det Group BS'!K178</f>
        <v>0</v>
      </c>
      <c r="M52" s="554">
        <f t="shared" ref="M52:M59" si="16">SUM(E52:L52)</f>
        <v>0</v>
      </c>
      <c r="N52" s="553">
        <f>'GROUP Det Group BS'!K202</f>
        <v>0</v>
      </c>
      <c r="O52" s="553">
        <f>'GROUP Det Group BS'!K260</f>
        <v>0</v>
      </c>
      <c r="P52" s="554">
        <f>M52+SUM(N52:O52)</f>
        <v>0</v>
      </c>
    </row>
    <row r="53" spans="1:17" ht="39.6" x14ac:dyDescent="0.3">
      <c r="A53" s="10" t="str">
        <f t="shared" si="15"/>
        <v>Do Not Print</v>
      </c>
      <c r="B53" s="545"/>
      <c r="C53" s="545"/>
      <c r="D53" s="555" t="s">
        <v>104</v>
      </c>
      <c r="E53" s="553">
        <f>'GROUP Det Group BS'!K11</f>
        <v>0</v>
      </c>
      <c r="F53" s="553">
        <f>'GROUP Det Group BS'!K35</f>
        <v>0</v>
      </c>
      <c r="G53" s="553">
        <f>'GROUP Det Group BS'!K59</f>
        <v>0</v>
      </c>
      <c r="H53" s="553">
        <f>'GROUP Det Group BS'!K83</f>
        <v>0</v>
      </c>
      <c r="I53" s="553">
        <f>'GROUP Det Group BS'!K108</f>
        <v>0</v>
      </c>
      <c r="J53" s="553">
        <f>'GROUP Det Group BS'!K131</f>
        <v>0</v>
      </c>
      <c r="K53" s="553">
        <f>'GROUP Det Group BS'!K155</f>
        <v>0</v>
      </c>
      <c r="L53" s="553">
        <f>'GROUP Det Group BS'!K179</f>
        <v>0</v>
      </c>
      <c r="M53" s="554">
        <f t="shared" si="16"/>
        <v>0</v>
      </c>
      <c r="N53" s="553">
        <f>'GROUP Det Group BS'!K203</f>
        <v>0</v>
      </c>
      <c r="O53" s="553">
        <f>'GROUP Det Group BS'!K261</f>
        <v>0</v>
      </c>
      <c r="P53" s="554">
        <f>M53+SUM(N53:O53)</f>
        <v>0</v>
      </c>
    </row>
    <row r="54" spans="1:17" ht="58.5" customHeight="1" x14ac:dyDescent="0.3">
      <c r="A54" s="10" t="str">
        <f t="shared" si="15"/>
        <v>Do Not Print</v>
      </c>
      <c r="B54" s="545"/>
      <c r="C54" s="545"/>
      <c r="D54" s="555" t="s">
        <v>1091</v>
      </c>
      <c r="E54" s="553">
        <f>'GROUP Det Group BS'!K12</f>
        <v>0</v>
      </c>
      <c r="F54" s="553">
        <f>'GROUP Det Group BS'!K36</f>
        <v>0</v>
      </c>
      <c r="G54" s="553">
        <f>'GROUP Det Group BS'!K60</f>
        <v>0</v>
      </c>
      <c r="H54" s="553">
        <f>'GROUP Det Group BS'!K84</f>
        <v>0</v>
      </c>
      <c r="I54" s="553">
        <f>'GROUP Det Group BS'!K109</f>
        <v>0</v>
      </c>
      <c r="J54" s="553">
        <f>'GROUP Det Group BS'!K132</f>
        <v>0</v>
      </c>
      <c r="K54" s="553">
        <f>'GROUP Det Group BS'!K156</f>
        <v>0</v>
      </c>
      <c r="L54" s="553">
        <f>'GROUP Det Group BS'!K180</f>
        <v>0</v>
      </c>
      <c r="M54" s="554">
        <f t="shared" si="16"/>
        <v>0</v>
      </c>
      <c r="N54" s="553">
        <f>'GROUP Det Group BS'!K204</f>
        <v>0</v>
      </c>
      <c r="O54" s="553">
        <f>'GROUP Det Group BS'!K262</f>
        <v>0</v>
      </c>
      <c r="P54" s="554">
        <f>M54+SUM(N54:O54)</f>
        <v>0</v>
      </c>
      <c r="Q54" s="7"/>
    </row>
    <row r="55" spans="1:17" ht="61.5" customHeight="1" x14ac:dyDescent="0.3">
      <c r="A55" s="10" t="str">
        <f t="shared" si="15"/>
        <v>Do Not Print</v>
      </c>
      <c r="B55" s="545"/>
      <c r="C55" s="545"/>
      <c r="D55" s="555" t="s">
        <v>1089</v>
      </c>
      <c r="E55" s="553">
        <f>'GROUP Det Group BS'!K13</f>
        <v>0</v>
      </c>
      <c r="F55" s="553">
        <f>'GROUP Det Group BS'!K37</f>
        <v>0</v>
      </c>
      <c r="G55" s="553">
        <f>'GROUP Det Group BS'!K61</f>
        <v>0</v>
      </c>
      <c r="H55" s="553">
        <f>'GROUP Det Group BS'!K85</f>
        <v>0</v>
      </c>
      <c r="I55" s="553">
        <f>'GROUP Det Group BS'!K110</f>
        <v>0</v>
      </c>
      <c r="J55" s="553">
        <f>'GROUP Det Group BS'!K133</f>
        <v>0</v>
      </c>
      <c r="K55" s="553">
        <f>'GROUP Det Group BS'!K157</f>
        <v>0</v>
      </c>
      <c r="L55" s="553">
        <f>'GROUP Det Group BS'!K181</f>
        <v>0</v>
      </c>
      <c r="M55" s="554">
        <f>SUM(E55:L55)</f>
        <v>0</v>
      </c>
      <c r="N55" s="553">
        <f>'GROUP Det Group BS'!K205</f>
        <v>0</v>
      </c>
      <c r="O55" s="553">
        <f>'GROUP Det Group BS'!K263</f>
        <v>0</v>
      </c>
      <c r="P55" s="554">
        <f>SUM(M55:O55)</f>
        <v>0</v>
      </c>
      <c r="Q55" s="7"/>
    </row>
    <row r="56" spans="1:17" ht="13.05" customHeight="1" x14ac:dyDescent="0.3">
      <c r="A56" s="10" t="str">
        <f t="shared" si="15"/>
        <v>Do Not Print</v>
      </c>
      <c r="B56" s="545"/>
      <c r="C56" s="545"/>
      <c r="D56" s="555" t="s">
        <v>105</v>
      </c>
      <c r="E56" s="553">
        <f>'GROUP Det Group BS'!K14</f>
        <v>0</v>
      </c>
      <c r="F56" s="553">
        <f>'GROUP Det Group BS'!K38</f>
        <v>0</v>
      </c>
      <c r="G56" s="553">
        <f>'GROUP Det Group BS'!K62</f>
        <v>0</v>
      </c>
      <c r="H56" s="553">
        <f>'GROUP Det Group BS'!K86</f>
        <v>0</v>
      </c>
      <c r="I56" s="553">
        <f>'GROUP Det Group BS'!K107</f>
        <v>0</v>
      </c>
      <c r="J56" s="553">
        <f>'GROUP Det Group BS'!K134</f>
        <v>0</v>
      </c>
      <c r="K56" s="553">
        <f>'GROUP Det Group BS'!K158</f>
        <v>0</v>
      </c>
      <c r="L56" s="553">
        <f>'GROUP Det Group BS'!K182</f>
        <v>0</v>
      </c>
      <c r="M56" s="554">
        <f t="shared" si="16"/>
        <v>0</v>
      </c>
      <c r="N56" s="553">
        <f>'GROUP Det Group BS'!K206</f>
        <v>0</v>
      </c>
      <c r="O56" s="553">
        <f>'GROUP Det Group BS'!K264</f>
        <v>0</v>
      </c>
      <c r="P56" s="554">
        <f>M56+SUM(N56:O56)</f>
        <v>0</v>
      </c>
    </row>
    <row r="57" spans="1:17" ht="13.05" customHeight="1" x14ac:dyDescent="0.3">
      <c r="A57" s="10" t="str">
        <f t="shared" si="15"/>
        <v>Do Not Print</v>
      </c>
      <c r="B57" s="545"/>
      <c r="C57" s="545"/>
      <c r="D57" s="555" t="s">
        <v>106</v>
      </c>
      <c r="E57" s="553">
        <f>'GROUP Det Group BS'!K15</f>
        <v>0</v>
      </c>
      <c r="F57" s="553">
        <f>'GROUP Det Group BS'!K39</f>
        <v>0</v>
      </c>
      <c r="G57" s="553">
        <f>'GROUP Det Group BS'!K63</f>
        <v>0</v>
      </c>
      <c r="H57" s="553">
        <f>'GROUP Det Group BS'!K87</f>
        <v>0</v>
      </c>
      <c r="I57" s="553">
        <f>'GROUP Det Group BS'!K111</f>
        <v>0</v>
      </c>
      <c r="J57" s="553">
        <f>'GROUP Det Group BS'!K135</f>
        <v>0</v>
      </c>
      <c r="K57" s="553">
        <f>'GROUP Det Group BS'!K159</f>
        <v>0</v>
      </c>
      <c r="L57" s="553">
        <f>'GROUP Det Group BS'!K183</f>
        <v>0</v>
      </c>
      <c r="M57" s="554">
        <f t="shared" si="16"/>
        <v>0</v>
      </c>
      <c r="N57" s="553">
        <f>'GROUP Det Group BS'!K207</f>
        <v>0</v>
      </c>
      <c r="O57" s="553">
        <f>'GROUP Det Group BS'!K265</f>
        <v>0</v>
      </c>
      <c r="P57" s="554">
        <f>M57+SUM(N57:O57)</f>
        <v>0</v>
      </c>
    </row>
    <row r="58" spans="1:17" ht="13.05" customHeight="1" x14ac:dyDescent="0.3">
      <c r="A58" s="10" t="str">
        <f t="shared" si="15"/>
        <v>Do Not Print</v>
      </c>
      <c r="B58" s="545"/>
      <c r="C58" s="545"/>
      <c r="D58" s="555" t="s">
        <v>107</v>
      </c>
      <c r="E58" s="553">
        <f>'GROUP Det Group BS'!K16</f>
        <v>0</v>
      </c>
      <c r="F58" s="553">
        <f>'GROUP Det Group BS'!K40</f>
        <v>0</v>
      </c>
      <c r="G58" s="553">
        <f>'GROUP Det Group BS'!K64</f>
        <v>0</v>
      </c>
      <c r="H58" s="553">
        <f>'GROUP Det Group BS'!K88</f>
        <v>0</v>
      </c>
      <c r="I58" s="553">
        <f>'GROUP Det Group BS'!K112</f>
        <v>0</v>
      </c>
      <c r="J58" s="553">
        <f>'GROUP Det Group BS'!K136</f>
        <v>0</v>
      </c>
      <c r="K58" s="553">
        <f>'GROUP Det Group BS'!K160</f>
        <v>0</v>
      </c>
      <c r="L58" s="553">
        <f>'GROUP Det Group BS'!K184</f>
        <v>0</v>
      </c>
      <c r="M58" s="554">
        <f t="shared" si="16"/>
        <v>0</v>
      </c>
      <c r="N58" s="553">
        <f>'GROUP Det Group BS'!K208</f>
        <v>0</v>
      </c>
      <c r="O58" s="553">
        <f>'GROUP Det Group BS'!K266</f>
        <v>0</v>
      </c>
      <c r="P58" s="554">
        <f>M58+SUM(N58:O58)</f>
        <v>0</v>
      </c>
    </row>
    <row r="59" spans="1:17" ht="26.4" x14ac:dyDescent="0.3">
      <c r="A59" s="10" t="str">
        <f t="shared" si="15"/>
        <v>Do Not Print</v>
      </c>
      <c r="B59" s="545"/>
      <c r="C59" s="545"/>
      <c r="D59" s="555" t="s">
        <v>2995</v>
      </c>
      <c r="E59" s="553">
        <f>'GROUP Det Group BS'!K17</f>
        <v>0</v>
      </c>
      <c r="F59" s="553">
        <f>'GROUP Det Group BS'!K41</f>
        <v>0</v>
      </c>
      <c r="G59" s="553">
        <f>'GROUP Det Group BS'!K65</f>
        <v>0</v>
      </c>
      <c r="H59" s="553">
        <f>'GROUP Det Group BS'!K89</f>
        <v>0</v>
      </c>
      <c r="I59" s="553">
        <f>'GROUP Det Group BS'!K113</f>
        <v>0</v>
      </c>
      <c r="J59" s="553">
        <f>'GROUP Det Group BS'!K137</f>
        <v>0</v>
      </c>
      <c r="K59" s="553">
        <f>'GROUP Det Group BS'!K161</f>
        <v>0</v>
      </c>
      <c r="L59" s="553">
        <f>'GROUP Det Group BS'!K185</f>
        <v>0</v>
      </c>
      <c r="M59" s="554">
        <f t="shared" si="16"/>
        <v>0</v>
      </c>
      <c r="N59" s="553">
        <f>'GROUP Det Group BS'!K209</f>
        <v>0</v>
      </c>
      <c r="O59" s="553">
        <f>'GROUP Det Group BS'!K267</f>
        <v>0</v>
      </c>
      <c r="P59" s="554">
        <f>M59+SUM(N59:O59)</f>
        <v>0</v>
      </c>
    </row>
    <row r="60" spans="1:17" x14ac:dyDescent="0.3">
      <c r="A60" s="10" t="s">
        <v>448</v>
      </c>
      <c r="B60" s="545"/>
      <c r="C60" s="545"/>
      <c r="D60" s="555"/>
      <c r="E60" s="553"/>
      <c r="F60" s="553"/>
      <c r="G60" s="553"/>
      <c r="H60" s="553"/>
      <c r="I60" s="553"/>
      <c r="J60" s="553"/>
      <c r="K60" s="553"/>
      <c r="L60" s="553"/>
      <c r="M60" s="554"/>
      <c r="N60" s="553"/>
      <c r="O60" s="553"/>
      <c r="P60" s="554"/>
    </row>
    <row r="61" spans="1:17" x14ac:dyDescent="0.3">
      <c r="A61" s="10" t="str">
        <f>IF(AND(E61=0,F61=0,G61=0,H61=0,I61=0,J61=0,K61=0,L61=0,M61=0,N61=0,O61=0,P61=0),"Do Not Print","Print")</f>
        <v>Do Not Print</v>
      </c>
      <c r="B61" s="545"/>
      <c r="C61" s="545"/>
      <c r="D61" s="556" t="str">
        <f>'Standing Data'!D82</f>
        <v>Balance as at 31 March 2025</v>
      </c>
      <c r="E61" s="557">
        <f t="shared" ref="E61:P61" si="17">SUM(E49:E59)</f>
        <v>0</v>
      </c>
      <c r="F61" s="557">
        <f t="shared" si="17"/>
        <v>0</v>
      </c>
      <c r="G61" s="557">
        <f t="shared" si="17"/>
        <v>0</v>
      </c>
      <c r="H61" s="557">
        <f t="shared" si="17"/>
        <v>0</v>
      </c>
      <c r="I61" s="557">
        <f t="shared" si="17"/>
        <v>0</v>
      </c>
      <c r="J61" s="557">
        <f t="shared" si="17"/>
        <v>0</v>
      </c>
      <c r="K61" s="557">
        <f t="shared" si="17"/>
        <v>0</v>
      </c>
      <c r="L61" s="557">
        <f t="shared" si="17"/>
        <v>0</v>
      </c>
      <c r="M61" s="557">
        <f t="shared" si="17"/>
        <v>0</v>
      </c>
      <c r="N61" s="557">
        <f t="shared" si="17"/>
        <v>0</v>
      </c>
      <c r="O61" s="557">
        <f t="shared" si="17"/>
        <v>0</v>
      </c>
      <c r="P61" s="557">
        <f t="shared" si="17"/>
        <v>0</v>
      </c>
    </row>
    <row r="62" spans="1:17" x14ac:dyDescent="0.3">
      <c r="A62" s="10" t="s">
        <v>448</v>
      </c>
      <c r="B62" s="545"/>
      <c r="C62" s="545"/>
      <c r="D62" s="562"/>
      <c r="E62" s="573"/>
      <c r="F62" s="573"/>
      <c r="G62" s="573"/>
      <c r="H62" s="573"/>
      <c r="I62" s="573"/>
      <c r="J62" s="573"/>
      <c r="K62" s="573"/>
      <c r="L62" s="573"/>
      <c r="M62" s="573"/>
      <c r="N62" s="573"/>
      <c r="O62" s="573"/>
      <c r="P62" s="573"/>
    </row>
    <row r="63" spans="1:17" x14ac:dyDescent="0.3">
      <c r="A63" s="10" t="s">
        <v>448</v>
      </c>
      <c r="B63" s="545"/>
      <c r="C63" s="545"/>
      <c r="D63" s="545"/>
      <c r="E63" s="574"/>
      <c r="F63" s="574"/>
      <c r="G63" s="574"/>
      <c r="H63" s="574"/>
      <c r="I63" s="574"/>
      <c r="J63" s="574"/>
      <c r="K63" s="574"/>
      <c r="L63" s="574"/>
      <c r="M63" s="575"/>
      <c r="N63" s="574"/>
      <c r="O63" s="574"/>
      <c r="P63" s="575"/>
    </row>
    <row r="64" spans="1:17" ht="35.4" x14ac:dyDescent="0.3">
      <c r="A64" s="10" t="s">
        <v>448</v>
      </c>
      <c r="B64" s="545"/>
      <c r="C64" s="545"/>
      <c r="D64" s="558" t="s">
        <v>108</v>
      </c>
      <c r="E64" s="548" t="s">
        <v>91</v>
      </c>
      <c r="F64" s="548" t="s">
        <v>681</v>
      </c>
      <c r="G64" s="548" t="s">
        <v>901</v>
      </c>
      <c r="H64" s="548" t="s">
        <v>1062</v>
      </c>
      <c r="I64" s="548" t="s">
        <v>97</v>
      </c>
      <c r="J64" s="548" t="s">
        <v>725</v>
      </c>
      <c r="K64" s="548" t="s">
        <v>98</v>
      </c>
      <c r="L64" s="548" t="s">
        <v>92</v>
      </c>
      <c r="M64" s="548" t="s">
        <v>99</v>
      </c>
      <c r="N64" s="548" t="s">
        <v>741</v>
      </c>
      <c r="O64" s="548" t="s">
        <v>903</v>
      </c>
      <c r="P64" s="548" t="s">
        <v>100</v>
      </c>
    </row>
    <row r="65" spans="1:16" x14ac:dyDescent="0.3">
      <c r="A65" s="10" t="s">
        <v>448</v>
      </c>
      <c r="B65" s="545"/>
      <c r="C65" s="545"/>
      <c r="D65" s="559"/>
      <c r="E65" s="550" t="s">
        <v>450</v>
      </c>
      <c r="F65" s="550" t="s">
        <v>450</v>
      </c>
      <c r="G65" s="550" t="s">
        <v>450</v>
      </c>
      <c r="H65" s="550" t="s">
        <v>450</v>
      </c>
      <c r="I65" s="550" t="s">
        <v>450</v>
      </c>
      <c r="J65" s="550" t="s">
        <v>450</v>
      </c>
      <c r="K65" s="550" t="s">
        <v>450</v>
      </c>
      <c r="L65" s="550" t="s">
        <v>450</v>
      </c>
      <c r="M65" s="551" t="s">
        <v>450</v>
      </c>
      <c r="N65" s="550" t="s">
        <v>450</v>
      </c>
      <c r="O65" s="550" t="s">
        <v>450</v>
      </c>
      <c r="P65" s="551" t="s">
        <v>450</v>
      </c>
    </row>
    <row r="66" spans="1:16" x14ac:dyDescent="0.3">
      <c r="A66" s="10" t="str">
        <f>IF(AND(E66=0,F66=0,G66=0,H66=0,I66=0,J66=0,K66=0,L66=0,M66=0,N66=0,O66=0,P66=0),"Do Not Print","Print")</f>
        <v>Do Not Print</v>
      </c>
      <c r="B66" s="545"/>
      <c r="C66" s="545"/>
      <c r="D66" s="560" t="str">
        <f>D47</f>
        <v>Balance as at 1 April 2024</v>
      </c>
      <c r="E66" s="553">
        <f>'GROUP Det Group BS'!K18</f>
        <v>0</v>
      </c>
      <c r="F66" s="553">
        <f>'GROUP Det Group BS'!K42</f>
        <v>0</v>
      </c>
      <c r="G66" s="553">
        <f>'GROUP Det Group BS'!K66</f>
        <v>0</v>
      </c>
      <c r="H66" s="553">
        <f>'GROUP Det Group BS'!K90</f>
        <v>0</v>
      </c>
      <c r="I66" s="553">
        <f>'GROUP Det Group BS'!K114</f>
        <v>0</v>
      </c>
      <c r="J66" s="553">
        <f>'GROUP Det Group BS'!K138</f>
        <v>0</v>
      </c>
      <c r="K66" s="553">
        <f>'GROUP Det Group BS'!K162</f>
        <v>0</v>
      </c>
      <c r="L66" s="553">
        <f>'GROUP Det Group BS'!K186</f>
        <v>0</v>
      </c>
      <c r="M66" s="553">
        <f>SUM(E66:L66)</f>
        <v>0</v>
      </c>
      <c r="N66" s="553">
        <f>'GROUP Det Group BS'!K210</f>
        <v>0</v>
      </c>
      <c r="O66" s="553">
        <f>'GROUP Det Group BS'!K268</f>
        <v>0</v>
      </c>
      <c r="P66" s="553">
        <f>M66+SUM(N66:O66)</f>
        <v>0</v>
      </c>
    </row>
    <row r="67" spans="1:16" ht="39.6" x14ac:dyDescent="0.3">
      <c r="A67" s="10" t="str">
        <f t="shared" ref="A67:A68" si="18">IF(AND(E67=0,F67=0,G67=0,H67=0,I67=0,J67=0,K67=0,L67=0,M67=0,N67=0,O67=0,P67=0),"Do Not Print","Print")</f>
        <v>Do Not Print</v>
      </c>
      <c r="B67" s="545"/>
      <c r="C67" s="545"/>
      <c r="D67" s="555" t="s">
        <v>101</v>
      </c>
      <c r="E67" s="553">
        <f>'GROUP Det Group BS'!K19</f>
        <v>0</v>
      </c>
      <c r="F67" s="553">
        <f>'GROUP Det Group BS'!K43</f>
        <v>0</v>
      </c>
      <c r="G67" s="553">
        <f>'GROUP Det Group BS'!K67</f>
        <v>0</v>
      </c>
      <c r="H67" s="553">
        <f>'GROUP Det Group BS'!K91</f>
        <v>0</v>
      </c>
      <c r="I67" s="553">
        <f>'GROUP Det Group BS'!K115</f>
        <v>0</v>
      </c>
      <c r="J67" s="553">
        <f>'GROUP Det Group BS'!K139</f>
        <v>0</v>
      </c>
      <c r="K67" s="553">
        <f>'GROUP Det Group BS'!K163</f>
        <v>0</v>
      </c>
      <c r="L67" s="553">
        <f>'GROUP Det Group BS'!K187</f>
        <v>0</v>
      </c>
      <c r="M67" s="554">
        <f>SUM(E67:L67)</f>
        <v>0</v>
      </c>
      <c r="N67" s="553">
        <f>'GROUP Det Group BS'!K211</f>
        <v>0</v>
      </c>
      <c r="O67" s="553">
        <f>'GROUP Det Group BS'!K269</f>
        <v>0</v>
      </c>
      <c r="P67" s="554">
        <f>M67+SUM(N67:O67)</f>
        <v>0</v>
      </c>
    </row>
    <row r="68" spans="1:16" x14ac:dyDescent="0.3">
      <c r="A68" s="10" t="str">
        <f t="shared" si="18"/>
        <v>Do Not Print</v>
      </c>
      <c r="B68" s="545"/>
      <c r="C68" s="545"/>
      <c r="D68" s="561" t="str">
        <f>D66</f>
        <v>Balance as at 1 April 2024</v>
      </c>
      <c r="E68" s="557">
        <f>SUM(E66:E67)</f>
        <v>0</v>
      </c>
      <c r="F68" s="557">
        <f t="shared" ref="F68:P68" si="19">SUM(F66:F67)</f>
        <v>0</v>
      </c>
      <c r="G68" s="557">
        <f t="shared" si="19"/>
        <v>0</v>
      </c>
      <c r="H68" s="557">
        <f t="shared" si="19"/>
        <v>0</v>
      </c>
      <c r="I68" s="557">
        <f t="shared" si="19"/>
        <v>0</v>
      </c>
      <c r="J68" s="557">
        <f t="shared" si="19"/>
        <v>0</v>
      </c>
      <c r="K68" s="557">
        <f t="shared" si="19"/>
        <v>0</v>
      </c>
      <c r="L68" s="557">
        <f t="shared" si="19"/>
        <v>0</v>
      </c>
      <c r="M68" s="557">
        <f t="shared" si="19"/>
        <v>0</v>
      </c>
      <c r="N68" s="557">
        <f t="shared" si="19"/>
        <v>0</v>
      </c>
      <c r="O68" s="557">
        <f t="shared" si="19"/>
        <v>0</v>
      </c>
      <c r="P68" s="557">
        <f t="shared" si="19"/>
        <v>0</v>
      </c>
    </row>
    <row r="69" spans="1:16" x14ac:dyDescent="0.3">
      <c r="A69" s="10" t="s">
        <v>448</v>
      </c>
      <c r="B69" s="545"/>
      <c r="C69" s="545"/>
      <c r="D69" s="560"/>
      <c r="E69" s="553"/>
      <c r="F69" s="553"/>
      <c r="G69" s="553"/>
      <c r="H69" s="553"/>
      <c r="I69" s="553"/>
      <c r="J69" s="553"/>
      <c r="K69" s="553"/>
      <c r="L69" s="553"/>
      <c r="M69" s="553"/>
      <c r="N69" s="553"/>
      <c r="O69" s="553"/>
      <c r="P69" s="553"/>
    </row>
    <row r="70" spans="1:16" x14ac:dyDescent="0.3">
      <c r="A70" s="10" t="str">
        <f>IF(AND(E70=0,F70=0,G70=0,H70=0,I70=0,J70=0,K70=0,L70=0,M70=0,N70=0,,O70=0,P70=0),"Do Not Print","Print")</f>
        <v>Print</v>
      </c>
      <c r="B70" s="545"/>
      <c r="C70" s="545"/>
      <c r="D70" s="562" t="s">
        <v>109</v>
      </c>
      <c r="E70" s="553">
        <f>'GROUP Det Group BS'!K20</f>
        <v>0</v>
      </c>
      <c r="F70" s="553">
        <f>'GROUP Det Group BS'!K44</f>
        <v>0</v>
      </c>
      <c r="G70" s="553">
        <f>'GROUP Det Group BS'!K68</f>
        <v>0</v>
      </c>
      <c r="H70" s="553">
        <f>'GROUP Det Group BS'!K92</f>
        <v>0</v>
      </c>
      <c r="I70" s="553">
        <f>'GROUP Det Group BS'!K116</f>
        <v>0</v>
      </c>
      <c r="J70" s="553">
        <f>'GROUP Det Group BS'!K140</f>
        <v>0</v>
      </c>
      <c r="K70" s="553">
        <f>'GROUP Det Group BS'!K164</f>
        <v>0</v>
      </c>
      <c r="L70" s="553">
        <f>'GROUP Det Group BS'!K188</f>
        <v>0</v>
      </c>
      <c r="M70" s="554">
        <f t="shared" ref="M70:M78" si="20">SUM(E70:L70)</f>
        <v>0</v>
      </c>
      <c r="N70" s="553">
        <f>'GROUP Det Group BS'!K212</f>
        <v>0</v>
      </c>
      <c r="O70" s="553">
        <f>'GROUP Det Group BS'!K270</f>
        <v>0</v>
      </c>
      <c r="P70" s="554">
        <f t="shared" ref="P70:P78" si="21">M70+SUM(N70:O70)</f>
        <v>0</v>
      </c>
    </row>
    <row r="71" spans="1:16" ht="26.4" x14ac:dyDescent="0.3">
      <c r="A71" s="10" t="str">
        <f t="shared" ref="A71:A78" si="22">IF(AND(E71=0,F71=0,G71=0,H71=0,I71=0,J71=0,K71=0,L71=0,M71=0,N71=0,,O71=0,P71=0),"Do Not Print","Print")</f>
        <v>Print</v>
      </c>
      <c r="B71" s="545"/>
      <c r="C71" s="545"/>
      <c r="D71" s="555" t="s">
        <v>110</v>
      </c>
      <c r="E71" s="553">
        <f>'GROUP Det Group BS'!K21</f>
        <v>0</v>
      </c>
      <c r="F71" s="553">
        <f>'GROUP Det Group BS'!K45</f>
        <v>0</v>
      </c>
      <c r="G71" s="553">
        <f>'GROUP Det Group BS'!K69</f>
        <v>0</v>
      </c>
      <c r="H71" s="553">
        <f>'GROUP Det Group BS'!K93</f>
        <v>0</v>
      </c>
      <c r="I71" s="553">
        <f>'GROUP Det Group BS'!K117</f>
        <v>0</v>
      </c>
      <c r="J71" s="553">
        <f>'GROUP Det Group BS'!K141</f>
        <v>0</v>
      </c>
      <c r="K71" s="553">
        <f>'GROUP Det Group BS'!K165</f>
        <v>0</v>
      </c>
      <c r="L71" s="553">
        <f>'GROUP Det Group BS'!K189</f>
        <v>0</v>
      </c>
      <c r="M71" s="554">
        <f t="shared" si="20"/>
        <v>0</v>
      </c>
      <c r="N71" s="553">
        <f>'GROUP Det Group BS'!K213</f>
        <v>0</v>
      </c>
      <c r="O71" s="553">
        <f>'GROUP Det Group BS'!K271</f>
        <v>0</v>
      </c>
      <c r="P71" s="554">
        <f t="shared" si="21"/>
        <v>0</v>
      </c>
    </row>
    <row r="72" spans="1:16" ht="52.8" x14ac:dyDescent="0.3">
      <c r="A72" s="10" t="str">
        <f t="shared" si="22"/>
        <v>Print</v>
      </c>
      <c r="B72" s="545"/>
      <c r="C72" s="545"/>
      <c r="D72" s="555" t="s">
        <v>111</v>
      </c>
      <c r="E72" s="553">
        <f>'GROUP Det Group BS'!K22</f>
        <v>0</v>
      </c>
      <c r="F72" s="553">
        <f>'GROUP Det Group BS'!K46</f>
        <v>0</v>
      </c>
      <c r="G72" s="553">
        <f>'GROUP Det Group BS'!K70</f>
        <v>0</v>
      </c>
      <c r="H72" s="553">
        <f>'GROUP Det Group BS'!K94</f>
        <v>0</v>
      </c>
      <c r="I72" s="553">
        <f>'GROUP Det Group BS'!K118</f>
        <v>0</v>
      </c>
      <c r="J72" s="553">
        <f>'GROUP Det Group BS'!K142</f>
        <v>0</v>
      </c>
      <c r="K72" s="553">
        <f>'GROUP Det Group BS'!K166</f>
        <v>0</v>
      </c>
      <c r="L72" s="553">
        <f>'GROUP Det Group BS'!K190</f>
        <v>0</v>
      </c>
      <c r="M72" s="554">
        <f t="shared" si="20"/>
        <v>0</v>
      </c>
      <c r="N72" s="553">
        <f>'GROUP Det Group BS'!K214</f>
        <v>0</v>
      </c>
      <c r="O72" s="553">
        <f>'GROUP Det Group BS'!K272</f>
        <v>0</v>
      </c>
      <c r="P72" s="554">
        <f t="shared" si="21"/>
        <v>0</v>
      </c>
    </row>
    <row r="73" spans="1:16" ht="26.4" x14ac:dyDescent="0.3">
      <c r="A73" s="10" t="str">
        <f t="shared" si="22"/>
        <v>Print</v>
      </c>
      <c r="B73" s="545"/>
      <c r="C73" s="545"/>
      <c r="D73" s="555" t="s">
        <v>112</v>
      </c>
      <c r="E73" s="553">
        <f>'GROUP Det Group BS'!K24</f>
        <v>0</v>
      </c>
      <c r="F73" s="553">
        <f>'GROUP Det Group BS'!K48</f>
        <v>0</v>
      </c>
      <c r="G73" s="553">
        <f>'GROUP Det Group BS'!K72</f>
        <v>0</v>
      </c>
      <c r="H73" s="553">
        <f>'GROUP Det Group BS'!K96</f>
        <v>0</v>
      </c>
      <c r="I73" s="553">
        <f>'GROUP Det Group BS'!K120</f>
        <v>0</v>
      </c>
      <c r="J73" s="553">
        <f>'GROUP Det Group BS'!K144</f>
        <v>0</v>
      </c>
      <c r="K73" s="553">
        <f>'GROUP Det Group BS'!K168</f>
        <v>0</v>
      </c>
      <c r="L73" s="553">
        <f>'GROUP Det Group BS'!K192</f>
        <v>0</v>
      </c>
      <c r="M73" s="554">
        <f t="shared" si="20"/>
        <v>0</v>
      </c>
      <c r="N73" s="553">
        <f>'GROUP Det Group BS'!K216</f>
        <v>0</v>
      </c>
      <c r="O73" s="553">
        <f>'GROUP Det Group BS'!K274</f>
        <v>0</v>
      </c>
      <c r="P73" s="554">
        <f t="shared" si="21"/>
        <v>0</v>
      </c>
    </row>
    <row r="74" spans="1:16" ht="41.25" customHeight="1" x14ac:dyDescent="0.3">
      <c r="A74" s="10" t="str">
        <f t="shared" si="22"/>
        <v>Print</v>
      </c>
      <c r="B74" s="545"/>
      <c r="C74" s="545"/>
      <c r="D74" s="555" t="s">
        <v>113</v>
      </c>
      <c r="E74" s="553">
        <f>'GROUP Det Group BS'!K23</f>
        <v>0</v>
      </c>
      <c r="F74" s="553">
        <f>'GROUP Det Group BS'!K47</f>
        <v>0</v>
      </c>
      <c r="G74" s="553">
        <f>'GROUP Det Group BS'!K71</f>
        <v>0</v>
      </c>
      <c r="H74" s="553">
        <f>'GROUP Det Group BS'!K95</f>
        <v>0</v>
      </c>
      <c r="I74" s="553">
        <f>'GROUP Det Group BS'!K119</f>
        <v>0</v>
      </c>
      <c r="J74" s="553">
        <f>'GROUP Det Group BS'!K143</f>
        <v>0</v>
      </c>
      <c r="K74" s="553">
        <f>'GROUP Det Group BS'!K167</f>
        <v>0</v>
      </c>
      <c r="L74" s="553">
        <f>'GROUP Det Group BS'!K191</f>
        <v>0</v>
      </c>
      <c r="M74" s="554">
        <f t="shared" si="20"/>
        <v>0</v>
      </c>
      <c r="N74" s="553">
        <f>'GROUP Det Group BS'!K215</f>
        <v>0</v>
      </c>
      <c r="O74" s="553">
        <f>'GROUP Det Group BS'!K273</f>
        <v>0</v>
      </c>
      <c r="P74" s="554">
        <f t="shared" si="21"/>
        <v>0</v>
      </c>
    </row>
    <row r="75" spans="1:16" x14ac:dyDescent="0.3">
      <c r="A75" s="10" t="str">
        <f t="shared" si="22"/>
        <v>Print</v>
      </c>
      <c r="B75" s="545"/>
      <c r="C75" s="545"/>
      <c r="D75" s="562" t="s">
        <v>114</v>
      </c>
      <c r="E75" s="553">
        <f>'GROUP Det Group BS'!K25</f>
        <v>0</v>
      </c>
      <c r="F75" s="553">
        <f>'GROUP Det Group BS'!K49</f>
        <v>0</v>
      </c>
      <c r="G75" s="553">
        <f>'GROUP Det Group BS'!K73</f>
        <v>0</v>
      </c>
      <c r="H75" s="553">
        <f>'GROUP Det Group BS'!K97</f>
        <v>0</v>
      </c>
      <c r="I75" s="553">
        <f>'GROUP Det Group BS'!K121</f>
        <v>0</v>
      </c>
      <c r="J75" s="553">
        <f>'GROUP Det Group BS'!K145</f>
        <v>0</v>
      </c>
      <c r="K75" s="553">
        <f>'GROUP Det Group BS'!K169</f>
        <v>0</v>
      </c>
      <c r="L75" s="553">
        <f>'GROUP Det Group BS'!K193</f>
        <v>0</v>
      </c>
      <c r="M75" s="554">
        <f t="shared" si="20"/>
        <v>0</v>
      </c>
      <c r="N75" s="553">
        <f>'GROUP Det Group BS'!K217</f>
        <v>0</v>
      </c>
      <c r="O75" s="553">
        <f>'GROUP Det Group BS'!K275</f>
        <v>0</v>
      </c>
      <c r="P75" s="554">
        <f t="shared" si="21"/>
        <v>0</v>
      </c>
    </row>
    <row r="76" spans="1:16" x14ac:dyDescent="0.3">
      <c r="A76" s="10" t="str">
        <f t="shared" si="22"/>
        <v>Print</v>
      </c>
      <c r="B76" s="545"/>
      <c r="C76" s="545"/>
      <c r="D76" s="562" t="s">
        <v>106</v>
      </c>
      <c r="E76" s="553">
        <f>'GROUP Det Group BS'!K26</f>
        <v>0</v>
      </c>
      <c r="F76" s="553">
        <f>'GROUP Det Group BS'!K50</f>
        <v>0</v>
      </c>
      <c r="G76" s="553">
        <f>'GROUP Det Group BS'!K74</f>
        <v>0</v>
      </c>
      <c r="H76" s="553">
        <f>'GROUP Det Group BS'!K98</f>
        <v>0</v>
      </c>
      <c r="I76" s="553">
        <f>'GROUP Det Group BS'!K122</f>
        <v>0</v>
      </c>
      <c r="J76" s="553">
        <f>'GROUP Det Group BS'!K146</f>
        <v>0</v>
      </c>
      <c r="K76" s="553">
        <f>'GROUP Det Group BS'!K170</f>
        <v>0</v>
      </c>
      <c r="L76" s="553">
        <f>'GROUP Det Group BS'!K194</f>
        <v>0</v>
      </c>
      <c r="M76" s="554">
        <f t="shared" si="20"/>
        <v>0</v>
      </c>
      <c r="N76" s="553">
        <f>'GROUP Det Group BS'!K218</f>
        <v>0</v>
      </c>
      <c r="O76" s="553">
        <f>'GROUP Det Group BS'!K276</f>
        <v>0</v>
      </c>
      <c r="P76" s="554">
        <f t="shared" si="21"/>
        <v>0</v>
      </c>
    </row>
    <row r="77" spans="1:16" x14ac:dyDescent="0.3">
      <c r="A77" s="10" t="str">
        <f t="shared" si="22"/>
        <v>Print</v>
      </c>
      <c r="B77" s="545"/>
      <c r="C77" s="545"/>
      <c r="D77" s="562" t="s">
        <v>107</v>
      </c>
      <c r="E77" s="553">
        <f>'GROUP Det Group BS'!K27</f>
        <v>0</v>
      </c>
      <c r="F77" s="553">
        <f>'GROUP Det Group BS'!K51</f>
        <v>0</v>
      </c>
      <c r="G77" s="553">
        <f>'GROUP Det Group BS'!K75</f>
        <v>0</v>
      </c>
      <c r="H77" s="553">
        <f>'GROUP Det Group BS'!K99</f>
        <v>0</v>
      </c>
      <c r="I77" s="553">
        <f>'GROUP Det Group BS'!K123</f>
        <v>0</v>
      </c>
      <c r="J77" s="553">
        <f>'GROUP Det Group BS'!K147</f>
        <v>0</v>
      </c>
      <c r="K77" s="553">
        <f>'GROUP Det Group BS'!K171</f>
        <v>0</v>
      </c>
      <c r="L77" s="553">
        <f>'GROUP Det Group BS'!K195</f>
        <v>0</v>
      </c>
      <c r="M77" s="554">
        <f t="shared" si="20"/>
        <v>0</v>
      </c>
      <c r="N77" s="553">
        <f>'GROUP Det Group BS'!K219</f>
        <v>0</v>
      </c>
      <c r="O77" s="553">
        <f>'GROUP Det Group BS'!K277</f>
        <v>0</v>
      </c>
      <c r="P77" s="554">
        <f t="shared" si="21"/>
        <v>0</v>
      </c>
    </row>
    <row r="78" spans="1:16" ht="26.4" x14ac:dyDescent="0.3">
      <c r="A78" s="10" t="str">
        <f t="shared" si="22"/>
        <v>Print</v>
      </c>
      <c r="B78" s="545"/>
      <c r="C78" s="545"/>
      <c r="D78" s="555" t="s">
        <v>115</v>
      </c>
      <c r="E78" s="553">
        <f>'GROUP Det Group BS'!K28</f>
        <v>0</v>
      </c>
      <c r="F78" s="553">
        <f>'GROUP Det Group BS'!K52</f>
        <v>0</v>
      </c>
      <c r="G78" s="553">
        <f>'GROUP Det Group BS'!K76</f>
        <v>0</v>
      </c>
      <c r="H78" s="553">
        <f>'GROUP Det Group BS'!K100</f>
        <v>0</v>
      </c>
      <c r="I78" s="553">
        <f>'GROUP Det Group BS'!K124</f>
        <v>0</v>
      </c>
      <c r="J78" s="553">
        <f>'GROUP Det Group BS'!K148</f>
        <v>0</v>
      </c>
      <c r="K78" s="553">
        <f>'GROUP Det Group BS'!K172</f>
        <v>0</v>
      </c>
      <c r="L78" s="553">
        <f>'GROUP Det Group BS'!K196</f>
        <v>0</v>
      </c>
      <c r="M78" s="554">
        <f t="shared" si="20"/>
        <v>0</v>
      </c>
      <c r="N78" s="553">
        <f>'GROUP Det Group BS'!K220</f>
        <v>0</v>
      </c>
      <c r="O78" s="553">
        <f>'GROUP Det Group BS'!K278</f>
        <v>0</v>
      </c>
      <c r="P78" s="554">
        <f t="shared" si="21"/>
        <v>0</v>
      </c>
    </row>
    <row r="79" spans="1:16" x14ac:dyDescent="0.3">
      <c r="A79" s="10" t="s">
        <v>448</v>
      </c>
      <c r="B79" s="545"/>
      <c r="C79" s="545"/>
      <c r="D79" s="555"/>
      <c r="E79" s="553"/>
      <c r="F79" s="553"/>
      <c r="G79" s="553"/>
      <c r="H79" s="553"/>
      <c r="I79" s="553"/>
      <c r="J79" s="553"/>
      <c r="K79" s="553"/>
      <c r="L79" s="553"/>
      <c r="M79" s="554"/>
      <c r="N79" s="553"/>
      <c r="O79" s="553"/>
      <c r="P79" s="554"/>
    </row>
    <row r="80" spans="1:16" x14ac:dyDescent="0.3">
      <c r="A80" s="10" t="str">
        <f>IF(AND(E80=0,F80=0,G80=0,H80=0,I80=0,J80=0,K80=0,L80=0,M80=0,N80=0,O80=0,P80=0),"Do Not Print","Print")</f>
        <v>Do Not Print</v>
      </c>
      <c r="B80" s="545"/>
      <c r="C80" s="545"/>
      <c r="D80" s="561" t="str">
        <f>D61</f>
        <v>Balance as at 31 March 2025</v>
      </c>
      <c r="E80" s="557">
        <f>SUM(E68:E78)</f>
        <v>0</v>
      </c>
      <c r="F80" s="557">
        <f t="shared" ref="F80:P80" si="23">SUM(F68:F78)</f>
        <v>0</v>
      </c>
      <c r="G80" s="557">
        <f t="shared" si="23"/>
        <v>0</v>
      </c>
      <c r="H80" s="557">
        <f t="shared" si="23"/>
        <v>0</v>
      </c>
      <c r="I80" s="557">
        <f t="shared" si="23"/>
        <v>0</v>
      </c>
      <c r="J80" s="557">
        <f t="shared" si="23"/>
        <v>0</v>
      </c>
      <c r="K80" s="557">
        <f t="shared" si="23"/>
        <v>0</v>
      </c>
      <c r="L80" s="557">
        <f t="shared" si="23"/>
        <v>0</v>
      </c>
      <c r="M80" s="557">
        <f t="shared" si="23"/>
        <v>0</v>
      </c>
      <c r="N80" s="557">
        <f t="shared" si="23"/>
        <v>0</v>
      </c>
      <c r="O80" s="557">
        <f t="shared" si="23"/>
        <v>0</v>
      </c>
      <c r="P80" s="557">
        <f t="shared" si="23"/>
        <v>0</v>
      </c>
    </row>
    <row r="81" spans="1:16" x14ac:dyDescent="0.3">
      <c r="A81" s="10" t="s">
        <v>448</v>
      </c>
      <c r="B81" s="545"/>
      <c r="C81" s="545"/>
      <c r="D81" s="545"/>
      <c r="E81" s="571"/>
      <c r="F81" s="571"/>
      <c r="G81" s="571"/>
      <c r="H81" s="571"/>
      <c r="I81" s="571"/>
      <c r="J81" s="571"/>
      <c r="K81" s="571"/>
      <c r="L81" s="571"/>
      <c r="M81" s="572"/>
      <c r="N81" s="571"/>
      <c r="O81" s="571"/>
      <c r="P81" s="572"/>
    </row>
    <row r="82" spans="1:16" x14ac:dyDescent="0.3">
      <c r="A82" s="10" t="s">
        <v>448</v>
      </c>
      <c r="B82" s="545"/>
      <c r="C82" s="545"/>
      <c r="D82" s="545"/>
      <c r="E82" s="571"/>
      <c r="F82" s="571"/>
      <c r="G82" s="571"/>
      <c r="H82" s="571"/>
      <c r="I82" s="571"/>
      <c r="J82" s="571"/>
      <c r="K82" s="571"/>
      <c r="L82" s="571"/>
      <c r="M82" s="572"/>
      <c r="N82" s="571"/>
      <c r="O82" s="571"/>
      <c r="P82" s="572"/>
    </row>
    <row r="83" spans="1:16" x14ac:dyDescent="0.3">
      <c r="A83" s="10" t="s">
        <v>448</v>
      </c>
      <c r="B83" s="545"/>
      <c r="C83" s="545"/>
      <c r="D83" s="546" t="s">
        <v>116</v>
      </c>
      <c r="E83" s="571"/>
      <c r="F83" s="571"/>
      <c r="G83" s="571"/>
      <c r="H83" s="571"/>
      <c r="I83" s="571"/>
      <c r="J83" s="571"/>
      <c r="K83" s="571"/>
      <c r="L83" s="571"/>
      <c r="M83" s="572"/>
      <c r="N83" s="571"/>
      <c r="O83" s="571"/>
      <c r="P83" s="572"/>
    </row>
    <row r="84" spans="1:16" x14ac:dyDescent="0.3">
      <c r="A84" s="10" t="str">
        <f>IF(AND(E84=0,F84=0,G84=0,H84=0,I84=0,J84=0,K84=0,L84=0,M84=0,N84=0,O84=0,P84=0),"Do Not Print","Print")</f>
        <v>Do Not Print</v>
      </c>
      <c r="B84" s="545"/>
      <c r="C84" s="545"/>
      <c r="D84" s="568" t="str">
        <f>D61</f>
        <v>Balance as at 31 March 2025</v>
      </c>
      <c r="E84" s="569">
        <f t="shared" ref="E84:L84" si="24">E61-E80</f>
        <v>0</v>
      </c>
      <c r="F84" s="569">
        <f t="shared" si="24"/>
        <v>0</v>
      </c>
      <c r="G84" s="569">
        <f t="shared" si="24"/>
        <v>0</v>
      </c>
      <c r="H84" s="569">
        <f t="shared" si="24"/>
        <v>0</v>
      </c>
      <c r="I84" s="569">
        <f t="shared" si="24"/>
        <v>0</v>
      </c>
      <c r="J84" s="569">
        <f t="shared" si="24"/>
        <v>0</v>
      </c>
      <c r="K84" s="569">
        <f t="shared" si="24"/>
        <v>0</v>
      </c>
      <c r="L84" s="569">
        <f t="shared" si="24"/>
        <v>0</v>
      </c>
      <c r="M84" s="569">
        <f>SUM(E84:L84)</f>
        <v>0</v>
      </c>
      <c r="N84" s="569">
        <f>N61-N80</f>
        <v>0</v>
      </c>
      <c r="O84" s="569">
        <f>O61-O80</f>
        <v>0</v>
      </c>
      <c r="P84" s="569">
        <f>P61-P80</f>
        <v>0</v>
      </c>
    </row>
    <row r="85" spans="1:16" x14ac:dyDescent="0.3">
      <c r="A85" s="10" t="s">
        <v>448</v>
      </c>
      <c r="B85" s="545"/>
      <c r="C85" s="545"/>
      <c r="E85" s="576"/>
      <c r="F85" s="577"/>
      <c r="G85" s="577"/>
      <c r="H85" s="577"/>
      <c r="I85" s="577"/>
      <c r="J85" s="577"/>
      <c r="K85" s="577"/>
      <c r="L85" s="577"/>
      <c r="M85" s="577"/>
      <c r="N85" s="577"/>
      <c r="O85" s="577"/>
      <c r="P85" s="577"/>
    </row>
    <row r="86" spans="1:16" x14ac:dyDescent="0.3">
      <c r="A86" s="10" t="str">
        <f>IF(AND(E86=0,F86=0,G86=0,H86=0,I86=0,J86=0,K86=0,L86=0,M86=0,N86=0,,O86=0,P86=0),"Do Not Print","Print")</f>
        <v>Print</v>
      </c>
      <c r="B86" s="545"/>
      <c r="C86" s="545"/>
      <c r="D86" s="568" t="str">
        <f>D24</f>
        <v>Balance as at 31 March 2026</v>
      </c>
      <c r="E86" s="569">
        <f t="shared" ref="E86:L86" si="25">E24-E40</f>
        <v>0</v>
      </c>
      <c r="F86" s="569">
        <f t="shared" si="25"/>
        <v>0</v>
      </c>
      <c r="G86" s="569">
        <f t="shared" si="25"/>
        <v>0</v>
      </c>
      <c r="H86" s="569">
        <f t="shared" si="25"/>
        <v>0</v>
      </c>
      <c r="I86" s="569">
        <f t="shared" si="25"/>
        <v>0</v>
      </c>
      <c r="J86" s="569">
        <f t="shared" si="25"/>
        <v>0</v>
      </c>
      <c r="K86" s="569">
        <f t="shared" si="25"/>
        <v>0</v>
      </c>
      <c r="L86" s="569">
        <f t="shared" si="25"/>
        <v>0</v>
      </c>
      <c r="M86" s="569">
        <f>SUM(E86:L86)</f>
        <v>0</v>
      </c>
      <c r="N86" s="569">
        <f>N24-N40</f>
        <v>0</v>
      </c>
      <c r="O86" s="569">
        <f>O24-O40</f>
        <v>0</v>
      </c>
      <c r="P86" s="569">
        <f>P24-P40</f>
        <v>0</v>
      </c>
    </row>
    <row r="87" spans="1:16" x14ac:dyDescent="0.3">
      <c r="A87" s="10" t="s">
        <v>448</v>
      </c>
      <c r="B87" s="545"/>
      <c r="C87" s="545"/>
      <c r="D87" s="578"/>
      <c r="E87" s="579"/>
      <c r="F87" s="579"/>
      <c r="G87" s="579"/>
      <c r="H87" s="579"/>
      <c r="I87" s="579"/>
      <c r="J87" s="579"/>
      <c r="K87" s="579"/>
      <c r="L87" s="579"/>
      <c r="M87" s="579"/>
      <c r="N87" s="579"/>
      <c r="O87" s="579"/>
      <c r="P87" s="579"/>
    </row>
    <row r="88" spans="1:16" x14ac:dyDescent="0.3">
      <c r="A88" s="10" t="s">
        <v>448</v>
      </c>
      <c r="B88" s="545"/>
      <c r="C88" s="545"/>
      <c r="D88" s="1500"/>
      <c r="E88" s="1500"/>
      <c r="F88" s="1500"/>
      <c r="G88" s="1500"/>
      <c r="H88" s="1500"/>
      <c r="I88" s="1500"/>
      <c r="J88" s="1500"/>
      <c r="K88" s="1500"/>
      <c r="L88" s="1500"/>
      <c r="M88" s="1500"/>
      <c r="N88" s="1500"/>
      <c r="O88" s="1500"/>
      <c r="P88" s="1500"/>
    </row>
    <row r="89" spans="1:16" hidden="1" x14ac:dyDescent="0.3">
      <c r="A89" s="81" t="s">
        <v>593</v>
      </c>
      <c r="B89" s="580"/>
      <c r="C89" s="580"/>
      <c r="D89" s="401" t="s">
        <v>594</v>
      </c>
    </row>
    <row r="90" spans="1:16" hidden="1" x14ac:dyDescent="0.3">
      <c r="A90" s="81" t="s">
        <v>593</v>
      </c>
      <c r="B90" s="580"/>
      <c r="C90" s="580"/>
      <c r="E90" s="485" t="s">
        <v>890</v>
      </c>
      <c r="F90" s="485" t="s">
        <v>891</v>
      </c>
      <c r="G90" s="485" t="s">
        <v>892</v>
      </c>
      <c r="H90" s="485" t="s">
        <v>1080</v>
      </c>
      <c r="I90" s="485" t="s">
        <v>893</v>
      </c>
      <c r="J90" s="485" t="s">
        <v>894</v>
      </c>
      <c r="K90" s="485" t="s">
        <v>895</v>
      </c>
      <c r="L90" s="485" t="s">
        <v>900</v>
      </c>
      <c r="M90" s="523" t="s">
        <v>99</v>
      </c>
      <c r="N90" s="485" t="s">
        <v>897</v>
      </c>
      <c r="O90" s="485" t="s">
        <v>896</v>
      </c>
      <c r="P90" s="523" t="s">
        <v>100</v>
      </c>
    </row>
    <row r="91" spans="1:16" hidden="1" x14ac:dyDescent="0.3">
      <c r="A91" s="81" t="s">
        <v>593</v>
      </c>
      <c r="B91" s="580"/>
      <c r="C91" s="580"/>
      <c r="D91" s="401" t="str">
        <f>D84</f>
        <v>Balance as at 31 March 2025</v>
      </c>
      <c r="E91" s="544">
        <f>SUMIF('Det BS '!$B$7:$B$278,'Note 11'!#REF!,'Det BS '!$G$7:$G$278)</f>
        <v>0</v>
      </c>
      <c r="F91" s="544">
        <f>SUMIF('Det BS '!$B$7:$B$278,'Note 11'!#REF!,'Det BS '!$G$7:$G$278)</f>
        <v>0</v>
      </c>
      <c r="G91" s="544">
        <f>SUMIF('Det BS '!$B$7:$B$278,'Note 11'!#REF!,'Det BS '!$G$7:$G$278)</f>
        <v>0</v>
      </c>
      <c r="H91" s="544">
        <f>SUMIF('Det BS '!$B$7:$B$278,'Note 11'!#REF!,'Det BS '!$G$7:$G$278)</f>
        <v>0</v>
      </c>
      <c r="I91" s="544">
        <f>SUMIF('Det BS '!$B$7:$B$278,'Note 11'!#REF!,'Det BS '!$G$7:$G$278)</f>
        <v>0</v>
      </c>
      <c r="J91" s="544">
        <f>SUMIF('Det BS '!$B$7:$B$278,'Note 11'!#REF!,'Det BS '!$G$7:$G$278)</f>
        <v>0</v>
      </c>
      <c r="K91" s="544">
        <f>SUMIF('Det BS '!$B$7:$B$278,'Note 11'!#REF!,'Det BS '!$G$7:$G$278)</f>
        <v>0</v>
      </c>
      <c r="L91" s="544">
        <f>SUMIF('Det BS '!$B$7:$B$278,'Note 11'!#REF!,'Det BS '!$G$7:$G$278)</f>
        <v>0</v>
      </c>
      <c r="M91" s="581">
        <f>SUM(E91:L91)</f>
        <v>0</v>
      </c>
      <c r="N91" s="544">
        <f>SUMIF('Det BS '!$B$7:$B$278,'Note 11'!#REF!,'Det BS '!$G$7:$G$278)</f>
        <v>0</v>
      </c>
      <c r="O91" s="544">
        <f>SUMIF('Det BS '!$B$7:$B$278,'Note 11'!#REF!,'Det BS '!$G$7:$G$278)</f>
        <v>0</v>
      </c>
      <c r="P91" s="581">
        <f>SUM(N91:O91)+M91</f>
        <v>0</v>
      </c>
    </row>
    <row r="92" spans="1:16" hidden="1" x14ac:dyDescent="0.3">
      <c r="A92" s="81" t="s">
        <v>593</v>
      </c>
      <c r="B92" s="580"/>
      <c r="C92" s="580"/>
      <c r="D92" s="485" t="s">
        <v>595</v>
      </c>
      <c r="E92" s="544">
        <f t="shared" ref="E92:O92" si="26">E91-E84</f>
        <v>0</v>
      </c>
      <c r="F92" s="544">
        <f t="shared" si="26"/>
        <v>0</v>
      </c>
      <c r="G92" s="544">
        <f t="shared" si="26"/>
        <v>0</v>
      </c>
      <c r="H92" s="544">
        <f t="shared" si="26"/>
        <v>0</v>
      </c>
      <c r="I92" s="544">
        <f t="shared" si="26"/>
        <v>0</v>
      </c>
      <c r="J92" s="544">
        <f t="shared" si="26"/>
        <v>0</v>
      </c>
      <c r="K92" s="544">
        <f t="shared" si="26"/>
        <v>0</v>
      </c>
      <c r="L92" s="544">
        <f t="shared" si="26"/>
        <v>0</v>
      </c>
      <c r="M92" s="581">
        <f t="shared" si="26"/>
        <v>0</v>
      </c>
      <c r="N92" s="544">
        <f t="shared" si="26"/>
        <v>0</v>
      </c>
      <c r="O92" s="544">
        <f t="shared" si="26"/>
        <v>0</v>
      </c>
      <c r="P92" s="581">
        <f>SUM(N92:O92)+M92</f>
        <v>0</v>
      </c>
    </row>
    <row r="93" spans="1:16" hidden="1" x14ac:dyDescent="0.3">
      <c r="A93" s="81" t="s">
        <v>593</v>
      </c>
      <c r="B93" s="580"/>
      <c r="C93" s="580"/>
      <c r="E93" s="582"/>
      <c r="F93" s="582"/>
      <c r="G93" s="582"/>
      <c r="H93" s="582"/>
      <c r="I93" s="582"/>
      <c r="J93" s="582"/>
      <c r="K93" s="582"/>
      <c r="L93" s="582"/>
      <c r="M93" s="581"/>
      <c r="N93" s="582"/>
      <c r="O93" s="582"/>
      <c r="P93" s="581"/>
    </row>
    <row r="94" spans="1:16" hidden="1" x14ac:dyDescent="0.3">
      <c r="A94" s="81" t="s">
        <v>593</v>
      </c>
      <c r="B94" s="580"/>
      <c r="C94" s="580"/>
      <c r="E94" s="544"/>
      <c r="F94" s="544"/>
      <c r="G94" s="544"/>
      <c r="H94" s="544"/>
      <c r="I94" s="544"/>
      <c r="J94" s="544"/>
      <c r="K94" s="544"/>
      <c r="L94" s="544"/>
      <c r="M94" s="581"/>
      <c r="N94" s="544"/>
      <c r="O94" s="544"/>
      <c r="P94" s="581"/>
    </row>
    <row r="95" spans="1:16" hidden="1" x14ac:dyDescent="0.3">
      <c r="A95" s="81" t="s">
        <v>593</v>
      </c>
      <c r="B95" s="580"/>
      <c r="C95" s="580"/>
      <c r="D95" s="401" t="str">
        <f>D86</f>
        <v>Balance as at 31 March 2026</v>
      </c>
      <c r="E95" s="544">
        <f>SUMIF('Det BS '!$B$7:$B$278,'Note 11'!#REF!,'Det BS '!$F$7:$F$278)</f>
        <v>0</v>
      </c>
      <c r="F95" s="544">
        <f>SUMIF('Det BS '!$B$7:$B$278,'Note 11'!#REF!,'Det BS '!$F$7:$F$278)</f>
        <v>0</v>
      </c>
      <c r="G95" s="544">
        <f>SUMIF('Det BS '!$B$7:$B$278,'Note 11'!#REF!,'Det BS '!$F$7:$F$278)</f>
        <v>0</v>
      </c>
      <c r="H95" s="544">
        <f>SUMIF('Det BS '!$B$7:$B$278,'Note 11'!#REF!,'Det BS '!$F$7:$F$278)</f>
        <v>0</v>
      </c>
      <c r="I95" s="544">
        <f>SUMIF('Det BS '!$B$7:$B$278,'Note 11'!#REF!,'Det BS '!$F$7:$F$278)</f>
        <v>0</v>
      </c>
      <c r="J95" s="544">
        <f>SUMIF('Det BS '!$B$7:$B$278,'Note 11'!#REF!,'Det BS '!$F$7:$F$278)</f>
        <v>0</v>
      </c>
      <c r="K95" s="544">
        <f>SUMIF('Det BS '!$B$7:$B$278,'Note 11'!#REF!,'Det BS '!$F$7:$F$278)</f>
        <v>0</v>
      </c>
      <c r="L95" s="544">
        <f>SUMIF('Det BS '!$B$7:$B$278,'Note 11'!#REF!,'Det BS '!$F$7:$F$278)</f>
        <v>0</v>
      </c>
      <c r="M95" s="581">
        <f>SUM(E95:L95)</f>
        <v>0</v>
      </c>
      <c r="N95" s="544">
        <f>SUMIF('Det BS '!$B$7:$B$278,'Note 11'!#REF!,'Det BS '!$F$7:$F$278)</f>
        <v>0</v>
      </c>
      <c r="O95" s="544">
        <f>SUMIF('Det BS '!$B$7:$B$278,'Note 11'!#REF!,'Det BS '!$F$7:$F$278)</f>
        <v>0</v>
      </c>
      <c r="P95" s="581">
        <f>SUM(N95:O95)+M95</f>
        <v>0</v>
      </c>
    </row>
    <row r="96" spans="1:16" hidden="1" x14ac:dyDescent="0.3">
      <c r="A96" s="81" t="s">
        <v>593</v>
      </c>
      <c r="B96" s="580"/>
      <c r="C96" s="580"/>
      <c r="D96" s="485" t="s">
        <v>595</v>
      </c>
      <c r="E96" s="544">
        <f t="shared" ref="E96:O96" si="27">E95-E86</f>
        <v>0</v>
      </c>
      <c r="F96" s="544">
        <f t="shared" si="27"/>
        <v>0</v>
      </c>
      <c r="G96" s="544">
        <f t="shared" si="27"/>
        <v>0</v>
      </c>
      <c r="H96" s="544">
        <f t="shared" si="27"/>
        <v>0</v>
      </c>
      <c r="I96" s="544">
        <f t="shared" si="27"/>
        <v>0</v>
      </c>
      <c r="J96" s="544">
        <f t="shared" si="27"/>
        <v>0</v>
      </c>
      <c r="K96" s="544">
        <f t="shared" si="27"/>
        <v>0</v>
      </c>
      <c r="L96" s="544">
        <f t="shared" si="27"/>
        <v>0</v>
      </c>
      <c r="M96" s="581">
        <f t="shared" si="27"/>
        <v>0</v>
      </c>
      <c r="N96" s="544">
        <f t="shared" si="27"/>
        <v>0</v>
      </c>
      <c r="O96" s="544">
        <f t="shared" si="27"/>
        <v>0</v>
      </c>
      <c r="P96" s="581">
        <f>SUM(N96:O96)+M96</f>
        <v>0</v>
      </c>
    </row>
    <row r="97" spans="1:15" hidden="1" x14ac:dyDescent="0.3">
      <c r="A97" s="81" t="s">
        <v>593</v>
      </c>
      <c r="B97" s="580"/>
      <c r="C97" s="580"/>
      <c r="E97" s="583"/>
      <c r="F97" s="583"/>
      <c r="G97" s="583"/>
      <c r="H97" s="583"/>
      <c r="I97" s="583"/>
      <c r="J97" s="583"/>
      <c r="K97" s="583"/>
      <c r="L97" s="583"/>
      <c r="N97" s="583"/>
      <c r="O97" s="583"/>
    </row>
    <row r="98" spans="1:15" hidden="1" x14ac:dyDescent="0.3">
      <c r="A98" s="81" t="s">
        <v>593</v>
      </c>
      <c r="B98" s="580"/>
      <c r="C98" s="580"/>
    </row>
    <row r="99" spans="1:15" hidden="1" x14ac:dyDescent="0.3">
      <c r="A99" s="81" t="s">
        <v>593</v>
      </c>
      <c r="B99" s="580"/>
      <c r="C99" s="580"/>
      <c r="D99" s="401" t="s">
        <v>599</v>
      </c>
      <c r="L99" s="584"/>
      <c r="M99" s="405" t="s">
        <v>600</v>
      </c>
    </row>
    <row r="100" spans="1:15" hidden="1" x14ac:dyDescent="0.3">
      <c r="A100" s="81" t="s">
        <v>593</v>
      </c>
      <c r="B100" s="580"/>
      <c r="C100" s="580"/>
    </row>
    <row r="101" spans="1:15" hidden="1" x14ac:dyDescent="0.3">
      <c r="A101" s="81" t="s">
        <v>593</v>
      </c>
      <c r="B101" s="580"/>
      <c r="C101" s="580"/>
    </row>
    <row r="102" spans="1:15" hidden="1" x14ac:dyDescent="0.3">
      <c r="A102" s="81" t="s">
        <v>593</v>
      </c>
      <c r="B102" s="580"/>
      <c r="C102" s="580"/>
      <c r="D102" s="401" t="s">
        <v>596</v>
      </c>
      <c r="L102" s="583"/>
      <c r="M102" s="405" t="s">
        <v>597</v>
      </c>
    </row>
    <row r="103" spans="1:15" hidden="1" x14ac:dyDescent="0.3">
      <c r="A103" s="81" t="s">
        <v>593</v>
      </c>
      <c r="B103" s="580"/>
      <c r="C103" s="580"/>
      <c r="D103" s="401" t="s">
        <v>598</v>
      </c>
    </row>
    <row r="104" spans="1:15" hidden="1" x14ac:dyDescent="0.3">
      <c r="A104" s="81" t="s">
        <v>593</v>
      </c>
      <c r="B104" s="580"/>
      <c r="C104" s="580"/>
    </row>
  </sheetData>
  <autoFilter ref="A1:Q1" xr:uid="{00000000-0001-0000-2200-000000000000}"/>
  <mergeCells count="1">
    <mergeCell ref="D88:P88"/>
  </mergeCells>
  <conditionalFormatting sqref="M22:M23 M58">
    <cfRule type="cellIs" dxfId="0" priority="1" stopIfTrue="1" operator="notEqual">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S435"/>
  <sheetViews>
    <sheetView workbookViewId="0">
      <selection activeCell="D13" sqref="D13:K13"/>
    </sheetView>
  </sheetViews>
  <sheetFormatPr defaultColWidth="9.109375" defaultRowHeight="13.8" x14ac:dyDescent="0.3"/>
  <cols>
    <col min="1" max="1" width="10.33203125" style="23" bestFit="1" customWidth="1"/>
    <col min="2" max="2" width="3" style="585" customWidth="1"/>
    <col min="3" max="4" width="2" style="585" customWidth="1"/>
    <col min="5" max="5" width="17.44140625" style="401" customWidth="1"/>
    <col min="6" max="6" width="14.6640625" style="401" customWidth="1"/>
    <col min="7" max="7" width="13.33203125" style="401" customWidth="1"/>
    <col min="8" max="8" width="15.33203125" style="401" customWidth="1"/>
    <col min="9" max="9" width="14.5546875" style="401" customWidth="1"/>
    <col min="10" max="10" width="13.6640625" style="401" customWidth="1"/>
    <col min="11" max="11" width="13.33203125" style="401" customWidth="1"/>
    <col min="12" max="12" width="12.5546875" style="23" customWidth="1"/>
    <col min="13" max="13" width="9.109375" style="23"/>
    <col min="14" max="14" width="14.5546875" style="23" customWidth="1"/>
    <col min="15" max="16" width="9.109375" style="23"/>
    <col min="17" max="17" width="10.6640625" style="23" customWidth="1"/>
    <col min="18" max="18" width="10.88671875" style="23" customWidth="1"/>
    <col min="19" max="19" width="18.33203125" style="23" customWidth="1"/>
    <col min="20" max="16384" width="9.109375" style="23"/>
  </cols>
  <sheetData>
    <row r="1" spans="1:17" x14ac:dyDescent="0.3">
      <c r="E1" s="401">
        <v>12.75</v>
      </c>
      <c r="F1" s="401">
        <f>$E1*F2</f>
        <v>25.5</v>
      </c>
      <c r="G1" s="401">
        <f t="shared" ref="G1:O1" si="0">$E1*G2</f>
        <v>38.25</v>
      </c>
      <c r="H1" s="401">
        <f t="shared" si="0"/>
        <v>51</v>
      </c>
      <c r="I1" s="401">
        <f t="shared" si="0"/>
        <v>63.75</v>
      </c>
      <c r="J1" s="401">
        <f t="shared" si="0"/>
        <v>76.5</v>
      </c>
      <c r="K1" s="401">
        <f t="shared" si="0"/>
        <v>89.25</v>
      </c>
      <c r="L1" s="1">
        <f t="shared" si="0"/>
        <v>102</v>
      </c>
      <c r="M1" s="1">
        <f t="shared" si="0"/>
        <v>114.75</v>
      </c>
      <c r="N1" s="1">
        <f t="shared" si="0"/>
        <v>127.5</v>
      </c>
      <c r="O1" s="1">
        <f t="shared" si="0"/>
        <v>140.25</v>
      </c>
      <c r="P1" s="1">
        <f>$C1*P2</f>
        <v>0</v>
      </c>
      <c r="Q1" s="1" t="s">
        <v>855</v>
      </c>
    </row>
    <row r="2" spans="1:17" x14ac:dyDescent="0.3">
      <c r="E2" s="401">
        <v>1</v>
      </c>
      <c r="F2" s="401">
        <v>2</v>
      </c>
      <c r="G2" s="401">
        <v>3</v>
      </c>
      <c r="H2" s="401">
        <v>4</v>
      </c>
      <c r="I2" s="401">
        <v>5</v>
      </c>
      <c r="J2" s="401">
        <v>6</v>
      </c>
      <c r="K2" s="401">
        <v>7</v>
      </c>
      <c r="L2" s="1">
        <v>8</v>
      </c>
      <c r="M2" s="1">
        <v>9</v>
      </c>
      <c r="N2" s="1">
        <v>10</v>
      </c>
      <c r="O2" s="1">
        <v>11</v>
      </c>
      <c r="P2" s="1">
        <v>12</v>
      </c>
      <c r="Q2" s="1" t="s">
        <v>526</v>
      </c>
    </row>
    <row r="4" spans="1:17" x14ac:dyDescent="0.3">
      <c r="B4" s="585">
        <v>2.29</v>
      </c>
      <c r="C4" s="585">
        <v>1.29</v>
      </c>
      <c r="D4" s="585">
        <v>1.29</v>
      </c>
      <c r="E4" s="401">
        <v>19.57</v>
      </c>
      <c r="F4" s="401">
        <v>10.43</v>
      </c>
      <c r="G4" s="401">
        <v>10.43</v>
      </c>
      <c r="H4" s="401">
        <v>7.29</v>
      </c>
      <c r="I4" s="401">
        <v>10.43</v>
      </c>
      <c r="J4" s="401">
        <v>10.43</v>
      </c>
      <c r="K4" s="401">
        <v>10.43</v>
      </c>
      <c r="L4" s="23" t="s">
        <v>854</v>
      </c>
    </row>
    <row r="5" spans="1:17" x14ac:dyDescent="0.3">
      <c r="A5" s="23" t="s">
        <v>448</v>
      </c>
      <c r="N5" s="23">
        <f>19.57-7.29</f>
        <v>12.280000000000001</v>
      </c>
    </row>
    <row r="6" spans="1:17" x14ac:dyDescent="0.3">
      <c r="A6" s="23" t="s">
        <v>448</v>
      </c>
      <c r="B6" s="467" t="str">
        <f>'Standing Data'!$D$4</f>
        <v>NAME OF COUNCIL</v>
      </c>
    </row>
    <row r="7" spans="1:17" x14ac:dyDescent="0.3">
      <c r="A7" s="23" t="s">
        <v>448</v>
      </c>
      <c r="B7" s="467" t="str">
        <f>'Standing Data'!$D$30</f>
        <v>Notes to the Group Financial Statements</v>
      </c>
    </row>
    <row r="8" spans="1:17" x14ac:dyDescent="0.3">
      <c r="A8" s="23" t="s">
        <v>448</v>
      </c>
      <c r="B8" s="467" t="str">
        <f>'Standing Data'!$D$32</f>
        <v>FOR THE YEAR ENDED 31 March 2026</v>
      </c>
    </row>
    <row r="9" spans="1:17" x14ac:dyDescent="0.3">
      <c r="A9" s="3" t="s">
        <v>448</v>
      </c>
    </row>
    <row r="10" spans="1:17" ht="13.5" customHeight="1" x14ac:dyDescent="0.3">
      <c r="A10" s="3" t="str">
        <f>IF(OR(A12="Print",A16="Print",A20="Print",A26="Print"),"Print","Do Not Print")</f>
        <v>Print</v>
      </c>
      <c r="D10" s="2109" t="s">
        <v>2811</v>
      </c>
      <c r="E10" s="2109"/>
      <c r="F10" s="2109"/>
      <c r="G10" s="2109"/>
      <c r="H10" s="2109"/>
      <c r="I10" s="2109"/>
      <c r="J10" s="2109"/>
      <c r="K10" s="2109"/>
    </row>
    <row r="11" spans="1:17" x14ac:dyDescent="0.3">
      <c r="A11" s="3" t="str">
        <f>IF(A10="Print","Print","Do Not Print")</f>
        <v>Print</v>
      </c>
      <c r="D11" s="1504"/>
      <c r="E11" s="1504"/>
      <c r="F11" s="1504"/>
      <c r="G11" s="1504"/>
      <c r="H11" s="1504"/>
      <c r="I11" s="1504"/>
      <c r="J11" s="1504"/>
      <c r="K11" s="1504"/>
    </row>
    <row r="12" spans="1:17" ht="13.5" customHeight="1" x14ac:dyDescent="0.3">
      <c r="A12" s="3" t="str">
        <f>IF(A14="Print","Print","Do Not Print")</f>
        <v>Print</v>
      </c>
      <c r="D12" s="1543" t="str">
        <f>IF('GROUP Non TB - Group Acc notes'!F159=1,'GROUP Non TB - Group Acc notes'!E159,"")</f>
        <v>Depreciation</v>
      </c>
      <c r="E12" s="1543"/>
      <c r="F12" s="1543"/>
      <c r="G12" s="1543"/>
      <c r="H12" s="1543"/>
      <c r="I12" s="1543"/>
      <c r="J12" s="1543"/>
      <c r="K12" s="1543"/>
    </row>
    <row r="13" spans="1:17" x14ac:dyDescent="0.3">
      <c r="A13" s="3" t="str">
        <f>IF(A12="Print","Print","Do Not Print")</f>
        <v>Print</v>
      </c>
      <c r="D13" s="1504"/>
      <c r="E13" s="1504"/>
      <c r="F13" s="1504"/>
      <c r="G13" s="1504"/>
      <c r="H13" s="1504"/>
      <c r="I13" s="1504"/>
      <c r="J13" s="1504"/>
      <c r="K13" s="1504"/>
    </row>
    <row r="14" spans="1:17" ht="56.55" customHeight="1" x14ac:dyDescent="0.3">
      <c r="A14" s="3" t="str">
        <f>IF('GROUP Non TB - Group Acc notes'!F159=1,"Print","Do Not Print")</f>
        <v>Print</v>
      </c>
      <c r="D14" s="1504" t="str">
        <f>IF('GROUP Non TB - Group Acc notes'!F159=1,'GROUP Non TB - Group Acc notes'!H159,"")</f>
        <v>The following useful lives  and depreciation rates have been used in the calculation of depreciation:
- buildings - xx years
- vehicles, plant, furniture and equipments - xx of carrying amount
- infratructure - xx years</v>
      </c>
      <c r="E14" s="1504"/>
      <c r="F14" s="1504"/>
      <c r="G14" s="1504"/>
      <c r="H14" s="1504"/>
      <c r="I14" s="1504"/>
      <c r="J14" s="1504"/>
      <c r="K14" s="1504"/>
    </row>
    <row r="15" spans="1:17" x14ac:dyDescent="0.3">
      <c r="A15" s="3" t="str">
        <f>IF(A14="Print","Print","Do Not Print")</f>
        <v>Print</v>
      </c>
      <c r="D15" s="1504"/>
      <c r="E15" s="1504"/>
      <c r="F15" s="1504"/>
      <c r="G15" s="1504"/>
      <c r="H15" s="1504"/>
      <c r="I15" s="1504"/>
      <c r="J15" s="1504"/>
      <c r="K15" s="1504"/>
    </row>
    <row r="16" spans="1:17" ht="13.5" customHeight="1" x14ac:dyDescent="0.3">
      <c r="A16" s="3" t="str">
        <f>IF('GROUP Non TB - Group Acc notes'!F160=1,"Print","Do Not Print")</f>
        <v>Print</v>
      </c>
      <c r="D16" s="1543" t="str">
        <f>IF('GROUP Non TB - Group Acc notes'!F160=1,'GROUP Non TB - Group Acc notes'!E160,"")</f>
        <v>Effects of Changes in Estimates</v>
      </c>
      <c r="E16" s="1543"/>
      <c r="F16" s="1543"/>
      <c r="G16" s="1543"/>
      <c r="H16" s="1543"/>
      <c r="I16" s="1543"/>
      <c r="J16" s="1543"/>
      <c r="K16" s="1543"/>
    </row>
    <row r="17" spans="1:11" x14ac:dyDescent="0.3">
      <c r="A17" s="3" t="str">
        <f>IF(A16="Print","Print","Do Not Print")</f>
        <v>Print</v>
      </c>
      <c r="D17" s="1504"/>
      <c r="E17" s="1504"/>
      <c r="F17" s="1504"/>
      <c r="G17" s="1504"/>
      <c r="H17" s="1504"/>
      <c r="I17" s="1504"/>
      <c r="J17" s="1504"/>
      <c r="K17" s="1504"/>
    </row>
    <row r="18" spans="1:11" ht="159" customHeight="1" x14ac:dyDescent="0.3">
      <c r="A18" s="3" t="str">
        <f>IF('GROUP Non TB - Group Acc notes'!F160=1,"Print","Do Not Print")</f>
        <v>Print</v>
      </c>
      <c r="D18" s="1504" t="str">
        <f>IF('GROUP Non TB - Group Acc notes'!F160=1,'GROUP Non TB - Group Acc notes'!H160,"")</f>
        <v>In 2025/26, the Council made two material changes to its accounting estimates for property, plant and equipment:
- During the revaluation of the Council's office accommodation, remaining useful lives were reviewed criticially for all properties occupied by the Council.  As a result, the depreciation charge for the properties of £x for 2025/26 was £x lower than it would have been if the useful lives assessed in 2024/25 had been used for the calculations.  The impact of this change will carry forward into 2025/26 and future years.
- It has been determined that a unit of consumption depreciation methodology will be a more effective measure of the use of the Council's vehicle fleet than straight line calculations.  The change in methodology has resulted in a depreciation charge £x higher than would have been calculated under previous methodology.  The impact of this change will carry forward into 2025/26 and future years.</v>
      </c>
      <c r="E18" s="1504"/>
      <c r="F18" s="1504"/>
      <c r="G18" s="1504"/>
      <c r="H18" s="1504"/>
      <c r="I18" s="1504"/>
      <c r="J18" s="1504"/>
      <c r="K18" s="1504"/>
    </row>
    <row r="19" spans="1:11" x14ac:dyDescent="0.3">
      <c r="A19" s="3" t="str">
        <f>IF(A18="Print","Print","Do Not Print")</f>
        <v>Print</v>
      </c>
      <c r="D19" s="1504"/>
      <c r="E19" s="1504"/>
      <c r="F19" s="1504"/>
      <c r="G19" s="1504"/>
      <c r="H19" s="1504"/>
      <c r="I19" s="1504"/>
      <c r="J19" s="1504"/>
      <c r="K19" s="1504"/>
    </row>
    <row r="20" spans="1:11" ht="13.5" customHeight="1" x14ac:dyDescent="0.3">
      <c r="A20" s="3" t="str">
        <f>IF('GROUP Non TB - Group Acc notes'!F161=1,"Print","Do Not Print")</f>
        <v>Print</v>
      </c>
      <c r="D20" s="1543" t="str">
        <f>IF('GROUP Non TB - Group Acc notes'!F161=1,'GROUP Non TB - Group Acc notes'!E161,"")</f>
        <v>Revaluations</v>
      </c>
      <c r="E20" s="1543"/>
      <c r="F20" s="1543"/>
      <c r="G20" s="1543"/>
      <c r="H20" s="1543"/>
      <c r="I20" s="1543"/>
      <c r="J20" s="1543"/>
      <c r="K20" s="1543"/>
    </row>
    <row r="21" spans="1:11" x14ac:dyDescent="0.3">
      <c r="A21" s="3" t="str">
        <f>IF(A20="Print","Print","Do Not Print")</f>
        <v>Print</v>
      </c>
      <c r="D21" s="1504"/>
      <c r="E21" s="1504"/>
      <c r="F21" s="1504"/>
      <c r="G21" s="1504"/>
      <c r="H21" s="1504"/>
      <c r="I21" s="1504"/>
      <c r="J21" s="1504"/>
      <c r="K21" s="1504"/>
    </row>
    <row r="22" spans="1:11" ht="80.55" customHeight="1" x14ac:dyDescent="0.3">
      <c r="A22" s="3" t="str">
        <f>IF('GROUP Non TB - Group Acc notes'!F161=1,"Print","Do Not Print")</f>
        <v>Print</v>
      </c>
      <c r="D22" s="1504" t="str">
        <f>IF('GROUP Non TB - Group Acc notes'!F161=1,'GROUP Non TB - Group Acc notes'!H161,"")</f>
        <v>The Council carries out a rolling programme that ensures that all property, plant and equipments required to be measured at current value is revalued at least every five years.  All valuations were carried out internally.  Valuations of land and buildings were carried out in accordance with the methodologies and basis for estimation set out in the professional standards of the Royal Institution of Chartered Surveyors.  Valuations of vehicles, plant, furniture and equipment are based on current prices where there is an active second-hand market or latest list prices adjusted for the condition of the asset.</v>
      </c>
      <c r="E22" s="1504"/>
      <c r="F22" s="1504"/>
      <c r="G22" s="1504"/>
      <c r="H22" s="1504"/>
      <c r="I22" s="1504"/>
      <c r="J22" s="1504"/>
      <c r="K22" s="1504"/>
    </row>
    <row r="23" spans="1:11" x14ac:dyDescent="0.3">
      <c r="A23" s="3" t="str">
        <f>IF(A22="Print","Print","Do Not Print")</f>
        <v>Print</v>
      </c>
      <c r="D23" s="1504"/>
      <c r="E23" s="1504"/>
      <c r="F23" s="1504"/>
      <c r="G23" s="1504"/>
      <c r="H23" s="1504"/>
      <c r="I23" s="1504"/>
      <c r="J23" s="1504"/>
      <c r="K23" s="1504"/>
    </row>
    <row r="24" spans="1:11" ht="56.55" customHeight="1" x14ac:dyDescent="0.3">
      <c r="A24" s="3" t="str">
        <f>IF('GROUP Non TB - Group Acc notes'!F162=1,"Print","Do Not Print")</f>
        <v>Print</v>
      </c>
      <c r="D24" s="1504" t="str">
        <f>IF('GROUP Non TB - Group Acc notes'!F162=1,'GROUP Non TB - Group Acc notes'!H162,"")</f>
        <v>The significant assumptions applied in estimating the current values of property, plant and equipment are:
- assumption a
- assumption b
- assumption c</v>
      </c>
      <c r="E24" s="1504"/>
      <c r="F24" s="1504"/>
      <c r="G24" s="1504"/>
      <c r="H24" s="1504"/>
      <c r="I24" s="1504"/>
      <c r="J24" s="1504"/>
      <c r="K24" s="1504"/>
    </row>
    <row r="25" spans="1:11" x14ac:dyDescent="0.3">
      <c r="A25" s="3" t="str">
        <f>IF(A24="Print","Print","Do Not Print")</f>
        <v>Print</v>
      </c>
      <c r="D25" s="1504"/>
      <c r="E25" s="1504"/>
      <c r="F25" s="1504"/>
      <c r="G25" s="1504"/>
      <c r="H25" s="1504"/>
      <c r="I25" s="1504"/>
      <c r="J25" s="1504"/>
      <c r="K25" s="1504"/>
    </row>
    <row r="26" spans="1:11" ht="13.5" customHeight="1" x14ac:dyDescent="0.3">
      <c r="A26" s="3" t="str">
        <f>IF('GROUP Non TB - Group Acc notes'!F163=1,"Print","Do Not Print")</f>
        <v>Print</v>
      </c>
      <c r="D26" s="1543" t="str">
        <f>IF('GROUP Non TB - Group Acc notes'!F163=1,'GROUP Non TB - Group Acc notes'!E163,"")</f>
        <v>Non-operational Property, Plant and Equipment (Surplus Assets)</v>
      </c>
      <c r="E26" s="1543"/>
      <c r="F26" s="1543"/>
      <c r="G26" s="1543"/>
      <c r="H26" s="1543"/>
      <c r="I26" s="1543"/>
      <c r="J26" s="1543"/>
      <c r="K26" s="1543"/>
    </row>
    <row r="27" spans="1:11" x14ac:dyDescent="0.3">
      <c r="A27" s="3" t="str">
        <f>IF(A26="Print","Print","Do Not Print")</f>
        <v>Print</v>
      </c>
      <c r="D27" s="1504"/>
      <c r="E27" s="1504"/>
      <c r="F27" s="1504"/>
      <c r="G27" s="1504"/>
      <c r="H27" s="1504"/>
      <c r="I27" s="1504"/>
      <c r="J27" s="1504"/>
      <c r="K27" s="1504"/>
    </row>
    <row r="28" spans="1:11" x14ac:dyDescent="0.3">
      <c r="A28" s="3" t="str">
        <f>IF('GROUP Non TB - Group Acc notes'!F163=1,"Print","Do Not Print")</f>
        <v>Print</v>
      </c>
      <c r="D28" s="1504" t="str">
        <f>IF('GROUP Non TB - Group Acc notes'!F163=1,'GROUP Non TB - Group Acc notes'!H163,"")</f>
        <v>The Council does not have material surplus assets.</v>
      </c>
      <c r="E28" s="1504"/>
      <c r="F28" s="1504"/>
      <c r="G28" s="1504"/>
      <c r="H28" s="1504"/>
      <c r="I28" s="1504"/>
      <c r="J28" s="1504"/>
      <c r="K28" s="1504"/>
    </row>
    <row r="29" spans="1:11" x14ac:dyDescent="0.3">
      <c r="A29" s="3" t="str">
        <f>IF(A28="Print","Print","Do Not Print")</f>
        <v>Print</v>
      </c>
      <c r="D29" s="1504"/>
      <c r="E29" s="1504"/>
      <c r="F29" s="1504"/>
      <c r="G29" s="1504"/>
      <c r="H29" s="1504"/>
      <c r="I29" s="1504"/>
      <c r="J29" s="1504"/>
      <c r="K29" s="1504"/>
    </row>
    <row r="30" spans="1:11" ht="13.5" customHeight="1" x14ac:dyDescent="0.3">
      <c r="A30" s="3" t="str">
        <f>IF(OR(A32="Print",A34="Print",A36="Print",A38="Print",A53="Print"),"Print","Do Not Print")</f>
        <v>Print</v>
      </c>
      <c r="D30" s="2109" t="s">
        <v>354</v>
      </c>
      <c r="E30" s="2109"/>
      <c r="F30" s="2109"/>
      <c r="G30" s="2109"/>
      <c r="H30" s="2109"/>
      <c r="I30" s="2109"/>
      <c r="J30" s="2109"/>
      <c r="K30" s="2109"/>
    </row>
    <row r="31" spans="1:11" x14ac:dyDescent="0.3">
      <c r="A31" s="3" t="str">
        <f>IF(A30="Print","Print","Do Not Print")</f>
        <v>Print</v>
      </c>
      <c r="D31" s="1504"/>
      <c r="E31" s="1504"/>
      <c r="F31" s="1504"/>
      <c r="G31" s="1504"/>
      <c r="H31" s="1504"/>
      <c r="I31" s="1504"/>
      <c r="J31" s="1504"/>
      <c r="K31" s="1504"/>
    </row>
    <row r="32" spans="1:11" ht="44.1" customHeight="1" x14ac:dyDescent="0.3">
      <c r="A32" s="3" t="str">
        <f>IF('GROUP Non TB - Group Acc notes'!F164=1,"Print","Do Not Print")</f>
        <v>Print</v>
      </c>
      <c r="D32" s="1504" t="str">
        <f>IF('GROUP Non TB - Group Acc notes'!F164=1,'GROUP Non TB - Group Acc notes'!H164,"")</f>
        <v>The Council accounts for its software as intangible assets, to the extent that the software is not an integral part of a particular IT system and accounted for as part of the hardware item of property, plant and equipment.  The intangible assets include both purchased licenses and internally generally software.</v>
      </c>
      <c r="E32" s="1504"/>
      <c r="F32" s="1504"/>
      <c r="G32" s="1504"/>
      <c r="H32" s="1504"/>
      <c r="I32" s="1504"/>
      <c r="J32" s="1504"/>
      <c r="K32" s="1504"/>
    </row>
    <row r="33" spans="1:11" x14ac:dyDescent="0.3">
      <c r="A33" s="3" t="str">
        <f>IF(A32="Print","Print","Do Not Print")</f>
        <v>Print</v>
      </c>
      <c r="D33" s="1504"/>
      <c r="E33" s="1504"/>
      <c r="F33" s="1504"/>
      <c r="G33" s="1504"/>
      <c r="H33" s="1504"/>
      <c r="I33" s="1504"/>
      <c r="J33" s="1504"/>
      <c r="K33" s="1504"/>
    </row>
    <row r="34" spans="1:11" ht="41.1" customHeight="1" x14ac:dyDescent="0.3">
      <c r="A34" s="3" t="str">
        <f>IF('GROUP Non TB - Group Acc notes'!F165=1,"Print","Do Not Print")</f>
        <v>Print</v>
      </c>
      <c r="D34" s="1504" t="str">
        <f>IF('GROUP Non TB - Group Acc notes'!F165=1,'GROUP Non TB - Group Acc notes'!H165,"")</f>
        <v>All software is given a finite useful life, based on assessment of the period that the software is expected to be of use to the Council.  The useful lives assigned to the major software suites used by the Council are given in Note 1: Accounting Policies.</v>
      </c>
      <c r="E34" s="1504"/>
      <c r="F34" s="1504"/>
      <c r="G34" s="1504"/>
      <c r="H34" s="1504"/>
      <c r="I34" s="1504"/>
      <c r="J34" s="1504"/>
      <c r="K34" s="1504"/>
    </row>
    <row r="35" spans="1:11" x14ac:dyDescent="0.3">
      <c r="A35" s="3" t="str">
        <f>IF(A34="Print","Print","Do Not Print")</f>
        <v>Print</v>
      </c>
      <c r="D35" s="1504"/>
      <c r="E35" s="1504"/>
      <c r="F35" s="1504"/>
      <c r="G35" s="1504"/>
      <c r="H35" s="1504"/>
      <c r="I35" s="1504"/>
      <c r="J35" s="1504"/>
      <c r="K35" s="1504"/>
    </row>
    <row r="36" spans="1:11" ht="52.5" customHeight="1" x14ac:dyDescent="0.3">
      <c r="A36" s="3" t="str">
        <f>IF('GROUP Non TB - Group Acc notes'!F166=1,"Print","Do Not Print")</f>
        <v>Print</v>
      </c>
      <c r="D36" s="1504" t="str">
        <f>IF('GROUP Non TB - Group Acc notes'!F166=1,'GROUP Non TB - Group Acc notes'!H166,"")</f>
        <v>The carrying amount of intangible assets is amortised on a straight-line basis.  The amortisation of £x charged to revenue in 2025/26 was charged to the IT Administration cost centre and then absorbed as an overhead across all the service headings in the Cost of Services.  It is not possible to quantify exactly how much of the amortisation is attributable to each service heading.</v>
      </c>
      <c r="E36" s="1504"/>
      <c r="F36" s="1504"/>
      <c r="G36" s="1504"/>
      <c r="H36" s="1504"/>
      <c r="I36" s="1504"/>
      <c r="J36" s="1504"/>
      <c r="K36" s="1504"/>
    </row>
    <row r="37" spans="1:11" x14ac:dyDescent="0.3">
      <c r="A37" s="3" t="str">
        <f>IF(A36="Print","Print","Do Not Print")</f>
        <v>Print</v>
      </c>
      <c r="D37" s="1504"/>
      <c r="E37" s="1504"/>
      <c r="F37" s="1504"/>
      <c r="G37" s="1504"/>
      <c r="H37" s="1504"/>
      <c r="I37" s="1504"/>
      <c r="J37" s="1504"/>
      <c r="K37" s="1504"/>
    </row>
    <row r="38" spans="1:11" x14ac:dyDescent="0.3">
      <c r="A38" s="3" t="str">
        <f>IF('GROUP Non TB - Group Acc notes'!F167=1,"Print","Do Not Print")</f>
        <v>Print</v>
      </c>
      <c r="D38" s="1504" t="str">
        <f>IF('GROUP Non TB - Group Acc notes'!F167=1,'GROUP Non TB - Group Acc notes'!H167,"")</f>
        <v>The movement on intangible asset balances during the year is as follows:</v>
      </c>
      <c r="E38" s="1504"/>
      <c r="F38" s="1504"/>
      <c r="G38" s="1504"/>
      <c r="H38" s="1504"/>
      <c r="I38" s="1504"/>
      <c r="J38" s="1504"/>
      <c r="K38" s="1504"/>
    </row>
    <row r="39" spans="1:11" x14ac:dyDescent="0.3">
      <c r="A39" s="3" t="str">
        <f>IF(A38="Print","Print","Do Not Print")</f>
        <v>Print</v>
      </c>
      <c r="D39" s="1504"/>
      <c r="E39" s="1504"/>
      <c r="F39" s="1504"/>
      <c r="G39" s="1504"/>
      <c r="H39" s="1504"/>
      <c r="I39" s="1504"/>
      <c r="J39" s="1504"/>
      <c r="K39" s="1504"/>
    </row>
    <row r="40" spans="1:11" x14ac:dyDescent="0.3">
      <c r="A40" s="3" t="str">
        <f>IF(A53="Print","Print","Do Not Print")</f>
        <v>Do Not Print</v>
      </c>
      <c r="D40" s="474" t="s">
        <v>354</v>
      </c>
      <c r="E40" s="474"/>
      <c r="F40" s="479"/>
      <c r="G40" s="479"/>
      <c r="H40" s="479"/>
      <c r="I40" s="479"/>
      <c r="J40" s="586" t="str">
        <f>'Standing Data'!D34</f>
        <v>2025/26</v>
      </c>
      <c r="K40" s="586" t="str">
        <f>'Standing Data'!D52</f>
        <v>2024/25</v>
      </c>
    </row>
    <row r="41" spans="1:11" x14ac:dyDescent="0.3">
      <c r="A41" s="3" t="str">
        <f>IF(A40="Print","Print","Do Not Print")</f>
        <v>Do Not Print</v>
      </c>
      <c r="D41" s="471"/>
      <c r="E41" s="471"/>
      <c r="F41" s="471"/>
      <c r="G41" s="471"/>
      <c r="H41" s="471"/>
      <c r="I41" s="471"/>
      <c r="J41" s="483" t="s">
        <v>450</v>
      </c>
      <c r="K41" s="483" t="s">
        <v>450</v>
      </c>
    </row>
    <row r="42" spans="1:11" x14ac:dyDescent="0.3">
      <c r="A42" s="3" t="str">
        <f>IF(A53="Print","Print","Do Not Print")</f>
        <v>Do Not Print</v>
      </c>
      <c r="D42" s="1504" t="s">
        <v>2517</v>
      </c>
      <c r="E42" s="1504"/>
      <c r="F42" s="1504"/>
      <c r="G42" s="1504"/>
      <c r="H42" s="1504"/>
      <c r="I42" s="1504"/>
    </row>
    <row r="43" spans="1:11" x14ac:dyDescent="0.3">
      <c r="A43" s="3" t="str">
        <f>IF(AND(J43&gt;0,K43&gt;0),"Print","Do Not Print")</f>
        <v>Do Not Print</v>
      </c>
      <c r="D43" s="1504" t="s">
        <v>2648</v>
      </c>
      <c r="E43" s="1504"/>
      <c r="F43" s="1504"/>
      <c r="G43" s="1504"/>
      <c r="H43" s="1504"/>
      <c r="I43" s="1504"/>
      <c r="J43" s="525">
        <f>'GROUP Det Group BS'!J232+'GROUP Det Group BS'!J233</f>
        <v>0</v>
      </c>
      <c r="K43" s="525">
        <f>'GROUP Det Group BS'!K232+'GROUP Det Group BS'!K233</f>
        <v>0</v>
      </c>
    </row>
    <row r="44" spans="1:11" x14ac:dyDescent="0.3">
      <c r="A44" s="3" t="str">
        <f t="shared" ref="A44:A51" si="1">IF(AND(J44&gt;0,K44&gt;0),"Print","Do Not Print")</f>
        <v>Do Not Print</v>
      </c>
      <c r="D44" s="1504" t="s">
        <v>2649</v>
      </c>
      <c r="E44" s="1504"/>
      <c r="F44" s="1504"/>
      <c r="G44" s="1504"/>
      <c r="H44" s="1504"/>
      <c r="I44" s="1504"/>
      <c r="J44" s="1117">
        <f>'GROUP Det Group BS'!J243+'GROUP Det Group BS'!J244</f>
        <v>0</v>
      </c>
      <c r="K44" s="1117">
        <f>'GROUP Det Group BS'!K243+'GROUP Det Group BS'!K244</f>
        <v>0</v>
      </c>
    </row>
    <row r="45" spans="1:11" x14ac:dyDescent="0.3">
      <c r="A45" s="3" t="str">
        <f t="shared" si="1"/>
        <v>Do Not Print</v>
      </c>
      <c r="D45" s="1504" t="s">
        <v>2650</v>
      </c>
      <c r="E45" s="1504"/>
      <c r="F45" s="1504"/>
      <c r="G45" s="1504"/>
      <c r="H45" s="1504"/>
      <c r="I45" s="1504"/>
      <c r="J45" s="525">
        <f>J43-J44</f>
        <v>0</v>
      </c>
      <c r="K45" s="525">
        <f>K43-K44</f>
        <v>0</v>
      </c>
    </row>
    <row r="46" spans="1:11" x14ac:dyDescent="0.3">
      <c r="A46" s="3" t="str">
        <f t="shared" si="1"/>
        <v>Do Not Print</v>
      </c>
      <c r="D46" s="1504" t="s">
        <v>973</v>
      </c>
      <c r="E46" s="1504"/>
      <c r="F46" s="1504"/>
      <c r="G46" s="1504"/>
      <c r="H46" s="1504"/>
      <c r="I46" s="1504"/>
      <c r="J46" s="525">
        <f>'GROUP Det Group BS'!J234+'GROUP Det Group BS'!J235</f>
        <v>0</v>
      </c>
      <c r="K46" s="525">
        <f>'GROUP Det Group BS'!K234+'GROUP Det Group BS'!K235</f>
        <v>0</v>
      </c>
    </row>
    <row r="47" spans="1:11" x14ac:dyDescent="0.3">
      <c r="A47" s="3" t="str">
        <f t="shared" si="1"/>
        <v>Do Not Print</v>
      </c>
      <c r="D47" s="1504" t="s">
        <v>2651</v>
      </c>
      <c r="E47" s="1504"/>
      <c r="F47" s="1504"/>
      <c r="G47" s="1504"/>
      <c r="H47" s="1504"/>
      <c r="I47" s="1504"/>
      <c r="J47" s="525">
        <f>'GROUP Det Group BS'!J242-'GROUP Det Group BS'!J253</f>
        <v>0</v>
      </c>
      <c r="K47" s="525">
        <f>'GROUP Det Group BS'!K242-'GROUP Det Group BS'!K253</f>
        <v>0</v>
      </c>
    </row>
    <row r="48" spans="1:11" x14ac:dyDescent="0.3">
      <c r="A48" s="3" t="str">
        <f t="shared" si="1"/>
        <v>Do Not Print</v>
      </c>
      <c r="D48" s="1504" t="s">
        <v>2652</v>
      </c>
      <c r="E48" s="1504"/>
      <c r="F48" s="1504"/>
      <c r="G48" s="1504"/>
      <c r="H48" s="1504"/>
      <c r="I48" s="1504"/>
      <c r="J48" s="525">
        <f>'GROUP Det Group BS'!J236+'GROUP Det Group BS'!J237-'GROUP Det Group BS'!J246-'GROUP Det Group BS'!J247</f>
        <v>0</v>
      </c>
      <c r="K48" s="525">
        <f>'GROUP Det Group BS'!K236+'GROUP Det Group BS'!K237-'GROUP Det Group BS'!K246-'GROUP Det Group BS'!K247</f>
        <v>0</v>
      </c>
    </row>
    <row r="49" spans="1:11" x14ac:dyDescent="0.3">
      <c r="A49" s="3" t="str">
        <f t="shared" si="1"/>
        <v>Do Not Print</v>
      </c>
      <c r="D49" s="1504" t="s">
        <v>2653</v>
      </c>
      <c r="E49" s="1504"/>
      <c r="F49" s="1504"/>
      <c r="G49" s="1504"/>
      <c r="H49" s="1504"/>
      <c r="I49" s="1504"/>
      <c r="J49" s="525">
        <f>'GROUP Det Group BS'!J249</f>
        <v>0</v>
      </c>
      <c r="K49" s="525">
        <f>'GROUP Det Group BS'!K249</f>
        <v>0</v>
      </c>
    </row>
    <row r="50" spans="1:11" ht="28.5" customHeight="1" x14ac:dyDescent="0.3">
      <c r="A50" s="3" t="str">
        <f t="shared" si="1"/>
        <v>Do Not Print</v>
      </c>
      <c r="D50" s="1504" t="s">
        <v>2930</v>
      </c>
      <c r="E50" s="1504"/>
      <c r="F50" s="1504"/>
      <c r="G50" s="1504"/>
      <c r="H50" s="1504"/>
      <c r="I50" s="1504"/>
      <c r="J50" s="525">
        <f>'GROUP Det Group BS'!J248</f>
        <v>0</v>
      </c>
      <c r="K50" s="525">
        <f>'GROUP Det Group BS'!K248</f>
        <v>0</v>
      </c>
    </row>
    <row r="51" spans="1:11" x14ac:dyDescent="0.3">
      <c r="A51" s="3" t="str">
        <f t="shared" si="1"/>
        <v>Do Not Print</v>
      </c>
      <c r="D51" s="1504" t="s">
        <v>2654</v>
      </c>
      <c r="E51" s="1504"/>
      <c r="F51" s="1504"/>
      <c r="G51" s="1504"/>
      <c r="H51" s="1504"/>
      <c r="I51" s="1504"/>
      <c r="J51" s="525">
        <f>'GROUP Det Group BS'!J245</f>
        <v>0</v>
      </c>
      <c r="K51" s="525">
        <f>'GROUP Det Group BS'!K245</f>
        <v>0</v>
      </c>
    </row>
    <row r="52" spans="1:11" x14ac:dyDescent="0.3">
      <c r="A52" s="3" t="str">
        <f>IF(AND(J52&gt;0,K52&gt;0),"Print","Do Not Print")</f>
        <v>Do Not Print</v>
      </c>
      <c r="D52" s="1504" t="s">
        <v>2655</v>
      </c>
      <c r="E52" s="1504"/>
      <c r="F52" s="1504"/>
      <c r="G52" s="1504"/>
      <c r="H52" s="1504"/>
      <c r="I52" s="1504"/>
      <c r="J52" s="525">
        <f>'GROUP Det Group BS'!J239+'GROUP Det Group BS'!J240+'GROUP Det Group BS'!J241-'GROUP Det Group BS'!J250-'GROUP Det Group BS'!J251-'GROUP Det Group BS'!J252</f>
        <v>0</v>
      </c>
      <c r="K52" s="525">
        <f>'GROUP Det Group BS'!K239+'GROUP Det Group BS'!K240+'GROUP Det Group BS'!K241-'GROUP Det Group BS'!K250-'GROUP Det Group BS'!K251-'GROUP Det Group BS'!K252</f>
        <v>0</v>
      </c>
    </row>
    <row r="53" spans="1:11" x14ac:dyDescent="0.3">
      <c r="A53" s="3" t="str">
        <f>IF(AND(J53&gt;0,K53&gt;0),"Print","Do Not Print")</f>
        <v>Do Not Print</v>
      </c>
      <c r="D53" s="1828" t="s">
        <v>2656</v>
      </c>
      <c r="E53" s="1828"/>
      <c r="F53" s="1828"/>
      <c r="G53" s="1828"/>
      <c r="H53" s="1828"/>
      <c r="I53" s="1828"/>
      <c r="J53" s="587">
        <f>SUM(J45:J52)</f>
        <v>0</v>
      </c>
      <c r="K53" s="587">
        <f>SUM(K45:K52)</f>
        <v>0</v>
      </c>
    </row>
    <row r="54" spans="1:11" x14ac:dyDescent="0.3">
      <c r="A54" s="3" t="str">
        <f>IF(A53="Print","Print","Do Not Print")</f>
        <v>Do Not Print</v>
      </c>
      <c r="D54" s="401"/>
      <c r="J54" s="525"/>
      <c r="K54" s="525"/>
    </row>
    <row r="55" spans="1:11" x14ac:dyDescent="0.3">
      <c r="A55" s="3" t="str">
        <f>IF(A58="Print","Print","Do Not Print")</f>
        <v>Do Not Print</v>
      </c>
      <c r="D55" s="401" t="s">
        <v>2657</v>
      </c>
      <c r="J55" s="525"/>
      <c r="K55" s="525"/>
    </row>
    <row r="56" spans="1:11" x14ac:dyDescent="0.3">
      <c r="A56" s="3" t="str">
        <f>IF(AND(J56&gt;0,K56&gt;0),"Print","Do Not Print")</f>
        <v>Do Not Print</v>
      </c>
      <c r="D56" s="401" t="s">
        <v>2648</v>
      </c>
      <c r="J56" s="525">
        <f>SUM('GROUP Det Group BS'!J232:J242)</f>
        <v>0</v>
      </c>
      <c r="K56" s="525">
        <f>SUM('GROUP Det Group BS'!K232:K242)</f>
        <v>0</v>
      </c>
    </row>
    <row r="57" spans="1:11" x14ac:dyDescent="0.3">
      <c r="A57" s="3" t="str">
        <f t="shared" ref="A57:A58" si="2">IF(AND(J57&gt;0,K57&gt;0),"Print","Do Not Print")</f>
        <v>Do Not Print</v>
      </c>
      <c r="D57" s="401" t="s">
        <v>2649</v>
      </c>
      <c r="J57" s="525">
        <f>SUM('GROUP Det Group BS'!J243:J245)-'GROUP Det Group BS'!J246-'GROUP Det Group BS'!J247+SUM('GROUP Det Group BS'!J248:J253)</f>
        <v>0</v>
      </c>
      <c r="K57" s="525">
        <f>SUM('GROUP Det Group BS'!K243:K245)-'GROUP Det Group BS'!K246-'GROUP Det Group BS'!K247+SUM('GROUP Det Group BS'!K248:K253)</f>
        <v>0</v>
      </c>
    </row>
    <row r="58" spans="1:11" x14ac:dyDescent="0.3">
      <c r="A58" s="3" t="str">
        <f t="shared" si="2"/>
        <v>Do Not Print</v>
      </c>
      <c r="D58" s="479" t="s">
        <v>2656</v>
      </c>
      <c r="E58" s="479"/>
      <c r="F58" s="479"/>
      <c r="G58" s="479"/>
      <c r="H58" s="479"/>
      <c r="I58" s="479"/>
      <c r="J58" s="587">
        <f>J56-J57</f>
        <v>0</v>
      </c>
      <c r="K58" s="587">
        <f>K56-K57</f>
        <v>0</v>
      </c>
    </row>
    <row r="59" spans="1:11" x14ac:dyDescent="0.3">
      <c r="A59" s="3" t="str">
        <f>IF(A58="Print","Print","Do Not Print")</f>
        <v>Do Not Print</v>
      </c>
      <c r="D59" s="1500"/>
      <c r="E59" s="1500"/>
      <c r="F59" s="1500"/>
      <c r="G59" s="1500"/>
      <c r="H59" s="1500"/>
      <c r="I59" s="1500"/>
      <c r="J59" s="1500"/>
      <c r="K59" s="1500"/>
    </row>
    <row r="60" spans="1:11" x14ac:dyDescent="0.3">
      <c r="A60" s="3" t="str">
        <f>IF('GROUP Non TB - Group Acc notes'!F168=1,"Print","Do Not Print")</f>
        <v>Print</v>
      </c>
      <c r="D60" s="1500" t="str">
        <f>IF('GROUP Non TB - Group Acc notes'!F168=1,'GROUP Non TB - Group Acc notes'!H168,"")</f>
        <v>There are 4 items of capitalised software that are individually material to the financial statements:</v>
      </c>
      <c r="E60" s="1500"/>
      <c r="F60" s="1500"/>
      <c r="G60" s="1500"/>
      <c r="H60" s="1500"/>
      <c r="I60" s="1500"/>
      <c r="J60" s="1500"/>
      <c r="K60" s="1500"/>
    </row>
    <row r="61" spans="1:11" x14ac:dyDescent="0.3">
      <c r="A61" s="3" t="str">
        <f>IF(A60="Print","Print","Do Not Print")</f>
        <v>Print</v>
      </c>
      <c r="D61" s="1500"/>
      <c r="E61" s="1500"/>
      <c r="F61" s="1500"/>
      <c r="G61" s="1500"/>
      <c r="H61" s="1500"/>
      <c r="I61" s="1500"/>
      <c r="J61" s="1500"/>
      <c r="K61" s="1500"/>
    </row>
    <row r="62" spans="1:11" x14ac:dyDescent="0.3">
      <c r="A62" s="3" t="str">
        <f>IF(OR(A64="Print",A65="Print",A66="Print",A67="Print"),"Print","Do Not Print")</f>
        <v>Do Not Print</v>
      </c>
      <c r="D62" s="474" t="s">
        <v>354</v>
      </c>
      <c r="E62" s="474"/>
      <c r="F62" s="479"/>
      <c r="G62" s="479"/>
      <c r="H62" s="479"/>
      <c r="I62" s="479"/>
      <c r="J62" s="586">
        <f>'Standing Data'!D44</f>
        <v>46112</v>
      </c>
      <c r="K62" s="586">
        <f>'Standing Data'!D72</f>
        <v>45747</v>
      </c>
    </row>
    <row r="63" spans="1:11" x14ac:dyDescent="0.3">
      <c r="A63" s="3" t="str">
        <f>IF(A62="Print","Print","Do Not Print")</f>
        <v>Do Not Print</v>
      </c>
      <c r="D63" s="471"/>
      <c r="E63" s="471"/>
      <c r="F63" s="471"/>
      <c r="G63" s="471"/>
      <c r="H63" s="471"/>
      <c r="I63" s="471"/>
      <c r="J63" s="483" t="s">
        <v>450</v>
      </c>
      <c r="K63" s="483" t="s">
        <v>450</v>
      </c>
    </row>
    <row r="64" spans="1:11" x14ac:dyDescent="0.3">
      <c r="A64" s="3" t="str">
        <f>IF(AND(J64&gt;0,K64&gt;0),"Print","Do Not Print")</f>
        <v>Do Not Print</v>
      </c>
      <c r="D64" s="2105"/>
      <c r="E64" s="1738" t="str">
        <f>IF('GROUP Non TB - Group Acc notes'!F169=1,'GROUP Non TB - Group Acc notes'!E169,"")</f>
        <v>Item A</v>
      </c>
      <c r="F64" s="1803"/>
      <c r="G64" s="1803"/>
      <c r="H64" s="1803"/>
      <c r="I64" s="1739"/>
      <c r="J64" s="503">
        <f>'GROUP Non TB - Group Acc notes'!H169</f>
        <v>0</v>
      </c>
      <c r="K64" s="503">
        <f>'GROUP Non TB - Group Acc notes'!I169</f>
        <v>0</v>
      </c>
    </row>
    <row r="65" spans="1:11" x14ac:dyDescent="0.3">
      <c r="A65" s="3" t="str">
        <f t="shared" ref="A65:A66" si="3">IF(AND(J65&gt;0,K65&gt;0),"Print","Do Not Print")</f>
        <v>Do Not Print</v>
      </c>
      <c r="D65" s="2106"/>
      <c r="E65" s="1738" t="str">
        <f>IF('GROUP Non TB - Group Acc notes'!F170=1,'GROUP Non TB - Group Acc notes'!E170,"")</f>
        <v>Item B</v>
      </c>
      <c r="F65" s="1803"/>
      <c r="G65" s="1803"/>
      <c r="H65" s="1803"/>
      <c r="I65" s="1739"/>
      <c r="J65" s="503">
        <f>'GROUP Non TB - Group Acc notes'!H170</f>
        <v>0</v>
      </c>
      <c r="K65" s="503">
        <f>'GROUP Non TB - Group Acc notes'!I170</f>
        <v>0</v>
      </c>
    </row>
    <row r="66" spans="1:11" x14ac:dyDescent="0.3">
      <c r="A66" s="3" t="str">
        <f t="shared" si="3"/>
        <v>Do Not Print</v>
      </c>
      <c r="D66" s="2106"/>
      <c r="E66" s="1738" t="str">
        <f>IF('GROUP Non TB - Group Acc notes'!F171=1,'GROUP Non TB - Group Acc notes'!E171,"")</f>
        <v>Item C</v>
      </c>
      <c r="F66" s="1803"/>
      <c r="G66" s="1803"/>
      <c r="H66" s="1803"/>
      <c r="I66" s="1739"/>
      <c r="J66" s="503">
        <f>'GROUP Non TB - Group Acc notes'!H171</f>
        <v>0</v>
      </c>
      <c r="K66" s="503">
        <f>'GROUP Non TB - Group Acc notes'!I171</f>
        <v>0</v>
      </c>
    </row>
    <row r="67" spans="1:11" x14ac:dyDescent="0.3">
      <c r="A67" s="3" t="str">
        <f>IF(AND(J67&gt;0,K67&gt;0),"Print","Do Not Print")</f>
        <v>Do Not Print</v>
      </c>
      <c r="D67" s="2107"/>
      <c r="E67" s="1738" t="str">
        <f>IF('GROUP Non TB - Group Acc notes'!F172=1,'GROUP Non TB - Group Acc notes'!E172,"")</f>
        <v>Item D</v>
      </c>
      <c r="F67" s="1803"/>
      <c r="G67" s="1803"/>
      <c r="H67" s="1803"/>
      <c r="I67" s="1739"/>
      <c r="J67" s="503">
        <f>'GROUP Non TB - Group Acc notes'!H172</f>
        <v>0</v>
      </c>
      <c r="K67" s="503">
        <f>'GROUP Non TB - Group Acc notes'!I172</f>
        <v>0</v>
      </c>
    </row>
    <row r="68" spans="1:11" x14ac:dyDescent="0.3">
      <c r="A68" s="3" t="str">
        <f>IF(A62="Print","Print","Do Not Print")</f>
        <v>Do Not Print</v>
      </c>
      <c r="D68" s="947"/>
      <c r="E68" s="947"/>
      <c r="F68" s="947"/>
      <c r="G68" s="947"/>
      <c r="H68" s="947"/>
      <c r="I68" s="947"/>
      <c r="J68" s="947"/>
      <c r="K68" s="947"/>
    </row>
    <row r="69" spans="1:11" x14ac:dyDescent="0.3">
      <c r="A69" s="3" t="str">
        <f>IF(AND(J69&gt;0,K69&gt;0),"Print","Do Not Print")</f>
        <v>Do Not Print</v>
      </c>
      <c r="D69" s="479"/>
      <c r="E69" s="479"/>
      <c r="F69" s="479"/>
      <c r="G69" s="479"/>
      <c r="H69" s="479"/>
      <c r="I69" s="479"/>
      <c r="J69" s="587">
        <f>SUM(J64:J67)</f>
        <v>0</v>
      </c>
      <c r="K69" s="587">
        <f>SUM(K64:K67)</f>
        <v>0</v>
      </c>
    </row>
    <row r="70" spans="1:11" x14ac:dyDescent="0.3">
      <c r="A70" s="3" t="str">
        <f>IF(A69="Print","Print","Do Not Print")</f>
        <v>Do Not Print</v>
      </c>
      <c r="D70" s="401"/>
    </row>
    <row r="71" spans="1:11" x14ac:dyDescent="0.3">
      <c r="A71" s="3" t="str">
        <f>IF(OR(A73="Print",A79="Print",A85="Print",A96="Print"),"Print","Do Not Print")</f>
        <v>Print</v>
      </c>
      <c r="D71" s="469" t="s">
        <v>902</v>
      </c>
      <c r="E71" s="483"/>
      <c r="F71" s="483"/>
      <c r="G71" s="483"/>
      <c r="H71" s="483"/>
      <c r="I71" s="484"/>
      <c r="J71" s="484"/>
      <c r="K71" s="484"/>
    </row>
    <row r="72" spans="1:11" x14ac:dyDescent="0.3">
      <c r="A72" s="3" t="str">
        <f>IF(A71="Print","Print","Do Not Print")</f>
        <v>Print</v>
      </c>
      <c r="D72" s="401"/>
      <c r="E72" s="485"/>
      <c r="F72" s="485"/>
      <c r="G72" s="485"/>
      <c r="H72" s="485"/>
      <c r="I72" s="485"/>
      <c r="J72" s="485"/>
      <c r="K72" s="485"/>
    </row>
    <row r="73" spans="1:11" ht="29.1" customHeight="1" x14ac:dyDescent="0.3">
      <c r="A73" s="3" t="str">
        <f>IF('GROUP Non TB - Group Acc notes'!F173=1,"Print","Do Not Print")</f>
        <v>Print</v>
      </c>
      <c r="D73" s="1504" t="str">
        <f>IF('GROUP Non TB - Group Acc notes'!F173=1,'GROUP Non TB - Group Acc notes'!H173,"")</f>
        <v>The following items of income and expense have been accounted for in the Financing and Investment Income and Expenditure line in the Comprehensive Income and Expenditure Statement:</v>
      </c>
      <c r="E73" s="1504"/>
      <c r="F73" s="1504"/>
      <c r="G73" s="1504"/>
      <c r="H73" s="1504"/>
      <c r="I73" s="1504"/>
      <c r="J73" s="1504"/>
      <c r="K73" s="1504"/>
    </row>
    <row r="74" spans="1:11" x14ac:dyDescent="0.3">
      <c r="A74" s="3" t="str">
        <f>IF(A73="Print","Print","Do Not Print")</f>
        <v>Print</v>
      </c>
      <c r="D74" s="401"/>
      <c r="E74" s="485"/>
      <c r="F74" s="485"/>
      <c r="G74" s="485"/>
      <c r="H74" s="485"/>
      <c r="I74" s="485"/>
      <c r="J74" s="485"/>
      <c r="K74" s="485"/>
    </row>
    <row r="75" spans="1:11" x14ac:dyDescent="0.3">
      <c r="A75" s="3" t="str">
        <f>IF(A79="Print","Print","Do Not Print")</f>
        <v>Do Not Print</v>
      </c>
      <c r="D75" s="474" t="s">
        <v>902</v>
      </c>
      <c r="E75" s="474"/>
      <c r="F75" s="479"/>
      <c r="G75" s="479"/>
      <c r="H75" s="479"/>
      <c r="I75" s="479"/>
      <c r="J75" s="586">
        <f>J62</f>
        <v>46112</v>
      </c>
      <c r="K75" s="586">
        <f>K62</f>
        <v>45747</v>
      </c>
    </row>
    <row r="76" spans="1:11" x14ac:dyDescent="0.3">
      <c r="A76" s="3" t="str">
        <f>IF(A75="Print","Print","Do Not Print")</f>
        <v>Do Not Print</v>
      </c>
      <c r="D76" s="471"/>
      <c r="E76" s="471"/>
      <c r="F76" s="471"/>
      <c r="G76" s="471"/>
      <c r="H76" s="471"/>
      <c r="I76" s="471"/>
      <c r="J76" s="483" t="s">
        <v>450</v>
      </c>
      <c r="K76" s="483" t="s">
        <v>450</v>
      </c>
    </row>
    <row r="77" spans="1:11" x14ac:dyDescent="0.3">
      <c r="A77" s="3" t="str">
        <f>IF(AND(J77&gt;0,K77&gt;0),"Print","Do Not Print")</f>
        <v>Do Not Print</v>
      </c>
      <c r="D77" s="1785" t="s">
        <v>1284</v>
      </c>
      <c r="E77" s="1786"/>
      <c r="F77" s="1786"/>
      <c r="G77" s="1786"/>
      <c r="H77" s="1786"/>
      <c r="I77" s="1739"/>
      <c r="J77" s="588">
        <f>-'GROUP Det Group CIES'!P68</f>
        <v>0</v>
      </c>
      <c r="K77" s="588">
        <f>-'GROUP Det Group CIES'!S68</f>
        <v>0</v>
      </c>
    </row>
    <row r="78" spans="1:11" x14ac:dyDescent="0.3">
      <c r="A78" s="3" t="str">
        <f t="shared" ref="A78" si="4">IF(AND(J78&gt;0,K78&gt;0),"Print","Do Not Print")</f>
        <v>Do Not Print</v>
      </c>
      <c r="D78" s="1785" t="s">
        <v>1285</v>
      </c>
      <c r="E78" s="1786"/>
      <c r="F78" s="1786"/>
      <c r="G78" s="1786"/>
      <c r="H78" s="1786"/>
      <c r="I78" s="1739"/>
      <c r="J78" s="588">
        <f>-'GROUP Det Group CIES'!P69</f>
        <v>0</v>
      </c>
      <c r="K78" s="588">
        <f>-'GROUP Det Group CIES'!S69</f>
        <v>0</v>
      </c>
    </row>
    <row r="79" spans="1:11" x14ac:dyDescent="0.3">
      <c r="A79" s="3" t="str">
        <f>IF(AND(J79&gt;0,K79&gt;0),"Print","Do Not Print")</f>
        <v>Do Not Print</v>
      </c>
      <c r="D79" s="1808" t="s">
        <v>1286</v>
      </c>
      <c r="E79" s="1879"/>
      <c r="F79" s="1879"/>
      <c r="G79" s="1879"/>
      <c r="H79" s="1879"/>
      <c r="I79" s="1807"/>
      <c r="J79" s="540">
        <f>SUM(J77:J78)</f>
        <v>0</v>
      </c>
      <c r="K79" s="540">
        <f>SUM(K77:K78)</f>
        <v>0</v>
      </c>
    </row>
    <row r="80" spans="1:11" x14ac:dyDescent="0.3">
      <c r="A80" s="3" t="str">
        <f>IF(A79="Print","Print","Do Not Print")</f>
        <v>Do Not Print</v>
      </c>
      <c r="D80" s="1823"/>
      <c r="E80" s="1823"/>
      <c r="F80" s="1823"/>
      <c r="G80" s="1823"/>
      <c r="H80" s="1823"/>
      <c r="I80" s="1823"/>
      <c r="J80" s="1823"/>
      <c r="K80" s="1823"/>
    </row>
    <row r="81" spans="1:11" ht="54.45" customHeight="1" x14ac:dyDescent="0.3">
      <c r="A81" s="3" t="str">
        <f>IF('GROUP Non TB - Group Acc notes'!F174=1,"Print","Do Not Print")</f>
        <v>Print</v>
      </c>
      <c r="D81" s="1504" t="str">
        <f>IF('GROUP Non TB - Group Acc notes'!F174=1,'GROUP Non TB - Group Acc notes'!H174,"")</f>
        <v>There are no restrictions on the Council's ability to realise the value of inherent in its investment property or on the authority's right to the remittance of income and the proceeds of disposal.  The Council has no contractual obligations to purchase, construct or develop investment property or repairs, maintenance or enhancement.</v>
      </c>
      <c r="E81" s="1504"/>
      <c r="F81" s="1504"/>
      <c r="G81" s="1504"/>
      <c r="H81" s="1504"/>
      <c r="I81" s="1504"/>
      <c r="J81" s="1504"/>
      <c r="K81" s="1504"/>
    </row>
    <row r="82" spans="1:11" x14ac:dyDescent="0.3">
      <c r="A82" s="3" t="str">
        <f>IF(A81="Print","Print","Do Not Print")</f>
        <v>Print</v>
      </c>
      <c r="D82" s="1504"/>
      <c r="E82" s="1504"/>
      <c r="F82" s="1504"/>
      <c r="G82" s="1504"/>
      <c r="H82" s="1504"/>
      <c r="I82" s="1504"/>
      <c r="J82" s="1504"/>
      <c r="K82" s="1504"/>
    </row>
    <row r="83" spans="1:11" ht="18.600000000000001" customHeight="1" x14ac:dyDescent="0.3">
      <c r="A83" s="3" t="str">
        <f>IF('GROUP Non TB - Group Acc notes'!F175=1,"Print","Do Not Print")</f>
        <v>Print</v>
      </c>
      <c r="D83" s="1504" t="str">
        <f>IF('GROUP Non TB - Group Acc notes'!F175=1,'GROUP Non TB - Group Acc notes'!H175,"")</f>
        <v>The following table summaries the movement in the fair value of investment properties over the year:</v>
      </c>
      <c r="E83" s="1504"/>
      <c r="F83" s="1504"/>
      <c r="G83" s="1504"/>
      <c r="H83" s="1504"/>
      <c r="I83" s="1504"/>
      <c r="J83" s="1504"/>
      <c r="K83" s="1504"/>
    </row>
    <row r="84" spans="1:11" x14ac:dyDescent="0.3">
      <c r="A84" s="3" t="str">
        <f>IF(A83="Print","Print","Do Not Print")</f>
        <v>Print</v>
      </c>
      <c r="D84" s="401"/>
      <c r="E84" s="485"/>
      <c r="F84" s="485"/>
      <c r="G84" s="485"/>
      <c r="H84" s="485"/>
      <c r="I84" s="485"/>
      <c r="J84" s="485"/>
      <c r="K84" s="485"/>
    </row>
    <row r="85" spans="1:11" x14ac:dyDescent="0.3">
      <c r="A85" s="3" t="str">
        <f>IF(A94="Print","Print","Do Not Print")</f>
        <v>Do Not Print</v>
      </c>
      <c r="D85" s="474" t="s">
        <v>902</v>
      </c>
      <c r="E85" s="474"/>
      <c r="F85" s="479"/>
      <c r="G85" s="479"/>
      <c r="H85" s="479"/>
      <c r="I85" s="479"/>
      <c r="J85" s="586" t="str">
        <f>J40</f>
        <v>2025/26</v>
      </c>
      <c r="K85" s="586" t="str">
        <f>K40</f>
        <v>2024/25</v>
      </c>
    </row>
    <row r="86" spans="1:11" x14ac:dyDescent="0.3">
      <c r="A86" s="3" t="str">
        <f>IF(A85="Print","Print","Do Not Print")</f>
        <v>Do Not Print</v>
      </c>
      <c r="D86" s="471"/>
      <c r="E86" s="471"/>
      <c r="F86" s="471"/>
      <c r="G86" s="471"/>
      <c r="H86" s="471"/>
      <c r="I86" s="471"/>
      <c r="J86" s="483" t="s">
        <v>450</v>
      </c>
      <c r="K86" s="483" t="s">
        <v>450</v>
      </c>
    </row>
    <row r="87" spans="1:11" x14ac:dyDescent="0.3">
      <c r="A87" s="3" t="str">
        <f>IF(AND(J87&gt;0,K87&gt;0),"Print","Do Not Print")</f>
        <v>Do Not Print</v>
      </c>
      <c r="D87" s="1500" t="s">
        <v>2658</v>
      </c>
      <c r="E87" s="1500"/>
      <c r="F87" s="1500"/>
      <c r="G87" s="1500"/>
      <c r="H87" s="1500"/>
      <c r="I87" s="1500"/>
      <c r="J87" s="525">
        <f>'GROUP Det Group BS'!J223</f>
        <v>0</v>
      </c>
      <c r="K87" s="525">
        <f>'GROUP Det Group BS'!K223</f>
        <v>0</v>
      </c>
    </row>
    <row r="88" spans="1:11" x14ac:dyDescent="0.3">
      <c r="A88" s="3" t="str">
        <f t="shared" ref="A88:A94" si="5">IF(AND(J88&gt;0,K88&gt;0),"Print","Do Not Print")</f>
        <v>Do Not Print</v>
      </c>
      <c r="D88" s="1500" t="s">
        <v>973</v>
      </c>
      <c r="E88" s="1500"/>
      <c r="F88" s="1500"/>
      <c r="G88" s="1500"/>
      <c r="H88" s="1500"/>
      <c r="I88" s="1500"/>
      <c r="J88" s="525">
        <f>'GROUP Det Group BS'!J224</f>
        <v>0</v>
      </c>
      <c r="K88" s="525">
        <f>'GROUP Det Group BS'!K224</f>
        <v>0</v>
      </c>
    </row>
    <row r="89" spans="1:11" x14ac:dyDescent="0.3">
      <c r="A89" s="3" t="str">
        <f t="shared" si="5"/>
        <v>Do Not Print</v>
      </c>
      <c r="D89" s="1500" t="s">
        <v>977</v>
      </c>
      <c r="E89" s="1500"/>
      <c r="F89" s="1500"/>
      <c r="G89" s="1500"/>
      <c r="H89" s="1500"/>
      <c r="I89" s="1500"/>
      <c r="J89" s="525">
        <f>'GROUP Det Group BS'!J225</f>
        <v>0</v>
      </c>
      <c r="K89" s="525">
        <f>'GROUP Det Group BS'!K225</f>
        <v>0</v>
      </c>
    </row>
    <row r="90" spans="1:11" x14ac:dyDescent="0.3">
      <c r="A90" s="3" t="str">
        <f t="shared" si="5"/>
        <v>Do Not Print</v>
      </c>
      <c r="D90" s="1500" t="s">
        <v>2659</v>
      </c>
      <c r="E90" s="1500"/>
      <c r="F90" s="1500"/>
      <c r="G90" s="1500"/>
      <c r="H90" s="1500"/>
      <c r="I90" s="1500"/>
      <c r="J90" s="525">
        <f>'GROUP Det Group BS'!J226</f>
        <v>0</v>
      </c>
      <c r="K90" s="525">
        <f>'GROUP Det Group BS'!K226</f>
        <v>0</v>
      </c>
    </row>
    <row r="91" spans="1:11" x14ac:dyDescent="0.3">
      <c r="A91" s="3" t="str">
        <f t="shared" si="5"/>
        <v>Do Not Print</v>
      </c>
      <c r="D91" s="1500" t="s">
        <v>2932</v>
      </c>
      <c r="E91" s="1500"/>
      <c r="F91" s="1500"/>
      <c r="G91" s="1500"/>
      <c r="H91" s="1500"/>
      <c r="I91" s="1500"/>
      <c r="J91" s="525">
        <f>'GROUP Det Group BS'!J227</f>
        <v>0</v>
      </c>
      <c r="K91" s="525">
        <f>'GROUP Det Group BS'!K227</f>
        <v>0</v>
      </c>
    </row>
    <row r="92" spans="1:11" x14ac:dyDescent="0.3">
      <c r="A92" s="3" t="str">
        <f t="shared" si="5"/>
        <v>Do Not Print</v>
      </c>
      <c r="D92" s="1500" t="s">
        <v>2933</v>
      </c>
      <c r="E92" s="1500"/>
      <c r="F92" s="1500"/>
      <c r="G92" s="1500"/>
      <c r="H92" s="1500"/>
      <c r="I92" s="1500"/>
      <c r="J92" s="525">
        <f>'GROUP Det Group BS'!J228</f>
        <v>0</v>
      </c>
      <c r="K92" s="525">
        <f>'GROUP Det Group BS'!K228</f>
        <v>0</v>
      </c>
    </row>
    <row r="93" spans="1:11" x14ac:dyDescent="0.3">
      <c r="A93" s="3" t="str">
        <f>IF(AND(J93&gt;0,K93&gt;0),"Print","Do Not Print")</f>
        <v>Do Not Print</v>
      </c>
      <c r="D93" s="1500" t="s">
        <v>2426</v>
      </c>
      <c r="E93" s="1500"/>
      <c r="F93" s="1500"/>
      <c r="G93" s="1500"/>
      <c r="H93" s="1500"/>
      <c r="I93" s="1500"/>
      <c r="J93" s="525">
        <f>'GROUP Det Group BS'!J229</f>
        <v>0</v>
      </c>
      <c r="K93" s="525">
        <f>'GROUP Det Group BS'!K229</f>
        <v>0</v>
      </c>
    </row>
    <row r="94" spans="1:11" x14ac:dyDescent="0.3">
      <c r="A94" s="3" t="str">
        <f t="shared" si="5"/>
        <v>Do Not Print</v>
      </c>
      <c r="D94" s="1830" t="s">
        <v>2660</v>
      </c>
      <c r="E94" s="1830"/>
      <c r="F94" s="1830"/>
      <c r="G94" s="1830"/>
      <c r="H94" s="1830"/>
      <c r="I94" s="1830"/>
      <c r="J94" s="587">
        <f>SUM(J87:J93)</f>
        <v>0</v>
      </c>
      <c r="K94" s="587">
        <f>SUM(K87:K93)</f>
        <v>0</v>
      </c>
    </row>
    <row r="95" spans="1:11" x14ac:dyDescent="0.3">
      <c r="A95" s="3" t="str">
        <f>IF(A94="Print","Print","Do Not Print")</f>
        <v>Do Not Print</v>
      </c>
      <c r="D95" s="1504"/>
      <c r="E95" s="1504"/>
      <c r="F95" s="1504"/>
      <c r="G95" s="1504"/>
      <c r="H95" s="1504"/>
      <c r="I95" s="1504"/>
      <c r="J95" s="1504"/>
      <c r="K95" s="1504"/>
    </row>
    <row r="96" spans="1:11" x14ac:dyDescent="0.3">
      <c r="A96" s="3" t="str">
        <f>IF(OR(A105="Print",A114="Print",A120="Print"),"Print","Do Not Print")</f>
        <v>Print</v>
      </c>
      <c r="D96" s="1824" t="s">
        <v>2382</v>
      </c>
      <c r="E96" s="1824"/>
      <c r="F96" s="1824"/>
      <c r="G96" s="1824"/>
      <c r="H96" s="1824"/>
      <c r="I96" s="1824"/>
      <c r="J96" s="1824"/>
      <c r="K96" s="1824"/>
    </row>
    <row r="97" spans="1:11" x14ac:dyDescent="0.3">
      <c r="A97" s="3" t="str">
        <f>IF(A96="Print","Print","Do Not Print")</f>
        <v>Print</v>
      </c>
      <c r="D97" s="1504"/>
      <c r="E97" s="1504"/>
      <c r="F97" s="1504"/>
      <c r="G97" s="1504"/>
      <c r="H97" s="1504"/>
      <c r="I97" s="1504"/>
      <c r="J97" s="1504"/>
      <c r="K97" s="1504"/>
    </row>
    <row r="98" spans="1:11" ht="27.6" customHeight="1" x14ac:dyDescent="0.3">
      <c r="A98" s="3" t="str">
        <f>IF('GROUP Non TB - Group Acc notes'!F176=1,"Print","Do Not Print")</f>
        <v>Print</v>
      </c>
      <c r="D98" s="1504" t="str">
        <f>IF('GROUP Non TB - Group Acc notes'!F176=1,'GROUP Non TB - Group Acc notes'!H176,"")</f>
        <v>Details of the Council's Investment Properties and information about the fair value hierarchy as at 31 March 2026 and 31 March 2025 are as follows</v>
      </c>
      <c r="E98" s="1504"/>
      <c r="F98" s="1504"/>
      <c r="G98" s="1504"/>
      <c r="H98" s="1504"/>
      <c r="I98" s="1504"/>
      <c r="J98" s="1504"/>
      <c r="K98" s="1504"/>
    </row>
    <row r="99" spans="1:11" x14ac:dyDescent="0.3">
      <c r="A99" s="3" t="str">
        <f>IF(A98="Print","Print","Do Not Print")</f>
        <v>Print</v>
      </c>
      <c r="D99" s="1504"/>
      <c r="E99" s="1504"/>
      <c r="F99" s="1504"/>
      <c r="G99" s="1504"/>
      <c r="H99" s="1504"/>
      <c r="I99" s="1504"/>
      <c r="J99" s="1504"/>
      <c r="K99" s="1504"/>
    </row>
    <row r="100" spans="1:11" ht="50.4" x14ac:dyDescent="0.3">
      <c r="A100" s="3" t="str">
        <f>IF(A105="Print","Print","Do Not Print")</f>
        <v>Do Not Print</v>
      </c>
      <c r="D100" s="1851" t="s">
        <v>3176</v>
      </c>
      <c r="E100" s="1851"/>
      <c r="F100" s="1838" t="s">
        <v>1354</v>
      </c>
      <c r="G100" s="1838"/>
      <c r="H100" s="1141" t="s">
        <v>1355</v>
      </c>
      <c r="I100" s="1141" t="s">
        <v>1356</v>
      </c>
      <c r="J100" s="1141" t="s">
        <v>3182</v>
      </c>
      <c r="K100" s="639"/>
    </row>
    <row r="101" spans="1:11" x14ac:dyDescent="0.3">
      <c r="A101" s="3" t="str">
        <f>IF(A100="Print","Print","Do Not Print")</f>
        <v>Do Not Print</v>
      </c>
      <c r="D101" s="1852"/>
      <c r="E101" s="1852"/>
      <c r="F101" s="1853" t="s">
        <v>450</v>
      </c>
      <c r="G101" s="1853"/>
      <c r="H101" s="1142" t="s">
        <v>450</v>
      </c>
      <c r="I101" s="1142" t="s">
        <v>450</v>
      </c>
      <c r="J101" s="1142" t="s">
        <v>450</v>
      </c>
      <c r="K101" s="639"/>
    </row>
    <row r="102" spans="1:11" ht="31.5" customHeight="1" x14ac:dyDescent="0.3">
      <c r="A102" s="3" t="str">
        <f>IF(AND(F102&gt;0,H102&gt;0,I102&gt;0,J102&gt;0),"Print","Do Not Print")</f>
        <v>Do Not Print</v>
      </c>
      <c r="D102" s="1839" t="s">
        <v>2661</v>
      </c>
      <c r="E102" s="1840"/>
      <c r="F102" s="1841">
        <f>'GROUP Non TB - Group Acc notes'!H177</f>
        <v>0</v>
      </c>
      <c r="G102" s="1842"/>
      <c r="H102" s="877">
        <f>'GROUP Non TB - Group Acc notes'!H178</f>
        <v>0</v>
      </c>
      <c r="I102" s="877">
        <f>'GROUP Non TB - Group Acc notes'!H179</f>
        <v>0</v>
      </c>
      <c r="J102" s="877">
        <f>'GROUP Non TB - Group Acc notes'!H180</f>
        <v>0</v>
      </c>
      <c r="K102" s="639"/>
    </row>
    <row r="103" spans="1:11" x14ac:dyDescent="0.3">
      <c r="A103" s="3" t="str">
        <f t="shared" ref="A103:A105" si="6">IF(AND(F103&gt;0,H103&gt;0,I103&gt;0,J103&gt;0),"Print","Do Not Print")</f>
        <v>Do Not Print</v>
      </c>
      <c r="D103" s="1843" t="s">
        <v>2662</v>
      </c>
      <c r="E103" s="1844"/>
      <c r="F103" s="1841">
        <f>'GROUP Non TB - Group Acc notes'!H181</f>
        <v>0</v>
      </c>
      <c r="G103" s="1842"/>
      <c r="H103" s="877">
        <f>'GROUP Non TB - Group Acc notes'!H182</f>
        <v>0</v>
      </c>
      <c r="I103" s="877">
        <f>'GROUP Non TB - Group Acc notes'!H183</f>
        <v>0</v>
      </c>
      <c r="J103" s="877">
        <f>'GROUP Non TB - Group Acc notes'!H184</f>
        <v>0</v>
      </c>
      <c r="K103" s="639"/>
    </row>
    <row r="104" spans="1:11" x14ac:dyDescent="0.3">
      <c r="A104" s="3" t="str">
        <f t="shared" si="6"/>
        <v>Do Not Print</v>
      </c>
      <c r="D104" s="1843" t="s">
        <v>1386</v>
      </c>
      <c r="E104" s="1844"/>
      <c r="F104" s="1841">
        <f>'GROUP Non TB - Group Acc notes'!H185</f>
        <v>0</v>
      </c>
      <c r="G104" s="1842"/>
      <c r="H104" s="877">
        <f>'GROUP Non TB - Group Acc notes'!H186</f>
        <v>0</v>
      </c>
      <c r="I104" s="877">
        <f>'GROUP Non TB - Group Acc notes'!H187</f>
        <v>0</v>
      </c>
      <c r="J104" s="877">
        <f>'GROUP Non TB - Group Acc notes'!H188</f>
        <v>0</v>
      </c>
      <c r="K104" s="639"/>
    </row>
    <row r="105" spans="1:11" x14ac:dyDescent="0.3">
      <c r="A105" s="3" t="str">
        <f t="shared" si="6"/>
        <v>Do Not Print</v>
      </c>
      <c r="D105" s="1845" t="s">
        <v>74</v>
      </c>
      <c r="E105" s="1846"/>
      <c r="F105" s="1847">
        <f>SUM(G102:G104)</f>
        <v>0</v>
      </c>
      <c r="G105" s="1848"/>
      <c r="H105" s="878">
        <f>SUM(H102:H104)</f>
        <v>0</v>
      </c>
      <c r="I105" s="878">
        <f>SUM(I102:I104)</f>
        <v>0</v>
      </c>
      <c r="J105" s="878">
        <f>SUM(J102:J104)</f>
        <v>0</v>
      </c>
      <c r="K105" s="639"/>
    </row>
    <row r="106" spans="1:11" x14ac:dyDescent="0.3">
      <c r="A106" s="3" t="str">
        <f>IF(A105="Print","Print","Do Not Print")</f>
        <v>Do Not Print</v>
      </c>
      <c r="D106" s="1542"/>
      <c r="E106" s="1542"/>
      <c r="F106" s="1542"/>
      <c r="G106" s="1542"/>
      <c r="H106" s="1542"/>
      <c r="I106" s="1542"/>
      <c r="J106" s="1542"/>
      <c r="K106" s="1542"/>
    </row>
    <row r="107" spans="1:11" ht="50.4" x14ac:dyDescent="0.3">
      <c r="A107" s="3" t="str">
        <f>IF(A105="Print","Print","Do Not Print")</f>
        <v>Do Not Print</v>
      </c>
      <c r="D107" s="1851" t="s">
        <v>3030</v>
      </c>
      <c r="E107" s="1851"/>
      <c r="F107" s="1838" t="s">
        <v>1354</v>
      </c>
      <c r="G107" s="1838"/>
      <c r="H107" s="1141" t="s">
        <v>1355</v>
      </c>
      <c r="I107" s="1141" t="s">
        <v>1356</v>
      </c>
      <c r="J107" s="1141" t="s">
        <v>3035</v>
      </c>
      <c r="K107" s="639"/>
    </row>
    <row r="108" spans="1:11" x14ac:dyDescent="0.3">
      <c r="A108" s="3" t="str">
        <f>IF(A107="Print","Print","Do Not Print")</f>
        <v>Do Not Print</v>
      </c>
      <c r="D108" s="1852"/>
      <c r="E108" s="1852"/>
      <c r="F108" s="1853" t="s">
        <v>450</v>
      </c>
      <c r="G108" s="1853"/>
      <c r="H108" s="1142" t="s">
        <v>450</v>
      </c>
      <c r="I108" s="1142" t="s">
        <v>450</v>
      </c>
      <c r="J108" s="1142" t="s">
        <v>450</v>
      </c>
      <c r="K108" s="639"/>
    </row>
    <row r="109" spans="1:11" ht="33" customHeight="1" x14ac:dyDescent="0.3">
      <c r="A109" s="3" t="str">
        <f>IF(A102="Print","Print","Do Not Print")</f>
        <v>Do Not Print</v>
      </c>
      <c r="D109" s="1849" t="str">
        <f>D102</f>
        <v>Residential (market rental) properties</v>
      </c>
      <c r="E109" s="1850"/>
      <c r="F109" s="1867">
        <f>'GROUP Non TB - Group Acc notes'!I177</f>
        <v>0</v>
      </c>
      <c r="G109" s="1868"/>
      <c r="H109" s="596">
        <f>'GROUP Non TB - Group Acc notes'!I178</f>
        <v>0</v>
      </c>
      <c r="I109" s="596">
        <f>'GROUP Non TB - Group Acc notes'!I179</f>
        <v>0</v>
      </c>
      <c r="J109" s="596">
        <f>'GROUP Non TB - Group Acc notes'!I180</f>
        <v>0</v>
      </c>
      <c r="K109" s="639"/>
    </row>
    <row r="110" spans="1:11" x14ac:dyDescent="0.3">
      <c r="A110" s="3" t="str">
        <f t="shared" ref="A110:A111" si="7">IF(A103="Print","Print","Do Not Print")</f>
        <v>Do Not Print</v>
      </c>
      <c r="D110" s="1839" t="str">
        <f t="shared" ref="D110:D111" si="8">D103</f>
        <v>Office units</v>
      </c>
      <c r="E110" s="1840"/>
      <c r="F110" s="1841">
        <f>'GROUP Non TB - Group Acc notes'!I181</f>
        <v>0</v>
      </c>
      <c r="G110" s="1842"/>
      <c r="H110" s="877">
        <f>'GROUP Non TB - Group Acc notes'!I182</f>
        <v>0</v>
      </c>
      <c r="I110" s="877">
        <f>'GROUP Non TB - Group Acc notes'!I183</f>
        <v>0</v>
      </c>
      <c r="J110" s="877">
        <f>'GROUP Non TB - Group Acc notes'!I184</f>
        <v>0</v>
      </c>
      <c r="K110" s="639"/>
    </row>
    <row r="111" spans="1:11" x14ac:dyDescent="0.3">
      <c r="A111" s="3" t="str">
        <f t="shared" si="7"/>
        <v>Do Not Print</v>
      </c>
      <c r="D111" s="1839" t="str">
        <f t="shared" si="8"/>
        <v>Commercial Units</v>
      </c>
      <c r="E111" s="1840"/>
      <c r="F111" s="1841">
        <f>'GROUP Non TB - Group Acc notes'!I185</f>
        <v>0</v>
      </c>
      <c r="G111" s="1842"/>
      <c r="H111" s="877">
        <f>'GROUP Non TB - Group Acc notes'!I186</f>
        <v>0</v>
      </c>
      <c r="I111" s="877">
        <f>'GROUP Non TB - Group Acc notes'!I187</f>
        <v>0</v>
      </c>
      <c r="J111" s="877">
        <f>'GROUP Non TB - Group Acc notes'!I188</f>
        <v>0</v>
      </c>
      <c r="K111" s="639"/>
    </row>
    <row r="112" spans="1:11" x14ac:dyDescent="0.3">
      <c r="A112" s="3" t="str">
        <f>IF(A105="Print","Print","Do Not Print")</f>
        <v>Do Not Print</v>
      </c>
      <c r="D112" s="1845" t="s">
        <v>74</v>
      </c>
      <c r="E112" s="1846"/>
      <c r="F112" s="1847">
        <f>SUM(G109:G111)</f>
        <v>0</v>
      </c>
      <c r="G112" s="1848"/>
      <c r="H112" s="878">
        <f>SUM(H109:H111)</f>
        <v>0</v>
      </c>
      <c r="I112" s="878">
        <f>SUM(I109:I111)</f>
        <v>0</v>
      </c>
      <c r="J112" s="878">
        <f>SUM(J109:J111)</f>
        <v>0</v>
      </c>
      <c r="K112" s="639"/>
    </row>
    <row r="113" spans="1:11" x14ac:dyDescent="0.3">
      <c r="A113" s="3" t="str">
        <f>IF(A112="Print","Print","Do Not Print")</f>
        <v>Do Not Print</v>
      </c>
      <c r="D113" s="1504"/>
      <c r="E113" s="1504"/>
      <c r="F113" s="1504"/>
      <c r="G113" s="1504"/>
      <c r="H113" s="1504"/>
      <c r="I113" s="1504"/>
      <c r="J113" s="1504"/>
      <c r="K113" s="1504"/>
    </row>
    <row r="114" spans="1:11" x14ac:dyDescent="0.3">
      <c r="A114" s="3" t="str">
        <f>IF('GROUP Non TB - Group Acc notes'!F189=1,"Print","Do Not Print")</f>
        <v>Print</v>
      </c>
      <c r="D114" s="1824" t="str">
        <f>IF('GROUP Non TB - Group Acc notes'!F189=1,'GROUP Non TB - Group Acc notes'!E189,"")</f>
        <v>Transfers between levels of the fair value hierarchy</v>
      </c>
      <c r="E114" s="1824"/>
      <c r="F114" s="1824"/>
      <c r="G114" s="1824"/>
      <c r="H114" s="1824"/>
      <c r="I114" s="1824"/>
      <c r="J114" s="1824"/>
      <c r="K114" s="1824"/>
    </row>
    <row r="115" spans="1:11" x14ac:dyDescent="0.3">
      <c r="A115" s="3" t="str">
        <f>IF(A114="Print","Print","Do Not Print")</f>
        <v>Print</v>
      </c>
      <c r="D115" s="1504"/>
      <c r="E115" s="1504"/>
      <c r="F115" s="1504"/>
      <c r="G115" s="1504"/>
      <c r="H115" s="1504"/>
      <c r="I115" s="1504"/>
      <c r="J115" s="1504"/>
      <c r="K115" s="1504"/>
    </row>
    <row r="116" spans="1:11" x14ac:dyDescent="0.3">
      <c r="A116" s="3" t="str">
        <f>IF('GROUP Non TB - Group Acc notes'!F189=1,"Print","Do Not Print")</f>
        <v>Print</v>
      </c>
      <c r="D116" s="1504" t="str">
        <f>IF('GROUP Non TB - Group Acc notes'!F189=1,'GROUP Non TB - Group Acc notes'!H189,"")</f>
        <v>There were no transfers between Levels 1 and 2 during the year.</v>
      </c>
      <c r="E116" s="1504"/>
      <c r="F116" s="1504"/>
      <c r="G116" s="1504"/>
      <c r="H116" s="1504"/>
      <c r="I116" s="1504"/>
      <c r="J116" s="1504"/>
      <c r="K116" s="1504"/>
    </row>
    <row r="117" spans="1:11" x14ac:dyDescent="0.3">
      <c r="A117" s="3" t="str">
        <f>IF(A116="Print","Print","Do Not Print")</f>
        <v>Print</v>
      </c>
      <c r="D117" s="1504"/>
      <c r="E117" s="1504"/>
      <c r="F117" s="1504"/>
      <c r="G117" s="1504"/>
      <c r="H117" s="1504"/>
      <c r="I117" s="1504"/>
      <c r="J117" s="1504"/>
      <c r="K117" s="1504"/>
    </row>
    <row r="118" spans="1:11" ht="72.75" customHeight="1" x14ac:dyDescent="0.3">
      <c r="A118" s="3" t="str">
        <f>IF('GROUP Non TB - Group Acc notes'!F190=1,"Print","Do Not Print")</f>
        <v>Print</v>
      </c>
      <c r="D118" s="1504" t="str">
        <f>IF('GROUP Non TB - Group Acc notes'!F190=1,'GROUP Non TB - Group Acc notes'!H190,"")</f>
        <v>[The Code states that it is considered rare for local Council to transfer between levels of the fair value hierarchy. However, the Code requires that where there have been transfers between levels during the year, the Council must disclose the reasons for those transfers and the Council's policy for determining when transfers between levels are deemed to have occured.  A Council is required to disclose and consistently follow its policy for determining when transfers between levels of the fair value hierarchy are deemed to have occurred.]</v>
      </c>
      <c r="E118" s="1504"/>
      <c r="F118" s="1504"/>
      <c r="G118" s="1504"/>
      <c r="H118" s="1504"/>
      <c r="I118" s="1504"/>
      <c r="J118" s="1504"/>
      <c r="K118" s="1504"/>
    </row>
    <row r="119" spans="1:11" x14ac:dyDescent="0.3">
      <c r="A119" s="3" t="str">
        <f>IF(A118="Print","Print","Do Not Print")</f>
        <v>Print</v>
      </c>
      <c r="D119" s="1504"/>
      <c r="E119" s="1504"/>
      <c r="F119" s="1504"/>
      <c r="G119" s="1504"/>
      <c r="H119" s="1504"/>
      <c r="I119" s="1504"/>
      <c r="J119" s="1504"/>
      <c r="K119" s="1504"/>
    </row>
    <row r="120" spans="1:11" ht="13.5" customHeight="1" x14ac:dyDescent="0.3">
      <c r="A120" s="3" t="str">
        <f>IF('GROUP Non TB - Group Acc notes'!F191=1,"Print","Do Not Print")</f>
        <v>Print</v>
      </c>
      <c r="D120" s="1543" t="str">
        <f>IF('GROUP Non TB - Group Acc notes'!F191=1,'GROUP Non TB - Group Acc notes'!D191,"")</f>
        <v>Valuation techniques used to determine Level 2 and 3 Fair Values for Investment Properties</v>
      </c>
      <c r="E120" s="1543"/>
      <c r="F120" s="1543"/>
      <c r="G120" s="1543"/>
      <c r="H120" s="1543"/>
      <c r="I120" s="1543"/>
      <c r="J120" s="1543"/>
      <c r="K120" s="1543"/>
    </row>
    <row r="121" spans="1:11" x14ac:dyDescent="0.3">
      <c r="A121" s="3" t="str">
        <f>IF(A120="Print","Print","Do Not Print")</f>
        <v>Print</v>
      </c>
      <c r="D121" s="1504"/>
      <c r="E121" s="1504"/>
      <c r="F121" s="1504"/>
      <c r="G121" s="1504"/>
      <c r="H121" s="1504"/>
      <c r="I121" s="1504"/>
      <c r="J121" s="1504"/>
      <c r="K121" s="1504"/>
    </row>
    <row r="122" spans="1:11" x14ac:dyDescent="0.3">
      <c r="A122" s="3" t="str">
        <f>IF('GROUP Non TB - Group Acc notes'!F191=1,"Print","Do Not Print")</f>
        <v>Print</v>
      </c>
      <c r="D122" s="2108" t="str">
        <f>IF('GROUP Non TB - Group Acc notes'!F191=1,'GROUP Non TB - Group Acc notes'!E191,"")</f>
        <v>Significant Observable Inputs - Level 2</v>
      </c>
      <c r="E122" s="2108"/>
      <c r="F122" s="2108"/>
      <c r="G122" s="2108"/>
      <c r="H122" s="2108"/>
      <c r="I122" s="2108"/>
      <c r="J122" s="2108"/>
      <c r="K122" s="2108"/>
    </row>
    <row r="123" spans="1:11" x14ac:dyDescent="0.3">
      <c r="A123" s="3" t="str">
        <f>IF(A122="Print","Print","Do Not Print")</f>
        <v>Print</v>
      </c>
      <c r="D123" s="1504"/>
      <c r="E123" s="1504"/>
      <c r="F123" s="1504"/>
      <c r="G123" s="1504"/>
      <c r="H123" s="1504"/>
      <c r="I123" s="1504"/>
      <c r="J123" s="1504"/>
      <c r="K123" s="1504"/>
    </row>
    <row r="124" spans="1:11" ht="68.099999999999994" customHeight="1" x14ac:dyDescent="0.3">
      <c r="A124" s="3" t="str">
        <f>IF('GROUP Non TB - Group Acc notes'!F191=1,"Print","Do Not Print")</f>
        <v>Print</v>
      </c>
      <c r="D124" s="1504" t="str">
        <f>IF('GROUP Non TB - Group Acc notes'!F191=1,'GROUP Non TB - Group Acc notes'!H191,"")</f>
        <v>The fair value for the residential properties (at market rents) has been based on the market approach using current market conditions and recent sales prices and other relevant information for similar assets in the local Council area. Market conditions are such that similar properties are activiely purchased and sold and the level of observable inputs are significant, leading to the properties being categorised at Level 2 in the fair value hierarchy.</v>
      </c>
      <c r="E124" s="1504"/>
      <c r="F124" s="1504"/>
      <c r="G124" s="1504"/>
      <c r="H124" s="1504"/>
      <c r="I124" s="1504"/>
      <c r="J124" s="1504"/>
      <c r="K124" s="1504"/>
    </row>
    <row r="125" spans="1:11" x14ac:dyDescent="0.3">
      <c r="A125" s="3" t="str">
        <f>IF(A124="Print","Print","Do Not Print")</f>
        <v>Print</v>
      </c>
      <c r="D125" s="1504"/>
      <c r="E125" s="1504"/>
      <c r="F125" s="1504"/>
      <c r="G125" s="1504"/>
      <c r="H125" s="1504"/>
      <c r="I125" s="1504"/>
      <c r="J125" s="1504"/>
      <c r="K125" s="1504"/>
    </row>
    <row r="126" spans="1:11" x14ac:dyDescent="0.3">
      <c r="A126" s="3" t="str">
        <f>IF('GROUP Non TB - Group Acc notes'!F192=1,"Print","Do Not Print")</f>
        <v>Print</v>
      </c>
      <c r="D126" s="2108" t="str">
        <f>IF('GROUP Non TB - Group Acc notes'!F192=1,'GROUP Non TB - Group Acc notes'!E192,"")</f>
        <v>Significant unobservable inputs 
(Level 3)</v>
      </c>
      <c r="E126" s="2108"/>
      <c r="F126" s="2108"/>
      <c r="G126" s="2108"/>
      <c r="H126" s="2108"/>
      <c r="I126" s="2108"/>
      <c r="J126" s="2108"/>
      <c r="K126" s="2108"/>
    </row>
    <row r="127" spans="1:11" x14ac:dyDescent="0.3">
      <c r="A127" s="3" t="str">
        <f>IF(A126="Print","Print","Do Not Print")</f>
        <v>Print</v>
      </c>
      <c r="D127" s="1504"/>
      <c r="E127" s="1504"/>
      <c r="F127" s="1504"/>
      <c r="G127" s="1504"/>
      <c r="H127" s="1504"/>
      <c r="I127" s="1504"/>
      <c r="J127" s="1504"/>
      <c r="K127" s="1504"/>
    </row>
    <row r="128" spans="1:11" ht="72" customHeight="1" x14ac:dyDescent="0.3">
      <c r="A128" s="3" t="str">
        <f>IF('GROUP Non TB - Group Acc notes'!F192=1,"Print","Do Not Print")</f>
        <v>Print</v>
      </c>
      <c r="D128" s="1504" t="str">
        <f>IF('GROUP Non TB - Group Acc notes'!F192=1,'GROUP Non TB - Group Acc notes'!H192,"")</f>
        <v>The office and commercial units located in the local Council area are measured using the income approach, by means of the discounted cash flow method, where the expected cash flows from the properties are discounted (using a market-derived discount rate) to establish the present value of the net income stream.  The approach has been developed using the Council's own data requiring it to factor in assumptions such as the duration and timing of cash inflows and outflows, rent growth, occupancy levels, bad debt levels, maintenance costs, etc.</v>
      </c>
      <c r="E128" s="1504"/>
      <c r="F128" s="1504"/>
      <c r="G128" s="1504"/>
      <c r="H128" s="1504"/>
      <c r="I128" s="1504"/>
      <c r="J128" s="1504"/>
      <c r="K128" s="1504"/>
    </row>
    <row r="129" spans="1:11" x14ac:dyDescent="0.3">
      <c r="A129" s="3" t="str">
        <f>IF(A128="Print","Print","Do Not Print")</f>
        <v>Print</v>
      </c>
      <c r="D129" s="1504"/>
      <c r="E129" s="1504"/>
      <c r="F129" s="1504"/>
      <c r="G129" s="1504"/>
      <c r="H129" s="1504"/>
      <c r="I129" s="1504"/>
      <c r="J129" s="1504"/>
      <c r="K129" s="1504"/>
    </row>
    <row r="130" spans="1:11" ht="56.55" customHeight="1" x14ac:dyDescent="0.3">
      <c r="A130" s="3" t="str">
        <f>IF('GROUP Non TB - Group Acc notes'!F193=1,"Print","Do Not Print")</f>
        <v>Print</v>
      </c>
      <c r="D130" s="1504" t="str">
        <f>IF('GROUP Non TB - Group Acc notes'!F193=1,'GROUP Non TB - Group Acc notes'!H193,"")</f>
        <v>The Council's office and commercial units are therefore categorised as Level 3 in the fair value hierarchy as the measurement technique uses significant unobservable inputs to determine the fair value measurements (and there is no reasonably available information that indicates that market participants would use different assumptions).</v>
      </c>
      <c r="E130" s="1504"/>
      <c r="F130" s="1504"/>
      <c r="G130" s="1504"/>
      <c r="H130" s="1504"/>
      <c r="I130" s="1504"/>
      <c r="J130" s="1504"/>
      <c r="K130" s="1504"/>
    </row>
    <row r="131" spans="1:11" x14ac:dyDescent="0.3">
      <c r="A131" s="3" t="str">
        <f>IF(A130="Print","Print","Do Not Print")</f>
        <v>Print</v>
      </c>
      <c r="D131" s="1504"/>
      <c r="E131" s="1504"/>
      <c r="F131" s="1504"/>
      <c r="G131" s="1504"/>
      <c r="H131" s="1504"/>
      <c r="I131" s="1504"/>
      <c r="J131" s="1504"/>
      <c r="K131" s="1504"/>
    </row>
    <row r="132" spans="1:11" x14ac:dyDescent="0.3">
      <c r="A132" s="3" t="str">
        <f>IF('GROUP Non TB - Group Acc notes'!F194=1,"Print","Do Not Print")</f>
        <v>Print</v>
      </c>
      <c r="D132" s="2108" t="str">
        <f>IF('GROUP Non TB - Group Acc notes'!F194=1,'GROUP Non TB - Group Acc notes'!E194,"")</f>
        <v>Highest and best use of Investment Properties</v>
      </c>
      <c r="E132" s="2108"/>
      <c r="F132" s="2108"/>
      <c r="G132" s="2108"/>
      <c r="H132" s="2108"/>
      <c r="I132" s="2108"/>
      <c r="J132" s="2108"/>
      <c r="K132" s="2108"/>
    </row>
    <row r="133" spans="1:11" x14ac:dyDescent="0.3">
      <c r="A133" s="3" t="str">
        <f>IF(A132="Print","Print","Do Not Print")</f>
        <v>Print</v>
      </c>
      <c r="D133" s="1504"/>
      <c r="E133" s="1504"/>
      <c r="F133" s="1504"/>
      <c r="G133" s="1504"/>
      <c r="H133" s="1504"/>
      <c r="I133" s="1504"/>
      <c r="J133" s="1504"/>
      <c r="K133" s="1504"/>
    </row>
    <row r="134" spans="1:11" ht="27.6" customHeight="1" x14ac:dyDescent="0.3">
      <c r="A134" s="3" t="str">
        <f>IF('GROUP Non TB - Group Acc notes'!F194=1,"Print","Do Not Print")</f>
        <v>Print</v>
      </c>
      <c r="D134" s="1504" t="str">
        <f>IF('GROUP Non TB - Group Acc notes'!F194=1,'GROUP Non TB - Group Acc notes'!H194,"")</f>
        <v xml:space="preserve">In estimating the fair value of the Council's Investment Properties, the highest and best use of the properties is their current use. </v>
      </c>
      <c r="E134" s="1504"/>
      <c r="F134" s="1504"/>
      <c r="G134" s="1504"/>
      <c r="H134" s="1504"/>
      <c r="I134" s="1504"/>
      <c r="J134" s="1504"/>
      <c r="K134" s="1504"/>
    </row>
    <row r="135" spans="1:11" x14ac:dyDescent="0.3">
      <c r="A135" s="3" t="str">
        <f>IF(A134="Print","Print","Do Not Print")</f>
        <v>Print</v>
      </c>
      <c r="D135" s="1504"/>
      <c r="E135" s="1504"/>
      <c r="F135" s="1504"/>
      <c r="G135" s="1504"/>
      <c r="H135" s="1504"/>
      <c r="I135" s="1504"/>
      <c r="J135" s="1504"/>
      <c r="K135" s="1504"/>
    </row>
    <row r="136" spans="1:11" ht="42" customHeight="1" x14ac:dyDescent="0.3">
      <c r="A136" s="3" t="str">
        <f>IF('GROUP Non TB - Group Acc notes'!F195=1,"Print","Do Not Print")</f>
        <v>Print</v>
      </c>
      <c r="D136" s="1504" t="str">
        <f>IF('GROUP Non TB - Group Acc notes'!F195=1,'GROUP Non TB - Group Acc notes'!H195,"")</f>
        <v>[Note that if the highest and best use of a non-financial asset differs from its current use, the authority is required to disclose that fact and why the non-financial asset is being used in a manner that differs from its highest and best use.</v>
      </c>
      <c r="E136" s="1504"/>
      <c r="F136" s="1504"/>
      <c r="G136" s="1504"/>
      <c r="H136" s="1504"/>
      <c r="I136" s="1504"/>
      <c r="J136" s="1504"/>
      <c r="K136" s="1504"/>
    </row>
    <row r="137" spans="1:11" x14ac:dyDescent="0.3">
      <c r="A137" s="3" t="str">
        <f>IF(A136="Print","Print","Do Not Print")</f>
        <v>Print</v>
      </c>
      <c r="D137" s="1504"/>
      <c r="E137" s="1504"/>
      <c r="F137" s="1504"/>
      <c r="G137" s="1504"/>
      <c r="H137" s="1504"/>
      <c r="I137" s="1504"/>
      <c r="J137" s="1504"/>
      <c r="K137" s="1504"/>
    </row>
    <row r="138" spans="1:11" x14ac:dyDescent="0.3">
      <c r="A138" s="3" t="str">
        <f>IF('GROUP Non TB - Group Acc notes'!F196=1,"Print","Do Not Print")</f>
        <v>Print</v>
      </c>
      <c r="D138" s="2108" t="str">
        <f>IF('GROUP Non TB - Group Acc notes'!F196=1,'GROUP Non TB - Group Acc notes'!E196,"")</f>
        <v>Valuation Techniques</v>
      </c>
      <c r="E138" s="2108"/>
      <c r="F138" s="2108"/>
      <c r="G138" s="2108"/>
      <c r="H138" s="2108"/>
      <c r="I138" s="2108"/>
      <c r="J138" s="2108"/>
      <c r="K138" s="2108"/>
    </row>
    <row r="139" spans="1:11" ht="13.5" customHeight="1" x14ac:dyDescent="0.3">
      <c r="A139" s="3" t="str">
        <f>IF(A138="Print","Print","Do Not Print")</f>
        <v>Print</v>
      </c>
      <c r="D139" s="1824"/>
      <c r="E139" s="1824"/>
      <c r="F139" s="1824"/>
      <c r="G139" s="1824"/>
      <c r="H139" s="1824"/>
      <c r="I139" s="1824"/>
      <c r="J139" s="1824"/>
      <c r="K139" s="1824"/>
    </row>
    <row r="140" spans="1:11" ht="15.75" customHeight="1" x14ac:dyDescent="0.3">
      <c r="A140" s="3" t="str">
        <f>IF('GROUP Non TB - Group Acc notes'!F196=1,"Print","Do Not Print")</f>
        <v>Print</v>
      </c>
      <c r="D140" s="1504" t="str">
        <f>IF('GROUP Non TB - Group Acc notes'!F196=1,'GROUP Non TB - Group Acc notes'!H196,"")</f>
        <v>There has been no change in the valuation techniques used during the year for Investment Properties.</v>
      </c>
      <c r="E140" s="1504"/>
      <c r="F140" s="1504"/>
      <c r="G140" s="1504"/>
      <c r="H140" s="1504"/>
      <c r="I140" s="1504"/>
      <c r="J140" s="1504"/>
      <c r="K140" s="1504"/>
    </row>
    <row r="141" spans="1:11" x14ac:dyDescent="0.3">
      <c r="A141" s="3" t="str">
        <f>IF(A140="Print","Print","Do Not Print")</f>
        <v>Print</v>
      </c>
      <c r="D141" s="1504"/>
      <c r="E141" s="1504"/>
      <c r="F141" s="1504"/>
      <c r="G141" s="1504"/>
      <c r="H141" s="1504"/>
      <c r="I141" s="1504"/>
      <c r="J141" s="1504"/>
      <c r="K141" s="1504"/>
    </row>
    <row r="142" spans="1:11" ht="30" customHeight="1" x14ac:dyDescent="0.3">
      <c r="A142" s="3" t="str">
        <f>IF('GROUP Non TB - Group Acc notes'!F197=1,"Print","Do Not Print")</f>
        <v>Print</v>
      </c>
      <c r="D142" s="1824" t="str">
        <f>IF('GROUP Non TB - Group Acc notes'!F197=1,'GROUP Non TB - Group Acc notes'!E197,"")</f>
        <v>Reconciliation of Fair Value Measurements (using Significant Unobservable Inputs) Categorised within Level 3 of the Fair Value Hierarchy</v>
      </c>
      <c r="E142" s="1824"/>
      <c r="F142" s="1824"/>
      <c r="G142" s="1824"/>
      <c r="H142" s="1824"/>
      <c r="I142" s="1824"/>
      <c r="J142" s="1824"/>
      <c r="K142" s="1824"/>
    </row>
    <row r="143" spans="1:11" x14ac:dyDescent="0.3">
      <c r="A143" s="3" t="str">
        <f>IF(A142="Print","Print","Do Not Print")</f>
        <v>Print</v>
      </c>
      <c r="D143" s="1504"/>
      <c r="E143" s="1504"/>
      <c r="F143" s="1504"/>
      <c r="G143" s="1504"/>
      <c r="H143" s="1504"/>
      <c r="I143" s="1504"/>
      <c r="J143" s="1504"/>
      <c r="K143" s="1504"/>
    </row>
    <row r="144" spans="1:11" ht="30" customHeight="1" x14ac:dyDescent="0.3">
      <c r="A144" s="3" t="str">
        <f>IF('GROUP Non TB - Group Acc notes'!F197=1,"Print","Do Not Print")</f>
        <v>Print</v>
      </c>
      <c r="D144" s="1504" t="str">
        <f>IF('GROUP Non TB - Group Acc notes'!F197=1,'GROUP Non TB - Group Acc notes'!H197,"")</f>
        <v>Councils should  disclose information for each material impairment loss recognised or reversed during the period in accordance with paragraph 4.7.4.2.(2) of the Code.</v>
      </c>
      <c r="E144" s="1504"/>
      <c r="F144" s="1504"/>
      <c r="G144" s="1504"/>
      <c r="H144" s="1504"/>
      <c r="I144" s="1504"/>
      <c r="J144" s="1504"/>
      <c r="K144" s="1504"/>
    </row>
    <row r="145" spans="1:11" x14ac:dyDescent="0.3">
      <c r="A145" s="3" t="str">
        <f>IF(A144="Print","Print","Do Not Print")</f>
        <v>Print</v>
      </c>
      <c r="D145" s="402"/>
    </row>
    <row r="146" spans="1:11" x14ac:dyDescent="0.3">
      <c r="A146" s="3" t="str">
        <f>IF(A154="Print","Print","Do Not Print")</f>
        <v>Do Not Print</v>
      </c>
      <c r="D146" s="1832" t="s">
        <v>2671</v>
      </c>
      <c r="E146" s="1833"/>
      <c r="F146" s="1833"/>
      <c r="G146" s="1833"/>
      <c r="H146" s="1834"/>
      <c r="I146" s="1150">
        <f>J62</f>
        <v>46112</v>
      </c>
      <c r="J146" s="1150">
        <f>K62</f>
        <v>45747</v>
      </c>
    </row>
    <row r="147" spans="1:11" x14ac:dyDescent="0.3">
      <c r="A147" s="3" t="str">
        <f>IF(A146="Print","Print","Do Not Print")</f>
        <v>Do Not Print</v>
      </c>
      <c r="D147" s="1835"/>
      <c r="E147" s="1836"/>
      <c r="F147" s="1836"/>
      <c r="G147" s="1836"/>
      <c r="H147" s="1837"/>
      <c r="I147" s="1076" t="s">
        <v>450</v>
      </c>
      <c r="J147" s="1076" t="s">
        <v>450</v>
      </c>
    </row>
    <row r="148" spans="1:11" x14ac:dyDescent="0.3">
      <c r="A148" s="3" t="str">
        <f>IF(AND(I148&gt;0,J148&gt;0),"Print","Do Not Print")</f>
        <v>Do Not Print</v>
      </c>
      <c r="D148" s="1825" t="s">
        <v>402</v>
      </c>
      <c r="E148" s="1825"/>
      <c r="F148" s="1825"/>
      <c r="G148" s="1825"/>
      <c r="H148" s="1825"/>
      <c r="I148" s="1154">
        <f>'GROUP Non TB - Group Acc notes'!H198</f>
        <v>0</v>
      </c>
      <c r="J148" s="1154">
        <f>'GROUP Non TB - Group Acc notes'!I198</f>
        <v>0</v>
      </c>
    </row>
    <row r="149" spans="1:11" x14ac:dyDescent="0.3">
      <c r="A149" s="3" t="str">
        <f t="shared" ref="A149:A154" si="9">IF(AND(I149&gt;0,J149&gt;0),"Print","Do Not Print")</f>
        <v>Do Not Print</v>
      </c>
      <c r="D149" s="1818" t="s">
        <v>1365</v>
      </c>
      <c r="E149" s="1818"/>
      <c r="F149" s="1818"/>
      <c r="G149" s="1818"/>
      <c r="H149" s="1818"/>
      <c r="I149" s="1154">
        <f>'GROUP Non TB - Group Acc notes'!H199</f>
        <v>0</v>
      </c>
      <c r="J149" s="1154">
        <f>'GROUP Non TB - Group Acc notes'!I199</f>
        <v>0</v>
      </c>
    </row>
    <row r="150" spans="1:11" x14ac:dyDescent="0.3">
      <c r="A150" s="3" t="str">
        <f t="shared" si="9"/>
        <v>Do Not Print</v>
      </c>
      <c r="D150" s="1818" t="s">
        <v>1381</v>
      </c>
      <c r="E150" s="1818"/>
      <c r="F150" s="1818"/>
      <c r="G150" s="1818"/>
      <c r="H150" s="1818"/>
      <c r="I150" s="1154">
        <f>'GROUP Non TB - Group Acc notes'!H200</f>
        <v>0</v>
      </c>
      <c r="J150" s="1154">
        <f>'GROUP Non TB - Group Acc notes'!I200</f>
        <v>0</v>
      </c>
    </row>
    <row r="151" spans="1:11" ht="44.25" customHeight="1" x14ac:dyDescent="0.3">
      <c r="A151" s="3" t="str">
        <f t="shared" si="9"/>
        <v>Do Not Print</v>
      </c>
      <c r="D151" s="1826" t="s">
        <v>1367</v>
      </c>
      <c r="E151" s="1826"/>
      <c r="F151" s="1826"/>
      <c r="G151" s="1826"/>
      <c r="H151" s="1826"/>
      <c r="I151" s="1154">
        <f>'GROUP Non TB - Group Acc notes'!H201</f>
        <v>0</v>
      </c>
      <c r="J151" s="1154">
        <f>'GROUP Non TB - Group Acc notes'!I201</f>
        <v>0</v>
      </c>
    </row>
    <row r="152" spans="1:11" x14ac:dyDescent="0.3">
      <c r="A152" s="3" t="str">
        <f t="shared" si="9"/>
        <v>Do Not Print</v>
      </c>
      <c r="D152" s="1818" t="s">
        <v>973</v>
      </c>
      <c r="E152" s="1818"/>
      <c r="F152" s="1818"/>
      <c r="G152" s="1818"/>
      <c r="H152" s="1818"/>
      <c r="I152" s="1154">
        <f>'GROUP Non TB - Group Acc notes'!H202</f>
        <v>0</v>
      </c>
      <c r="J152" s="1154">
        <f>'GROUP Non TB - Group Acc notes'!I202</f>
        <v>0</v>
      </c>
    </row>
    <row r="153" spans="1:11" x14ac:dyDescent="0.3">
      <c r="A153" s="3" t="str">
        <f t="shared" si="9"/>
        <v>Do Not Print</v>
      </c>
      <c r="D153" s="1827" t="s">
        <v>977</v>
      </c>
      <c r="E153" s="1827"/>
      <c r="F153" s="1827"/>
      <c r="G153" s="1827"/>
      <c r="H153" s="1827"/>
      <c r="I153" s="1154">
        <f>'GROUP Non TB - Group Acc notes'!H203</f>
        <v>0</v>
      </c>
      <c r="J153" s="1154">
        <f>'GROUP Non TB - Group Acc notes'!I203</f>
        <v>0</v>
      </c>
    </row>
    <row r="154" spans="1:11" x14ac:dyDescent="0.3">
      <c r="A154" s="3" t="str">
        <f t="shared" si="9"/>
        <v>Do Not Print</v>
      </c>
      <c r="D154" s="1831" t="s">
        <v>206</v>
      </c>
      <c r="E154" s="1831"/>
      <c r="F154" s="1831"/>
      <c r="G154" s="1831"/>
      <c r="H154" s="1831"/>
      <c r="I154" s="1155">
        <f>SUM(I148:I153)</f>
        <v>0</v>
      </c>
      <c r="J154" s="1155">
        <f>SUM(J148:J153)</f>
        <v>0</v>
      </c>
    </row>
    <row r="155" spans="1:11" x14ac:dyDescent="0.3">
      <c r="A155" s="3" t="str">
        <f>IF(A154="Print","Print","Do Not Print")</f>
        <v>Do Not Print</v>
      </c>
      <c r="D155" s="1504"/>
      <c r="E155" s="1504"/>
      <c r="F155" s="1504"/>
      <c r="G155" s="1504"/>
      <c r="H155" s="1504"/>
      <c r="I155" s="1504"/>
      <c r="J155" s="1504"/>
      <c r="K155" s="1504"/>
    </row>
    <row r="156" spans="1:11" ht="32.1" customHeight="1" x14ac:dyDescent="0.3">
      <c r="A156" s="3" t="str">
        <f>IF('GROUP Non TB - Group Acc notes'!F204=1,"Print","Do Not Print")</f>
        <v>Print</v>
      </c>
      <c r="D156" s="1504" t="str">
        <f>IF('GROUP Non TB - Group Acc notes'!F204=1,'GROUP Non TB - Group Acc notes'!H204,"")</f>
        <v>Gains or losses arising from changes in the fair value of the investment property are recognised in Surplus or Deficit on the Provision of Services – Financing and Investment Income and Expenditure line.</v>
      </c>
      <c r="E156" s="1504"/>
      <c r="F156" s="1504"/>
      <c r="G156" s="1504"/>
      <c r="H156" s="1504"/>
      <c r="I156" s="1504"/>
      <c r="J156" s="1504"/>
      <c r="K156" s="1504"/>
    </row>
    <row r="157" spans="1:11" x14ac:dyDescent="0.3">
      <c r="A157" s="3" t="str">
        <f>IF(A156="Print","Print","Do Not Print")</f>
        <v>Print</v>
      </c>
      <c r="D157" s="1504"/>
      <c r="E157" s="1504"/>
      <c r="F157" s="1504"/>
      <c r="G157" s="1504"/>
      <c r="H157" s="1504"/>
      <c r="I157" s="1504"/>
      <c r="J157" s="1504"/>
      <c r="K157" s="1504"/>
    </row>
    <row r="158" spans="1:11" ht="64.5" customHeight="1" x14ac:dyDescent="0.3">
      <c r="A158" s="3" t="str">
        <f>IF('GROUP Non TB - Group Acc notes'!F205=1,"Print","Do Not Print")</f>
        <v>Print</v>
      </c>
      <c r="D158" s="1504" t="str">
        <f>IF('GROUP Non TB - Group Acc notes'!F205=1,'GROUP Non TB - Group Acc notes'!H205,"")</f>
        <v>[Where applicable, the Council must disclose the amount of the total gains or losses for the period included in the Surplus or Deficit on the Provision of Services that is attributable to a change in unrealised gains or losses relating to those assets and liabilities held at the end of the reporting period, and the line item(s) in the Surplus or Deficit on the Provision of Services in which those unrealised gains or losses are recognised]</v>
      </c>
      <c r="E158" s="1504"/>
      <c r="F158" s="1504"/>
      <c r="G158" s="1504"/>
      <c r="H158" s="1504"/>
      <c r="I158" s="1504"/>
      <c r="J158" s="1504"/>
      <c r="K158" s="1504"/>
    </row>
    <row r="159" spans="1:11" x14ac:dyDescent="0.3">
      <c r="A159" s="3" t="str">
        <f>IF(A158="Print","Print","Do Not Print")</f>
        <v>Print</v>
      </c>
      <c r="D159" s="1504"/>
      <c r="E159" s="1504"/>
      <c r="F159" s="1504"/>
      <c r="G159" s="1504"/>
      <c r="H159" s="1504"/>
      <c r="I159" s="1504"/>
      <c r="J159" s="1504"/>
      <c r="K159" s="1504"/>
    </row>
    <row r="160" spans="1:11" ht="26.1" customHeight="1" x14ac:dyDescent="0.3">
      <c r="A160" s="3" t="str">
        <f>IF('GROUP Non TB - Group Acc notes'!F206=1,"Print","Do Not Print")</f>
        <v>Print</v>
      </c>
      <c r="D160" s="1824" t="str">
        <f>IF('GROUP Non TB - Group Acc notes'!F206=1,'GROUP Non TB - Group Acc notes'!C206,"")</f>
        <v>Quantitative information about fair value measurement of investment properties using significant unobservable inputs - level 3</v>
      </c>
      <c r="E160" s="1824"/>
      <c r="F160" s="1824"/>
      <c r="G160" s="1824"/>
      <c r="H160" s="1824"/>
      <c r="I160" s="1824"/>
      <c r="J160" s="1824"/>
      <c r="K160" s="1824"/>
    </row>
    <row r="161" spans="1:15" x14ac:dyDescent="0.3">
      <c r="A161" s="3" t="str">
        <f>IF(A160="Print","Print","Do Not Print")</f>
        <v>Print</v>
      </c>
      <c r="D161" s="402"/>
    </row>
    <row r="162" spans="1:15" x14ac:dyDescent="0.3">
      <c r="A162" s="3" t="str">
        <f>IF(OR(A165="Print",A166="Print"),"Print","Do Not Print")</f>
        <v>Print</v>
      </c>
      <c r="D162" s="1819" t="s">
        <v>1382</v>
      </c>
      <c r="E162" s="1819"/>
      <c r="F162" s="1156" t="s">
        <v>2670</v>
      </c>
      <c r="G162" s="1819" t="s">
        <v>1370</v>
      </c>
      <c r="H162" s="1819"/>
      <c r="I162" s="1819" t="s">
        <v>1371</v>
      </c>
      <c r="J162" s="1819" t="s">
        <v>1372</v>
      </c>
      <c r="K162" s="1819" t="s">
        <v>1373</v>
      </c>
    </row>
    <row r="163" spans="1:15" x14ac:dyDescent="0.3">
      <c r="A163" s="3" t="str">
        <f>IF(OR(A165="Print",A166="Print"),"Print","Do Not Print")</f>
        <v>Print</v>
      </c>
      <c r="D163" s="1819"/>
      <c r="E163" s="1819"/>
      <c r="F163" s="1157">
        <f>J62</f>
        <v>46112</v>
      </c>
      <c r="G163" s="1819"/>
      <c r="H163" s="1819"/>
      <c r="I163" s="1819"/>
      <c r="J163" s="1819"/>
      <c r="K163" s="1819"/>
    </row>
    <row r="164" spans="1:15" x14ac:dyDescent="0.3">
      <c r="A164" s="3" t="str">
        <f>IF(A162="Print","Print","Do Not Print")</f>
        <v>Print</v>
      </c>
      <c r="D164" s="1819"/>
      <c r="E164" s="1819"/>
      <c r="F164" s="1158" t="s">
        <v>450</v>
      </c>
      <c r="G164" s="1819"/>
      <c r="H164" s="1819"/>
      <c r="I164" s="1819"/>
      <c r="J164" s="1819"/>
      <c r="K164" s="1819"/>
    </row>
    <row r="165" spans="1:15" ht="158.4" x14ac:dyDescent="0.3">
      <c r="A165" s="3" t="str">
        <f>IF(OR('GROUP Non TB - Group Acc notes'!F206=1,'GROUP Non TB - Group Acc notes'!F207=1, 'GROUP Non TB - Group Acc notes'!F208=1,'GROUP Non TB - Group Acc notes'!F209=1, 'GROUP Non TB - Group Acc notes'!F210=1),"Print","Do Not Print")</f>
        <v>Print</v>
      </c>
      <c r="D165" s="1829" t="str">
        <f>'GROUP Non TB - Group Acc notes'!D206</f>
        <v>Office Units</v>
      </c>
      <c r="E165" s="1829"/>
      <c r="F165" s="1144">
        <f>'GROUP Non TB - Group Acc notes'!H206</f>
        <v>0</v>
      </c>
      <c r="G165" s="1822" t="str">
        <f>'GROUP Non TB - Group Acc notes'!H207</f>
        <v>Income approach using a discounted cash flow [DCF] technique</v>
      </c>
      <c r="H165" s="1822"/>
      <c r="I165" s="1145" t="str">
        <f>'GROUP Non TB - Group Acc notes'!H208</f>
        <v>Rent growth,
Vacancy levels,
Discount rate</v>
      </c>
      <c r="J165" s="1146" t="str">
        <f>'GROUP Non TB - Group Acc notes'!H209</f>
        <v>x% - x% (x%)
x% - x% (x%)
x% - x% (x%)</v>
      </c>
      <c r="K165" s="1146" t="str">
        <f>'GROUP Non TB - Group Acc notes'!H210</f>
        <v>Significant changes in rent growth; vacancy levels or discount rate will result in a significantly lower or higher fair value.</v>
      </c>
    </row>
    <row r="166" spans="1:15" ht="162" customHeight="1" x14ac:dyDescent="0.3">
      <c r="A166" s="3" t="str">
        <f>IF(OR('GROUP Non TB - Group Acc notes'!F211=1,'GROUP Non TB - Group Acc notes'!F212=1, 'GROUP Non TB - Group Acc notes'!F213=1,'GROUP Non TB - Group Acc notes'!F214=1, 'GROUP Non TB - Group Acc notes'!F215=1),"Print","Do Not Print")</f>
        <v>Print</v>
      </c>
      <c r="D166" s="1829" t="str">
        <f>'GROUP Non TB - Group Acc notes'!D211</f>
        <v>Commercial Units</v>
      </c>
      <c r="E166" s="1829"/>
      <c r="F166" s="1144">
        <f>'GROUP Non TB - Group Acc notes'!H211</f>
        <v>0</v>
      </c>
      <c r="G166" s="1822" t="str">
        <f>'GROUP Non TB - Group Acc notes'!H212</f>
        <v>Income approach using a discounted cash flow [DCF] technique</v>
      </c>
      <c r="H166" s="1822"/>
      <c r="I166" s="1146" t="str">
        <f>'GROUP Non TB - Group Acc notes'!H213</f>
        <v>Rent growth,
Vacancy levels,
Discount rate</v>
      </c>
      <c r="J166" s="1146" t="str">
        <f>'GROUP Non TB - Group Acc notes'!H214</f>
        <v>x% - x% (x%)
x% - x% (x%)
x% - x% (x%)</v>
      </c>
      <c r="K166" s="1146" t="str">
        <f>'GROUP Non TB - Group Acc notes'!H215</f>
        <v>Significant changes in rent growth; vacancy levels or discount rate will result in a significantly lower or higher fair value.</v>
      </c>
    </row>
    <row r="167" spans="1:15" x14ac:dyDescent="0.3">
      <c r="A167" s="3" t="str">
        <f>IF(A166="Print","Print","Do Not Print")</f>
        <v>Print</v>
      </c>
      <c r="D167" s="1823"/>
      <c r="E167" s="1823"/>
      <c r="F167" s="1823"/>
      <c r="G167" s="1823"/>
      <c r="H167" s="1823"/>
      <c r="I167" s="1823"/>
      <c r="J167" s="1823"/>
      <c r="K167" s="1823"/>
    </row>
    <row r="168" spans="1:15" ht="12.75" customHeight="1" x14ac:dyDescent="0.3">
      <c r="A168" s="3" t="str">
        <f>IF('GROUP Non TB - Group Acc notes'!F216=1,"Print","Do Not Print")</f>
        <v>Print</v>
      </c>
      <c r="D168" s="1824" t="str">
        <f>IF('GROUP Non TB - Group Acc notes'!F216=1,'GROUP Non TB - Group Acc notes'!E216,"")</f>
        <v>Valuation process for Investment Properties</v>
      </c>
      <c r="E168" s="1824"/>
      <c r="F168" s="1824"/>
      <c r="G168" s="1824"/>
      <c r="H168" s="1824"/>
      <c r="I168" s="1824"/>
      <c r="J168" s="1824"/>
      <c r="K168" s="1824"/>
    </row>
    <row r="169" spans="1:15" x14ac:dyDescent="0.3">
      <c r="A169" s="3" t="str">
        <f>IF(A168="Print","Print","Do Not Print")</f>
        <v>Print</v>
      </c>
      <c r="D169" s="1504"/>
      <c r="E169" s="1504"/>
      <c r="F169" s="1504"/>
      <c r="G169" s="1504"/>
      <c r="H169" s="1504"/>
      <c r="I169" s="1504"/>
      <c r="J169" s="1504"/>
      <c r="K169" s="1504"/>
    </row>
    <row r="170" spans="1:15" ht="39.75" customHeight="1" x14ac:dyDescent="0.3">
      <c r="A170" s="3" t="str">
        <f>IF('GROUP Non TB - Group Acc notes'!F216=1,"Print","Do Not Print")</f>
        <v>Print</v>
      </c>
      <c r="D170" s="1504" t="str">
        <f>IF('GROUP Non TB - Group Acc notes'!F216=1,'GROUP Non TB - Group Acc notes'!H216,"")</f>
        <v>The fair value of the Council's investment property is measured annually at each reporting date.  All valuations are carried out internally, in accordance with the methodologies and bases for estimate set out in the professional standards of the Royal Institution of Chartered Surveyors.</v>
      </c>
      <c r="E170" s="1504"/>
      <c r="F170" s="1504"/>
      <c r="G170" s="1504"/>
      <c r="H170" s="1504"/>
      <c r="I170" s="1504"/>
      <c r="J170" s="1504"/>
      <c r="K170" s="1504"/>
    </row>
    <row r="171" spans="1:15" x14ac:dyDescent="0.3">
      <c r="A171" s="3" t="str">
        <f>IF(A170="Print","Print","Do Not Print")</f>
        <v>Print</v>
      </c>
      <c r="D171" s="1504"/>
      <c r="E171" s="1504"/>
      <c r="F171" s="1504"/>
      <c r="G171" s="1504"/>
      <c r="H171" s="1504"/>
      <c r="I171" s="1504"/>
      <c r="J171" s="1504"/>
      <c r="K171" s="1504"/>
    </row>
    <row r="172" spans="1:15" ht="31.05" customHeight="1" x14ac:dyDescent="0.3">
      <c r="A172" s="3" t="str">
        <f>IF('GROUP Non TB - Group Acc notes'!F217=1,"Print","Do Not Print")</f>
        <v>Print</v>
      </c>
      <c r="D172" s="1504" t="str">
        <f>IF('GROUP Non TB - Group Acc notes'!F217=1,'GROUP Non TB - Group Acc notes'!H217,"")</f>
        <v>The Council's valuation experts work closely with finance officers reporting directly to the Chief Financial Officer on a regular basis regarding all valuation matters.</v>
      </c>
      <c r="E172" s="1504"/>
      <c r="F172" s="1504"/>
      <c r="G172" s="1504"/>
      <c r="H172" s="1504"/>
      <c r="I172" s="1504"/>
      <c r="J172" s="1504"/>
      <c r="K172" s="1504"/>
    </row>
    <row r="173" spans="1:15" x14ac:dyDescent="0.3">
      <c r="A173" s="3" t="s">
        <v>448</v>
      </c>
      <c r="D173" s="1501"/>
      <c r="E173" s="1501"/>
      <c r="F173" s="1501"/>
      <c r="G173" s="1501"/>
      <c r="H173" s="1501"/>
      <c r="I173" s="1501"/>
      <c r="J173" s="1501"/>
      <c r="K173" s="1501"/>
      <c r="M173" s="206">
        <f>'Standing Data'!D44</f>
        <v>46112</v>
      </c>
      <c r="N173" s="206">
        <f>'Standing Data'!D72</f>
        <v>45747</v>
      </c>
    </row>
    <row r="174" spans="1:15" x14ac:dyDescent="0.3">
      <c r="A174" s="3" t="s">
        <v>448</v>
      </c>
      <c r="B174" s="585" t="str">
        <f>Checklist!E194</f>
        <v>G11</v>
      </c>
      <c r="D174" s="468" t="s">
        <v>420</v>
      </c>
      <c r="L174" s="6"/>
    </row>
    <row r="175" spans="1:15" ht="14.4" x14ac:dyDescent="0.3">
      <c r="A175" s="3" t="str">
        <f>IF(OR(A177="Print",A179="Print",A181="Print"),"Print","Do Not Print")</f>
        <v>Print</v>
      </c>
      <c r="B175" s="401"/>
      <c r="C175" s="585" t="str">
        <f>Checklist!E195</f>
        <v>a</v>
      </c>
      <c r="D175" s="468" t="s">
        <v>421</v>
      </c>
      <c r="L175" s="104" t="s">
        <v>968</v>
      </c>
      <c r="M175" s="204">
        <f>(J191+J205+J216+J227+J237+J261)-'GROUP Prime'!G142</f>
        <v>0</v>
      </c>
      <c r="N175" s="204">
        <f>(K191+K205+K216+K227+K237+K261)-'GROUP Prime'!H142</f>
        <v>0</v>
      </c>
      <c r="O175" s="3" t="s">
        <v>1610</v>
      </c>
    </row>
    <row r="176" spans="1:15" ht="14.4" x14ac:dyDescent="0.3">
      <c r="A176" s="3" t="str">
        <f>IF(A174="Print","Print","Do Not Print")</f>
        <v>Print</v>
      </c>
      <c r="B176" s="401"/>
      <c r="D176" s="468"/>
      <c r="L176" s="104"/>
      <c r="M176" s="204"/>
      <c r="N176" s="204"/>
      <c r="O176" s="3"/>
    </row>
    <row r="177" spans="1:15" ht="30.75" customHeight="1" x14ac:dyDescent="0.3">
      <c r="A177" s="3" t="str">
        <f>IF('GROUP Non TB - Group Acc notes'!F218=1,"Print","Do Not Print")</f>
        <v>Print</v>
      </c>
      <c r="D177" s="1512" t="str">
        <f>IF('GROUP Non TB - Group Acc notes'!F218=1,'GROUP Non TB - Group Acc notes'!H218,"")</f>
        <v>These are capital receipts which have originated primarily from the sale of assets which have not yet been used to finance capital expenditure.</v>
      </c>
      <c r="E177" s="1504"/>
      <c r="F177" s="1504"/>
      <c r="G177" s="1504"/>
      <c r="H177" s="1504"/>
      <c r="I177" s="1504"/>
      <c r="J177" s="1504"/>
      <c r="K177" s="1504"/>
    </row>
    <row r="178" spans="1:15" ht="12.75" customHeight="1" x14ac:dyDescent="0.3">
      <c r="A178" s="3" t="str">
        <f>IF(A177="Print","Print","Do Not Print")</f>
        <v>Print</v>
      </c>
      <c r="D178" s="1513"/>
      <c r="E178" s="1513"/>
      <c r="F178" s="1513"/>
      <c r="G178" s="1513"/>
      <c r="H178" s="1513"/>
      <c r="I178" s="1513"/>
      <c r="J178" s="1513"/>
      <c r="K178" s="1513"/>
    </row>
    <row r="179" spans="1:15" ht="81.599999999999994" customHeight="1" x14ac:dyDescent="0.3">
      <c r="A179" s="3" t="str">
        <f>IF('GROUP Non TB - Group Acc notes'!F219=1,"Print","Do Not Print")</f>
        <v>Print</v>
      </c>
      <c r="D179" s="1512" t="str">
        <f>IF('GROUP Non TB - Group Acc notes'!F219=1,'GROUP Non TB - Group Acc notes'!H219,"")</f>
        <v>The Capital Receipts Reserve is credited with the proceeds from fixed asset sales and other monies defined by statute as capital receipts. These are originally credited to the Comprehensive Income and Expenditure Statement as part of the gain/loss on disposal and posted out via the Movement in Reserves Statement to the Capital Receipts Reserve. The reserve is written down when resources are applied to finance new capital expenditure or set aside to reduce an authority’s capital financing requirement (or used for other purposes permitted by statute).</v>
      </c>
      <c r="E179" s="1504"/>
      <c r="F179" s="1504"/>
      <c r="G179" s="1504"/>
      <c r="H179" s="1504"/>
      <c r="I179" s="1504"/>
      <c r="J179" s="1504"/>
      <c r="K179" s="1504"/>
    </row>
    <row r="180" spans="1:15" x14ac:dyDescent="0.3">
      <c r="A180" s="3" t="str">
        <f>IF(A179="Print","Print","Do Not Print")</f>
        <v>Print</v>
      </c>
      <c r="D180" s="401"/>
    </row>
    <row r="181" spans="1:15" x14ac:dyDescent="0.3">
      <c r="A181" s="3" t="str">
        <f>IF(AND(J191=0,K191=0),"Do Not Print","Print")</f>
        <v>Do Not Print</v>
      </c>
      <c r="D181" s="474" t="s">
        <v>421</v>
      </c>
      <c r="E181" s="474"/>
      <c r="F181" s="474"/>
      <c r="G181" s="474"/>
      <c r="H181" s="604"/>
      <c r="I181" s="633" t="s">
        <v>343</v>
      </c>
      <c r="J181" s="586">
        <f>'Standing Data'!D44</f>
        <v>46112</v>
      </c>
      <c r="K181" s="586">
        <f>'Standing Data'!D72</f>
        <v>45747</v>
      </c>
    </row>
    <row r="182" spans="1:15" x14ac:dyDescent="0.3">
      <c r="A182" s="3" t="str">
        <f>IF(A181="Print","Print","Do Not Print")</f>
        <v>Do Not Print</v>
      </c>
      <c r="D182" s="2012"/>
      <c r="E182" s="2012"/>
      <c r="F182" s="2012"/>
      <c r="G182" s="2012"/>
      <c r="H182" s="2012"/>
      <c r="I182" s="2012"/>
      <c r="J182" s="648" t="s">
        <v>450</v>
      </c>
      <c r="K182" s="648" t="s">
        <v>450</v>
      </c>
    </row>
    <row r="183" spans="1:15" ht="12.75" customHeight="1" x14ac:dyDescent="0.3">
      <c r="A183" s="3" t="str">
        <f>IF(AND(K183=0,J183=0),"Do Not Print","Print")</f>
        <v>Do Not Print</v>
      </c>
      <c r="D183" s="2043" t="s">
        <v>530</v>
      </c>
      <c r="E183" s="2043"/>
      <c r="F183" s="2043"/>
      <c r="G183" s="2043"/>
      <c r="H183" s="2043"/>
      <c r="I183" s="610"/>
      <c r="J183" s="601">
        <f>K191</f>
        <v>0</v>
      </c>
      <c r="K183" s="601">
        <f>'GROUP Det Group BS'!K534</f>
        <v>0</v>
      </c>
    </row>
    <row r="184" spans="1:15" ht="12.75" customHeight="1" x14ac:dyDescent="0.3">
      <c r="A184" s="3" t="str">
        <f>IF(OR(A186="Print",A187="Print",A188="Print"),"Print","Do Not Print")</f>
        <v>Do Not Print</v>
      </c>
      <c r="D184" s="2043" t="s">
        <v>209</v>
      </c>
      <c r="E184" s="2043"/>
      <c r="F184" s="2043"/>
      <c r="G184" s="2043"/>
      <c r="H184" s="2043"/>
      <c r="I184" s="610"/>
      <c r="J184" s="600"/>
      <c r="K184" s="600"/>
    </row>
    <row r="185" spans="1:15" ht="29.25" customHeight="1" x14ac:dyDescent="0.3">
      <c r="A185" s="3" t="str">
        <f>IF(AND(K185=0,J185=0),"Do Not Print","Print")</f>
        <v>Do Not Print</v>
      </c>
      <c r="D185" s="2013" t="s">
        <v>1318</v>
      </c>
      <c r="E185" s="2013"/>
      <c r="F185" s="2013"/>
      <c r="G185" s="2013"/>
      <c r="H185" s="2013"/>
      <c r="I185" s="610"/>
      <c r="J185" s="601">
        <f>-'GROUP Non TB - Group Acc notes'!H220</f>
        <v>0</v>
      </c>
      <c r="K185" s="601">
        <f>-'GROUP Non TB - Group Acc notes'!I220</f>
        <v>0</v>
      </c>
    </row>
    <row r="186" spans="1:15" ht="12.75" customHeight="1" x14ac:dyDescent="0.3">
      <c r="A186" s="3" t="str">
        <f>IF(AND(K186=0,J186=0),"Do Not Print","Print")</f>
        <v>Do Not Print</v>
      </c>
      <c r="D186" s="2013" t="s">
        <v>2999</v>
      </c>
      <c r="E186" s="2013"/>
      <c r="F186" s="2013"/>
      <c r="G186" s="2013"/>
      <c r="H186" s="2013"/>
      <c r="I186" s="610" t="s">
        <v>1694</v>
      </c>
      <c r="J186" s="600">
        <f>-'GROUP Account notes'!G44</f>
        <v>0</v>
      </c>
      <c r="K186" s="600">
        <f>-'GROUP Account notes'!I44</f>
        <v>0</v>
      </c>
    </row>
    <row r="187" spans="1:15" ht="12.75" customHeight="1" x14ac:dyDescent="0.3">
      <c r="A187" s="3" t="str">
        <f>IF(AND(K187=0,J187=0),"Do Not Print","Print")</f>
        <v>Do Not Print</v>
      </c>
      <c r="D187" s="2013" t="s">
        <v>196</v>
      </c>
      <c r="E187" s="2013"/>
      <c r="F187" s="2013"/>
      <c r="G187" s="2013"/>
      <c r="H187" s="2013"/>
      <c r="I187" s="610" t="s">
        <v>1331</v>
      </c>
      <c r="J187" s="601">
        <f>'GROUP Non TB - Group Acc notes'!H221</f>
        <v>0</v>
      </c>
      <c r="K187" s="601">
        <f>'GROUP Non TB - Group Acc notes'!I221</f>
        <v>0</v>
      </c>
    </row>
    <row r="188" spans="1:15" ht="43.5" customHeight="1" x14ac:dyDescent="0.3">
      <c r="A188" s="3" t="str">
        <f>IF(AND(K188=0,J188=0),"Do Not Print","Print")</f>
        <v>Do Not Print</v>
      </c>
      <c r="D188" s="2013" t="s">
        <v>1314</v>
      </c>
      <c r="E188" s="2013"/>
      <c r="F188" s="2013"/>
      <c r="G188" s="2013"/>
      <c r="H188" s="2013"/>
      <c r="I188" s="610"/>
      <c r="J188" s="601">
        <f>-'GROUP Account notes'!H52</f>
        <v>0</v>
      </c>
      <c r="K188" s="601">
        <f>-'GROUP Account notes'!J52</f>
        <v>0</v>
      </c>
      <c r="O188" s="3"/>
    </row>
    <row r="189" spans="1:15" ht="12" customHeight="1" x14ac:dyDescent="0.3">
      <c r="A189" s="3" t="str">
        <f>IF(AND(K189=0,J189=0),"Do Not Print","Print")</f>
        <v>Do Not Print</v>
      </c>
      <c r="D189" s="2044" t="s">
        <v>1315</v>
      </c>
      <c r="E189" s="2044"/>
      <c r="F189" s="2044"/>
      <c r="G189" s="2044"/>
      <c r="H189" s="2044"/>
      <c r="I189" s="610"/>
      <c r="J189" s="601">
        <f>-J358</f>
        <v>0</v>
      </c>
      <c r="K189" s="601">
        <f>-K358</f>
        <v>0</v>
      </c>
    </row>
    <row r="190" spans="1:15" ht="12" customHeight="1" x14ac:dyDescent="0.3">
      <c r="A190" s="3" t="str">
        <f>IF(A189="Print","Print","Do Not Print")</f>
        <v>Do Not Print</v>
      </c>
      <c r="D190" s="2012"/>
      <c r="E190" s="2012"/>
      <c r="F190" s="2012"/>
      <c r="G190" s="2012"/>
      <c r="H190" s="2012"/>
      <c r="I190" s="2012"/>
      <c r="J190" s="2012"/>
      <c r="K190" s="2012"/>
    </row>
    <row r="191" spans="1:15" x14ac:dyDescent="0.3">
      <c r="A191" s="3" t="str">
        <f>IF(AND(K191=0,J191=0),"Do Not Print","Print")</f>
        <v>Do Not Print</v>
      </c>
      <c r="D191" s="474" t="s">
        <v>532</v>
      </c>
      <c r="E191" s="474"/>
      <c r="F191" s="474"/>
      <c r="G191" s="474"/>
      <c r="H191" s="604"/>
      <c r="I191" s="474"/>
      <c r="J191" s="606">
        <f>SUM(J183:J189)</f>
        <v>0</v>
      </c>
      <c r="K191" s="606">
        <f>SUM(K183:K189)</f>
        <v>0</v>
      </c>
    </row>
    <row r="192" spans="1:15" x14ac:dyDescent="0.3">
      <c r="A192" s="3" t="str">
        <f>IF(A191="Print","Print","Do Not Print")</f>
        <v>Do Not Print</v>
      </c>
      <c r="D192" s="401"/>
      <c r="J192" s="525"/>
    </row>
    <row r="193" spans="1:11" x14ac:dyDescent="0.3">
      <c r="A193" s="3" t="str">
        <f>IF(OR(A194="Print",A196="Print",A198="Print"),"Print","Do Not Print")</f>
        <v>Print</v>
      </c>
      <c r="C193" s="585" t="str">
        <f>Checklist!E196</f>
        <v>b</v>
      </c>
      <c r="D193" s="468" t="s">
        <v>320</v>
      </c>
    </row>
    <row r="194" spans="1:11" ht="79.95" customHeight="1" x14ac:dyDescent="0.3">
      <c r="A194" s="3" t="str">
        <f>IF('GROUP Non TB - Group Acc notes'!F222=1,"Print","Do Not Print")</f>
        <v>Print</v>
      </c>
      <c r="D194" s="1501" t="str">
        <f>IF('GROUP Non TB - Group Acc notes'!F222=1,'GROUP Non TB - Group Acc notes'!H222,"")</f>
        <v xml:space="preserve">Where a capital grant or contribution (or part thereof) has been recognised as income in the Comprehensive Income and Expenditure Statement, but the expenditure to be financed from that grant or contribution has not been incurred at the Balance Sheet date, the grant or contribution shall be transferred to the Capital Grants Unapplied Account (within the usable reserves section of the balance sheet), reflecting its status as a capital resource available to finance expenditure. This transfer is reported in the Movement in Reserves Statement. </v>
      </c>
      <c r="E194" s="1501"/>
      <c r="F194" s="1501"/>
      <c r="G194" s="1501"/>
      <c r="H194" s="1501"/>
      <c r="I194" s="1501"/>
      <c r="J194" s="1501"/>
      <c r="K194" s="1501"/>
    </row>
    <row r="195" spans="1:11" x14ac:dyDescent="0.3">
      <c r="A195" s="3" t="str">
        <f>IF(A194="Print","Print","Do Not Print")</f>
        <v>Print</v>
      </c>
      <c r="D195" s="401" t="s">
        <v>345</v>
      </c>
    </row>
    <row r="196" spans="1:11" ht="54" customHeight="1" x14ac:dyDescent="0.3">
      <c r="A196" s="3" t="str">
        <f>IF('GROUP Non TB - Group Acc notes'!F223=1,"Print","Do Not Print")</f>
        <v>Print</v>
      </c>
      <c r="D196" s="1513" t="str">
        <f>IF('GROUP Non TB - Group Acc notes'!F223=1,'GROUP Non TB - Group Acc notes'!H223,"")</f>
        <v>When, at a future date, the expenditure to be financed from the grant or contribution is incurred, the grant or contribution (or part thereof) shall be transferred from the Capital Grants Unapplied Account to the Capital Adjustment Account, reflecting the application of capital resources to finance expenditure. This transfer is also reported in the Movement in Reserves Statement or in the notes to the accounts.</v>
      </c>
      <c r="E196" s="1501"/>
      <c r="F196" s="1501"/>
      <c r="G196" s="1501"/>
      <c r="H196" s="1501"/>
      <c r="I196" s="1501"/>
      <c r="J196" s="1501"/>
      <c r="K196" s="1501"/>
    </row>
    <row r="197" spans="1:11" x14ac:dyDescent="0.3">
      <c r="A197" s="3" t="str">
        <f>IF(A196="Print","Print","Do Not Print")</f>
        <v>Print</v>
      </c>
      <c r="D197" s="401"/>
    </row>
    <row r="198" spans="1:11" x14ac:dyDescent="0.3">
      <c r="A198" s="3" t="str">
        <f>IF(AND(J205=0,K205=0),"Do Not Print","Print")</f>
        <v>Do Not Print</v>
      </c>
      <c r="D198" s="474" t="s">
        <v>320</v>
      </c>
      <c r="E198" s="474"/>
      <c r="F198" s="474"/>
      <c r="G198" s="474"/>
      <c r="H198" s="604"/>
      <c r="I198" s="633" t="s">
        <v>343</v>
      </c>
      <c r="J198" s="586">
        <f>J181</f>
        <v>46112</v>
      </c>
      <c r="K198" s="586">
        <f>K181</f>
        <v>45747</v>
      </c>
    </row>
    <row r="199" spans="1:11" x14ac:dyDescent="0.3">
      <c r="A199" s="3" t="str">
        <f>IF(A198="Print","Print","Do Not Print")</f>
        <v>Do Not Print</v>
      </c>
      <c r="D199" s="2012"/>
      <c r="E199" s="2012"/>
      <c r="F199" s="2012"/>
      <c r="G199" s="2012"/>
      <c r="H199" s="2012"/>
      <c r="I199" s="2012"/>
      <c r="J199" s="648" t="s">
        <v>450</v>
      </c>
      <c r="K199" s="648" t="s">
        <v>450</v>
      </c>
    </row>
    <row r="200" spans="1:11" ht="12.75" customHeight="1" x14ac:dyDescent="0.3">
      <c r="A200" s="3" t="str">
        <f>IF(AND(J200=0,K200=0),"Do Not Print","Print")</f>
        <v>Do Not Print</v>
      </c>
      <c r="D200" s="2043" t="s">
        <v>530</v>
      </c>
      <c r="E200" s="2043"/>
      <c r="F200" s="2043"/>
      <c r="G200" s="2043"/>
      <c r="H200" s="2043"/>
      <c r="I200" s="610"/>
      <c r="J200" s="601">
        <f>K205</f>
        <v>0</v>
      </c>
      <c r="K200" s="601">
        <f>'GROUP Det Group BS'!K535</f>
        <v>0</v>
      </c>
    </row>
    <row r="201" spans="1:11" ht="12.75" customHeight="1" x14ac:dyDescent="0.3">
      <c r="A201" s="3" t="str">
        <f>IF(OR(A202="Print",A203="Print"),"Print","Do Not Print")</f>
        <v>Do Not Print</v>
      </c>
      <c r="D201" s="2043" t="s">
        <v>209</v>
      </c>
      <c r="E201" s="2043"/>
      <c r="F201" s="2043"/>
      <c r="G201" s="2043"/>
      <c r="H201" s="2043"/>
      <c r="I201" s="610"/>
      <c r="J201" s="600"/>
      <c r="K201" s="600"/>
    </row>
    <row r="202" spans="1:11" ht="12.75" customHeight="1" x14ac:dyDescent="0.3">
      <c r="A202" s="3" t="str">
        <f>IF(AND(J202=0,K202=0),"Do Not Print","Print")</f>
        <v>Do Not Print</v>
      </c>
      <c r="D202" s="2013" t="s">
        <v>1316</v>
      </c>
      <c r="E202" s="2013"/>
      <c r="F202" s="2013"/>
      <c r="G202" s="2013"/>
      <c r="H202" s="2013"/>
      <c r="I202" s="610"/>
      <c r="J202" s="600">
        <f>'GROUP Non TB - Group Acc notes'!H224</f>
        <v>0</v>
      </c>
      <c r="K202" s="600">
        <f>'GROUP Non TB - Group Acc notes'!I224</f>
        <v>0</v>
      </c>
    </row>
    <row r="203" spans="1:11" ht="12.75" customHeight="1" x14ac:dyDescent="0.3">
      <c r="A203" s="3" t="str">
        <f>IF(AND(J203=0,K203=0),"Do Not Print","Print")</f>
        <v>Do Not Print</v>
      </c>
      <c r="D203" s="2013" t="s">
        <v>1317</v>
      </c>
      <c r="E203" s="2013"/>
      <c r="F203" s="2013"/>
      <c r="G203" s="2013"/>
      <c r="H203" s="2013"/>
      <c r="I203" s="610"/>
      <c r="J203" s="774">
        <f>-'GROUP Non TB - Group Acc notes'!H225</f>
        <v>0</v>
      </c>
      <c r="K203" s="774">
        <f>-'GROUP Non TB - Group Acc notes'!I225</f>
        <v>0</v>
      </c>
    </row>
    <row r="204" spans="1:11" x14ac:dyDescent="0.3">
      <c r="A204" s="3" t="str">
        <f>IF(A203="Print","Print","Do Not Print")</f>
        <v>Do Not Print</v>
      </c>
      <c r="D204" s="2012"/>
      <c r="E204" s="2012"/>
      <c r="F204" s="2012"/>
      <c r="G204" s="2012"/>
      <c r="H204" s="2012"/>
      <c r="I204" s="2012"/>
      <c r="J204" s="2012"/>
      <c r="K204" s="2012"/>
    </row>
    <row r="205" spans="1:11" x14ac:dyDescent="0.3">
      <c r="A205" s="3" t="str">
        <f>IF(AND(J205=0,K205=0),"Do Not Print","Print")</f>
        <v>Do Not Print</v>
      </c>
      <c r="D205" s="474" t="s">
        <v>532</v>
      </c>
      <c r="E205" s="474"/>
      <c r="F205" s="474"/>
      <c r="G205" s="474"/>
      <c r="H205" s="604"/>
      <c r="I205" s="474"/>
      <c r="J205" s="606">
        <f>SUM(J200:J203)</f>
        <v>0</v>
      </c>
      <c r="K205" s="606">
        <f>SUM(K200:K203)</f>
        <v>0</v>
      </c>
    </row>
    <row r="206" spans="1:11" x14ac:dyDescent="0.3">
      <c r="A206" s="3" t="str">
        <f>IF(A205="Print","Print","Do Not Print")</f>
        <v>Do Not Print</v>
      </c>
      <c r="D206" s="1500"/>
      <c r="E206" s="1500"/>
      <c r="F206" s="1500"/>
      <c r="G206" s="1500"/>
      <c r="H206" s="1500"/>
      <c r="I206" s="1500"/>
      <c r="J206" s="1500"/>
      <c r="K206" s="1500"/>
    </row>
    <row r="207" spans="1:11" ht="12.75" customHeight="1" x14ac:dyDescent="0.3">
      <c r="A207" s="3" t="str">
        <f>IF(OR(A208="Print",A210="Print"),"Print","Do Not Print")</f>
        <v>Print</v>
      </c>
      <c r="C207" s="585" t="str">
        <f>Checklist!E197</f>
        <v>c</v>
      </c>
      <c r="D207" s="468" t="s">
        <v>423</v>
      </c>
    </row>
    <row r="208" spans="1:11" ht="41.25" customHeight="1" x14ac:dyDescent="0.3">
      <c r="A208" s="3" t="str">
        <f>IF('GROUP Non TB - Group Acc notes'!F226=1,"Print","Do Not Print")</f>
        <v>Print</v>
      </c>
      <c r="D208" s="1513" t="str">
        <f>IF('GROUP Non TB - Group Acc notes'!F226=1,'GROUP Non TB - Group Acc notes'!H226,"")</f>
        <v>This fund was established under section 56 of the Local Government Act (NI) 1972, however this section of the act was repealed under the Local Government Finance Act (Northern Ireland) 2011. Councils should disclose details where any of these reserves are earmarked for specific purposes.</v>
      </c>
      <c r="E208" s="1501"/>
      <c r="F208" s="1501"/>
      <c r="G208" s="1501"/>
      <c r="H208" s="1501"/>
      <c r="I208" s="1501"/>
      <c r="J208" s="1501"/>
      <c r="K208" s="1501"/>
    </row>
    <row r="209" spans="1:15" ht="12.75" customHeight="1" x14ac:dyDescent="0.3">
      <c r="A209" s="3" t="str">
        <f>IF(A208="Print","Print","Do Not Print")</f>
        <v>Print</v>
      </c>
      <c r="D209" s="478"/>
      <c r="E209" s="478"/>
      <c r="F209" s="478"/>
      <c r="G209" s="478"/>
      <c r="I209" s="478"/>
      <c r="J209" s="478"/>
      <c r="K209" s="478"/>
    </row>
    <row r="210" spans="1:15" ht="12.75" customHeight="1" x14ac:dyDescent="0.3">
      <c r="A210" s="3" t="str">
        <f>IF(AND(J216=0,K216=0),"Do Not Print","Print")</f>
        <v>Do Not Print</v>
      </c>
      <c r="D210" s="474" t="s">
        <v>423</v>
      </c>
      <c r="E210" s="474"/>
      <c r="F210" s="474"/>
      <c r="G210" s="474"/>
      <c r="H210" s="604"/>
      <c r="I210" s="486" t="s">
        <v>343</v>
      </c>
      <c r="J210" s="586">
        <f>J181</f>
        <v>46112</v>
      </c>
      <c r="K210" s="586">
        <f>K181</f>
        <v>45747</v>
      </c>
    </row>
    <row r="211" spans="1:15" ht="12.75" customHeight="1" x14ac:dyDescent="0.3">
      <c r="A211" s="3" t="str">
        <f>IF(A210="Print","Print","Do Not Print")</f>
        <v>Do Not Print</v>
      </c>
      <c r="D211" s="2012"/>
      <c r="E211" s="2012"/>
      <c r="F211" s="2012"/>
      <c r="G211" s="2012"/>
      <c r="H211" s="2012"/>
      <c r="I211" s="2012"/>
      <c r="J211" s="648" t="s">
        <v>450</v>
      </c>
      <c r="K211" s="648" t="s">
        <v>450</v>
      </c>
    </row>
    <row r="212" spans="1:15" ht="12.75" customHeight="1" x14ac:dyDescent="0.3">
      <c r="A212" s="3" t="str">
        <f>IF(AND(K212=0,J212=0),"Do Not Print","Print")</f>
        <v>Do Not Print</v>
      </c>
      <c r="D212" s="2012" t="s">
        <v>530</v>
      </c>
      <c r="E212" s="2012"/>
      <c r="F212" s="2012"/>
      <c r="G212" s="2012"/>
      <c r="H212" s="2012"/>
      <c r="I212" s="610"/>
      <c r="J212" s="601">
        <f>K216</f>
        <v>0</v>
      </c>
      <c r="K212" s="601">
        <f>'GROUP Det Group BS'!K536</f>
        <v>0</v>
      </c>
    </row>
    <row r="213" spans="1:15" x14ac:dyDescent="0.3">
      <c r="A213" s="3" t="str">
        <f>IF(AND(K213=0,J213=0),"Do Not Print","Print")</f>
        <v>Do Not Print</v>
      </c>
      <c r="D213" s="2033" t="s">
        <v>1318</v>
      </c>
      <c r="E213" s="2033"/>
      <c r="F213" s="2033"/>
      <c r="G213" s="2033"/>
      <c r="H213" s="2033"/>
      <c r="I213" s="610"/>
      <c r="J213" s="601">
        <f>-'GROUP Non TB - Group Acc notes'!H227</f>
        <v>0</v>
      </c>
      <c r="K213" s="601">
        <f>-'GROUP Non TB - Group Acc notes'!I227</f>
        <v>0</v>
      </c>
      <c r="O213" s="3"/>
    </row>
    <row r="214" spans="1:15" ht="28.5" customHeight="1" x14ac:dyDescent="0.3">
      <c r="A214" s="3" t="str">
        <f>IF(AND(K214=0,J214=0),"Do Not Print","Print")</f>
        <v>Do Not Print</v>
      </c>
      <c r="D214" s="2033" t="s">
        <v>1321</v>
      </c>
      <c r="E214" s="2033"/>
      <c r="F214" s="2033"/>
      <c r="G214" s="2033"/>
      <c r="H214" s="2033"/>
      <c r="I214" s="610"/>
      <c r="J214" s="598">
        <f>'GROUP Non TB - Group Acc notes'!H228</f>
        <v>0</v>
      </c>
      <c r="K214" s="598">
        <f>'GROUP Non TB - Group Acc notes'!I228</f>
        <v>0</v>
      </c>
      <c r="O214" s="3"/>
    </row>
    <row r="215" spans="1:15" ht="12.75" customHeight="1" x14ac:dyDescent="0.3">
      <c r="A215" s="3" t="str">
        <f>IF(A214="Print","Print","Do Not Print")</f>
        <v>Do Not Print</v>
      </c>
      <c r="D215" s="2012"/>
      <c r="E215" s="2012"/>
      <c r="F215" s="2012"/>
      <c r="G215" s="2012"/>
      <c r="H215" s="2012"/>
      <c r="I215" s="2012"/>
      <c r="J215" s="2012"/>
      <c r="K215" s="2012"/>
    </row>
    <row r="216" spans="1:15" ht="12.75" customHeight="1" x14ac:dyDescent="0.3">
      <c r="A216" s="3" t="str">
        <f>IF(AND(K216=0,J216=0),"Do Not Print","Print")</f>
        <v>Do Not Print</v>
      </c>
      <c r="D216" s="474" t="s">
        <v>532</v>
      </c>
      <c r="E216" s="474"/>
      <c r="F216" s="474"/>
      <c r="G216" s="474"/>
      <c r="H216" s="604"/>
      <c r="I216" s="474"/>
      <c r="J216" s="606">
        <f>SUM(J212:J215)</f>
        <v>0</v>
      </c>
      <c r="K216" s="606">
        <f>SUM(K212:K215)</f>
        <v>0</v>
      </c>
    </row>
    <row r="217" spans="1:15" x14ac:dyDescent="0.3">
      <c r="A217" s="3" t="str">
        <f>IF(A216="Print","Print","Do Not Print")</f>
        <v>Do Not Print</v>
      </c>
      <c r="D217" s="1500"/>
      <c r="E217" s="1500"/>
      <c r="F217" s="1500"/>
      <c r="G217" s="1500"/>
      <c r="H217" s="1500"/>
      <c r="I217" s="1500"/>
      <c r="J217" s="1500"/>
      <c r="K217" s="1500"/>
    </row>
    <row r="218" spans="1:15" x14ac:dyDescent="0.3">
      <c r="A218" s="3" t="str">
        <f>IF(OR(A219="Print",A221="Print"),"Print","Do Not Print")</f>
        <v>Print</v>
      </c>
      <c r="C218" s="585" t="str">
        <f>Checklist!E198</f>
        <v>d</v>
      </c>
      <c r="D218" s="468" t="s">
        <v>321</v>
      </c>
    </row>
    <row r="219" spans="1:15" ht="42" customHeight="1" x14ac:dyDescent="0.3">
      <c r="A219" s="3" t="str">
        <f>IF('GROUP Non TB - Group Acc notes'!F229=1,"Print","Do Not Print")</f>
        <v>Print</v>
      </c>
      <c r="D219" s="1513" t="str">
        <f>IF('GROUP Non TB - Group Acc notes'!F229=1,'GROUP Non TB - Group Acc notes'!H229,"")</f>
        <v>This fund was established under section 56 of the Local Government Act (NI) 1972, however this section of the act was repealed under the Local Government Finance Act (Northern Ireland) 2011. Councils should disclose details where any of these reserves are earmarked for specific purposes.</v>
      </c>
      <c r="E219" s="1501"/>
      <c r="F219" s="1501"/>
      <c r="G219" s="1501"/>
      <c r="H219" s="1501"/>
      <c r="I219" s="1501"/>
      <c r="J219" s="1501"/>
      <c r="K219" s="1501"/>
    </row>
    <row r="220" spans="1:15" x14ac:dyDescent="0.3">
      <c r="A220" s="3" t="str">
        <f>IF(A219="Print","Print","Do Not Print")</f>
        <v>Print</v>
      </c>
      <c r="D220" s="1500"/>
      <c r="E220" s="1500"/>
      <c r="F220" s="1500"/>
      <c r="G220" s="1500"/>
      <c r="H220" s="1500"/>
      <c r="I220" s="1500"/>
      <c r="J220" s="1500"/>
      <c r="K220" s="1500"/>
    </row>
    <row r="221" spans="1:15" x14ac:dyDescent="0.3">
      <c r="A221" s="3" t="str">
        <f>IF(AND(J227=0,K227=0),"Do Not Print","Print")</f>
        <v>Do Not Print</v>
      </c>
      <c r="D221" s="474" t="s">
        <v>321</v>
      </c>
      <c r="E221" s="474"/>
      <c r="F221" s="474"/>
      <c r="G221" s="474"/>
      <c r="H221" s="604"/>
      <c r="I221" s="486" t="s">
        <v>343</v>
      </c>
      <c r="J221" s="586">
        <f>J181</f>
        <v>46112</v>
      </c>
      <c r="K221" s="586">
        <f>K181</f>
        <v>45747</v>
      </c>
    </row>
    <row r="222" spans="1:15" x14ac:dyDescent="0.3">
      <c r="A222" s="3" t="str">
        <f>IF(A221="Print","Print","Do Not Print")</f>
        <v>Do Not Print</v>
      </c>
      <c r="D222" s="2012"/>
      <c r="E222" s="2012"/>
      <c r="F222" s="2012"/>
      <c r="G222" s="2012"/>
      <c r="H222" s="2012"/>
      <c r="I222" s="2012"/>
      <c r="J222" s="648" t="s">
        <v>450</v>
      </c>
      <c r="K222" s="648" t="s">
        <v>450</v>
      </c>
    </row>
    <row r="223" spans="1:15" x14ac:dyDescent="0.3">
      <c r="A223" s="3" t="str">
        <f>IF(AND(J223=0,K223=0),"Do Not Print","Print")</f>
        <v>Do Not Print</v>
      </c>
      <c r="D223" s="2012" t="s">
        <v>530</v>
      </c>
      <c r="E223" s="2012"/>
      <c r="F223" s="2012"/>
      <c r="G223" s="2012"/>
      <c r="H223" s="2012"/>
      <c r="I223" s="610"/>
      <c r="J223" s="601">
        <f>K227</f>
        <v>0</v>
      </c>
      <c r="K223" s="601">
        <f>'GROUP Det Group BS'!K537</f>
        <v>0</v>
      </c>
    </row>
    <row r="224" spans="1:15" x14ac:dyDescent="0.3">
      <c r="A224" s="3" t="str">
        <f>IF(AND(J224=0,K224=0),"Do Not Print","Print")</f>
        <v>Do Not Print</v>
      </c>
      <c r="D224" s="2012" t="s">
        <v>1318</v>
      </c>
      <c r="E224" s="2012"/>
      <c r="F224" s="2012"/>
      <c r="G224" s="2012"/>
      <c r="H224" s="2012"/>
      <c r="I224" s="610"/>
      <c r="J224" s="601">
        <f>-'GROUP Non TB - Group Acc notes'!H230</f>
        <v>0</v>
      </c>
      <c r="K224" s="601">
        <f>-'GROUP Non TB - Group Acc notes'!I230</f>
        <v>0</v>
      </c>
    </row>
    <row r="225" spans="1:15" ht="27" customHeight="1" x14ac:dyDescent="0.3">
      <c r="A225" s="3" t="str">
        <f>IF(AND(J225=0,K225=0),"Do Not Print","Print")</f>
        <v>Do Not Print</v>
      </c>
      <c r="D225" s="2033" t="s">
        <v>1320</v>
      </c>
      <c r="E225" s="2033"/>
      <c r="F225" s="2033"/>
      <c r="G225" s="2033"/>
      <c r="H225" s="2033"/>
      <c r="I225" s="610"/>
      <c r="J225" s="598">
        <f>'GROUP Non TB - Group Acc notes'!H231</f>
        <v>0</v>
      </c>
      <c r="K225" s="598">
        <f>'GROUP Non TB - Group Acc notes'!I231</f>
        <v>0</v>
      </c>
    </row>
    <row r="226" spans="1:15" x14ac:dyDescent="0.3">
      <c r="A226" s="3" t="str">
        <f>IF(A225="Print","Print","Do Not Print")</f>
        <v>Do Not Print</v>
      </c>
      <c r="D226" s="2012"/>
      <c r="E226" s="2012"/>
      <c r="F226" s="2012"/>
      <c r="G226" s="2012"/>
      <c r="H226" s="2012"/>
      <c r="I226" s="2012"/>
      <c r="J226" s="2012"/>
      <c r="K226" s="2012"/>
    </row>
    <row r="227" spans="1:15" x14ac:dyDescent="0.3">
      <c r="A227" s="3" t="str">
        <f>IF(AND(J227=0,K227=0),"Do Not Print","Print")</f>
        <v>Do Not Print</v>
      </c>
      <c r="D227" s="474" t="s">
        <v>532</v>
      </c>
      <c r="E227" s="474"/>
      <c r="F227" s="474"/>
      <c r="G227" s="474"/>
      <c r="H227" s="604"/>
      <c r="I227" s="474"/>
      <c r="J227" s="606">
        <f>SUM(J223:J226)</f>
        <v>0</v>
      </c>
      <c r="K227" s="606">
        <f>SUM(K223:K226)</f>
        <v>0</v>
      </c>
    </row>
    <row r="228" spans="1:15" x14ac:dyDescent="0.3">
      <c r="A228" s="3" t="str">
        <f>IF(A227="Print","Print","Do Not Print")</f>
        <v>Do Not Print</v>
      </c>
      <c r="D228" s="1500"/>
      <c r="E228" s="1500"/>
      <c r="F228" s="1500"/>
      <c r="G228" s="1500"/>
      <c r="H228" s="1500"/>
      <c r="I228" s="1500"/>
      <c r="J228" s="1500"/>
      <c r="K228" s="1500"/>
    </row>
    <row r="229" spans="1:15" x14ac:dyDescent="0.3">
      <c r="A229" s="3" t="str">
        <f>IF(A237="Print","Print","Do Not Print")</f>
        <v>Do Not Print</v>
      </c>
      <c r="C229" s="585" t="str">
        <f>Checklist!E199</f>
        <v>e</v>
      </c>
      <c r="D229" s="1726" t="s">
        <v>322</v>
      </c>
      <c r="E229" s="1726"/>
      <c r="F229" s="1726"/>
      <c r="G229" s="1726"/>
      <c r="H229" s="1726"/>
      <c r="I229" s="1726"/>
      <c r="J229" s="1726"/>
      <c r="K229" s="1726"/>
    </row>
    <row r="230" spans="1:15" x14ac:dyDescent="0.3">
      <c r="A230" s="3" t="str">
        <f>IF(A229="Print","Print","Do Not Print")</f>
        <v>Do Not Print</v>
      </c>
      <c r="D230" s="1500"/>
      <c r="E230" s="1500"/>
      <c r="F230" s="1500"/>
      <c r="G230" s="1500"/>
      <c r="H230" s="1500"/>
      <c r="I230" s="1500"/>
      <c r="J230" s="1500"/>
      <c r="K230" s="1500"/>
    </row>
    <row r="231" spans="1:15" x14ac:dyDescent="0.3">
      <c r="A231" s="3" t="str">
        <f>IF(A237="Print","Print","Do Not Print")</f>
        <v>Do Not Print</v>
      </c>
      <c r="D231" s="474" t="s">
        <v>1550</v>
      </c>
      <c r="E231" s="474"/>
      <c r="F231" s="474"/>
      <c r="G231" s="474"/>
      <c r="H231" s="604"/>
      <c r="I231" s="486" t="s">
        <v>343</v>
      </c>
      <c r="J231" s="586">
        <f>J181</f>
        <v>46112</v>
      </c>
      <c r="K231" s="586">
        <f>K181</f>
        <v>45747</v>
      </c>
    </row>
    <row r="232" spans="1:15" x14ac:dyDescent="0.3">
      <c r="A232" s="3" t="str">
        <f>IF(A231="Print","Print","Do Not Print")</f>
        <v>Do Not Print</v>
      </c>
      <c r="D232" s="2012"/>
      <c r="E232" s="2012"/>
      <c r="F232" s="2012"/>
      <c r="G232" s="2012"/>
      <c r="H232" s="2012"/>
      <c r="I232" s="2012"/>
      <c r="J232" s="648" t="s">
        <v>450</v>
      </c>
      <c r="K232" s="648" t="s">
        <v>450</v>
      </c>
    </row>
    <row r="233" spans="1:15" x14ac:dyDescent="0.3">
      <c r="A233" s="3" t="str">
        <f>IF(AND(J233=0,K233=0),"Do Not Print","Print")</f>
        <v>Do Not Print</v>
      </c>
      <c r="D233" s="2012" t="s">
        <v>530</v>
      </c>
      <c r="E233" s="2012"/>
      <c r="F233" s="2012"/>
      <c r="G233" s="2012"/>
      <c r="H233" s="2012"/>
      <c r="I233" s="599"/>
      <c r="J233" s="600">
        <f>K237</f>
        <v>0</v>
      </c>
      <c r="K233" s="600">
        <f>'GROUP Det Group BS'!K538</f>
        <v>0</v>
      </c>
    </row>
    <row r="234" spans="1:15" x14ac:dyDescent="0.3">
      <c r="A234" s="3" t="str">
        <f>IF(AND(J234=0,K234=0),"Do Not Print","Print")</f>
        <v>Do Not Print</v>
      </c>
      <c r="D234" s="2033" t="s">
        <v>1318</v>
      </c>
      <c r="E234" s="2033"/>
      <c r="F234" s="2033"/>
      <c r="G234" s="2033"/>
      <c r="H234" s="2033"/>
      <c r="I234" s="599"/>
      <c r="J234" s="600">
        <f>-'GROUP Non TB - Group Acc notes'!H232</f>
        <v>0</v>
      </c>
      <c r="K234" s="600">
        <f>-'GROUP Non TB - Group Acc notes'!I232</f>
        <v>0</v>
      </c>
      <c r="O234" s="3"/>
    </row>
    <row r="235" spans="1:15" ht="25.05" customHeight="1" x14ac:dyDescent="0.3">
      <c r="A235" s="3" t="str">
        <f>IF(AND(J235=0,K235=0),"Do Not Print","Print")</f>
        <v>Do Not Print</v>
      </c>
      <c r="D235" s="2033" t="s">
        <v>1330</v>
      </c>
      <c r="E235" s="2033"/>
      <c r="F235" s="2033"/>
      <c r="G235" s="2033"/>
      <c r="H235" s="2033"/>
      <c r="I235" s="599"/>
      <c r="J235" s="598">
        <f>'GROUP Non TB - Group Acc notes'!H233</f>
        <v>0</v>
      </c>
      <c r="K235" s="598">
        <f>'GROUP Non TB - Group Acc notes'!I233</f>
        <v>0</v>
      </c>
      <c r="O235" s="3"/>
    </row>
    <row r="236" spans="1:15" x14ac:dyDescent="0.3">
      <c r="A236" s="3" t="str">
        <f>IF(A234="Print","Print","Do Not Print")</f>
        <v>Do Not Print</v>
      </c>
      <c r="D236" s="2012"/>
      <c r="E236" s="2012"/>
      <c r="F236" s="2012"/>
      <c r="G236" s="2012"/>
      <c r="H236" s="2012"/>
      <c r="I236" s="2012"/>
      <c r="J236" s="2012"/>
      <c r="K236" s="2012"/>
    </row>
    <row r="237" spans="1:15" x14ac:dyDescent="0.3">
      <c r="A237" s="3" t="str">
        <f>IF(AND(J237=0,K237=0),"Do Not Print","Print")</f>
        <v>Do Not Print</v>
      </c>
      <c r="D237" s="474" t="s">
        <v>532</v>
      </c>
      <c r="E237" s="474"/>
      <c r="F237" s="474"/>
      <c r="G237" s="474"/>
      <c r="H237" s="604"/>
      <c r="I237" s="474"/>
      <c r="J237" s="606">
        <f>SUM(J233:J235)</f>
        <v>0</v>
      </c>
      <c r="K237" s="606">
        <f>SUM(K233:K235)</f>
        <v>0</v>
      </c>
    </row>
    <row r="238" spans="1:15" x14ac:dyDescent="0.3">
      <c r="A238" s="3" t="str">
        <f>IF(A237="Print","Print","Do Not Print")</f>
        <v>Do Not Print</v>
      </c>
      <c r="D238" s="1500"/>
      <c r="E238" s="1500"/>
      <c r="F238" s="1500"/>
      <c r="G238" s="1500"/>
      <c r="H238" s="1500"/>
      <c r="I238" s="1500"/>
      <c r="J238" s="1500"/>
      <c r="K238" s="1500"/>
    </row>
    <row r="239" spans="1:15" ht="29.55" customHeight="1" x14ac:dyDescent="0.3">
      <c r="A239" s="3" t="str">
        <f>IF('GROUP Non TB - Group Acc notes'!F234=1,"Print","Do Not Print")</f>
        <v>Print</v>
      </c>
      <c r="D239" s="1513" t="str">
        <f>IF('GROUP Non TB - Group Acc notes'!F234=1,'GROUP Non TB - Group Acc notes'!H234,"")</f>
        <v>This reserve is used to equalise (smooth) the cost of elections by building up a fund to cover the costs of future elections by making contributions, as and when required, to the reserve.</v>
      </c>
      <c r="E239" s="1501"/>
      <c r="F239" s="1501"/>
      <c r="G239" s="1501"/>
      <c r="H239" s="1501"/>
      <c r="I239" s="1501"/>
      <c r="J239" s="1501"/>
      <c r="K239" s="1501"/>
    </row>
    <row r="240" spans="1:15" ht="12.75" customHeight="1" x14ac:dyDescent="0.3">
      <c r="A240" s="3" t="str">
        <f>IF(A239="Print","Print","Do Not Print")</f>
        <v>Print</v>
      </c>
      <c r="D240" s="1501"/>
      <c r="E240" s="1501"/>
      <c r="F240" s="1501"/>
      <c r="G240" s="1501"/>
      <c r="H240" s="1501"/>
      <c r="I240" s="1501"/>
      <c r="J240" s="1501"/>
      <c r="K240" s="1501"/>
    </row>
    <row r="241" spans="1:15" ht="12.75" customHeight="1" x14ac:dyDescent="0.3">
      <c r="A241" s="3" t="str">
        <f>IF(A240="Print","Print","Do Not Print")</f>
        <v>Print</v>
      </c>
      <c r="D241" s="1501"/>
      <c r="E241" s="1501"/>
      <c r="F241" s="1501"/>
      <c r="G241" s="1501"/>
      <c r="H241" s="1501"/>
      <c r="I241" s="1501"/>
      <c r="J241" s="1501"/>
      <c r="K241" s="1501"/>
    </row>
    <row r="242" spans="1:15" x14ac:dyDescent="0.3">
      <c r="A242" s="3" t="str">
        <f>IF(OR(A243="Print",A261="Print"),"Print","Do Not Print")</f>
        <v>Print</v>
      </c>
      <c r="C242" s="585" t="str">
        <f>Checklist!E200</f>
        <v>f</v>
      </c>
      <c r="D242" s="1726" t="s">
        <v>426</v>
      </c>
      <c r="E242" s="1726"/>
      <c r="F242" s="1726"/>
      <c r="G242" s="1726"/>
      <c r="H242" s="1726"/>
      <c r="I242" s="1726"/>
      <c r="J242" s="1726"/>
      <c r="K242" s="1726"/>
    </row>
    <row r="243" spans="1:15" ht="55.05" customHeight="1" x14ac:dyDescent="0.3">
      <c r="A243" s="3" t="str">
        <f>IF('GROUP Non TB - Group Acc notes'!F235=1,"Print","Do Not Print")</f>
        <v>Print</v>
      </c>
      <c r="D243" s="1513" t="str">
        <f>IF('GROUP Non TB - Group Acc notes'!F235=1,'GROUP Non TB - Group Acc notes'!H235,"")</f>
        <v>This reserve shows the accounting cost in the year of providing services in accordance with generally accepted accounting practices, rather than the amount to be funded from District Rates. Councils raise rates to cover expenditure in accordance with regulations; this may be different from the accounting cost. The taxation position is shown in the Movement in Reserves Statement.</v>
      </c>
      <c r="E243" s="1501"/>
      <c r="F243" s="1501"/>
      <c r="G243" s="1501"/>
      <c r="H243" s="1501"/>
      <c r="I243" s="1501"/>
      <c r="J243" s="1501"/>
      <c r="K243" s="1501"/>
    </row>
    <row r="244" spans="1:15" ht="12.75" customHeight="1" x14ac:dyDescent="0.3">
      <c r="A244" s="3" t="str">
        <f>IF(A243="Print","Print","Do Not Print")</f>
        <v>Print</v>
      </c>
      <c r="D244" s="1501"/>
      <c r="E244" s="1501"/>
      <c r="F244" s="1501"/>
      <c r="G244" s="1501"/>
      <c r="H244" s="1501"/>
      <c r="I244" s="1501"/>
      <c r="J244" s="1501"/>
      <c r="K244" s="1501"/>
    </row>
    <row r="245" spans="1:15" ht="12.75" customHeight="1" x14ac:dyDescent="0.3">
      <c r="A245" s="3" t="str">
        <f>IF(AND(J261=0,K261=0),"Do Not Print","Print")</f>
        <v>Do Not Print</v>
      </c>
      <c r="D245" s="474" t="s">
        <v>426</v>
      </c>
      <c r="E245" s="474"/>
      <c r="F245" s="474"/>
      <c r="G245" s="474"/>
      <c r="H245" s="604"/>
      <c r="I245" s="486" t="s">
        <v>343</v>
      </c>
      <c r="J245" s="586">
        <f>J181</f>
        <v>46112</v>
      </c>
      <c r="K245" s="586">
        <f>K181</f>
        <v>45747</v>
      </c>
    </row>
    <row r="246" spans="1:15" ht="12.75" customHeight="1" x14ac:dyDescent="0.3">
      <c r="A246" s="3" t="str">
        <f>IF(A245="Print","Print","Do Not Print")</f>
        <v>Do Not Print</v>
      </c>
      <c r="D246" s="2012"/>
      <c r="E246" s="2012"/>
      <c r="F246" s="2012"/>
      <c r="G246" s="2012"/>
      <c r="H246" s="2012"/>
      <c r="I246" s="2012"/>
      <c r="J246" s="648" t="s">
        <v>450</v>
      </c>
      <c r="K246" s="648" t="s">
        <v>450</v>
      </c>
    </row>
    <row r="247" spans="1:15" ht="12.75" customHeight="1" x14ac:dyDescent="0.3">
      <c r="A247" s="3" t="str">
        <f>IF(AND(K247=0,J247=0),"Do Not Print","Print")</f>
        <v>Do Not Print</v>
      </c>
      <c r="D247" s="2013" t="s">
        <v>530</v>
      </c>
      <c r="E247" s="2013"/>
      <c r="F247" s="2013"/>
      <c r="G247" s="2013"/>
      <c r="H247" s="2013"/>
      <c r="I247" s="599"/>
      <c r="J247" s="600">
        <f>K261</f>
        <v>0</v>
      </c>
      <c r="K247" s="601">
        <f>'GROUP Det Group BS'!K539</f>
        <v>0</v>
      </c>
    </row>
    <row r="248" spans="1:15" ht="12.75" customHeight="1" x14ac:dyDescent="0.3">
      <c r="A248" s="3" t="str">
        <f t="shared" ref="A248:A258" si="10">IF(AND(K248=0,J248=0),"Do Not Print","Print")</f>
        <v>Do Not Print</v>
      </c>
      <c r="D248" s="2013" t="s">
        <v>207</v>
      </c>
      <c r="E248" s="2013"/>
      <c r="F248" s="2013"/>
      <c r="G248" s="2013"/>
      <c r="H248" s="2013"/>
      <c r="I248" s="599" t="s">
        <v>1695</v>
      </c>
      <c r="J248" s="600">
        <f>(SUM('GROUP Det Group CIES'!P110:P113))</f>
        <v>0</v>
      </c>
      <c r="K248" s="600">
        <f>(SUM('GROUP Det Group CIES'!S110:S113))</f>
        <v>0</v>
      </c>
    </row>
    <row r="249" spans="1:15" ht="12.75" customHeight="1" x14ac:dyDescent="0.3">
      <c r="A249" s="3" t="str">
        <f t="shared" si="10"/>
        <v>Do Not Print</v>
      </c>
      <c r="D249" s="2013" t="s">
        <v>1316</v>
      </c>
      <c r="E249" s="2013"/>
      <c r="F249" s="2013"/>
      <c r="G249" s="2013"/>
      <c r="H249" s="2013"/>
      <c r="I249" s="599"/>
      <c r="J249" s="600">
        <f>SUM('GROUP Det Group CIES'!P114+'GROUP Det Group CIES'!P115)</f>
        <v>0</v>
      </c>
      <c r="K249" s="600">
        <f>SUM('GROUP Det Group CIES'!S114+'GROUP Det Group CIES'!S115)</f>
        <v>0</v>
      </c>
    </row>
    <row r="250" spans="1:15" ht="12.75" customHeight="1" x14ac:dyDescent="0.3">
      <c r="A250" s="3" t="str">
        <f t="shared" si="10"/>
        <v>Do Not Print</v>
      </c>
      <c r="D250" s="2013" t="s">
        <v>208</v>
      </c>
      <c r="E250" s="2013"/>
      <c r="F250" s="2013"/>
      <c r="G250" s="2013"/>
      <c r="H250" s="2013"/>
      <c r="I250" s="599" t="s">
        <v>1331</v>
      </c>
      <c r="J250" s="600">
        <f>-J282</f>
        <v>0</v>
      </c>
      <c r="K250" s="600">
        <f>-K282</f>
        <v>0</v>
      </c>
    </row>
    <row r="251" spans="1:15" ht="12.75" customHeight="1" x14ac:dyDescent="0.3">
      <c r="A251" s="3" t="str">
        <f t="shared" si="10"/>
        <v>Do Not Print</v>
      </c>
      <c r="D251" s="2013" t="s">
        <v>1322</v>
      </c>
      <c r="E251" s="2013"/>
      <c r="F251" s="2013"/>
      <c r="G251" s="2013"/>
      <c r="H251" s="2013"/>
      <c r="I251" s="599">
        <v>3</v>
      </c>
      <c r="J251" s="600">
        <f>'GROUP Account notes'!G41</f>
        <v>0</v>
      </c>
      <c r="K251" s="600">
        <f>'GROUP Account notes'!I41</f>
        <v>0</v>
      </c>
      <c r="O251" s="3"/>
    </row>
    <row r="252" spans="1:15" ht="12.75" customHeight="1" x14ac:dyDescent="0.3">
      <c r="A252" s="3" t="str">
        <f t="shared" si="10"/>
        <v>Do Not Print</v>
      </c>
      <c r="D252" s="2013" t="s">
        <v>1323</v>
      </c>
      <c r="E252" s="2013"/>
      <c r="F252" s="2013"/>
      <c r="G252" s="2013"/>
      <c r="H252" s="2013"/>
      <c r="I252" s="599">
        <v>3</v>
      </c>
      <c r="J252" s="600">
        <f>'GROUP Account notes'!H56</f>
        <v>0</v>
      </c>
      <c r="K252" s="600">
        <f>'GROUP Account notes'!J56</f>
        <v>0</v>
      </c>
    </row>
    <row r="253" spans="1:15" ht="16.5" customHeight="1" x14ac:dyDescent="0.3">
      <c r="A253" s="3" t="str">
        <f t="shared" si="10"/>
        <v>Do Not Print</v>
      </c>
      <c r="D253" s="2013" t="s">
        <v>566</v>
      </c>
      <c r="E253" s="2013"/>
      <c r="F253" s="2013"/>
      <c r="G253" s="2013"/>
      <c r="H253" s="2013"/>
      <c r="I253" s="599" t="s">
        <v>1331</v>
      </c>
      <c r="J253" s="600">
        <f>-J285</f>
        <v>0</v>
      </c>
      <c r="K253" s="600">
        <f>-K285</f>
        <v>0</v>
      </c>
    </row>
    <row r="254" spans="1:15" ht="12.75" customHeight="1" x14ac:dyDescent="0.3">
      <c r="A254" s="3" t="str">
        <f t="shared" si="10"/>
        <v>Do Not Print</v>
      </c>
      <c r="D254" s="2013" t="s">
        <v>347</v>
      </c>
      <c r="E254" s="2013"/>
      <c r="F254" s="2013"/>
      <c r="G254" s="2013"/>
      <c r="H254" s="2013"/>
      <c r="I254" s="599" t="s">
        <v>154</v>
      </c>
      <c r="J254" s="600">
        <f>-'GROUP Det Group CIES'!P120</f>
        <v>0</v>
      </c>
      <c r="K254" s="600">
        <f>-'GROUP Det Group CIES'!S120</f>
        <v>0</v>
      </c>
    </row>
    <row r="255" spans="1:15" ht="28.5" customHeight="1" x14ac:dyDescent="0.3">
      <c r="A255" s="3" t="str">
        <f t="shared" si="10"/>
        <v>Do Not Print</v>
      </c>
      <c r="D255" s="2013" t="s">
        <v>1324</v>
      </c>
      <c r="E255" s="2013"/>
      <c r="F255" s="2013"/>
      <c r="G255" s="2013"/>
      <c r="H255" s="2013"/>
      <c r="I255" s="599"/>
      <c r="J255" s="600">
        <f>'GROUP Non TB - Group Acc notes'!H236</f>
        <v>0</v>
      </c>
      <c r="K255" s="600">
        <f>'GROUP Non TB - Group Acc notes'!I236</f>
        <v>0</v>
      </c>
      <c r="O255" s="3"/>
    </row>
    <row r="256" spans="1:15" ht="12.75" customHeight="1" x14ac:dyDescent="0.3">
      <c r="A256" s="3" t="str">
        <f t="shared" si="10"/>
        <v>Do Not Print</v>
      </c>
      <c r="D256" s="2013" t="s">
        <v>1325</v>
      </c>
      <c r="E256" s="2013"/>
      <c r="F256" s="2013"/>
      <c r="G256" s="2013"/>
      <c r="H256" s="2013"/>
      <c r="I256" s="599" t="s">
        <v>1696</v>
      </c>
      <c r="J256" s="600">
        <f>-J346</f>
        <v>0</v>
      </c>
      <c r="K256" s="600">
        <f>-K346</f>
        <v>0</v>
      </c>
    </row>
    <row r="257" spans="1:15" ht="12.75" customHeight="1" x14ac:dyDescent="0.3">
      <c r="A257" s="3" t="str">
        <f t="shared" si="10"/>
        <v>Do Not Print</v>
      </c>
      <c r="D257" s="2013" t="s">
        <v>1326</v>
      </c>
      <c r="E257" s="2013"/>
      <c r="F257" s="2013"/>
      <c r="G257" s="2013"/>
      <c r="H257" s="2013"/>
      <c r="I257" s="599" t="s">
        <v>1697</v>
      </c>
      <c r="J257" s="600">
        <f>-J186-J286</f>
        <v>0</v>
      </c>
      <c r="K257" s="600">
        <f>('Notes 3 to 10'!I99)-(('Note 11'!P50-'Note 11'!P66))</f>
        <v>0</v>
      </c>
    </row>
    <row r="258" spans="1:15" ht="44.25" customHeight="1" x14ac:dyDescent="0.3">
      <c r="A258" s="3" t="str">
        <f t="shared" si="10"/>
        <v>Do Not Print</v>
      </c>
      <c r="D258" s="2013" t="s">
        <v>1314</v>
      </c>
      <c r="E258" s="2013"/>
      <c r="F258" s="2013"/>
      <c r="G258" s="2013"/>
      <c r="H258" s="2013"/>
      <c r="I258" s="599"/>
      <c r="J258" s="600">
        <f>-('GROUP Account notes'!H45-'GROUP Account notes'!H51)</f>
        <v>0</v>
      </c>
      <c r="K258" s="600">
        <f>-('GROUP Account notes'!J45-'GROUP Account notes'!J51)</f>
        <v>0</v>
      </c>
    </row>
    <row r="259" spans="1:15" ht="12.75" customHeight="1" x14ac:dyDescent="0.3">
      <c r="A259" s="3" t="str">
        <f>IF(AND(K259=0,J259=0),"Do Not Print","Print")</f>
        <v>Do Not Print</v>
      </c>
      <c r="D259" s="2013" t="s">
        <v>1315</v>
      </c>
      <c r="E259" s="2013"/>
      <c r="F259" s="2013"/>
      <c r="G259" s="2013"/>
      <c r="H259" s="2013"/>
      <c r="I259" s="599"/>
      <c r="J259" s="601">
        <f>-'GROUP Account notes'!H53-'GROUP Account notes'!H54</f>
        <v>0</v>
      </c>
      <c r="K259" s="600">
        <f>-'GROUP Account notes'!J53-'GROUP Account notes'!J54</f>
        <v>0</v>
      </c>
    </row>
    <row r="260" spans="1:15" x14ac:dyDescent="0.3">
      <c r="A260" s="3" t="s">
        <v>448</v>
      </c>
      <c r="D260" s="2012"/>
      <c r="E260" s="2012"/>
      <c r="F260" s="2012"/>
      <c r="G260" s="2012"/>
      <c r="H260" s="2012"/>
      <c r="I260" s="2012"/>
      <c r="J260" s="2012"/>
      <c r="K260" s="2012"/>
    </row>
    <row r="261" spans="1:15" x14ac:dyDescent="0.3">
      <c r="A261" s="3" t="str">
        <f>IF(AND(K261=0,J261=0),"Do Not Print","Print")</f>
        <v>Do Not Print</v>
      </c>
      <c r="D261" s="474" t="s">
        <v>532</v>
      </c>
      <c r="E261" s="474"/>
      <c r="F261" s="474"/>
      <c r="G261" s="474"/>
      <c r="H261" s="604"/>
      <c r="I261" s="486"/>
      <c r="J261" s="606">
        <f>SUM(J247:J259)</f>
        <v>0</v>
      </c>
      <c r="K261" s="606">
        <f>SUM(K247:K259)</f>
        <v>0</v>
      </c>
    </row>
    <row r="262" spans="1:15" x14ac:dyDescent="0.3">
      <c r="A262" s="3" t="str">
        <f>IF(A261="Print","Print","Do Not Print")</f>
        <v>Do Not Print</v>
      </c>
      <c r="D262" s="1500"/>
      <c r="E262" s="1500"/>
      <c r="F262" s="1500"/>
      <c r="G262" s="1500"/>
      <c r="H262" s="1500"/>
      <c r="I262" s="1500"/>
      <c r="J262" s="1500"/>
      <c r="K262" s="1500"/>
    </row>
    <row r="263" spans="1:15" x14ac:dyDescent="0.3">
      <c r="A263" s="3" t="str">
        <f>IF(A262="Print","Print","Do Not Print")</f>
        <v>Do Not Print</v>
      </c>
      <c r="D263" s="1500"/>
      <c r="E263" s="1500"/>
      <c r="F263" s="1500"/>
      <c r="G263" s="1500"/>
      <c r="H263" s="1500"/>
      <c r="I263" s="1500"/>
      <c r="J263" s="1500"/>
      <c r="K263" s="1500"/>
    </row>
    <row r="264" spans="1:15" x14ac:dyDescent="0.3">
      <c r="A264" s="3" t="str">
        <f>IF(OR(A265="Print",A293="Print",A303="Print",A321="Print",A341="Print",A351="Print",A362="Print",A373="Print",A387="Print"),"Print","Do Not Print")</f>
        <v>Print</v>
      </c>
      <c r="B264" s="468" t="str">
        <f>Checklist!E202</f>
        <v>G12</v>
      </c>
      <c r="C264" s="632"/>
      <c r="D264" s="1726" t="s">
        <v>427</v>
      </c>
      <c r="E264" s="1726"/>
      <c r="F264" s="1726"/>
      <c r="G264" s="1726"/>
      <c r="H264" s="1726"/>
      <c r="I264" s="1726"/>
      <c r="J264" s="1726"/>
      <c r="K264" s="1726"/>
      <c r="M264" s="206">
        <f>'Standing Data'!D44</f>
        <v>46112</v>
      </c>
      <c r="N264" s="206">
        <f>'Standing Data'!D72</f>
        <v>45747</v>
      </c>
    </row>
    <row r="265" spans="1:15" x14ac:dyDescent="0.3">
      <c r="A265" s="3" t="str">
        <f>IF(OR(A267="Print",A269="Print",A271="Print",A273="Print",A275="Print",A277="Print"),"Print","Do Not Print")</f>
        <v>Print</v>
      </c>
      <c r="C265" s="585" t="str">
        <f>Checklist!E203</f>
        <v>a</v>
      </c>
      <c r="D265" s="1726" t="s">
        <v>323</v>
      </c>
      <c r="E265" s="1726"/>
      <c r="F265" s="1726"/>
      <c r="G265" s="1726"/>
      <c r="H265" s="1726"/>
      <c r="I265" s="1726"/>
      <c r="J265" s="1726"/>
      <c r="K265" s="1726"/>
      <c r="L265" s="6"/>
      <c r="M265" s="3" t="s">
        <v>450</v>
      </c>
      <c r="N265" s="3" t="s">
        <v>450</v>
      </c>
    </row>
    <row r="266" spans="1:15" ht="14.4" x14ac:dyDescent="0.3">
      <c r="A266" s="3" t="str">
        <f>IF(A265="Print","Print","Do Not Print")</f>
        <v>Print</v>
      </c>
      <c r="D266" s="1726"/>
      <c r="E266" s="1726"/>
      <c r="F266" s="1726"/>
      <c r="G266" s="1726"/>
      <c r="H266" s="1726"/>
      <c r="I266" s="1726"/>
      <c r="J266" s="1726"/>
      <c r="K266" s="1726"/>
      <c r="L266" s="104" t="s">
        <v>968</v>
      </c>
      <c r="M266" s="204">
        <f>(J291+J301+J319+J331+J349+J360+J371+J385+J400)-'GROUP Prime'!G156</f>
        <v>0</v>
      </c>
      <c r="N266" s="204">
        <f>(K291+K301+K319+K331+K349+K360+K371+K385+K400)-'GROUP Prime'!H156</f>
        <v>0</v>
      </c>
      <c r="O266" s="3" t="s">
        <v>1610</v>
      </c>
    </row>
    <row r="267" spans="1:15" ht="41.25" customHeight="1" x14ac:dyDescent="0.3">
      <c r="A267" s="3" t="str">
        <f>IF('GROUP Non TB - Group Acc notes'!F237=1,"Print","Do Not Print")</f>
        <v>Print</v>
      </c>
      <c r="D267" s="1513" t="str">
        <f>IF('GROUP Non TB - Group Acc notes'!F237=1,'GROUP Non TB - Group Acc notes'!H237,"")</f>
        <v>The Capital Adjustment Account absorbs the timing differences arising from the different arrangements for accounting for the consumption of non-current assets and for the acquisition, construction or enhancement of those assets under statutory provisions.</v>
      </c>
      <c r="E267" s="1513"/>
      <c r="F267" s="1513"/>
      <c r="G267" s="1513"/>
      <c r="H267" s="1513"/>
      <c r="I267" s="1513"/>
      <c r="J267" s="1513"/>
      <c r="K267" s="1513"/>
    </row>
    <row r="268" spans="1:15" ht="12.75" customHeight="1" x14ac:dyDescent="0.3">
      <c r="A268" s="3" t="str">
        <f>IF(A267="Print","Print","Do Not Print")</f>
        <v>Print</v>
      </c>
      <c r="D268" s="1513"/>
      <c r="E268" s="1513"/>
      <c r="F268" s="1513"/>
      <c r="G268" s="1513"/>
      <c r="H268" s="1513"/>
      <c r="I268" s="1513"/>
      <c r="J268" s="1513"/>
      <c r="K268" s="1513"/>
    </row>
    <row r="269" spans="1:15" ht="52.5" customHeight="1" x14ac:dyDescent="0.3">
      <c r="A269" s="3" t="str">
        <f>IF('GROUP Non TB - Group Acc notes'!F238=1,"Print","Do Not Print")</f>
        <v>Print</v>
      </c>
      <c r="D269" s="1513" t="str">
        <f>IF('GROUP Non TB - Group Acc notes'!F238=1,'GROUP Non TB - Group Acc notes'!H238,"")</f>
        <v>The Account is debited with the cost of acquisition, construction or enhancement as depreciation, impairment losses and amortisations are charged to the Comprehensive Income and Expenditure Statement, with reconciling postings from the Revaluation Reserve to convert fair value figures to an historic cost basis.</v>
      </c>
      <c r="E269" s="1513"/>
      <c r="F269" s="1513"/>
      <c r="G269" s="1513"/>
      <c r="H269" s="1513"/>
      <c r="I269" s="1513"/>
      <c r="J269" s="1513"/>
      <c r="K269" s="1513"/>
    </row>
    <row r="270" spans="1:15" ht="12.75" customHeight="1" x14ac:dyDescent="0.3">
      <c r="A270" s="3" t="str">
        <f>IF(A269="Print","Print","Do Not Print")</f>
        <v>Print</v>
      </c>
      <c r="D270" s="1513"/>
      <c r="E270" s="1513"/>
      <c r="F270" s="1513"/>
      <c r="G270" s="1513"/>
      <c r="H270" s="1513"/>
      <c r="I270" s="1513"/>
      <c r="J270" s="1513"/>
      <c r="K270" s="1513"/>
    </row>
    <row r="271" spans="1:15" ht="29.55" customHeight="1" x14ac:dyDescent="0.3">
      <c r="A271" s="3" t="str">
        <f>IF('GROUP Non TB - Group Acc notes'!F239=1,"Print","Do Not Print")</f>
        <v>Print</v>
      </c>
      <c r="D271" s="1513" t="str">
        <f>IF('GROUP Non TB - Group Acc notes'!F239=1,'GROUP Non TB - Group Acc notes'!H239,"")</f>
        <v>The Account contains accumulated gains and losses on Investment Properties and gains recognised on donated assets that have yet to be consumed by the Council.</v>
      </c>
      <c r="E271" s="1513"/>
      <c r="F271" s="1513"/>
      <c r="G271" s="1513"/>
      <c r="H271" s="1513"/>
      <c r="I271" s="1513"/>
      <c r="J271" s="1513"/>
      <c r="K271" s="1513"/>
    </row>
    <row r="272" spans="1:15" ht="12.75" customHeight="1" x14ac:dyDescent="0.3">
      <c r="A272" s="3" t="str">
        <f>IF(A271="Print","Print","Do Not Print")</f>
        <v>Print</v>
      </c>
      <c r="D272" s="1513"/>
      <c r="E272" s="1513"/>
      <c r="F272" s="1513"/>
      <c r="G272" s="1513"/>
      <c r="H272" s="1513"/>
      <c r="I272" s="1513"/>
      <c r="J272" s="1513"/>
      <c r="K272" s="1513"/>
    </row>
    <row r="273" spans="1:15" ht="26.55" customHeight="1" x14ac:dyDescent="0.3">
      <c r="A273" s="3" t="str">
        <f>IF('GROUP Non TB - Group Acc notes'!F240=1,"Print","Do Not Print")</f>
        <v>Print</v>
      </c>
      <c r="D273" s="1513" t="str">
        <f>IF('GROUP Non TB - Group Acc notes'!F240=1,'GROUP Non TB - Group Acc notes'!H240,"")</f>
        <v>The Account also contains revaluation gains accumulated on Property, Plant and Equipment before 1 April 2008, the date that the Revaluation Reserve was created to hold such gains.</v>
      </c>
      <c r="E273" s="1513"/>
      <c r="F273" s="1513"/>
      <c r="G273" s="1513"/>
      <c r="H273" s="1513"/>
      <c r="I273" s="1513"/>
      <c r="J273" s="1513"/>
      <c r="K273" s="1513"/>
    </row>
    <row r="274" spans="1:15" x14ac:dyDescent="0.3">
      <c r="A274" s="3" t="str">
        <f>IF(A273="Print","Print","Do Not Print")</f>
        <v>Print</v>
      </c>
      <c r="D274" s="1500"/>
      <c r="E274" s="1500"/>
      <c r="F274" s="1500"/>
      <c r="G274" s="1500"/>
      <c r="H274" s="1500"/>
      <c r="I274" s="1500"/>
      <c r="J274" s="1500"/>
      <c r="K274" s="1500"/>
    </row>
    <row r="275" spans="1:15" ht="56.25" customHeight="1" x14ac:dyDescent="0.3">
      <c r="A275" s="3" t="str">
        <f>IF('GROUP Non TB - Group Acc notes'!F241=1,"Print","Do Not Print")</f>
        <v>Print</v>
      </c>
      <c r="D275" s="1510" t="str">
        <f>IF('GROUP Non TB - Group Acc notes'!F241=1,'GROUP Non TB - Group Acc notes'!H241,"")</f>
        <v>Additional narrative</v>
      </c>
      <c r="E275" s="1510"/>
      <c r="F275" s="1510"/>
      <c r="G275" s="1510"/>
      <c r="H275" s="1510"/>
      <c r="I275" s="1510"/>
      <c r="J275" s="1510"/>
      <c r="K275" s="1510"/>
    </row>
    <row r="276" spans="1:15" x14ac:dyDescent="0.3">
      <c r="A276" s="3" t="str">
        <f>IF(A275="Print","Print","Do Not Print")</f>
        <v>Print</v>
      </c>
      <c r="D276" s="1500"/>
      <c r="E276" s="1500"/>
      <c r="F276" s="1500"/>
      <c r="G276" s="1500"/>
      <c r="H276" s="1500"/>
      <c r="I276" s="1500"/>
      <c r="J276" s="1500"/>
      <c r="K276" s="1500"/>
    </row>
    <row r="277" spans="1:15" x14ac:dyDescent="0.3">
      <c r="A277" s="3" t="str">
        <f>IF(AND(J291=0,K291=0),"Do Not Print","Print")</f>
        <v>Do Not Print</v>
      </c>
      <c r="D277" s="474" t="s">
        <v>323</v>
      </c>
      <c r="E277" s="474"/>
      <c r="F277" s="474"/>
      <c r="G277" s="474"/>
      <c r="H277" s="604"/>
      <c r="I277" s="486" t="s">
        <v>343</v>
      </c>
      <c r="J277" s="586">
        <f>J181</f>
        <v>46112</v>
      </c>
      <c r="K277" s="586">
        <f>K181</f>
        <v>45747</v>
      </c>
    </row>
    <row r="278" spans="1:15" x14ac:dyDescent="0.3">
      <c r="A278" s="3" t="str">
        <f>IF(A277="Print","Print","Do Not Print")</f>
        <v>Do Not Print</v>
      </c>
      <c r="D278" s="2012"/>
      <c r="E278" s="2012"/>
      <c r="F278" s="2012"/>
      <c r="G278" s="2012"/>
      <c r="H278" s="2012"/>
      <c r="I278" s="2012"/>
      <c r="J278" s="648" t="s">
        <v>450</v>
      </c>
      <c r="K278" s="648" t="s">
        <v>450</v>
      </c>
    </row>
    <row r="279" spans="1:15" x14ac:dyDescent="0.3">
      <c r="A279" s="3" t="str">
        <f>IF(AND(K279=0,J279=0),"Do Not Print","Print")</f>
        <v>Do Not Print</v>
      </c>
      <c r="D279" s="2033" t="s">
        <v>530</v>
      </c>
      <c r="E279" s="2033"/>
      <c r="F279" s="2033"/>
      <c r="G279" s="2033"/>
      <c r="H279" s="2033"/>
      <c r="I279" s="599"/>
      <c r="J279" s="600">
        <f>K291</f>
        <v>0</v>
      </c>
      <c r="K279" s="601">
        <f>'GROUP Det Group BS'!K545</f>
        <v>0</v>
      </c>
    </row>
    <row r="280" spans="1:15" x14ac:dyDescent="0.3">
      <c r="A280" s="3" t="str">
        <f t="shared" ref="A280:A288" si="11">IF(AND(K280=0,J280=0),"Do Not Print","Print")</f>
        <v>Do Not Print</v>
      </c>
      <c r="D280" s="2033" t="s">
        <v>207</v>
      </c>
      <c r="E280" s="2033"/>
      <c r="F280" s="2033"/>
      <c r="G280" s="2033"/>
      <c r="H280" s="2033"/>
      <c r="I280" s="599" t="s">
        <v>1695</v>
      </c>
      <c r="J280" s="600">
        <f>SUM('GROUP Det Group CIES'!P110:P113)</f>
        <v>0</v>
      </c>
      <c r="K280" s="600">
        <f>SUM('GROUP Det Group CIES'!S110:S113)</f>
        <v>0</v>
      </c>
    </row>
    <row r="281" spans="1:15" x14ac:dyDescent="0.3">
      <c r="A281" s="3" t="str">
        <f t="shared" si="11"/>
        <v>Do Not Print</v>
      </c>
      <c r="D281" s="2033" t="s">
        <v>1317</v>
      </c>
      <c r="E281" s="2033"/>
      <c r="F281" s="2033"/>
      <c r="G281" s="2033"/>
      <c r="H281" s="2033"/>
      <c r="I281" s="599"/>
      <c r="J281" s="601">
        <f>J203</f>
        <v>0</v>
      </c>
      <c r="K281" s="601">
        <f>K203</f>
        <v>0</v>
      </c>
    </row>
    <row r="282" spans="1:15" x14ac:dyDescent="0.3">
      <c r="A282" s="3" t="str">
        <f t="shared" si="11"/>
        <v>Do Not Print</v>
      </c>
      <c r="D282" s="2033" t="s">
        <v>208</v>
      </c>
      <c r="E282" s="2033"/>
      <c r="F282" s="2033"/>
      <c r="G282" s="2033"/>
      <c r="H282" s="2033"/>
      <c r="I282" s="599" t="s">
        <v>1331</v>
      </c>
      <c r="J282" s="601">
        <f>'GROUP Account notes'!H47</f>
        <v>0</v>
      </c>
      <c r="K282" s="601">
        <f>'GROUP Account notes'!J47</f>
        <v>0</v>
      </c>
      <c r="O282" s="3"/>
    </row>
    <row r="283" spans="1:15" ht="13.05" customHeight="1" x14ac:dyDescent="0.3">
      <c r="A283" s="3" t="str">
        <f t="shared" si="11"/>
        <v>Do Not Print</v>
      </c>
      <c r="D283" s="2033" t="s">
        <v>1328</v>
      </c>
      <c r="E283" s="2033"/>
      <c r="F283" s="2033"/>
      <c r="G283" s="2033"/>
      <c r="H283" s="2033"/>
      <c r="I283" s="599">
        <v>10</v>
      </c>
      <c r="J283" s="601">
        <f>-'GROUP Account notes'!G41</f>
        <v>0</v>
      </c>
      <c r="K283" s="601">
        <f>-'GROUP Account notes'!I41</f>
        <v>0</v>
      </c>
      <c r="O283" s="3"/>
    </row>
    <row r="284" spans="1:15" x14ac:dyDescent="0.3">
      <c r="A284" s="3" t="str">
        <f t="shared" si="11"/>
        <v>Do Not Print</v>
      </c>
      <c r="D284" s="2033" t="s">
        <v>1323</v>
      </c>
      <c r="E284" s="2033"/>
      <c r="F284" s="2033"/>
      <c r="G284" s="2033"/>
      <c r="H284" s="2033"/>
      <c r="I284" s="599">
        <v>3</v>
      </c>
      <c r="J284" s="600">
        <f>-'GROUP Account notes'!H56</f>
        <v>0</v>
      </c>
      <c r="K284" s="600">
        <f>-'GROUP Account notes'!J56</f>
        <v>0</v>
      </c>
      <c r="O284" s="3"/>
    </row>
    <row r="285" spans="1:15" x14ac:dyDescent="0.3">
      <c r="A285" s="3" t="str">
        <f t="shared" si="11"/>
        <v>Do Not Print</v>
      </c>
      <c r="D285" s="2033" t="s">
        <v>1329</v>
      </c>
      <c r="E285" s="2033"/>
      <c r="F285" s="2033"/>
      <c r="G285" s="2033"/>
      <c r="H285" s="2033"/>
      <c r="I285" s="599" t="s">
        <v>1331</v>
      </c>
      <c r="J285" s="600">
        <f>-'GROUP Account notes'!H42</f>
        <v>0</v>
      </c>
      <c r="K285" s="600">
        <f>-'GROUP Account notes'!J42</f>
        <v>0</v>
      </c>
      <c r="O285" s="3"/>
    </row>
    <row r="286" spans="1:15" x14ac:dyDescent="0.3">
      <c r="A286" s="3" t="str">
        <f t="shared" si="11"/>
        <v>Do Not Print</v>
      </c>
      <c r="D286" s="2033" t="s">
        <v>3000</v>
      </c>
      <c r="E286" s="2033"/>
      <c r="F286" s="2033"/>
      <c r="G286" s="2033"/>
      <c r="H286" s="2033"/>
      <c r="I286" s="599" t="s">
        <v>1699</v>
      </c>
      <c r="J286" s="601">
        <f>+'GROUP Account Fixed Assets'!P20-'GROUP Account Fixed Assets'!P36</f>
        <v>0</v>
      </c>
      <c r="K286" s="600">
        <f>+'GROUP Account Fixed Assets'!P56-'GROUP Account Fixed Assets'!P75</f>
        <v>0</v>
      </c>
    </row>
    <row r="287" spans="1:15" x14ac:dyDescent="0.3">
      <c r="A287" s="3" t="str">
        <f t="shared" si="11"/>
        <v>Do Not Print</v>
      </c>
      <c r="D287" s="2033" t="s">
        <v>196</v>
      </c>
      <c r="E287" s="2033"/>
      <c r="F287" s="2033"/>
      <c r="G287" s="2033"/>
      <c r="H287" s="2033"/>
      <c r="I287" s="599" t="s">
        <v>1331</v>
      </c>
      <c r="J287" s="600">
        <f>-J187</f>
        <v>0</v>
      </c>
      <c r="K287" s="600">
        <f>-K187</f>
        <v>0</v>
      </c>
      <c r="O287" s="3"/>
    </row>
    <row r="288" spans="1:15" x14ac:dyDescent="0.3">
      <c r="A288" s="3" t="str">
        <f t="shared" si="11"/>
        <v>Do Not Print</v>
      </c>
      <c r="D288" s="2033" t="s">
        <v>1315</v>
      </c>
      <c r="E288" s="2033"/>
      <c r="F288" s="2033"/>
      <c r="G288" s="2033"/>
      <c r="H288" s="2033"/>
      <c r="I288" s="599"/>
      <c r="J288" s="598">
        <f>'GROUP Non TB - Group Acc notes'!H242</f>
        <v>0</v>
      </c>
      <c r="K288" s="598">
        <f>'GROUP Non TB - Group Acc notes'!I242</f>
        <v>0</v>
      </c>
    </row>
    <row r="289" spans="1:15" ht="26.25" customHeight="1" x14ac:dyDescent="0.3">
      <c r="A289" s="3" t="str">
        <f>IF(AND(K289=0,J289=0),"Do Not Print","Print")</f>
        <v>Do Not Print</v>
      </c>
      <c r="D289" s="2033" t="s">
        <v>1330</v>
      </c>
      <c r="E289" s="2033"/>
      <c r="F289" s="2033"/>
      <c r="G289" s="2033"/>
      <c r="H289" s="2033"/>
      <c r="I289" s="599">
        <v>11</v>
      </c>
      <c r="J289" s="601">
        <f>-J214-J225-J235</f>
        <v>0</v>
      </c>
      <c r="K289" s="601">
        <f>-K214-K225-K235</f>
        <v>0</v>
      </c>
      <c r="O289" s="3"/>
    </row>
    <row r="290" spans="1:15" x14ac:dyDescent="0.3">
      <c r="A290" s="3" t="str">
        <f>IF(A289="Print","Print","Do Not Print")</f>
        <v>Do Not Print</v>
      </c>
      <c r="D290" s="2034"/>
      <c r="E290" s="2034"/>
      <c r="F290" s="2034"/>
      <c r="G290" s="2034"/>
      <c r="H290" s="2034"/>
      <c r="I290" s="2034"/>
      <c r="J290" s="2034"/>
      <c r="K290" s="2034"/>
    </row>
    <row r="291" spans="1:15" x14ac:dyDescent="0.3">
      <c r="A291" s="3" t="str">
        <f>IF(AND(K291=0,J289=0),"Do Not Print","Print")</f>
        <v>Do Not Print</v>
      </c>
      <c r="D291" s="479" t="s">
        <v>532</v>
      </c>
      <c r="E291" s="479"/>
      <c r="F291" s="479"/>
      <c r="G291" s="479"/>
      <c r="H291" s="604"/>
      <c r="I291" s="633"/>
      <c r="J291" s="617">
        <f>SUM(J279:J289)</f>
        <v>0</v>
      </c>
      <c r="K291" s="617">
        <f>SUM(K279:K289)</f>
        <v>0</v>
      </c>
    </row>
    <row r="292" spans="1:15" x14ac:dyDescent="0.3">
      <c r="A292" s="3" t="str">
        <f>IF(A291="Print","Print","Do Not Print")</f>
        <v>Do Not Print</v>
      </c>
      <c r="D292" s="1500"/>
      <c r="E292" s="1500"/>
      <c r="F292" s="1500"/>
      <c r="G292" s="1500"/>
      <c r="H292" s="1500"/>
      <c r="I292" s="1500"/>
      <c r="J292" s="1500"/>
      <c r="K292" s="1500"/>
    </row>
    <row r="293" spans="1:15" x14ac:dyDescent="0.3">
      <c r="A293" s="3" t="str">
        <f>IF(OR(A295="Print"),"Print","Do Not Print")</f>
        <v>Do Not Print</v>
      </c>
      <c r="C293" s="585" t="str">
        <f>Checklist!E204</f>
        <v>b</v>
      </c>
      <c r="D293" s="1726" t="s">
        <v>429</v>
      </c>
      <c r="E293" s="1726"/>
      <c r="F293" s="1726"/>
      <c r="G293" s="1726"/>
      <c r="H293" s="1726"/>
      <c r="I293" s="1726"/>
      <c r="J293" s="1726"/>
      <c r="K293" s="1726"/>
    </row>
    <row r="294" spans="1:15" x14ac:dyDescent="0.3">
      <c r="A294" s="3" t="str">
        <f>IF(A293="Print","Print","Do Not Print")</f>
        <v>Do Not Print</v>
      </c>
      <c r="D294" s="1500"/>
      <c r="E294" s="1500"/>
      <c r="F294" s="1500"/>
      <c r="G294" s="1500"/>
      <c r="H294" s="1500"/>
      <c r="I294" s="1500"/>
      <c r="J294" s="1500"/>
      <c r="K294" s="1500"/>
    </row>
    <row r="295" spans="1:15" x14ac:dyDescent="0.3">
      <c r="A295" s="3" t="str">
        <f>IF(AND(J301=0,K301=0),"Do Not Print","Print")</f>
        <v>Do Not Print</v>
      </c>
      <c r="D295" s="474" t="s">
        <v>429</v>
      </c>
      <c r="E295" s="474"/>
      <c r="F295" s="474"/>
      <c r="G295" s="474"/>
      <c r="H295" s="604"/>
      <c r="I295" s="486" t="s">
        <v>343</v>
      </c>
      <c r="J295" s="586">
        <f>J181</f>
        <v>46112</v>
      </c>
      <c r="K295" s="586">
        <f>K181</f>
        <v>45747</v>
      </c>
    </row>
    <row r="296" spans="1:15" x14ac:dyDescent="0.3">
      <c r="A296" s="3" t="str">
        <f>IF(A295="Print","Print","Do Not Print")</f>
        <v>Do Not Print</v>
      </c>
      <c r="D296" s="2012"/>
      <c r="E296" s="2012"/>
      <c r="F296" s="2012"/>
      <c r="G296" s="2012"/>
      <c r="H296" s="2012"/>
      <c r="I296" s="2012"/>
      <c r="J296" s="648" t="s">
        <v>450</v>
      </c>
      <c r="K296" s="648" t="s">
        <v>450</v>
      </c>
    </row>
    <row r="297" spans="1:15" x14ac:dyDescent="0.3">
      <c r="A297" s="3" t="str">
        <f>IF(AND(J297=0,K297=0),"Do Not Print","Print")</f>
        <v>Do Not Print</v>
      </c>
      <c r="D297" s="2033" t="s">
        <v>530</v>
      </c>
      <c r="E297" s="2033"/>
      <c r="F297" s="2033"/>
      <c r="G297" s="2033"/>
      <c r="H297" s="2033"/>
      <c r="I297" s="599"/>
      <c r="J297" s="656">
        <f>K301</f>
        <v>0</v>
      </c>
      <c r="K297" s="657">
        <f>'GROUP Det Group BS'!K546</f>
        <v>0</v>
      </c>
    </row>
    <row r="298" spans="1:15" x14ac:dyDescent="0.3">
      <c r="A298" s="3"/>
      <c r="D298" s="2013" t="s">
        <v>3001</v>
      </c>
      <c r="E298" s="2013"/>
      <c r="F298" s="2013"/>
      <c r="G298" s="2013"/>
      <c r="H298" s="2013"/>
      <c r="I298" s="658"/>
      <c r="J298" s="659">
        <f>'GROUP Non TB - Group Acc notes'!H243</f>
        <v>0</v>
      </c>
      <c r="K298" s="659">
        <v>0</v>
      </c>
    </row>
    <row r="299" spans="1:15" s="78" customFormat="1" ht="41.25" customHeight="1" x14ac:dyDescent="0.3">
      <c r="A299" s="3" t="str">
        <f>IF(AND(J299=0,K299=0),"Do Not Print","Print")</f>
        <v>Do Not Print</v>
      </c>
      <c r="B299" s="597"/>
      <c r="C299" s="597"/>
      <c r="D299" s="2013" t="s">
        <v>1314</v>
      </c>
      <c r="E299" s="2013"/>
      <c r="F299" s="2013"/>
      <c r="G299" s="2013"/>
      <c r="H299" s="2013"/>
      <c r="I299" s="658">
        <v>3</v>
      </c>
      <c r="J299" s="659">
        <f>'GROUP Account notes'!H45</f>
        <v>0</v>
      </c>
      <c r="K299" s="659">
        <f>'GROUP Account notes'!J45</f>
        <v>0</v>
      </c>
      <c r="L299" s="23"/>
      <c r="M299" s="23"/>
      <c r="N299" s="23"/>
    </row>
    <row r="300" spans="1:15" x14ac:dyDescent="0.3">
      <c r="A300" s="3" t="str">
        <f>IF(A299="Print","Print","Do Not Print")</f>
        <v>Do Not Print</v>
      </c>
      <c r="D300" s="2012"/>
      <c r="E300" s="2012"/>
      <c r="F300" s="2012"/>
      <c r="G300" s="2012"/>
      <c r="H300" s="2012"/>
      <c r="I300" s="2012"/>
      <c r="J300" s="2012"/>
      <c r="K300" s="2012"/>
    </row>
    <row r="301" spans="1:15" x14ac:dyDescent="0.3">
      <c r="A301" s="3" t="str">
        <f>IF(AND(J299=0,K299=0),"Do Not Print","Print")</f>
        <v>Do Not Print</v>
      </c>
      <c r="D301" s="479" t="s">
        <v>532</v>
      </c>
      <c r="E301" s="479"/>
      <c r="F301" s="479"/>
      <c r="G301" s="479"/>
      <c r="H301" s="604"/>
      <c r="I301" s="633"/>
      <c r="J301" s="660">
        <f>SUM(J297:J299)</f>
        <v>0</v>
      </c>
      <c r="K301" s="660">
        <f>SUM(K297:K299)</f>
        <v>0</v>
      </c>
    </row>
    <row r="302" spans="1:15" x14ac:dyDescent="0.3">
      <c r="A302" s="3" t="str">
        <f>IF(A301="Print","Print","Do Not Print")</f>
        <v>Do Not Print</v>
      </c>
      <c r="D302" s="1500"/>
      <c r="E302" s="1500"/>
      <c r="F302" s="1500"/>
      <c r="G302" s="1500"/>
      <c r="H302" s="1500"/>
      <c r="I302" s="1500"/>
      <c r="J302" s="1500"/>
      <c r="K302" s="1500"/>
    </row>
    <row r="303" spans="1:15" x14ac:dyDescent="0.3">
      <c r="A303" s="3" t="str">
        <f>IF(OR(A305="Print",A307="Print",A309="Print",A311="Print",A313="Print"),"Print","Do Not Print")</f>
        <v>Print</v>
      </c>
      <c r="C303" s="585" t="str">
        <f>Checklist!E205</f>
        <v>c</v>
      </c>
      <c r="D303" s="468" t="s">
        <v>210</v>
      </c>
    </row>
    <row r="304" spans="1:15" x14ac:dyDescent="0.3">
      <c r="A304" s="3" t="str">
        <f>IF(A303="Print","Print","Do Not Print")</f>
        <v>Print</v>
      </c>
      <c r="D304" s="1726"/>
      <c r="E304" s="1726"/>
      <c r="F304" s="1726"/>
      <c r="G304" s="1726"/>
      <c r="H304" s="1726"/>
      <c r="I304" s="1726"/>
      <c r="J304" s="1726"/>
      <c r="K304" s="1726"/>
    </row>
    <row r="305" spans="1:15" ht="42" customHeight="1" x14ac:dyDescent="0.3">
      <c r="A305" s="3" t="str">
        <f>IF('GROUP Non TB - Group Acc notes'!F244=1,"Print","Do Not Print")</f>
        <v>Print</v>
      </c>
      <c r="D305" s="1513" t="str">
        <f>IF('GROUP Non TB - Group Acc notes'!F244=1,'GROUP Non TB - Group Acc notes'!H244,"")</f>
        <v>The Revaluation Reserve contains the gains made by the Group arising from increases in the value of its Property, Plant and Equipment and Intangible Assets. The reserve is reduced when assets with accumulated gains are:</v>
      </c>
      <c r="E305" s="1513"/>
      <c r="F305" s="1513"/>
      <c r="G305" s="1513"/>
      <c r="H305" s="1513"/>
      <c r="I305" s="1513"/>
      <c r="J305" s="1513"/>
      <c r="K305" s="1513"/>
    </row>
    <row r="306" spans="1:15" ht="12.75" customHeight="1" x14ac:dyDescent="0.3">
      <c r="A306" s="3" t="str">
        <f>IF(A305="Print","Print","Do Not Print")</f>
        <v>Print</v>
      </c>
      <c r="D306" s="1513"/>
      <c r="E306" s="1513"/>
      <c r="F306" s="1513"/>
      <c r="G306" s="1513"/>
      <c r="H306" s="1513"/>
      <c r="I306" s="1513"/>
      <c r="J306" s="1513"/>
      <c r="K306" s="1513"/>
    </row>
    <row r="307" spans="1:15" s="83" customFormat="1" ht="42.6" customHeight="1" x14ac:dyDescent="0.3">
      <c r="A307" s="80" t="str">
        <f>IF('GROUP Non TB - Group Acc notes'!F245=1,"Print","Do Not Print")</f>
        <v>Print</v>
      </c>
      <c r="B307" s="645"/>
      <c r="C307" s="645"/>
      <c r="D307" s="1506" t="str">
        <f>IF('GROUP Non TB - Group Acc notes'!F245=1,'GROUP Non TB - Group Acc notes'!H245,"")</f>
        <v xml:space="preserve"> - revalued downwards or impaired and the gains are lost
 - used in the provision of services and the gains are consumed through depreciation, or
 - disposed of and the gains are realised.</v>
      </c>
      <c r="E307" s="1506"/>
      <c r="F307" s="1506"/>
      <c r="G307" s="1506"/>
      <c r="H307" s="1506"/>
      <c r="I307" s="1506"/>
      <c r="J307" s="1506"/>
      <c r="K307" s="1506"/>
    </row>
    <row r="308" spans="1:15" ht="12.75" customHeight="1" x14ac:dyDescent="0.3">
      <c r="A308" s="3" t="str">
        <f>IF(A307="Print","Print","Do Not Print")</f>
        <v>Print</v>
      </c>
      <c r="D308" s="2014"/>
      <c r="E308" s="2014"/>
      <c r="F308" s="2014"/>
      <c r="G308" s="2014"/>
      <c r="H308" s="2014"/>
      <c r="I308" s="2014"/>
      <c r="J308" s="2014"/>
      <c r="K308" s="2014"/>
    </row>
    <row r="309" spans="1:15" ht="44.25" customHeight="1" x14ac:dyDescent="0.3">
      <c r="A309" s="3" t="str">
        <f>IF('GROUP Non TB - Group Acc notes'!F246=1,"Print","Do Not Print")</f>
        <v>Print</v>
      </c>
      <c r="D309" s="1506" t="str">
        <f>IF('GROUP Non TB - Group Acc notes'!F246=1,'GROUP Non TB - Group Acc notes'!H246,"")</f>
        <v>The reserve contains only revaluation gains accumulated since 1 April 2008, the date the reserve was created. Accumulated gains arising before that date are consolidated into the balance on the Capital Adjustment Account.</v>
      </c>
      <c r="E309" s="1506"/>
      <c r="F309" s="1506"/>
      <c r="G309" s="1506"/>
      <c r="H309" s="1506"/>
      <c r="I309" s="1506"/>
      <c r="J309" s="1506"/>
      <c r="K309" s="1506"/>
    </row>
    <row r="310" spans="1:15" ht="12.75" customHeight="1" x14ac:dyDescent="0.3">
      <c r="A310" s="3" t="str">
        <f>IF(A309="Print","Print","Do Not Print")</f>
        <v>Print</v>
      </c>
      <c r="D310" s="1506"/>
      <c r="E310" s="1506"/>
      <c r="F310" s="1506"/>
      <c r="G310" s="1506"/>
      <c r="H310" s="1506"/>
      <c r="I310" s="1506"/>
      <c r="J310" s="1506"/>
      <c r="K310" s="1506"/>
    </row>
    <row r="311" spans="1:15" ht="84" customHeight="1" x14ac:dyDescent="0.3">
      <c r="A311" s="3" t="str">
        <f>IF('GROUP Non TB - Group Acc notes'!F247=1,"Print","Do Not Print")</f>
        <v>Print</v>
      </c>
      <c r="D311" s="1506" t="str">
        <f>IF('GROUP Non TB - Group Acc notes'!F247=1,'GROUP Non TB - Group Acc notes'!H247,"")</f>
        <v>The purpose of this account is to build up a balance based on the revaluation (upwards or downwards) of individual assets.  All such revaluations (excluding impairment losses that have been debited to Surplus/(Deficit) on the Provision of Services in the) are mirrored in Other Comprehensive Income and Expenditure.  It is a fundamental principle of this account that it never becomes negative.  If an asset was held at current value when derecognised, the balance held on the Revaluation Reserve is written off to the Capital Adjustment Account.</v>
      </c>
      <c r="E311" s="1506"/>
      <c r="F311" s="1506"/>
      <c r="G311" s="1506"/>
      <c r="H311" s="1506"/>
      <c r="I311" s="1506"/>
      <c r="J311" s="1506"/>
      <c r="K311" s="1506"/>
    </row>
    <row r="312" spans="1:15" x14ac:dyDescent="0.3">
      <c r="A312" s="3" t="str">
        <f>IF(A311="Print","Print","Do Not Print")</f>
        <v>Print</v>
      </c>
      <c r="D312" s="1500"/>
      <c r="E312" s="1500"/>
      <c r="F312" s="1500"/>
      <c r="G312" s="1500"/>
      <c r="H312" s="1500"/>
      <c r="I312" s="1500"/>
      <c r="J312" s="1500"/>
      <c r="K312" s="1500"/>
    </row>
    <row r="313" spans="1:15" x14ac:dyDescent="0.3">
      <c r="A313" s="3" t="str">
        <f>IF(AND(J319=0,K319=0),"Do Not Print","Print")</f>
        <v>Do Not Print</v>
      </c>
      <c r="D313" s="474" t="s">
        <v>210</v>
      </c>
      <c r="E313" s="474"/>
      <c r="F313" s="474"/>
      <c r="G313" s="474"/>
      <c r="H313" s="604"/>
      <c r="I313" s="486" t="s">
        <v>343</v>
      </c>
      <c r="J313" s="586">
        <f>J181</f>
        <v>46112</v>
      </c>
      <c r="K313" s="586">
        <f>K181</f>
        <v>45747</v>
      </c>
    </row>
    <row r="314" spans="1:15" x14ac:dyDescent="0.3">
      <c r="A314" s="3" t="str">
        <f>IF(A313="Print","Print","Do Not Print")</f>
        <v>Do Not Print</v>
      </c>
      <c r="D314" s="2012"/>
      <c r="E314" s="2012"/>
      <c r="F314" s="2012"/>
      <c r="G314" s="2012"/>
      <c r="H314" s="2012"/>
      <c r="I314" s="2012"/>
      <c r="J314" s="648" t="s">
        <v>450</v>
      </c>
      <c r="K314" s="648" t="s">
        <v>450</v>
      </c>
    </row>
    <row r="315" spans="1:15" x14ac:dyDescent="0.3">
      <c r="A315" s="3" t="str">
        <f>IF(AND(K315=0,J315=0),"Do Not Print","Print")</f>
        <v>Do Not Print</v>
      </c>
      <c r="D315" s="2012" t="s">
        <v>530</v>
      </c>
      <c r="E315" s="2012"/>
      <c r="F315" s="2012"/>
      <c r="G315" s="2012"/>
      <c r="H315" s="2012"/>
      <c r="I315" s="610"/>
      <c r="J315" s="600">
        <f>K319</f>
        <v>0</v>
      </c>
      <c r="K315" s="601">
        <f>'Det BS '!K547</f>
        <v>0</v>
      </c>
    </row>
    <row r="316" spans="1:15" x14ac:dyDescent="0.3">
      <c r="A316" s="3" t="str">
        <f>IF(AND(K316=0,J316=0),"Do Not Print","Print")</f>
        <v>Do Not Print</v>
      </c>
      <c r="D316" s="2012" t="s">
        <v>1335</v>
      </c>
      <c r="E316" s="2012"/>
      <c r="F316" s="2012"/>
      <c r="G316" s="2012"/>
      <c r="H316" s="2012"/>
      <c r="I316" s="610"/>
      <c r="J316" s="600">
        <f>'GROUP Account Fixed Assets'!P17-'GROUP Account Fixed Assets'!P32-'GROUP Account Fixed Assets'!P34</f>
        <v>0</v>
      </c>
      <c r="K316" s="600">
        <f>'GROUP Account Fixed Assets'!P53-'GROUP Account Fixed Assets'!P71-'GROUP Account Fixed Assets'!P73</f>
        <v>0</v>
      </c>
    </row>
    <row r="317" spans="1:15" x14ac:dyDescent="0.3">
      <c r="A317" s="3" t="str">
        <f>IF(AND(K317=0,J317=0),"Do Not Print","Print")</f>
        <v>Do Not Print</v>
      </c>
      <c r="D317" s="2012" t="s">
        <v>1315</v>
      </c>
      <c r="E317" s="2012"/>
      <c r="F317" s="2012"/>
      <c r="G317" s="2012"/>
      <c r="H317" s="2012"/>
      <c r="I317" s="610"/>
      <c r="J317" s="598">
        <f>'GROUP Non TB - Group Acc notes'!H248</f>
        <v>0</v>
      </c>
      <c r="K317" s="598">
        <f>'GROUP Non TB - Group Acc notes'!I248</f>
        <v>0</v>
      </c>
      <c r="O317" s="3"/>
    </row>
    <row r="318" spans="1:15" x14ac:dyDescent="0.3">
      <c r="A318" s="3" t="str">
        <f>IF(A317="Print","Print","Do Not Print")</f>
        <v>Do Not Print</v>
      </c>
      <c r="D318" s="2012"/>
      <c r="E318" s="2012"/>
      <c r="F318" s="2012"/>
      <c r="G318" s="2012"/>
      <c r="H318" s="2012"/>
      <c r="I318" s="2012"/>
      <c r="J318" s="2012"/>
      <c r="K318" s="2012"/>
    </row>
    <row r="319" spans="1:15" x14ac:dyDescent="0.3">
      <c r="A319" s="3" t="str">
        <f>IF(AND(K319=0,J319=0),"Do Not Print","Print")</f>
        <v>Do Not Print</v>
      </c>
      <c r="D319" s="474" t="s">
        <v>532</v>
      </c>
      <c r="E319" s="474"/>
      <c r="F319" s="474"/>
      <c r="G319" s="474"/>
      <c r="H319" s="604"/>
      <c r="I319" s="474"/>
      <c r="J319" s="606">
        <f>SUM(J315:J318)</f>
        <v>0</v>
      </c>
      <c r="K319" s="606">
        <f>SUM(K315:K318)</f>
        <v>0</v>
      </c>
    </row>
    <row r="320" spans="1:15" x14ac:dyDescent="0.3">
      <c r="A320" s="3" t="str">
        <f>IF(A319="Print","Print","Do Not Print")</f>
        <v>Do Not Print</v>
      </c>
      <c r="D320" s="1500"/>
      <c r="E320" s="1500"/>
      <c r="F320" s="1500"/>
      <c r="G320" s="1500"/>
      <c r="H320" s="1500"/>
      <c r="I320" s="1500"/>
      <c r="J320" s="1500"/>
      <c r="K320" s="1500"/>
    </row>
    <row r="321" spans="1:11" x14ac:dyDescent="0.3">
      <c r="A321" s="3" t="str">
        <f>IF(OR(A323="Print",A325="Print"),"Print","Do Not Print")</f>
        <v>Print</v>
      </c>
      <c r="C321" s="585" t="str">
        <f>Checklist!E206</f>
        <v>d</v>
      </c>
      <c r="D321" s="1726" t="s">
        <v>2771</v>
      </c>
      <c r="E321" s="1726"/>
      <c r="F321" s="1726"/>
      <c r="G321" s="1726"/>
      <c r="H321" s="1726"/>
      <c r="I321" s="1726"/>
      <c r="J321" s="1726"/>
      <c r="K321" s="1726"/>
    </row>
    <row r="322" spans="1:11" x14ac:dyDescent="0.3">
      <c r="A322" s="3" t="str">
        <f>IF(A321="Print","Print","Do Not Print")</f>
        <v>Print</v>
      </c>
      <c r="D322" s="1500"/>
      <c r="E322" s="1500"/>
      <c r="F322" s="1500"/>
      <c r="G322" s="1500"/>
      <c r="H322" s="1500"/>
      <c r="I322" s="1500"/>
      <c r="J322" s="1500"/>
      <c r="K322" s="1500"/>
    </row>
    <row r="323" spans="1:11" x14ac:dyDescent="0.3">
      <c r="A323" s="3" t="str">
        <f>IF('GROUP Non TB - Group Acc notes'!F249=1,"Print","Do Not Print")</f>
        <v>Print</v>
      </c>
      <c r="D323" s="1500" t="str">
        <f>IF('GROUP Non TB - Group Acc notes'!F249=1,'GROUP Non TB - Group Acc notes'!H249,"")</f>
        <v>Groups need to include a note if relevant or state not applicable.</v>
      </c>
      <c r="E323" s="1500"/>
      <c r="F323" s="1500"/>
      <c r="G323" s="1500"/>
      <c r="H323" s="1500"/>
      <c r="I323" s="1500"/>
      <c r="J323" s="1500"/>
      <c r="K323" s="1500"/>
    </row>
    <row r="324" spans="1:11" x14ac:dyDescent="0.3">
      <c r="A324" s="3" t="str">
        <f>IF(A323="Print","Print","Do Not Print")</f>
        <v>Print</v>
      </c>
      <c r="D324" s="1500"/>
      <c r="E324" s="1500"/>
      <c r="F324" s="1500"/>
      <c r="G324" s="1500"/>
      <c r="H324" s="1500"/>
      <c r="I324" s="1500"/>
      <c r="J324" s="1500"/>
      <c r="K324" s="1500"/>
    </row>
    <row r="325" spans="1:11" x14ac:dyDescent="0.3">
      <c r="A325" s="3" t="str">
        <f>IF(AND(J331=0,K331=0),"Do Not Print","Print")</f>
        <v>Do Not Print</v>
      </c>
      <c r="D325" s="474" t="s">
        <v>431</v>
      </c>
      <c r="E325" s="474"/>
      <c r="F325" s="474"/>
      <c r="G325" s="474"/>
      <c r="H325" s="604"/>
      <c r="I325" s="486" t="s">
        <v>343</v>
      </c>
      <c r="J325" s="586">
        <f>J181</f>
        <v>46112</v>
      </c>
      <c r="K325" s="586">
        <f>K181</f>
        <v>45747</v>
      </c>
    </row>
    <row r="326" spans="1:11" x14ac:dyDescent="0.3">
      <c r="A326" s="3" t="str">
        <f>IF(A325="Print","Print","Do Not Print")</f>
        <v>Do Not Print</v>
      </c>
      <c r="D326" s="2012"/>
      <c r="E326" s="2012"/>
      <c r="F326" s="2012"/>
      <c r="G326" s="2012"/>
      <c r="H326" s="2012"/>
      <c r="I326" s="2012"/>
      <c r="J326" s="648" t="s">
        <v>450</v>
      </c>
      <c r="K326" s="648" t="s">
        <v>450</v>
      </c>
    </row>
    <row r="327" spans="1:11" x14ac:dyDescent="0.3">
      <c r="A327" s="3" t="str">
        <f>IF(AND(J327=0,K327=0),"Do Not Print","Print")</f>
        <v>Do Not Print</v>
      </c>
      <c r="D327" s="2012" t="s">
        <v>530</v>
      </c>
      <c r="E327" s="2012"/>
      <c r="F327" s="2012"/>
      <c r="G327" s="2012"/>
      <c r="H327" s="2012"/>
      <c r="I327" s="610"/>
      <c r="J327" s="601">
        <f>K331</f>
        <v>0</v>
      </c>
      <c r="K327" s="601">
        <f>'GROUP Det Group BS'!K548</f>
        <v>0</v>
      </c>
    </row>
    <row r="328" spans="1:11" x14ac:dyDescent="0.3">
      <c r="A328" s="3" t="str">
        <f>IF(AND(J328=0,K328=0),"Do Not Print","Print")</f>
        <v>Do Not Print</v>
      </c>
      <c r="D328" s="2012" t="s">
        <v>2768</v>
      </c>
      <c r="E328" s="2012"/>
      <c r="F328" s="2012"/>
      <c r="G328" s="2012"/>
      <c r="H328" s="2012"/>
      <c r="I328" s="599"/>
      <c r="J328" s="601">
        <f>-J327</f>
        <v>0</v>
      </c>
      <c r="K328" s="601">
        <v>0</v>
      </c>
    </row>
    <row r="329" spans="1:11" x14ac:dyDescent="0.3">
      <c r="A329" s="3" t="str">
        <f>IF(AND(J329=0,K329=0),"Do Not Print","Print")</f>
        <v>Do Not Print</v>
      </c>
      <c r="D329" s="2012" t="s">
        <v>1335</v>
      </c>
      <c r="E329" s="2012"/>
      <c r="F329" s="2012"/>
      <c r="G329" s="2012"/>
      <c r="H329" s="2012"/>
      <c r="I329" s="610"/>
      <c r="J329" s="601">
        <v>0</v>
      </c>
      <c r="K329" s="601">
        <f>'GROUP Non TB - Group Acc notes'!I250</f>
        <v>0</v>
      </c>
    </row>
    <row r="330" spans="1:11" x14ac:dyDescent="0.3">
      <c r="A330" s="3" t="str">
        <f>IF(A329="Print","Print","Do Not Print")</f>
        <v>Do Not Print</v>
      </c>
      <c r="D330" s="2012"/>
      <c r="E330" s="2012"/>
      <c r="F330" s="2012"/>
      <c r="G330" s="2012"/>
      <c r="H330" s="2012"/>
      <c r="I330" s="2012"/>
      <c r="J330" s="2012"/>
      <c r="K330" s="2012"/>
    </row>
    <row r="331" spans="1:11" x14ac:dyDescent="0.3">
      <c r="A331" s="3" t="str">
        <f>IF(AND(J331=0,K331=0),"Do Not Print","Print")</f>
        <v>Do Not Print</v>
      </c>
      <c r="D331" s="474" t="s">
        <v>532</v>
      </c>
      <c r="E331" s="474"/>
      <c r="F331" s="474"/>
      <c r="G331" s="474"/>
      <c r="H331" s="604"/>
      <c r="I331" s="474"/>
      <c r="J331" s="606">
        <f>SUM(J326:J330)</f>
        <v>0</v>
      </c>
      <c r="K331" s="606">
        <f>SUM(K326:K330)</f>
        <v>0</v>
      </c>
    </row>
    <row r="332" spans="1:11" x14ac:dyDescent="0.3">
      <c r="A332" s="3" t="str">
        <f>IF(A331="Print","Print","Do Not Print")</f>
        <v>Do Not Print</v>
      </c>
      <c r="D332" s="401"/>
    </row>
    <row r="333" spans="1:11" x14ac:dyDescent="0.3">
      <c r="A333" s="3" t="str">
        <f>IF(AND(J335=0,K335=0),"Do Not Print","Print")</f>
        <v>Do Not Print</v>
      </c>
      <c r="D333" s="474" t="s">
        <v>2769</v>
      </c>
      <c r="E333" s="474"/>
      <c r="F333" s="474"/>
      <c r="G333" s="474"/>
      <c r="H333" s="604"/>
      <c r="I333" s="486" t="s">
        <v>343</v>
      </c>
      <c r="J333" s="586">
        <f>J181</f>
        <v>46112</v>
      </c>
      <c r="K333" s="586">
        <f>K181</f>
        <v>45747</v>
      </c>
    </row>
    <row r="334" spans="1:11" x14ac:dyDescent="0.3">
      <c r="A334" s="3" t="str">
        <f>IF(A333="Print","Print","Do Not Print")</f>
        <v>Do Not Print</v>
      </c>
      <c r="D334" s="2012"/>
      <c r="E334" s="2012"/>
      <c r="F334" s="2012"/>
      <c r="G334" s="2012"/>
      <c r="H334" s="2012"/>
      <c r="I334" s="2012"/>
      <c r="J334" s="648" t="s">
        <v>450</v>
      </c>
      <c r="K334" s="648" t="s">
        <v>450</v>
      </c>
    </row>
    <row r="335" spans="1:11" x14ac:dyDescent="0.3">
      <c r="A335" s="3" t="str">
        <f>IF(AND(J335=0,K335=0),"Do Not Print","Print")</f>
        <v>Do Not Print</v>
      </c>
      <c r="D335" s="2012" t="s">
        <v>530</v>
      </c>
      <c r="E335" s="2012"/>
      <c r="F335" s="2012"/>
      <c r="G335" s="2012"/>
      <c r="H335" s="2012"/>
      <c r="I335" s="599"/>
      <c r="J335" s="601">
        <f>K339</f>
        <v>0</v>
      </c>
      <c r="K335" s="601">
        <f>'GROUP Det Group BS'!K549</f>
        <v>0</v>
      </c>
    </row>
    <row r="336" spans="1:11" x14ac:dyDescent="0.3">
      <c r="A336" s="3" t="str">
        <f>IF(AND(J336=0,K336=0),"Do Not Print","Print")</f>
        <v>Do Not Print</v>
      </c>
      <c r="D336" s="2012" t="s">
        <v>2772</v>
      </c>
      <c r="E336" s="2012"/>
      <c r="F336" s="2012"/>
      <c r="G336" s="2012"/>
      <c r="H336" s="2012"/>
      <c r="I336" s="599"/>
      <c r="J336" s="601">
        <f>'GROUP Non TB - Group Acc notes'!H252</f>
        <v>0</v>
      </c>
      <c r="K336" s="601">
        <v>0</v>
      </c>
    </row>
    <row r="337" spans="1:15" x14ac:dyDescent="0.3">
      <c r="A337" s="3" t="str">
        <f>IF(AND(J337=0,K337=0),"Do Not Print","Print")</f>
        <v>Do Not Print</v>
      </c>
      <c r="D337" s="2012" t="s">
        <v>1335</v>
      </c>
      <c r="E337" s="2012"/>
      <c r="F337" s="2012"/>
      <c r="G337" s="2012"/>
      <c r="H337" s="2012"/>
      <c r="I337" s="599" t="s">
        <v>1700</v>
      </c>
      <c r="J337" s="601">
        <f>'GROUP Non TB - Group Acc notes'!H253</f>
        <v>0</v>
      </c>
      <c r="K337" s="601">
        <v>0</v>
      </c>
    </row>
    <row r="338" spans="1:15" x14ac:dyDescent="0.3">
      <c r="A338" s="3" t="str">
        <f>IF(A337="Print","Print","Do Not Print")</f>
        <v>Do Not Print</v>
      </c>
      <c r="D338" s="2012"/>
      <c r="E338" s="2012"/>
      <c r="F338" s="2012"/>
      <c r="G338" s="2012"/>
      <c r="H338" s="2012"/>
      <c r="I338" s="2012"/>
      <c r="J338" s="2012"/>
      <c r="K338" s="2012"/>
    </row>
    <row r="339" spans="1:15" x14ac:dyDescent="0.3">
      <c r="A339" s="3" t="str">
        <f>IF(AND(J339=0,K339=0),"Do Not Print","Print")</f>
        <v>Do Not Print</v>
      </c>
      <c r="D339" s="474" t="s">
        <v>532</v>
      </c>
      <c r="E339" s="474"/>
      <c r="F339" s="474"/>
      <c r="G339" s="474"/>
      <c r="H339" s="604"/>
      <c r="I339" s="474"/>
      <c r="J339" s="606">
        <f>SUM(J334:J338)</f>
        <v>0</v>
      </c>
      <c r="K339" s="606">
        <f>SUM(K334:K338)</f>
        <v>0</v>
      </c>
    </row>
    <row r="340" spans="1:15" x14ac:dyDescent="0.3">
      <c r="A340" s="3" t="str">
        <f>IF(A331="Print","Print","Do Not Print")</f>
        <v>Do Not Print</v>
      </c>
      <c r="D340" s="1500"/>
      <c r="E340" s="1500"/>
      <c r="F340" s="1500"/>
      <c r="G340" s="1500"/>
      <c r="H340" s="1500"/>
      <c r="I340" s="1500"/>
      <c r="J340" s="1500"/>
      <c r="K340" s="1500"/>
    </row>
    <row r="341" spans="1:15" x14ac:dyDescent="0.3">
      <c r="A341" s="3" t="str">
        <f>IF(AND(J349=0,K349=0),"Do Not Print","Print")</f>
        <v>Do Not Print</v>
      </c>
      <c r="C341" s="585" t="str">
        <f>Checklist!E207</f>
        <v>e</v>
      </c>
      <c r="D341" s="468" t="s">
        <v>432</v>
      </c>
    </row>
    <row r="342" spans="1:15" x14ac:dyDescent="0.3">
      <c r="A342" s="3" t="str">
        <f>IF(A341="Print","Print","Do Not Print")</f>
        <v>Do Not Print</v>
      </c>
      <c r="D342" s="1500"/>
      <c r="E342" s="1500"/>
      <c r="F342" s="1500"/>
      <c r="G342" s="1500"/>
      <c r="H342" s="1500"/>
      <c r="I342" s="1500"/>
      <c r="J342" s="1500"/>
      <c r="K342" s="1500"/>
    </row>
    <row r="343" spans="1:15" x14ac:dyDescent="0.3">
      <c r="A343" s="3" t="str">
        <f>IF(AND(J349=0,K349=0),"Do Not Print","Print")</f>
        <v>Do Not Print</v>
      </c>
      <c r="D343" s="474" t="s">
        <v>432</v>
      </c>
      <c r="E343" s="474"/>
      <c r="F343" s="474"/>
      <c r="G343" s="474"/>
      <c r="H343" s="604"/>
      <c r="I343" s="486" t="s">
        <v>343</v>
      </c>
      <c r="J343" s="586">
        <f>J181</f>
        <v>46112</v>
      </c>
      <c r="K343" s="586">
        <f>K181</f>
        <v>45747</v>
      </c>
    </row>
    <row r="344" spans="1:15" x14ac:dyDescent="0.3">
      <c r="A344" s="3" t="str">
        <f>IF(A343="Print","Print","Do Not Print")</f>
        <v>Do Not Print</v>
      </c>
      <c r="D344" s="2012"/>
      <c r="E344" s="2012"/>
      <c r="F344" s="2012"/>
      <c r="G344" s="2012"/>
      <c r="H344" s="2012"/>
      <c r="I344" s="2012"/>
      <c r="J344" s="648" t="s">
        <v>450</v>
      </c>
      <c r="K344" s="648" t="s">
        <v>450</v>
      </c>
    </row>
    <row r="345" spans="1:15" x14ac:dyDescent="0.3">
      <c r="A345" s="3" t="str">
        <f>IF(AND(K345=0,J345=0),"Do Not Print","Print")</f>
        <v>Do Not Print</v>
      </c>
      <c r="D345" s="2012" t="s">
        <v>530</v>
      </c>
      <c r="E345" s="2012"/>
      <c r="F345" s="2012"/>
      <c r="G345" s="2012"/>
      <c r="H345" s="2012"/>
      <c r="I345" s="610"/>
      <c r="J345" s="600">
        <f>K349</f>
        <v>0</v>
      </c>
      <c r="K345" s="601">
        <f>'GROUP Det Group BS'!K550</f>
        <v>0</v>
      </c>
    </row>
    <row r="346" spans="1:15" x14ac:dyDescent="0.3">
      <c r="A346" s="3" t="str">
        <f>IF(AND(K346=0,J346=0),"Do Not Print","Print")</f>
        <v>Do Not Print</v>
      </c>
      <c r="D346" s="2012" t="s">
        <v>1334</v>
      </c>
      <c r="E346" s="2012"/>
      <c r="F346" s="2012"/>
      <c r="G346" s="2012"/>
      <c r="H346" s="2012"/>
      <c r="I346" s="610"/>
      <c r="J346" s="600">
        <f>'GROUP Account notes'!J244</f>
        <v>0</v>
      </c>
      <c r="K346" s="600">
        <f>'GROUP Account notes'!K244</f>
        <v>0</v>
      </c>
      <c r="O346" s="3"/>
    </row>
    <row r="347" spans="1:15" x14ac:dyDescent="0.3">
      <c r="A347" s="3" t="str">
        <f>IF(AND(K347=0,J347=0),"Do Not Print","Print")</f>
        <v>Do Not Print</v>
      </c>
      <c r="D347" s="2012" t="s">
        <v>1335</v>
      </c>
      <c r="E347" s="2012"/>
      <c r="F347" s="2012"/>
      <c r="G347" s="2012"/>
      <c r="H347" s="2012"/>
      <c r="I347" s="610"/>
      <c r="J347" s="600">
        <f>'GROUP Account notes'!I340</f>
        <v>0</v>
      </c>
      <c r="K347" s="600">
        <f>'GROUP Account notes'!J340</f>
        <v>0</v>
      </c>
      <c r="O347" s="3"/>
    </row>
    <row r="348" spans="1:15" x14ac:dyDescent="0.3">
      <c r="A348" s="3" t="str">
        <f>IF(A347="Print","Print","Do Not Print")</f>
        <v>Do Not Print</v>
      </c>
      <c r="D348" s="2012"/>
      <c r="E348" s="2012"/>
      <c r="F348" s="2012"/>
      <c r="G348" s="2012"/>
      <c r="H348" s="2012"/>
      <c r="I348" s="2012"/>
      <c r="J348" s="2012"/>
      <c r="K348" s="2012"/>
    </row>
    <row r="349" spans="1:15" x14ac:dyDescent="0.3">
      <c r="A349" s="3" t="str">
        <f>IF(AND(K347=0,J347=0),"Do Not Print","Print")</f>
        <v>Do Not Print</v>
      </c>
      <c r="D349" s="474" t="s">
        <v>532</v>
      </c>
      <c r="E349" s="474"/>
      <c r="F349" s="474"/>
      <c r="G349" s="474"/>
      <c r="H349" s="604"/>
      <c r="I349" s="474"/>
      <c r="J349" s="606">
        <f>SUM(J345:J348)</f>
        <v>0</v>
      </c>
      <c r="K349" s="606">
        <f>SUM(K345:K348)</f>
        <v>0</v>
      </c>
    </row>
    <row r="350" spans="1:15" x14ac:dyDescent="0.3">
      <c r="A350" s="3" t="str">
        <f>IF(A349="Print","Print","Do Not Print")</f>
        <v>Do Not Print</v>
      </c>
      <c r="D350" s="1500"/>
      <c r="E350" s="1500"/>
      <c r="F350" s="1500"/>
      <c r="G350" s="1500"/>
      <c r="H350" s="1500"/>
      <c r="I350" s="1500"/>
      <c r="J350" s="1500"/>
      <c r="K350" s="1500"/>
    </row>
    <row r="351" spans="1:15" x14ac:dyDescent="0.3">
      <c r="A351" s="3" t="str">
        <f>IF(OR(A353="Print",A355="Print"),"Print","Do Not Print")</f>
        <v>Print</v>
      </c>
      <c r="C351" s="585" t="str">
        <f>Checklist!E208</f>
        <v>f</v>
      </c>
      <c r="D351" s="1726" t="s">
        <v>326</v>
      </c>
      <c r="E351" s="1726"/>
      <c r="F351" s="1726"/>
      <c r="G351" s="1726"/>
      <c r="H351" s="1726"/>
      <c r="I351" s="1726"/>
      <c r="J351" s="1726"/>
      <c r="K351" s="1726"/>
    </row>
    <row r="352" spans="1:15" x14ac:dyDescent="0.3">
      <c r="A352" s="3" t="str">
        <f>IF(A351="Print","Print","Do Not Print")</f>
        <v>Print</v>
      </c>
      <c r="D352" s="1726"/>
      <c r="E352" s="1726"/>
      <c r="F352" s="1726"/>
      <c r="G352" s="1726"/>
      <c r="H352" s="1726"/>
      <c r="I352" s="1726"/>
      <c r="J352" s="1726"/>
      <c r="K352" s="1726"/>
    </row>
    <row r="353" spans="1:15" ht="41.25" customHeight="1" x14ac:dyDescent="0.3">
      <c r="A353" s="3" t="str">
        <f>IF('GROUP Non TB - Group Acc notes'!F254=1,"Print","Do Not Print")</f>
        <v>Print</v>
      </c>
      <c r="D353" s="1513" t="str">
        <f>IF('GROUP Non TB - Group Acc notes'!F254=1,'GROUP Non TB - Group Acc notes'!H254,"")</f>
        <v xml:space="preserve">The Deferred Capital Receipts Account records capital advances receivable where an amount equal to the advance is included as a deferred capital receipt. These amounts are written down each year by the amount of capital debt repaid to the Group in that year. </v>
      </c>
      <c r="E353" s="1513"/>
      <c r="F353" s="1513"/>
      <c r="G353" s="1513"/>
      <c r="H353" s="1513"/>
      <c r="I353" s="1513"/>
      <c r="J353" s="1513"/>
      <c r="K353" s="1513"/>
    </row>
    <row r="354" spans="1:15" x14ac:dyDescent="0.3">
      <c r="A354" s="3" t="str">
        <f>IF(A353="Print","Print","Do Not Print")</f>
        <v>Print</v>
      </c>
      <c r="D354" s="1500"/>
      <c r="E354" s="1500"/>
      <c r="F354" s="1500"/>
      <c r="G354" s="1500"/>
      <c r="H354" s="1500"/>
      <c r="I354" s="1500"/>
      <c r="J354" s="1500"/>
      <c r="K354" s="1500"/>
    </row>
    <row r="355" spans="1:15" x14ac:dyDescent="0.3">
      <c r="A355" s="3" t="str">
        <f>IF(AND(J360=0,K360=0),"Do Not Print","Print")</f>
        <v>Do Not Print</v>
      </c>
      <c r="D355" s="474" t="s">
        <v>433</v>
      </c>
      <c r="E355" s="474"/>
      <c r="F355" s="474"/>
      <c r="G355" s="474"/>
      <c r="H355" s="604"/>
      <c r="I355" s="486" t="s">
        <v>343</v>
      </c>
      <c r="J355" s="586">
        <f>J181</f>
        <v>46112</v>
      </c>
      <c r="K355" s="586">
        <f>K181</f>
        <v>45747</v>
      </c>
    </row>
    <row r="356" spans="1:15" x14ac:dyDescent="0.3">
      <c r="A356" s="3" t="str">
        <f>IF(A355="Print","Print","Do Not Print")</f>
        <v>Do Not Print</v>
      </c>
      <c r="D356" s="2063"/>
      <c r="E356" s="2063"/>
      <c r="F356" s="2063"/>
      <c r="G356" s="2063"/>
      <c r="H356" s="2063"/>
      <c r="I356" s="2063"/>
      <c r="J356" s="661" t="s">
        <v>450</v>
      </c>
      <c r="K356" s="661" t="s">
        <v>450</v>
      </c>
    </row>
    <row r="357" spans="1:15" x14ac:dyDescent="0.3">
      <c r="A357" s="3" t="str">
        <f>IF(AND(J357=0,K357=0),"Do Not Print","Print")</f>
        <v>Do Not Print</v>
      </c>
      <c r="D357" s="2063" t="s">
        <v>530</v>
      </c>
      <c r="E357" s="2063"/>
      <c r="F357" s="2063"/>
      <c r="G357" s="2063"/>
      <c r="H357" s="2063"/>
      <c r="I357" s="602"/>
      <c r="J357" s="600">
        <f>K360</f>
        <v>0</v>
      </c>
      <c r="K357" s="601">
        <f>'GROUP Det Group BS'!K551</f>
        <v>0</v>
      </c>
    </row>
    <row r="358" spans="1:15" x14ac:dyDescent="0.3">
      <c r="A358" s="3" t="str">
        <f>IF(AND(J358=0,K358=0),"Do Not Print","Print")</f>
        <v>Do Not Print</v>
      </c>
      <c r="D358" s="2063" t="s">
        <v>1315</v>
      </c>
      <c r="E358" s="2063"/>
      <c r="F358" s="2063"/>
      <c r="G358" s="2063"/>
      <c r="H358" s="2063"/>
      <c r="I358" s="602"/>
      <c r="J358" s="598">
        <f>'GROUP Non TB - Group Acc notes'!H255</f>
        <v>0</v>
      </c>
      <c r="K358" s="598">
        <f>'GROUP Non TB - Group Acc notes'!I255</f>
        <v>0</v>
      </c>
      <c r="O358" s="3"/>
    </row>
    <row r="359" spans="1:15" x14ac:dyDescent="0.3">
      <c r="A359" s="3" t="str">
        <f>IF(A358="Print","Print","Do Not Print")</f>
        <v>Do Not Print</v>
      </c>
      <c r="D359" s="2063"/>
      <c r="E359" s="2063"/>
      <c r="F359" s="2063"/>
      <c r="G359" s="2063"/>
      <c r="H359" s="2063"/>
      <c r="I359" s="2063"/>
      <c r="J359" s="2063"/>
      <c r="K359" s="2063"/>
    </row>
    <row r="360" spans="1:15" x14ac:dyDescent="0.3">
      <c r="A360" s="3" t="str">
        <f>IF(AND(J360=0,K360=0),"Do Not Print","Print")</f>
        <v>Do Not Print</v>
      </c>
      <c r="D360" s="474" t="s">
        <v>532</v>
      </c>
      <c r="E360" s="474"/>
      <c r="F360" s="474"/>
      <c r="G360" s="474"/>
      <c r="H360" s="604"/>
      <c r="I360" s="474"/>
      <c r="J360" s="606">
        <f>SUM(J356:J359)</f>
        <v>0</v>
      </c>
      <c r="K360" s="606">
        <f>SUM(K356:K359)</f>
        <v>0</v>
      </c>
    </row>
    <row r="361" spans="1:15" x14ac:dyDescent="0.3">
      <c r="A361" s="3" t="str">
        <f>IF(A360="Print","Print","Do Not Print")</f>
        <v>Do Not Print</v>
      </c>
      <c r="D361" s="1500"/>
      <c r="E361" s="1500"/>
      <c r="F361" s="1500"/>
      <c r="G361" s="1500"/>
      <c r="H361" s="1500"/>
      <c r="I361" s="1500"/>
      <c r="J361" s="1500"/>
      <c r="K361" s="1500"/>
    </row>
    <row r="362" spans="1:15" x14ac:dyDescent="0.3">
      <c r="A362" s="3" t="str">
        <f>IF(AND(A364="Print",A366="Print"),"Print","Do Not Print")</f>
        <v>Do Not Print</v>
      </c>
      <c r="C362" s="585" t="str">
        <f>Checklist!E209</f>
        <v>g</v>
      </c>
      <c r="D362" s="1726" t="s">
        <v>434</v>
      </c>
      <c r="E362" s="1726"/>
      <c r="F362" s="1726"/>
      <c r="G362" s="1726"/>
      <c r="H362" s="1726"/>
      <c r="I362" s="1726"/>
      <c r="J362" s="1726"/>
      <c r="K362" s="1726"/>
    </row>
    <row r="363" spans="1:15" x14ac:dyDescent="0.3">
      <c r="A363" s="3" t="str">
        <f>IF(A362="Print","Print","Do Not Print")</f>
        <v>Do Not Print</v>
      </c>
      <c r="D363" s="1726"/>
      <c r="E363" s="1726"/>
      <c r="F363" s="1726"/>
      <c r="G363" s="1726"/>
      <c r="H363" s="1726"/>
      <c r="I363" s="1726"/>
      <c r="J363" s="1726"/>
      <c r="K363" s="1726"/>
    </row>
    <row r="364" spans="1:15" ht="64.5" customHeight="1" x14ac:dyDescent="0.3">
      <c r="A364" s="3" t="str">
        <f>IF('GROUP Non TB - Group Acc notes'!F256=1,"Print","Do Not Print")</f>
        <v>Print</v>
      </c>
      <c r="D364" s="1512" t="str">
        <f>IF('GROUP Non TB - Group Acc notes'!F256=1,'GROUP Non TB - Group Acc notes'!H256,"")</f>
        <v>The Accumulated Absences Account absorbs the differences that would otherwise arise on the General Fund balance from accruing for compensated absences earned but not taken in the year e.g. staff annual leave entitlement carried forward at the end of the financial year. Statutory arrangements are expected to require that the impact on the General Fund is neutralised by transfers to or from this Accumulated Absences Account</v>
      </c>
      <c r="E364" s="1512"/>
      <c r="F364" s="1512"/>
      <c r="G364" s="1512"/>
      <c r="H364" s="1512"/>
      <c r="I364" s="1512"/>
      <c r="J364" s="1512"/>
      <c r="K364" s="1512"/>
    </row>
    <row r="365" spans="1:15" x14ac:dyDescent="0.3">
      <c r="A365" s="3" t="str">
        <f>IF(A364="Print","Print","Do Not Print")</f>
        <v>Print</v>
      </c>
      <c r="D365" s="1500"/>
      <c r="E365" s="1500"/>
      <c r="F365" s="1500"/>
      <c r="G365" s="1500"/>
      <c r="H365" s="1500"/>
      <c r="I365" s="1500"/>
      <c r="J365" s="1500"/>
      <c r="K365" s="1500"/>
    </row>
    <row r="366" spans="1:15" x14ac:dyDescent="0.3">
      <c r="A366" s="3" t="str">
        <f>IF(AND(J371=0,K371=0),"Do Not Print","Print")</f>
        <v>Do Not Print</v>
      </c>
      <c r="D366" s="474" t="s">
        <v>434</v>
      </c>
      <c r="E366" s="474"/>
      <c r="F366" s="474"/>
      <c r="G366" s="474"/>
      <c r="H366" s="604"/>
      <c r="I366" s="486" t="s">
        <v>343</v>
      </c>
      <c r="J366" s="586">
        <f>J181</f>
        <v>46112</v>
      </c>
      <c r="K366" s="586">
        <f>K181</f>
        <v>45747</v>
      </c>
    </row>
    <row r="367" spans="1:15" x14ac:dyDescent="0.3">
      <c r="A367" s="3" t="str">
        <f>IF(A366="Print","Print","Do Not Print")</f>
        <v>Do Not Print</v>
      </c>
      <c r="D367" s="2012"/>
      <c r="E367" s="2012"/>
      <c r="F367" s="2012"/>
      <c r="G367" s="2012"/>
      <c r="H367" s="2012"/>
      <c r="I367" s="2012"/>
      <c r="J367" s="648" t="s">
        <v>450</v>
      </c>
      <c r="K367" s="648" t="s">
        <v>450</v>
      </c>
    </row>
    <row r="368" spans="1:15" x14ac:dyDescent="0.3">
      <c r="A368" s="3" t="str">
        <f>IF(AND(K368=0,J368=0),"Do Not Print","Print")</f>
        <v>Do Not Print</v>
      </c>
      <c r="D368" s="2013" t="s">
        <v>530</v>
      </c>
      <c r="E368" s="2013"/>
      <c r="F368" s="2013"/>
      <c r="G368" s="2013"/>
      <c r="H368" s="2013"/>
      <c r="I368" s="610"/>
      <c r="J368" s="601">
        <f>K371</f>
        <v>0</v>
      </c>
      <c r="K368" s="601">
        <f>'GROUP Det Group BS'!K552</f>
        <v>0</v>
      </c>
    </row>
    <row r="369" spans="1:11" ht="42" customHeight="1" x14ac:dyDescent="0.3">
      <c r="A369" s="3" t="str">
        <f>IF(AND(K369=0,J369=0),"Do Not Print","Print")</f>
        <v>Do Not Print</v>
      </c>
      <c r="D369" s="2013" t="s">
        <v>1314</v>
      </c>
      <c r="E369" s="2013"/>
      <c r="F369" s="2013"/>
      <c r="G369" s="2013"/>
      <c r="H369" s="2013"/>
      <c r="I369" s="599"/>
      <c r="J369" s="600">
        <f>-'GROUP Account notes'!H51</f>
        <v>0</v>
      </c>
      <c r="K369" s="600">
        <f>-'GROUP Account notes'!J51</f>
        <v>0</v>
      </c>
    </row>
    <row r="370" spans="1:11" x14ac:dyDescent="0.3">
      <c r="A370" s="3" t="str">
        <f>IF(A369="Print","Print","Do Not Print")</f>
        <v>Do Not Print</v>
      </c>
      <c r="D370" s="2012"/>
      <c r="E370" s="2012"/>
      <c r="F370" s="2012"/>
      <c r="G370" s="2012"/>
      <c r="H370" s="2012"/>
      <c r="I370" s="2012"/>
      <c r="J370" s="2012"/>
      <c r="K370" s="2012"/>
    </row>
    <row r="371" spans="1:11" x14ac:dyDescent="0.3">
      <c r="A371" s="3" t="str">
        <f>IF(AND(K371=0,J371=0),"Do Not Print","Print")</f>
        <v>Do Not Print</v>
      </c>
      <c r="D371" s="474" t="s">
        <v>532</v>
      </c>
      <c r="E371" s="474"/>
      <c r="F371" s="474"/>
      <c r="G371" s="474"/>
      <c r="H371" s="604"/>
      <c r="I371" s="474"/>
      <c r="J371" s="606">
        <f>SUM(J368:J370)</f>
        <v>0</v>
      </c>
      <c r="K371" s="606">
        <f>SUM(K368:K370)</f>
        <v>0</v>
      </c>
    </row>
    <row r="372" spans="1:11" x14ac:dyDescent="0.3">
      <c r="A372" s="3" t="str">
        <f>IF(A371="Print","Print","Do Not Print")</f>
        <v>Do Not Print</v>
      </c>
      <c r="D372" s="401"/>
    </row>
    <row r="373" spans="1:11" x14ac:dyDescent="0.3">
      <c r="A373" s="3" t="str">
        <f>IF(OR(A375="Print",A377="Print",A379="Print"),"Print","Do Not Print")</f>
        <v>Print</v>
      </c>
      <c r="C373" s="585" t="str">
        <f>Checklist!E210</f>
        <v>h</v>
      </c>
      <c r="D373" s="468" t="s">
        <v>327</v>
      </c>
    </row>
    <row r="374" spans="1:11" x14ac:dyDescent="0.3">
      <c r="A374" s="3" t="str">
        <f>IF(A373="Print","Print","Do Not Print")</f>
        <v>Print</v>
      </c>
      <c r="D374" s="1726"/>
      <c r="E374" s="1726"/>
      <c r="F374" s="1726"/>
      <c r="G374" s="1726"/>
      <c r="H374" s="1726"/>
      <c r="I374" s="1726"/>
      <c r="J374" s="1726"/>
      <c r="K374" s="1726"/>
    </row>
    <row r="375" spans="1:11" ht="58.5" customHeight="1" x14ac:dyDescent="0.3">
      <c r="A375" s="3" t="str">
        <f>IF('GROUP Non TB - Group Acc notes'!F257=1,"Print","Do Not Print")</f>
        <v>Print</v>
      </c>
      <c r="D375" s="1512" t="str">
        <f>IF('GROUP Non TB - Group Acc notes'!F257=1,'GROUP Non TB - Group Acc notes'!H257,"")</f>
        <v>The Provisions Discount Rate Reserve covers the arrangement, put in place by the Department under its amendment to the 2018/19 accounts direction (see DOE circular 28/2013), to allow for mitigation of the costs not allowed for by Councils who had adopted the HM Treasury Central Government discount rate for long-term provisions such as Landfill costs.</v>
      </c>
      <c r="E375" s="1504"/>
      <c r="F375" s="1504"/>
      <c r="G375" s="1504"/>
      <c r="H375" s="1504"/>
      <c r="I375" s="1504"/>
      <c r="J375" s="1504"/>
      <c r="K375" s="1504"/>
    </row>
    <row r="376" spans="1:11" ht="12.75" customHeight="1" x14ac:dyDescent="0.3">
      <c r="A376" s="3" t="str">
        <f>IF(A375="Print","Print","Do Not Print")</f>
        <v>Print</v>
      </c>
      <c r="D376" s="1513"/>
      <c r="E376" s="1513"/>
      <c r="F376" s="1513"/>
      <c r="G376" s="1513"/>
      <c r="H376" s="1513"/>
      <c r="I376" s="1513"/>
      <c r="J376" s="1513"/>
      <c r="K376" s="1513"/>
    </row>
    <row r="377" spans="1:11" ht="25.5" customHeight="1" x14ac:dyDescent="0.3">
      <c r="A377" s="3" t="str">
        <f>IF('GROUP Non TB - Group Acc notes'!F258=1,"Print","Do Not Print")</f>
        <v>Print</v>
      </c>
      <c r="D377" s="1513" t="str">
        <f>IF('GROUP Non TB - Group Acc notes'!F258=1,'GROUP Non TB - Group Acc notes'!H258,"")</f>
        <v>Subject to agreement with the Department, this arrangement allows a council to spread the cost of the impact of discount rate changes over a period of not more than 6 years.</v>
      </c>
      <c r="E377" s="1501"/>
      <c r="F377" s="1501"/>
      <c r="G377" s="1501"/>
      <c r="H377" s="1501"/>
      <c r="I377" s="1501"/>
      <c r="J377" s="1501"/>
      <c r="K377" s="1501"/>
    </row>
    <row r="378" spans="1:11" x14ac:dyDescent="0.3">
      <c r="A378" s="3" t="str">
        <f>IF(A377="Print","Print","Do Not Print")</f>
        <v>Print</v>
      </c>
      <c r="D378" s="1718"/>
      <c r="E378" s="1718"/>
      <c r="F378" s="1718"/>
      <c r="G378" s="1718"/>
      <c r="H378" s="1718"/>
      <c r="I378" s="1718"/>
      <c r="J378" s="1718"/>
      <c r="K378" s="1718"/>
    </row>
    <row r="379" spans="1:11" x14ac:dyDescent="0.3">
      <c r="A379" s="3" t="str">
        <f>IF(AND(J385=0,K385=0),"Do Not Print","Print")</f>
        <v>Do Not Print</v>
      </c>
      <c r="D379" s="474" t="s">
        <v>327</v>
      </c>
      <c r="E379" s="474"/>
      <c r="F379" s="474"/>
      <c r="G379" s="474"/>
      <c r="H379" s="604"/>
      <c r="I379" s="486" t="s">
        <v>343</v>
      </c>
      <c r="J379" s="586">
        <f>J181</f>
        <v>46112</v>
      </c>
      <c r="K379" s="586">
        <f>K181</f>
        <v>45747</v>
      </c>
    </row>
    <row r="380" spans="1:11" x14ac:dyDescent="0.3">
      <c r="A380" s="3" t="str">
        <f>IF(A379="Print","Print","Do Not Print")</f>
        <v>Do Not Print</v>
      </c>
      <c r="D380" s="2012"/>
      <c r="E380" s="2012"/>
      <c r="F380" s="2012"/>
      <c r="G380" s="2012"/>
      <c r="H380" s="2012"/>
      <c r="I380" s="2012"/>
      <c r="J380" s="648" t="s">
        <v>450</v>
      </c>
      <c r="K380" s="648" t="s">
        <v>450</v>
      </c>
    </row>
    <row r="381" spans="1:11" x14ac:dyDescent="0.3">
      <c r="A381" s="3" t="str">
        <f>IF(AND(J381=0,K381=0),"Do Not Print","Print")</f>
        <v>Do Not Print</v>
      </c>
      <c r="D381" s="2013" t="s">
        <v>530</v>
      </c>
      <c r="E381" s="2013"/>
      <c r="F381" s="2013"/>
      <c r="G381" s="2013"/>
      <c r="H381" s="2013"/>
      <c r="I381" s="610"/>
      <c r="J381" s="600">
        <f>K385</f>
        <v>0</v>
      </c>
      <c r="K381" s="601">
        <f>'GROUP Det Group BS'!K554</f>
        <v>0</v>
      </c>
    </row>
    <row r="382" spans="1:11" ht="41.25" customHeight="1" x14ac:dyDescent="0.3">
      <c r="A382" s="3" t="str">
        <f>IF(AND(J382=0,K382=0),"Do Not Print","Print")</f>
        <v>Do Not Print</v>
      </c>
      <c r="D382" s="2013" t="s">
        <v>1314</v>
      </c>
      <c r="E382" s="2013"/>
      <c r="F382" s="2013"/>
      <c r="G382" s="2013"/>
      <c r="H382" s="2013"/>
      <c r="I382" s="599"/>
      <c r="J382" s="600">
        <f>-'GROUP Account notes'!H54</f>
        <v>0</v>
      </c>
      <c r="K382" s="600">
        <f>-'GROUP Account notes'!J54</f>
        <v>0</v>
      </c>
    </row>
    <row r="383" spans="1:11" x14ac:dyDescent="0.3">
      <c r="A383" s="3" t="str">
        <f>IF(AND(J383=0,K383=0),"Do Not Print","Print")</f>
        <v>Do Not Print</v>
      </c>
      <c r="D383" s="2012" t="s">
        <v>1315</v>
      </c>
      <c r="E383" s="2012"/>
      <c r="F383" s="2012"/>
      <c r="G383" s="2012"/>
      <c r="H383" s="2012"/>
      <c r="I383" s="610"/>
      <c r="J383" s="600">
        <f>'GROUP Non TB - Group Acc notes'!H259</f>
        <v>0</v>
      </c>
      <c r="K383" s="600">
        <f>'GROUP Non TB - Group Acc notes'!I259</f>
        <v>0</v>
      </c>
    </row>
    <row r="384" spans="1:11" x14ac:dyDescent="0.3">
      <c r="A384" s="3" t="str">
        <f>IF(A383="Print","Print","Do Not Print")</f>
        <v>Do Not Print</v>
      </c>
      <c r="D384" s="2012"/>
      <c r="E384" s="2012"/>
      <c r="F384" s="2012"/>
      <c r="G384" s="2012"/>
      <c r="H384" s="2012"/>
      <c r="I384" s="2012"/>
      <c r="J384" s="2012"/>
      <c r="K384" s="2012"/>
    </row>
    <row r="385" spans="1:11" x14ac:dyDescent="0.3">
      <c r="A385" s="3" t="str">
        <f>IF(AND(J385=0,K385=0),"Do Not Print","Print")</f>
        <v>Do Not Print</v>
      </c>
      <c r="D385" s="474" t="s">
        <v>532</v>
      </c>
      <c r="E385" s="474"/>
      <c r="F385" s="474"/>
      <c r="G385" s="474"/>
      <c r="H385" s="604"/>
      <c r="I385" s="474"/>
      <c r="J385" s="606">
        <f>SUM(J381:J383)</f>
        <v>0</v>
      </c>
      <c r="K385" s="606">
        <f>SUM(K381:K383)</f>
        <v>0</v>
      </c>
    </row>
    <row r="386" spans="1:11" x14ac:dyDescent="0.3">
      <c r="A386" s="3" t="str">
        <f>IF(A385="Print","Print","Do Not Print")</f>
        <v>Do Not Print</v>
      </c>
      <c r="D386" s="1718"/>
      <c r="E386" s="1718"/>
      <c r="F386" s="1718"/>
      <c r="G386" s="1718"/>
      <c r="H386" s="1718"/>
      <c r="I386" s="1718"/>
      <c r="J386" s="1718"/>
      <c r="K386" s="1718"/>
    </row>
    <row r="387" spans="1:11" ht="12.75" customHeight="1" x14ac:dyDescent="0.3">
      <c r="A387" s="3" t="str">
        <f>IF(OR(A389="Print",A391="Print",A393="Print",A395="Print"),"Print","Do Not Print")</f>
        <v>Print</v>
      </c>
      <c r="C387" s="585" t="str">
        <f>Checklist!E211</f>
        <v>i</v>
      </c>
      <c r="D387" s="2046" t="s">
        <v>328</v>
      </c>
      <c r="E387" s="2046"/>
      <c r="F387" s="2046"/>
      <c r="G387" s="2046"/>
      <c r="H387" s="2046"/>
      <c r="I387" s="2046"/>
      <c r="J387" s="2046"/>
      <c r="K387" s="2046"/>
    </row>
    <row r="388" spans="1:11" ht="12.75" customHeight="1" x14ac:dyDescent="0.3">
      <c r="A388" s="3" t="str">
        <f>IF(A387="Print","Print","Do Not Print")</f>
        <v>Print</v>
      </c>
      <c r="D388" s="2046"/>
      <c r="E388" s="2046"/>
      <c r="F388" s="2046"/>
      <c r="G388" s="2046"/>
      <c r="H388" s="2046"/>
      <c r="I388" s="2046"/>
      <c r="J388" s="2046"/>
      <c r="K388" s="2046"/>
    </row>
    <row r="389" spans="1:11" ht="39.6" customHeight="1" x14ac:dyDescent="0.3">
      <c r="A389" s="3" t="str">
        <f>IF('GROUP Non TB - Group Acc notes'!F260=1,"Print","Do Not Print")</f>
        <v>Print</v>
      </c>
      <c r="D389" s="1513" t="str">
        <f>IF('GROUP Non TB - Group Acc notes'!F260=1,'GROUP Non TB - Group Acc notes'!H260,"")</f>
        <v>Additional Landfill costs that were not allowed for by councils arose from the amendment of the Landfill Regulations (NI) 2003 by the Landfill (Amendment) Regulations (NI) 2011, affecting all sites that closed after the target transposition date for the Landfill Directive (1999/31/EC).</v>
      </c>
      <c r="E389" s="1513"/>
      <c r="F389" s="1513"/>
      <c r="G389" s="1513"/>
      <c r="H389" s="1513"/>
      <c r="I389" s="1513"/>
      <c r="J389" s="1513"/>
      <c r="K389" s="1513"/>
    </row>
    <row r="390" spans="1:11" ht="12.75" customHeight="1" x14ac:dyDescent="0.3">
      <c r="A390" s="3" t="str">
        <f>IF(A389="Print","Print","Do Not Print")</f>
        <v>Print</v>
      </c>
      <c r="D390" s="1513"/>
      <c r="E390" s="1513"/>
      <c r="F390" s="1513"/>
      <c r="G390" s="1513"/>
      <c r="H390" s="1513"/>
      <c r="I390" s="1513"/>
      <c r="J390" s="1513"/>
      <c r="K390" s="1513"/>
    </row>
    <row r="391" spans="1:11" ht="33.6" customHeight="1" x14ac:dyDescent="0.3">
      <c r="A391" s="3" t="str">
        <f>IF('GROUP Non TB - Group Acc notes'!F261=1,"Print","Do Not Print")</f>
        <v>Print</v>
      </c>
      <c r="D391" s="1512" t="str">
        <f>IF('GROUP Non TB - Group Acc notes'!F261=1,'GROUP Non TB - Group Acc notes'!H261,"")</f>
        <v>The Department for Communities' accounts direction provides an option to spread costs for the affected landfill sites, creating a negative reserve within the financial statements of the particular council.</v>
      </c>
      <c r="E391" s="1512"/>
      <c r="F391" s="1512"/>
      <c r="G391" s="1512"/>
      <c r="H391" s="1512"/>
      <c r="I391" s="1512"/>
      <c r="J391" s="1512"/>
      <c r="K391" s="1512"/>
    </row>
    <row r="392" spans="1:11" ht="12.75" customHeight="1" x14ac:dyDescent="0.3">
      <c r="A392" s="3" t="str">
        <f>IF(A391="Print","Print","Do Not Print")</f>
        <v>Print</v>
      </c>
      <c r="D392" s="1513"/>
      <c r="E392" s="1513"/>
      <c r="F392" s="1513"/>
      <c r="G392" s="1513"/>
      <c r="H392" s="1513"/>
      <c r="I392" s="1513"/>
      <c r="J392" s="1513"/>
      <c r="K392" s="1513"/>
    </row>
    <row r="393" spans="1:11" ht="25.5" customHeight="1" x14ac:dyDescent="0.3">
      <c r="A393" s="3" t="str">
        <f>IF('GROUP Non TB - Group Acc notes'!F262=1,"Print","Do Not Print")</f>
        <v>Print</v>
      </c>
      <c r="D393" s="1513" t="str">
        <f>IF('GROUP Non TB - Group Acc notes'!F262=1,'GROUP Non TB - Group Acc notes'!H262,"")</f>
        <v>The approved costs and period of time are those agreed between the council and the Department's Environment Policy Division in conjunction with the Northern Ireland Environment Agency.</v>
      </c>
      <c r="E393" s="1513"/>
      <c r="F393" s="1513"/>
      <c r="G393" s="1513"/>
      <c r="H393" s="1513"/>
      <c r="I393" s="1513"/>
      <c r="J393" s="1513"/>
      <c r="K393" s="1513"/>
    </row>
    <row r="394" spans="1:11" x14ac:dyDescent="0.3">
      <c r="A394" s="3" t="str">
        <f>IF(A393="Print","Print","Do Not Print")</f>
        <v>Print</v>
      </c>
      <c r="D394" s="1718"/>
      <c r="E394" s="1718"/>
      <c r="F394" s="1718"/>
      <c r="G394" s="1718"/>
      <c r="H394" s="1718"/>
      <c r="I394" s="1718"/>
      <c r="J394" s="1718"/>
      <c r="K394" s="1718"/>
    </row>
    <row r="395" spans="1:11" x14ac:dyDescent="0.3">
      <c r="A395" s="3" t="str">
        <f>IF(AND(J400=0,K400=0),"Do Not Print","Print")</f>
        <v>Do Not Print</v>
      </c>
      <c r="D395" s="474" t="s">
        <v>328</v>
      </c>
      <c r="E395" s="474"/>
      <c r="F395" s="474"/>
      <c r="G395" s="474"/>
      <c r="H395" s="604"/>
      <c r="I395" s="486" t="s">
        <v>343</v>
      </c>
      <c r="J395" s="586">
        <f>J181</f>
        <v>46112</v>
      </c>
      <c r="K395" s="586">
        <f>K181</f>
        <v>45747</v>
      </c>
    </row>
    <row r="396" spans="1:11" x14ac:dyDescent="0.3">
      <c r="A396" s="3" t="str">
        <f>IF(A395="Print","Print","Do Not Print")</f>
        <v>Do Not Print</v>
      </c>
      <c r="D396" s="2012"/>
      <c r="E396" s="2012"/>
      <c r="F396" s="2012"/>
      <c r="G396" s="2012"/>
      <c r="H396" s="2012"/>
      <c r="I396" s="2012"/>
      <c r="J396" s="648" t="s">
        <v>450</v>
      </c>
      <c r="K396" s="648" t="s">
        <v>450</v>
      </c>
    </row>
    <row r="397" spans="1:11" x14ac:dyDescent="0.3">
      <c r="A397" s="3" t="str">
        <f>IF(AND(J397=0,K397=0),"Do Not Print","Print")</f>
        <v>Do Not Print</v>
      </c>
      <c r="D397" s="2013" t="s">
        <v>530</v>
      </c>
      <c r="E397" s="2013"/>
      <c r="F397" s="2013"/>
      <c r="G397" s="2013"/>
      <c r="H397" s="2013"/>
      <c r="I397" s="610"/>
      <c r="J397" s="600">
        <f>K400</f>
        <v>0</v>
      </c>
      <c r="K397" s="601">
        <f>'GROUP Det Group BS'!K553</f>
        <v>0</v>
      </c>
    </row>
    <row r="398" spans="1:11" ht="40.5" customHeight="1" x14ac:dyDescent="0.3">
      <c r="A398" s="3" t="str">
        <f>IF(AND(J398=0,K398=0),"Do Not Print","Print")</f>
        <v>Do Not Print</v>
      </c>
      <c r="D398" s="2013" t="s">
        <v>1314</v>
      </c>
      <c r="E398" s="2013"/>
      <c r="F398" s="2013"/>
      <c r="G398" s="2013"/>
      <c r="H398" s="2013"/>
      <c r="I398" s="599"/>
      <c r="J398" s="600">
        <f>-'GROUP Account notes'!H53</f>
        <v>0</v>
      </c>
      <c r="K398" s="600">
        <f>-'GROUP Account notes'!J53</f>
        <v>0</v>
      </c>
    </row>
    <row r="399" spans="1:11" x14ac:dyDescent="0.3">
      <c r="A399" s="3" t="str">
        <f>IF(A398="Print","Print","Do Not Print")</f>
        <v>Do Not Print</v>
      </c>
      <c r="D399" s="2047"/>
      <c r="E399" s="2047"/>
      <c r="F399" s="2047"/>
      <c r="G399" s="2047"/>
      <c r="H399" s="2047"/>
      <c r="I399" s="2047"/>
      <c r="J399" s="2047"/>
      <c r="K399" s="2047"/>
    </row>
    <row r="400" spans="1:11" x14ac:dyDescent="0.3">
      <c r="A400" s="3" t="str">
        <f>IF(AND(J400=0,K400=0),"Do Not Print","Print")</f>
        <v>Do Not Print</v>
      </c>
      <c r="D400" s="474" t="s">
        <v>532</v>
      </c>
      <c r="E400" s="474"/>
      <c r="F400" s="474"/>
      <c r="G400" s="474"/>
      <c r="H400" s="604"/>
      <c r="I400" s="474"/>
      <c r="J400" s="606">
        <f>SUM(J397:J398)</f>
        <v>0</v>
      </c>
      <c r="K400" s="606">
        <f>SUM(K397:K398)</f>
        <v>0</v>
      </c>
    </row>
    <row r="401" spans="1:19" s="3" customFormat="1" x14ac:dyDescent="0.3">
      <c r="A401" s="3" t="str">
        <f>IF(A400="Print","Print","Do Not Print")</f>
        <v>Do Not Print</v>
      </c>
      <c r="B401" s="404"/>
      <c r="C401" s="404"/>
      <c r="D401" s="1538"/>
      <c r="E401" s="1538"/>
      <c r="F401" s="1538"/>
      <c r="G401" s="1538"/>
      <c r="H401" s="1538"/>
      <c r="I401" s="1538"/>
      <c r="J401" s="1538"/>
      <c r="K401" s="1538"/>
      <c r="L401" s="23"/>
      <c r="M401" s="23"/>
      <c r="N401" s="23"/>
    </row>
    <row r="402" spans="1:19" x14ac:dyDescent="0.3">
      <c r="A402" s="3" t="str">
        <f>IF(OR(A404="Print",A406="Print",A408="Print",A409="Print",A410="Print",A412="Print",A413="Print",A414="Print",A416="Print",A418="Print",A420="Print",A424="Print",A428="Print"),"Print","Do Not Print")</f>
        <v>Print</v>
      </c>
      <c r="B402" s="585" t="str">
        <f>Checklist!E212</f>
        <v>G13</v>
      </c>
      <c r="D402" s="468" t="s">
        <v>515</v>
      </c>
    </row>
    <row r="403" spans="1:19" x14ac:dyDescent="0.3">
      <c r="A403" s="3" t="str">
        <f>IF(A402="Print","Print","Do Not Print")</f>
        <v>Print</v>
      </c>
      <c r="D403" s="1726"/>
      <c r="E403" s="1726"/>
      <c r="F403" s="1726"/>
      <c r="G403" s="1726"/>
      <c r="H403" s="1726"/>
      <c r="I403" s="1726"/>
      <c r="J403" s="1726"/>
      <c r="K403" s="1726"/>
    </row>
    <row r="404" spans="1:19" ht="124.5" customHeight="1" x14ac:dyDescent="0.3">
      <c r="A404" s="3" t="str">
        <f>IF('GROUP Non TB - Group Acc notes'!F263=1,"Print","Do Not Print")</f>
        <v>Print</v>
      </c>
      <c r="D404" s="1501" t="str">
        <f>IF('GROUP Non TB - Group Acc notes'!F263=1,'GROUP Non TB - Group Acc notes'!H263,"")</f>
        <v>A Related Party Transaction is a transfer of resources or obligations between related parties, regardless of whether a price is charged. Related Party Transaction exclude transactions with any other entity that is a related party solely because of its economic dependence on the Council or the Government of which it forms part. A related party is one that has the ability to control the other party or exercise significant influence over the other party in making financial and operating decisions. This includes cases where the related party entity and another entity are subject to common control but excludes providers of finance in the course of their normal business with the Council and Trade Unions in the course of their normal dealings with the Council. In addition where the relationship with the Council and the entity is solely that of an Agency (see note 28) these are not deemed to be Related Party Transactions.</v>
      </c>
      <c r="E404" s="1501"/>
      <c r="F404" s="1501"/>
      <c r="G404" s="1501"/>
      <c r="H404" s="1501"/>
      <c r="I404" s="1501"/>
      <c r="J404" s="1501"/>
      <c r="K404" s="1501"/>
      <c r="L404" s="2052" t="s">
        <v>516</v>
      </c>
      <c r="M404" s="2052"/>
      <c r="N404" s="2052"/>
      <c r="O404" s="2052"/>
      <c r="P404" s="2052"/>
      <c r="Q404" s="2052"/>
      <c r="R404" s="2052"/>
      <c r="S404" s="2052"/>
    </row>
    <row r="405" spans="1:19" x14ac:dyDescent="0.3">
      <c r="A405" s="3" t="str">
        <f>IF(A404="Print","Print","Do Not Print")</f>
        <v>Print</v>
      </c>
      <c r="D405" s="1500"/>
      <c r="E405" s="1500"/>
      <c r="F405" s="1500"/>
      <c r="G405" s="1500"/>
      <c r="H405" s="1500"/>
      <c r="I405" s="1500"/>
      <c r="J405" s="1500"/>
      <c r="K405" s="1500"/>
    </row>
    <row r="406" spans="1:19" ht="54.75" customHeight="1" x14ac:dyDescent="0.3">
      <c r="A406" s="3" t="str">
        <f>IF('GROUP Non TB - Group Acc notes'!F264=1,"Print","Do Not Print")</f>
        <v>Print</v>
      </c>
      <c r="D406" s="1501" t="str">
        <f>IF('GROUP Non TB - Group Acc notes'!F264=1,'GROUP Non TB - Group Acc notes'!H264,"")</f>
        <v>Transactions with related parties not disclosed elsewhere in these financial statements are set out below, where a description of the nature, the amount of the transaction and the amount of the outstanding balance is as follows. Note that related party relationships where control exists should be disclosed irrespective of whether there have been transactions between the related parties.</v>
      </c>
      <c r="E406" s="1501"/>
      <c r="F406" s="1501"/>
      <c r="G406" s="1501"/>
      <c r="H406" s="1501"/>
      <c r="I406" s="1501"/>
      <c r="J406" s="1501"/>
      <c r="K406" s="1501"/>
    </row>
    <row r="407" spans="1:19" x14ac:dyDescent="0.3">
      <c r="A407" s="3" t="str">
        <f>IF(A406="Print","Print","Do Not Print")</f>
        <v>Print</v>
      </c>
      <c r="D407" s="1500"/>
      <c r="E407" s="1500"/>
      <c r="F407" s="1500"/>
      <c r="G407" s="1500"/>
      <c r="H407" s="1500"/>
      <c r="I407" s="1500"/>
      <c r="J407" s="1500"/>
      <c r="K407" s="1500"/>
    </row>
    <row r="408" spans="1:19" ht="30.75" customHeight="1" x14ac:dyDescent="0.3">
      <c r="A408" s="3" t="str">
        <f>IF('GROUP Non TB - Group Acc notes'!F265=1,"Print","Do Not Print")</f>
        <v>Print</v>
      </c>
      <c r="D408" s="1504" t="str">
        <f>IF('GROUP Non TB - Group Acc notes'!F265=1,'GROUP Non TB - Group Acc notes'!H265,"")</f>
        <v>The disclosure requirements above do not apply to related party transactions with central government departments, government agencies, NHS bodies and other local authorities. Instead authorities shall disclose:</v>
      </c>
      <c r="E408" s="1504"/>
      <c r="F408" s="1504"/>
      <c r="G408" s="1504"/>
      <c r="H408" s="1504"/>
      <c r="I408" s="1504"/>
      <c r="J408" s="1504"/>
      <c r="K408" s="1504"/>
    </row>
    <row r="409" spans="1:19" ht="46.5" customHeight="1" x14ac:dyDescent="0.3">
      <c r="A409" s="3" t="str">
        <f>IF('GROUP Non TB - Group Acc notes'!F266=1,"Print","Do Not Print")</f>
        <v>Print</v>
      </c>
      <c r="D409" s="1504" t="str">
        <f>IF('GROUP Non TB - Group Acc notes'!F266=1,'GROUP Non TB - Group Acc notes'!H266,"")</f>
        <v>a) The name of the government (i.e. UK Government, Scottish Government, Welsh Government or Northern Ireland Assembly) and the fact that the government exerts significant influence through legislation and grant funding.</v>
      </c>
      <c r="E409" s="1504"/>
      <c r="F409" s="1504"/>
      <c r="G409" s="1504"/>
      <c r="H409" s="1504"/>
      <c r="I409" s="1504"/>
      <c r="J409" s="1504"/>
      <c r="K409" s="1504"/>
    </row>
    <row r="410" spans="1:19" ht="32.25" customHeight="1" x14ac:dyDescent="0.3">
      <c r="A410" s="3" t="str">
        <f>IF('GROUP Non TB - Group Acc notes'!F267=1,"Print","Do Not Print")</f>
        <v>Print</v>
      </c>
      <c r="D410" s="1504" t="str">
        <f>IF('GROUP Non TB - Group Acc notes'!F267=1,'GROUP Non TB - Group Acc notes'!H267,"")</f>
        <v>b) The following information in sufficient detail to enable users of the reporting entity's financial statements to understand the effect of related party transactions on its financial statements:</v>
      </c>
      <c r="E410" s="1504"/>
      <c r="F410" s="1504"/>
      <c r="G410" s="1504"/>
      <c r="H410" s="1504"/>
      <c r="I410" s="1504"/>
      <c r="J410" s="1504"/>
      <c r="K410" s="1504"/>
    </row>
    <row r="411" spans="1:19" ht="12.75" customHeight="1" x14ac:dyDescent="0.3">
      <c r="A411" s="3" t="str">
        <f>IF(A410="Print","Print","Do Not Print")</f>
        <v>Print</v>
      </c>
      <c r="D411" s="2014"/>
      <c r="E411" s="2014"/>
      <c r="F411" s="2014"/>
      <c r="G411" s="2014"/>
      <c r="H411" s="2014"/>
      <c r="I411" s="2014"/>
      <c r="J411" s="2014"/>
      <c r="K411" s="2014"/>
    </row>
    <row r="412" spans="1:19" x14ac:dyDescent="0.3">
      <c r="A412" s="3" t="str">
        <f>IF('GROUP Non TB - Group Acc notes'!F268=1,"Print","Do Not Print")</f>
        <v>Print</v>
      </c>
      <c r="D412" s="1500" t="str">
        <f>IF('GROUP Non TB - Group Acc notes'!F268=1,'GROUP Non TB - Group Acc notes'!H268,"")</f>
        <v>i) the nature and amount of each individually significant transaction, and</v>
      </c>
      <c r="E412" s="1500"/>
      <c r="F412" s="1500"/>
      <c r="G412" s="1500"/>
      <c r="H412" s="1500"/>
      <c r="I412" s="1500"/>
      <c r="J412" s="1500"/>
      <c r="K412" s="1500"/>
    </row>
    <row r="413" spans="1:19" ht="28.05" customHeight="1" x14ac:dyDescent="0.3">
      <c r="A413" s="3" t="str">
        <f>IF('GROUP Non TB - Group Acc notes'!F269=1,"Print","Do Not Print")</f>
        <v>Print</v>
      </c>
      <c r="D413" s="1501" t="str">
        <f>IF('GROUP Non TB - Group Acc notes'!F269=1,'GROUP Non TB - Group Acc notes'!H269,"")</f>
        <v>ii) for other transactions that are collectively, but not individually, significant, a qualitative or quantitative indication of their extent.</v>
      </c>
      <c r="E413" s="1501"/>
      <c r="F413" s="1501"/>
      <c r="G413" s="1501"/>
      <c r="H413" s="1501"/>
      <c r="I413" s="1501"/>
      <c r="J413" s="1501"/>
      <c r="K413" s="1501"/>
    </row>
    <row r="414" spans="1:19" ht="30.75" customHeight="1" x14ac:dyDescent="0.3">
      <c r="A414" s="3" t="str">
        <f>IF('GROUP Non TB - Group Acc notes'!F270=1,"Print","Do Not Print")</f>
        <v>Print</v>
      </c>
      <c r="D414" s="1501" t="str">
        <f>IF('GROUP Non TB - Group Acc notes'!F270=1,'GROUP Non TB - Group Acc notes'!H270,"")</f>
        <v>NOTE: It is important to include disclosure on Joint Committees and Statutory Transition Committees (STC) and New Councils where applicable. You should also note where the Council is a lead partner on these bodies.</v>
      </c>
      <c r="E414" s="1501"/>
      <c r="F414" s="1501"/>
      <c r="G414" s="1501"/>
      <c r="H414" s="1501"/>
      <c r="I414" s="1501"/>
      <c r="J414" s="1501"/>
      <c r="K414" s="1501"/>
    </row>
    <row r="415" spans="1:19" x14ac:dyDescent="0.3">
      <c r="A415" s="3" t="str">
        <f>IF(A414="Print","Print","Do Not Print")</f>
        <v>Print</v>
      </c>
      <c r="D415" s="1500"/>
      <c r="E415" s="1500"/>
      <c r="F415" s="1500"/>
      <c r="G415" s="1500"/>
      <c r="H415" s="1500"/>
      <c r="I415" s="1500"/>
      <c r="J415" s="1500"/>
      <c r="K415" s="1500"/>
    </row>
    <row r="416" spans="1:19" ht="56.25" customHeight="1" x14ac:dyDescent="0.3">
      <c r="A416" s="3" t="str">
        <f>IF('GROUP Non TB - Group Acc notes'!F271=1,"Print","Do Not Print")</f>
        <v>Print</v>
      </c>
      <c r="D416" s="1501" t="str">
        <f>IF('GROUP Non TB - Group Acc notes'!F271=1,'GROUP Non TB - Group Acc notes'!H271,"")</f>
        <v>Councillors have direct control over the Council’s financial and operating policies.  In the 20XX/YY financial year the Council commissioned £X of works and services from companies in which Councillors have an interest.  The Council entered into these contracts in full compliance with the Council's standing orders and codes of conduct.</v>
      </c>
      <c r="E416" s="1501"/>
      <c r="F416" s="1501"/>
      <c r="G416" s="1501"/>
      <c r="H416" s="1501"/>
      <c r="I416" s="1501"/>
      <c r="J416" s="1501"/>
      <c r="K416" s="1501"/>
    </row>
    <row r="417" spans="1:11" x14ac:dyDescent="0.3">
      <c r="A417" s="3" t="str">
        <f>IF(A416="Print","Print","Do Not Print")</f>
        <v>Print</v>
      </c>
      <c r="D417" s="1500"/>
      <c r="E417" s="1500"/>
      <c r="F417" s="1500"/>
      <c r="G417" s="1500"/>
      <c r="H417" s="1500"/>
      <c r="I417" s="1500"/>
      <c r="J417" s="1500"/>
      <c r="K417" s="1500"/>
    </row>
    <row r="418" spans="1:11" ht="12.75" customHeight="1" x14ac:dyDescent="0.3">
      <c r="A418" s="3" t="str">
        <f>IF('GROUP Non TB - Group Acc notes'!F272=1,"Print","Do Not Print")</f>
        <v>Print</v>
      </c>
      <c r="D418" s="1501" t="str">
        <f>IF('GROUP Non TB - Group Acc notes'!F272=1,'GROUP Non TB - Group Acc notes'!H272,"")</f>
        <v>The Council also paid grants of £X to a number of organisations in which Councillors and Council officers had an interest.  These grants were made with proper consideration of declaration of interests.</v>
      </c>
      <c r="E418" s="1501"/>
      <c r="F418" s="1501"/>
      <c r="G418" s="1501"/>
      <c r="H418" s="1501"/>
      <c r="I418" s="1501"/>
      <c r="J418" s="1501"/>
      <c r="K418" s="1501"/>
    </row>
    <row r="419" spans="1:11" x14ac:dyDescent="0.3">
      <c r="A419" s="3" t="str">
        <f>IF(A418="Print","Print","Do Not Print")</f>
        <v>Print</v>
      </c>
      <c r="D419" s="1500"/>
      <c r="E419" s="1500"/>
      <c r="F419" s="1500"/>
      <c r="G419" s="1500"/>
      <c r="H419" s="1500"/>
      <c r="I419" s="1500"/>
      <c r="J419" s="1500"/>
      <c r="K419" s="1500"/>
    </row>
    <row r="420" spans="1:11" x14ac:dyDescent="0.3">
      <c r="A420" s="3" t="str">
        <f>IF('GROUP Non TB - Group Acc notes'!F273=1,"Print","Do Not Print")</f>
        <v>Print</v>
      </c>
      <c r="D420" s="1500" t="str">
        <f>IF('GROUP Non TB - Group Acc notes'!F273=1,'GROUP Non TB - Group Acc notes'!H273,"")</f>
        <v>Additional narrative</v>
      </c>
      <c r="E420" s="1500"/>
      <c r="F420" s="1500"/>
      <c r="G420" s="1500"/>
      <c r="H420" s="1500"/>
      <c r="I420" s="1500"/>
      <c r="J420" s="1500"/>
      <c r="K420" s="1500"/>
    </row>
    <row r="421" spans="1:11" x14ac:dyDescent="0.3">
      <c r="A421" s="3" t="str">
        <f>IF(A420="Print","Print","Do Not Print")</f>
        <v>Print</v>
      </c>
      <c r="D421" s="1500"/>
      <c r="E421" s="1500"/>
      <c r="F421" s="1500"/>
      <c r="G421" s="1500"/>
      <c r="H421" s="1500"/>
      <c r="I421" s="1500"/>
      <c r="J421" s="1500"/>
      <c r="K421" s="1500"/>
    </row>
    <row r="422" spans="1:11" x14ac:dyDescent="0.3">
      <c r="A422" s="3" t="str">
        <f>IF('GROUP Non TB - Group Acc notes'!F274=1,"Print","Do Not Print")</f>
        <v>Print</v>
      </c>
      <c r="D422" s="1500" t="str">
        <f>IF('GROUP Non TB - Group Acc notes'!F274=1,'GROUP Non TB - Group Acc notes'!H273,"")</f>
        <v>Additional narrative</v>
      </c>
      <c r="E422" s="1500"/>
      <c r="F422" s="1500"/>
      <c r="G422" s="1500"/>
      <c r="H422" s="1500"/>
      <c r="I422" s="1500"/>
      <c r="J422" s="1500"/>
      <c r="K422" s="1500"/>
    </row>
    <row r="423" spans="1:11" x14ac:dyDescent="0.3">
      <c r="A423" s="3" t="str">
        <f>IF(A422="Print","Print","Do Not Print")</f>
        <v>Print</v>
      </c>
      <c r="D423" s="1500"/>
      <c r="E423" s="1500"/>
      <c r="F423" s="1500"/>
      <c r="G423" s="1500"/>
      <c r="H423" s="1500"/>
      <c r="I423" s="1500"/>
      <c r="J423" s="1500"/>
      <c r="K423" s="1500"/>
    </row>
    <row r="424" spans="1:11" x14ac:dyDescent="0.3">
      <c r="A424" s="3" t="str">
        <f>IF('GROUP Non TB - Group Acc notes'!F275=1,"Print","Do Not Print")</f>
        <v>Print</v>
      </c>
      <c r="D424" s="1500" t="str">
        <f>IF('GROUP Non TB - Group Acc notes'!F275=1,'GROUP Non TB - Group Acc notes'!H275,"")</f>
        <v>Additional narrative</v>
      </c>
      <c r="E424" s="1500"/>
      <c r="F424" s="1500"/>
      <c r="G424" s="1500"/>
      <c r="H424" s="1500"/>
      <c r="I424" s="1500"/>
      <c r="J424" s="1500"/>
      <c r="K424" s="1500"/>
    </row>
    <row r="425" spans="1:11" x14ac:dyDescent="0.3">
      <c r="A425" s="3" t="str">
        <f>IF(A424="Print","Print","Do Not Print")</f>
        <v>Print</v>
      </c>
      <c r="D425" s="1500"/>
      <c r="E425" s="1500"/>
      <c r="F425" s="1500"/>
      <c r="G425" s="1500"/>
      <c r="H425" s="1500"/>
      <c r="I425" s="1500"/>
      <c r="J425" s="1500"/>
      <c r="K425" s="1500"/>
    </row>
    <row r="426" spans="1:11" x14ac:dyDescent="0.3">
      <c r="A426" s="3" t="str">
        <f>IF('GROUP Non TB - Group Acc notes'!F276=1,"Print","Do Not Print")</f>
        <v>Print</v>
      </c>
      <c r="D426" s="1538" t="s">
        <v>2024</v>
      </c>
      <c r="E426" s="1538"/>
      <c r="F426" s="1538"/>
      <c r="G426" s="1538"/>
      <c r="H426" s="1538"/>
      <c r="I426" s="1538"/>
      <c r="J426" s="1538"/>
      <c r="K426" s="1538"/>
    </row>
    <row r="427" spans="1:11" x14ac:dyDescent="0.3">
      <c r="A427" s="3" t="str">
        <f>IF('GROUP Non TB - Group Acc notes'!F276=1,"Print","Do Not Print")</f>
        <v>Print</v>
      </c>
      <c r="D427" s="1500"/>
      <c r="E427" s="1500"/>
      <c r="F427" s="1500"/>
      <c r="G427" s="1500"/>
      <c r="H427" s="1500"/>
      <c r="I427" s="1500"/>
      <c r="J427" s="1500"/>
      <c r="K427" s="1500"/>
    </row>
    <row r="428" spans="1:11" ht="27" customHeight="1" x14ac:dyDescent="0.3">
      <c r="A428" s="3" t="str">
        <f>IF('GROUP Non TB - Group Acc notes'!F276=1,"Print","Do Not Print")</f>
        <v>Print</v>
      </c>
      <c r="D428" s="1501" t="str">
        <f>IF('GROUP Non TB - Group Acc notes'!F276=1,'GROUP Non TB - Group Acc notes'!H276,"")</f>
        <v>There were no events occurring after 31 March 2026 which require adjustment to the Council's financial statements or additional disclosures.</v>
      </c>
      <c r="E428" s="1501"/>
      <c r="F428" s="1501"/>
      <c r="G428" s="1501"/>
      <c r="H428" s="1501"/>
      <c r="I428" s="1501"/>
      <c r="J428" s="1501"/>
      <c r="K428" s="1501"/>
    </row>
    <row r="429" spans="1:11" x14ac:dyDescent="0.3">
      <c r="A429" s="3" t="str">
        <f>IF(A428="Print","Print","Do Not Print")</f>
        <v>Print</v>
      </c>
      <c r="D429" s="1500"/>
      <c r="E429" s="1500"/>
      <c r="F429" s="1500"/>
      <c r="G429" s="1500"/>
      <c r="H429" s="1500"/>
      <c r="I429" s="1500"/>
      <c r="J429" s="1500"/>
      <c r="K429" s="1500"/>
    </row>
    <row r="430" spans="1:11" ht="13.5" customHeight="1" x14ac:dyDescent="0.3">
      <c r="A430" s="3" t="str">
        <f>IF('GROUP Non TB - Group Acc notes'!F277=1,"Print","Do Not Print")</f>
        <v>Print</v>
      </c>
      <c r="D430" s="1541" t="s">
        <v>1945</v>
      </c>
      <c r="E430" s="1541"/>
      <c r="F430" s="1541"/>
      <c r="G430" s="1541"/>
      <c r="H430" s="1541"/>
      <c r="I430" s="1541"/>
      <c r="J430" s="1541"/>
      <c r="K430" s="1541"/>
    </row>
    <row r="431" spans="1:11" ht="13.5" customHeight="1" x14ac:dyDescent="0.3">
      <c r="A431" s="3" t="str">
        <f>IF('GROUP Non TB - Group Acc notes'!F277=1,"Print","Do Not Print")</f>
        <v>Print</v>
      </c>
      <c r="D431" s="1541"/>
      <c r="E431" s="1541"/>
      <c r="F431" s="1541"/>
      <c r="G431" s="1541"/>
      <c r="H431" s="1541"/>
      <c r="I431" s="1541"/>
      <c r="J431" s="1541"/>
      <c r="K431" s="1541"/>
    </row>
    <row r="432" spans="1:11" ht="13.5" customHeight="1" x14ac:dyDescent="0.3">
      <c r="A432" s="3" t="str">
        <f>IF('GROUP Non TB - Group Acc notes'!F277=1,"Print","Do Not Print")</f>
        <v>Print</v>
      </c>
      <c r="D432" s="1542" t="str">
        <f>IF('GROUP Non TB - Group Acc notes'!F277=1,'GROUP Non TB - Group Acc notes'!H277,"")</f>
        <v>The Chief Financial Officer authorised these financial statements for issue on xx September 2026.</v>
      </c>
      <c r="E432" s="1542"/>
      <c r="F432" s="1542"/>
      <c r="G432" s="1542"/>
      <c r="H432" s="1542"/>
      <c r="I432" s="1542"/>
      <c r="J432" s="1542"/>
      <c r="K432" s="1542"/>
    </row>
    <row r="433" spans="1:11" ht="13.5" customHeight="1" x14ac:dyDescent="0.3">
      <c r="A433" s="3" t="str">
        <f>IF(A430="Print","Print","Do Not Print")</f>
        <v>Print</v>
      </c>
      <c r="D433" s="2014"/>
      <c r="E433" s="2014"/>
      <c r="F433" s="2014"/>
      <c r="G433" s="2014"/>
      <c r="H433" s="2014"/>
      <c r="I433" s="2014"/>
      <c r="J433" s="2014"/>
      <c r="K433" s="2014"/>
    </row>
    <row r="434" spans="1:11" x14ac:dyDescent="0.3">
      <c r="A434" s="3"/>
    </row>
    <row r="435" spans="1:11" x14ac:dyDescent="0.3">
      <c r="A435" s="3"/>
    </row>
  </sheetData>
  <autoFilter ref="A4:S433" xr:uid="{00000000-0009-0000-0000-000023000000}"/>
  <mergeCells count="369">
    <mergeCell ref="D39:K39"/>
    <mergeCell ref="D30:K30"/>
    <mergeCell ref="D31:K31"/>
    <mergeCell ref="D32:K32"/>
    <mergeCell ref="D33:K33"/>
    <mergeCell ref="D34:K34"/>
    <mergeCell ref="D35:K35"/>
    <mergeCell ref="D36:K36"/>
    <mergeCell ref="D37:K37"/>
    <mergeCell ref="D38:K38"/>
    <mergeCell ref="D73:K73"/>
    <mergeCell ref="D59:K59"/>
    <mergeCell ref="D60:K60"/>
    <mergeCell ref="D61:K61"/>
    <mergeCell ref="D10:K10"/>
    <mergeCell ref="D11:K11"/>
    <mergeCell ref="D12:K12"/>
    <mergeCell ref="D13:K13"/>
    <mergeCell ref="D14:K14"/>
    <mergeCell ref="D15:K15"/>
    <mergeCell ref="D16:K16"/>
    <mergeCell ref="D17:K17"/>
    <mergeCell ref="D18:K18"/>
    <mergeCell ref="D19:K19"/>
    <mergeCell ref="D20:K20"/>
    <mergeCell ref="D21:K21"/>
    <mergeCell ref="D22:K22"/>
    <mergeCell ref="D23:K23"/>
    <mergeCell ref="D24:K24"/>
    <mergeCell ref="D25:K25"/>
    <mergeCell ref="D26:K26"/>
    <mergeCell ref="D27:K27"/>
    <mergeCell ref="D28:K28"/>
    <mergeCell ref="D29:K29"/>
    <mergeCell ref="D143:K143"/>
    <mergeCell ref="D144:K144"/>
    <mergeCell ref="D95:K95"/>
    <mergeCell ref="D97:K97"/>
    <mergeCell ref="D98:K98"/>
    <mergeCell ref="D99:K99"/>
    <mergeCell ref="D130:K130"/>
    <mergeCell ref="D131:K131"/>
    <mergeCell ref="D132:K132"/>
    <mergeCell ref="D133:K133"/>
    <mergeCell ref="D134:K134"/>
    <mergeCell ref="D135:K135"/>
    <mergeCell ref="D136:K136"/>
    <mergeCell ref="D137:K137"/>
    <mergeCell ref="D138:K138"/>
    <mergeCell ref="D110:E110"/>
    <mergeCell ref="F110:G110"/>
    <mergeCell ref="D111:E111"/>
    <mergeCell ref="F111:G111"/>
    <mergeCell ref="D112:E112"/>
    <mergeCell ref="F112:G112"/>
    <mergeCell ref="D113:K113"/>
    <mergeCell ref="D114:K114"/>
    <mergeCell ref="D142:K142"/>
    <mergeCell ref="D168:K168"/>
    <mergeCell ref="D167:K167"/>
    <mergeCell ref="D169:K169"/>
    <mergeCell ref="D170:K170"/>
    <mergeCell ref="D171:K171"/>
    <mergeCell ref="D172:K172"/>
    <mergeCell ref="D173:K173"/>
    <mergeCell ref="D155:K155"/>
    <mergeCell ref="D156:K156"/>
    <mergeCell ref="D157:K157"/>
    <mergeCell ref="D158:K158"/>
    <mergeCell ref="D159:K159"/>
    <mergeCell ref="D162:E164"/>
    <mergeCell ref="G162:H164"/>
    <mergeCell ref="I162:I164"/>
    <mergeCell ref="J162:J164"/>
    <mergeCell ref="K162:K164"/>
    <mergeCell ref="D165:E165"/>
    <mergeCell ref="G165:H165"/>
    <mergeCell ref="D166:E166"/>
    <mergeCell ref="G166:H166"/>
    <mergeCell ref="D146:H147"/>
    <mergeCell ref="D148:H148"/>
    <mergeCell ref="D149:H149"/>
    <mergeCell ref="D150:H150"/>
    <mergeCell ref="D151:H151"/>
    <mergeCell ref="D152:H152"/>
    <mergeCell ref="D153:H153"/>
    <mergeCell ref="D154:H154"/>
    <mergeCell ref="D160:K160"/>
    <mergeCell ref="D115:K115"/>
    <mergeCell ref="D116:K116"/>
    <mergeCell ref="D117:K117"/>
    <mergeCell ref="D118:K118"/>
    <mergeCell ref="D119:K119"/>
    <mergeCell ref="D120:K120"/>
    <mergeCell ref="D121:K121"/>
    <mergeCell ref="D122:K122"/>
    <mergeCell ref="D123:K123"/>
    <mergeCell ref="D124:K124"/>
    <mergeCell ref="D125:K125"/>
    <mergeCell ref="D126:K126"/>
    <mergeCell ref="D127:K127"/>
    <mergeCell ref="D128:K128"/>
    <mergeCell ref="D129:K129"/>
    <mergeCell ref="D139:K139"/>
    <mergeCell ref="D140:K140"/>
    <mergeCell ref="D141:K141"/>
    <mergeCell ref="D104:E104"/>
    <mergeCell ref="F104:G104"/>
    <mergeCell ref="D105:E105"/>
    <mergeCell ref="F105:G105"/>
    <mergeCell ref="D106:K106"/>
    <mergeCell ref="D107:E108"/>
    <mergeCell ref="F107:G107"/>
    <mergeCell ref="F108:G108"/>
    <mergeCell ref="D109:E109"/>
    <mergeCell ref="F109:G109"/>
    <mergeCell ref="D93:I93"/>
    <mergeCell ref="D94:I94"/>
    <mergeCell ref="D96:K96"/>
    <mergeCell ref="D100:E101"/>
    <mergeCell ref="F100:G100"/>
    <mergeCell ref="F101:G101"/>
    <mergeCell ref="D102:E102"/>
    <mergeCell ref="F102:G102"/>
    <mergeCell ref="D103:E103"/>
    <mergeCell ref="F103:G103"/>
    <mergeCell ref="D77:I77"/>
    <mergeCell ref="D78:I78"/>
    <mergeCell ref="D79:I79"/>
    <mergeCell ref="D87:I87"/>
    <mergeCell ref="D88:I88"/>
    <mergeCell ref="D89:I89"/>
    <mergeCell ref="D90:I90"/>
    <mergeCell ref="D91:I91"/>
    <mergeCell ref="D92:I92"/>
    <mergeCell ref="D80:K80"/>
    <mergeCell ref="D81:K81"/>
    <mergeCell ref="D82:K82"/>
    <mergeCell ref="D83:K83"/>
    <mergeCell ref="D51:I51"/>
    <mergeCell ref="D52:I52"/>
    <mergeCell ref="D53:I53"/>
    <mergeCell ref="E64:I64"/>
    <mergeCell ref="E65:I65"/>
    <mergeCell ref="E66:I66"/>
    <mergeCell ref="E67:I67"/>
    <mergeCell ref="D64:D67"/>
    <mergeCell ref="D42:I42"/>
    <mergeCell ref="D43:I43"/>
    <mergeCell ref="D44:I44"/>
    <mergeCell ref="D45:I45"/>
    <mergeCell ref="D46:I46"/>
    <mergeCell ref="D47:I47"/>
    <mergeCell ref="D48:I48"/>
    <mergeCell ref="D49:I49"/>
    <mergeCell ref="D50:I50"/>
    <mergeCell ref="D430:K430"/>
    <mergeCell ref="D433:K433"/>
    <mergeCell ref="D431:K431"/>
    <mergeCell ref="D432:K432"/>
    <mergeCell ref="D422:K422"/>
    <mergeCell ref="D423:K423"/>
    <mergeCell ref="D178:K178"/>
    <mergeCell ref="D425:K425"/>
    <mergeCell ref="D428:K428"/>
    <mergeCell ref="D429:K429"/>
    <mergeCell ref="D417:K417"/>
    <mergeCell ref="D418:K418"/>
    <mergeCell ref="D419:K419"/>
    <mergeCell ref="D420:K420"/>
    <mergeCell ref="D421:K421"/>
    <mergeCell ref="D424:K424"/>
    <mergeCell ref="D426:K426"/>
    <mergeCell ref="D427:K427"/>
    <mergeCell ref="D411:K411"/>
    <mergeCell ref="D412:K412"/>
    <mergeCell ref="D413:K413"/>
    <mergeCell ref="D414:K414"/>
    <mergeCell ref="D415:K415"/>
    <mergeCell ref="D416:K416"/>
    <mergeCell ref="D405:K405"/>
    <mergeCell ref="D406:K406"/>
    <mergeCell ref="D407:K407"/>
    <mergeCell ref="D408:K408"/>
    <mergeCell ref="D409:K409"/>
    <mergeCell ref="D410:K410"/>
    <mergeCell ref="D403:K403"/>
    <mergeCell ref="D404:K404"/>
    <mergeCell ref="L404:S404"/>
    <mergeCell ref="D398:H398"/>
    <mergeCell ref="D399:K399"/>
    <mergeCell ref="D401:K401"/>
    <mergeCell ref="D391:K391"/>
    <mergeCell ref="D392:K392"/>
    <mergeCell ref="D393:K393"/>
    <mergeCell ref="D394:K394"/>
    <mergeCell ref="D396:I396"/>
    <mergeCell ref="D397:H397"/>
    <mergeCell ref="D384:K384"/>
    <mergeCell ref="D386:K386"/>
    <mergeCell ref="D387:K387"/>
    <mergeCell ref="D388:K388"/>
    <mergeCell ref="D389:K389"/>
    <mergeCell ref="D390:K390"/>
    <mergeCell ref="D377:K377"/>
    <mergeCell ref="D378:K378"/>
    <mergeCell ref="D380:I380"/>
    <mergeCell ref="D381:H381"/>
    <mergeCell ref="D382:H382"/>
    <mergeCell ref="D383:H383"/>
    <mergeCell ref="D368:H368"/>
    <mergeCell ref="D369:H369"/>
    <mergeCell ref="D370:K370"/>
    <mergeCell ref="D374:K374"/>
    <mergeCell ref="D375:K375"/>
    <mergeCell ref="D376:K376"/>
    <mergeCell ref="D361:K361"/>
    <mergeCell ref="D362:K362"/>
    <mergeCell ref="D363:K363"/>
    <mergeCell ref="D364:K364"/>
    <mergeCell ref="D365:K365"/>
    <mergeCell ref="D367:I367"/>
    <mergeCell ref="D353:K353"/>
    <mergeCell ref="D354:K354"/>
    <mergeCell ref="D356:I356"/>
    <mergeCell ref="D357:H357"/>
    <mergeCell ref="D358:H358"/>
    <mergeCell ref="D359:K359"/>
    <mergeCell ref="D346:H346"/>
    <mergeCell ref="D347:H347"/>
    <mergeCell ref="D348:K348"/>
    <mergeCell ref="D350:K350"/>
    <mergeCell ref="D351:K351"/>
    <mergeCell ref="D352:K352"/>
    <mergeCell ref="D329:H329"/>
    <mergeCell ref="D330:K330"/>
    <mergeCell ref="D340:K340"/>
    <mergeCell ref="D342:K342"/>
    <mergeCell ref="D344:I344"/>
    <mergeCell ref="D345:H345"/>
    <mergeCell ref="D321:K321"/>
    <mergeCell ref="D322:K322"/>
    <mergeCell ref="D323:K323"/>
    <mergeCell ref="D324:K324"/>
    <mergeCell ref="D326:I326"/>
    <mergeCell ref="D327:H327"/>
    <mergeCell ref="D328:H328"/>
    <mergeCell ref="D334:I334"/>
    <mergeCell ref="D335:H335"/>
    <mergeCell ref="D336:H336"/>
    <mergeCell ref="D337:H337"/>
    <mergeCell ref="D338:K338"/>
    <mergeCell ref="D315:H315"/>
    <mergeCell ref="D316:H316"/>
    <mergeCell ref="D317:H317"/>
    <mergeCell ref="D318:K318"/>
    <mergeCell ref="D320:K320"/>
    <mergeCell ref="D308:K308"/>
    <mergeCell ref="D309:K309"/>
    <mergeCell ref="D310:K310"/>
    <mergeCell ref="D311:K311"/>
    <mergeCell ref="D312:K312"/>
    <mergeCell ref="D314:I314"/>
    <mergeCell ref="D304:K304"/>
    <mergeCell ref="D305:K305"/>
    <mergeCell ref="D306:K306"/>
    <mergeCell ref="D307:K307"/>
    <mergeCell ref="D294:K294"/>
    <mergeCell ref="D296:I296"/>
    <mergeCell ref="D297:H297"/>
    <mergeCell ref="D299:H299"/>
    <mergeCell ref="D300:K300"/>
    <mergeCell ref="D302:K302"/>
    <mergeCell ref="D298:H298"/>
    <mergeCell ref="D287:H287"/>
    <mergeCell ref="D288:H288"/>
    <mergeCell ref="D289:H289"/>
    <mergeCell ref="D290:K290"/>
    <mergeCell ref="D292:K292"/>
    <mergeCell ref="D293:K293"/>
    <mergeCell ref="D281:H281"/>
    <mergeCell ref="D282:H282"/>
    <mergeCell ref="D283:H283"/>
    <mergeCell ref="D284:H284"/>
    <mergeCell ref="D285:H285"/>
    <mergeCell ref="D286:H286"/>
    <mergeCell ref="D274:K274"/>
    <mergeCell ref="D275:K275"/>
    <mergeCell ref="D276:K276"/>
    <mergeCell ref="D278:I278"/>
    <mergeCell ref="D279:H279"/>
    <mergeCell ref="D280:H280"/>
    <mergeCell ref="D268:K268"/>
    <mergeCell ref="D269:K269"/>
    <mergeCell ref="D270:K270"/>
    <mergeCell ref="D271:K271"/>
    <mergeCell ref="D272:K272"/>
    <mergeCell ref="D273:K273"/>
    <mergeCell ref="D263:K263"/>
    <mergeCell ref="D264:K264"/>
    <mergeCell ref="D265:K265"/>
    <mergeCell ref="D266:K266"/>
    <mergeCell ref="D267:K267"/>
    <mergeCell ref="D257:H257"/>
    <mergeCell ref="D258:H258"/>
    <mergeCell ref="D259:H259"/>
    <mergeCell ref="D260:K260"/>
    <mergeCell ref="D262:K262"/>
    <mergeCell ref="D251:H251"/>
    <mergeCell ref="D252:H252"/>
    <mergeCell ref="D253:H253"/>
    <mergeCell ref="D254:H254"/>
    <mergeCell ref="D255:H255"/>
    <mergeCell ref="D256:H256"/>
    <mergeCell ref="D244:K244"/>
    <mergeCell ref="D246:I246"/>
    <mergeCell ref="D247:H247"/>
    <mergeCell ref="D248:H248"/>
    <mergeCell ref="D249:H249"/>
    <mergeCell ref="D250:H250"/>
    <mergeCell ref="D238:K238"/>
    <mergeCell ref="D239:K239"/>
    <mergeCell ref="D240:K240"/>
    <mergeCell ref="D241:K241"/>
    <mergeCell ref="D242:K242"/>
    <mergeCell ref="D243:K243"/>
    <mergeCell ref="D232:I232"/>
    <mergeCell ref="D233:H233"/>
    <mergeCell ref="D234:H234"/>
    <mergeCell ref="D235:H235"/>
    <mergeCell ref="D236:H236"/>
    <mergeCell ref="I236:K236"/>
    <mergeCell ref="D229:K229"/>
    <mergeCell ref="D230:K230"/>
    <mergeCell ref="D225:H225"/>
    <mergeCell ref="D226:K226"/>
    <mergeCell ref="D228:K228"/>
    <mergeCell ref="D219:K219"/>
    <mergeCell ref="D220:K220"/>
    <mergeCell ref="D222:I222"/>
    <mergeCell ref="D223:H223"/>
    <mergeCell ref="D224:H224"/>
    <mergeCell ref="D211:I211"/>
    <mergeCell ref="D212:H212"/>
    <mergeCell ref="D213:H213"/>
    <mergeCell ref="D214:H214"/>
    <mergeCell ref="D215:K215"/>
    <mergeCell ref="D217:K217"/>
    <mergeCell ref="D201:H201"/>
    <mergeCell ref="D202:H202"/>
    <mergeCell ref="D203:H203"/>
    <mergeCell ref="D204:K204"/>
    <mergeCell ref="D206:K206"/>
    <mergeCell ref="D208:K208"/>
    <mergeCell ref="D177:K177"/>
    <mergeCell ref="D179:K179"/>
    <mergeCell ref="D182:I182"/>
    <mergeCell ref="D189:H189"/>
    <mergeCell ref="D190:K190"/>
    <mergeCell ref="D194:K194"/>
    <mergeCell ref="D196:K196"/>
    <mergeCell ref="D199:I199"/>
    <mergeCell ref="D200:H200"/>
    <mergeCell ref="D183:H183"/>
    <mergeCell ref="D184:H184"/>
    <mergeCell ref="D185:H185"/>
    <mergeCell ref="D186:H186"/>
    <mergeCell ref="D187:H187"/>
    <mergeCell ref="D188:H188"/>
  </mergeCells>
  <pageMargins left="0.7" right="0.7" top="0.75" bottom="0.75" header="0.3" footer="0.3"/>
  <pageSetup paperSize="9" orientation="portrait" r:id="rId1"/>
  <ignoredErrors>
    <ignoredError sqref="A433 A180:A193 A429 A425 A195 A197:A207 A209:A218 A220:A238 A240:A242 A244:A259 A261:A266 A268 A270 A272 A274 A299:A304 A306 A308 A310 A340:A352 A354:A363 A365:A374 A376 A378:A388 A390 A392 A394:A403 A405 A407 A411 A415 A417 A419 A312:A322 A324:A327 A329:A330 A276:A297"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pageSetUpPr fitToPage="1"/>
  </sheetPr>
  <dimension ref="A1:F32"/>
  <sheetViews>
    <sheetView zoomScaleNormal="100" workbookViewId="0">
      <selection activeCell="A9" sqref="A9"/>
    </sheetView>
  </sheetViews>
  <sheetFormatPr defaultRowHeight="13.2" x14ac:dyDescent="0.25"/>
  <cols>
    <col min="1" max="1" width="7" style="58" customWidth="1"/>
    <col min="2" max="2" width="51.88671875" style="58" customWidth="1"/>
    <col min="3" max="5" width="21.6640625" style="58" customWidth="1"/>
    <col min="6" max="256" width="9.109375" style="58"/>
    <col min="257" max="257" width="7" style="58" customWidth="1"/>
    <col min="258" max="258" width="51.88671875" style="58" customWidth="1"/>
    <col min="259" max="261" width="21.6640625" style="58" customWidth="1"/>
    <col min="262" max="512" width="9.109375" style="58"/>
    <col min="513" max="513" width="7" style="58" customWidth="1"/>
    <col min="514" max="514" width="51.88671875" style="58" customWidth="1"/>
    <col min="515" max="517" width="21.6640625" style="58" customWidth="1"/>
    <col min="518" max="768" width="9.109375" style="58"/>
    <col min="769" max="769" width="7" style="58" customWidth="1"/>
    <col min="770" max="770" width="51.88671875" style="58" customWidth="1"/>
    <col min="771" max="773" width="21.6640625" style="58" customWidth="1"/>
    <col min="774" max="1024" width="9.109375" style="58"/>
    <col min="1025" max="1025" width="7" style="58" customWidth="1"/>
    <col min="1026" max="1026" width="51.88671875" style="58" customWidth="1"/>
    <col min="1027" max="1029" width="21.6640625" style="58" customWidth="1"/>
    <col min="1030" max="1280" width="9.109375" style="58"/>
    <col min="1281" max="1281" width="7" style="58" customWidth="1"/>
    <col min="1282" max="1282" width="51.88671875" style="58" customWidth="1"/>
    <col min="1283" max="1285" width="21.6640625" style="58" customWidth="1"/>
    <col min="1286" max="1536" width="9.109375" style="58"/>
    <col min="1537" max="1537" width="7" style="58" customWidth="1"/>
    <col min="1538" max="1538" width="51.88671875" style="58" customWidth="1"/>
    <col min="1539" max="1541" width="21.6640625" style="58" customWidth="1"/>
    <col min="1542" max="1792" width="9.109375" style="58"/>
    <col min="1793" max="1793" width="7" style="58" customWidth="1"/>
    <col min="1794" max="1794" width="51.88671875" style="58" customWidth="1"/>
    <col min="1795" max="1797" width="21.6640625" style="58" customWidth="1"/>
    <col min="1798" max="2048" width="9.109375" style="58"/>
    <col min="2049" max="2049" width="7" style="58" customWidth="1"/>
    <col min="2050" max="2050" width="51.88671875" style="58" customWidth="1"/>
    <col min="2051" max="2053" width="21.6640625" style="58" customWidth="1"/>
    <col min="2054" max="2304" width="9.109375" style="58"/>
    <col min="2305" max="2305" width="7" style="58" customWidth="1"/>
    <col min="2306" max="2306" width="51.88671875" style="58" customWidth="1"/>
    <col min="2307" max="2309" width="21.6640625" style="58" customWidth="1"/>
    <col min="2310" max="2560" width="9.109375" style="58"/>
    <col min="2561" max="2561" width="7" style="58" customWidth="1"/>
    <col min="2562" max="2562" width="51.88671875" style="58" customWidth="1"/>
    <col min="2563" max="2565" width="21.6640625" style="58" customWidth="1"/>
    <col min="2566" max="2816" width="9.109375" style="58"/>
    <col min="2817" max="2817" width="7" style="58" customWidth="1"/>
    <col min="2818" max="2818" width="51.88671875" style="58" customWidth="1"/>
    <col min="2819" max="2821" width="21.6640625" style="58" customWidth="1"/>
    <col min="2822" max="3072" width="9.109375" style="58"/>
    <col min="3073" max="3073" width="7" style="58" customWidth="1"/>
    <col min="3074" max="3074" width="51.88671875" style="58" customWidth="1"/>
    <col min="3075" max="3077" width="21.6640625" style="58" customWidth="1"/>
    <col min="3078" max="3328" width="9.109375" style="58"/>
    <col min="3329" max="3329" width="7" style="58" customWidth="1"/>
    <col min="3330" max="3330" width="51.88671875" style="58" customWidth="1"/>
    <col min="3331" max="3333" width="21.6640625" style="58" customWidth="1"/>
    <col min="3334" max="3584" width="9.109375" style="58"/>
    <col min="3585" max="3585" width="7" style="58" customWidth="1"/>
    <col min="3586" max="3586" width="51.88671875" style="58" customWidth="1"/>
    <col min="3587" max="3589" width="21.6640625" style="58" customWidth="1"/>
    <col min="3590" max="3840" width="9.109375" style="58"/>
    <col min="3841" max="3841" width="7" style="58" customWidth="1"/>
    <col min="3842" max="3842" width="51.88671875" style="58" customWidth="1"/>
    <col min="3843" max="3845" width="21.6640625" style="58" customWidth="1"/>
    <col min="3846" max="4096" width="9.109375" style="58"/>
    <col min="4097" max="4097" width="7" style="58" customWidth="1"/>
    <col min="4098" max="4098" width="51.88671875" style="58" customWidth="1"/>
    <col min="4099" max="4101" width="21.6640625" style="58" customWidth="1"/>
    <col min="4102" max="4352" width="9.109375" style="58"/>
    <col min="4353" max="4353" width="7" style="58" customWidth="1"/>
    <col min="4354" max="4354" width="51.88671875" style="58" customWidth="1"/>
    <col min="4355" max="4357" width="21.6640625" style="58" customWidth="1"/>
    <col min="4358" max="4608" width="9.109375" style="58"/>
    <col min="4609" max="4609" width="7" style="58" customWidth="1"/>
    <col min="4610" max="4610" width="51.88671875" style="58" customWidth="1"/>
    <col min="4611" max="4613" width="21.6640625" style="58" customWidth="1"/>
    <col min="4614" max="4864" width="9.109375" style="58"/>
    <col min="4865" max="4865" width="7" style="58" customWidth="1"/>
    <col min="4866" max="4866" width="51.88671875" style="58" customWidth="1"/>
    <col min="4867" max="4869" width="21.6640625" style="58" customWidth="1"/>
    <col min="4870" max="5120" width="9.109375" style="58"/>
    <col min="5121" max="5121" width="7" style="58" customWidth="1"/>
    <col min="5122" max="5122" width="51.88671875" style="58" customWidth="1"/>
    <col min="5123" max="5125" width="21.6640625" style="58" customWidth="1"/>
    <col min="5126" max="5376" width="9.109375" style="58"/>
    <col min="5377" max="5377" width="7" style="58" customWidth="1"/>
    <col min="5378" max="5378" width="51.88671875" style="58" customWidth="1"/>
    <col min="5379" max="5381" width="21.6640625" style="58" customWidth="1"/>
    <col min="5382" max="5632" width="9.109375" style="58"/>
    <col min="5633" max="5633" width="7" style="58" customWidth="1"/>
    <col min="5634" max="5634" width="51.88671875" style="58" customWidth="1"/>
    <col min="5635" max="5637" width="21.6640625" style="58" customWidth="1"/>
    <col min="5638" max="5888" width="9.109375" style="58"/>
    <col min="5889" max="5889" width="7" style="58" customWidth="1"/>
    <col min="5890" max="5890" width="51.88671875" style="58" customWidth="1"/>
    <col min="5891" max="5893" width="21.6640625" style="58" customWidth="1"/>
    <col min="5894" max="6144" width="9.109375" style="58"/>
    <col min="6145" max="6145" width="7" style="58" customWidth="1"/>
    <col min="6146" max="6146" width="51.88671875" style="58" customWidth="1"/>
    <col min="6147" max="6149" width="21.6640625" style="58" customWidth="1"/>
    <col min="6150" max="6400" width="9.109375" style="58"/>
    <col min="6401" max="6401" width="7" style="58" customWidth="1"/>
    <col min="6402" max="6402" width="51.88671875" style="58" customWidth="1"/>
    <col min="6403" max="6405" width="21.6640625" style="58" customWidth="1"/>
    <col min="6406" max="6656" width="9.109375" style="58"/>
    <col min="6657" max="6657" width="7" style="58" customWidth="1"/>
    <col min="6658" max="6658" width="51.88671875" style="58" customWidth="1"/>
    <col min="6659" max="6661" width="21.6640625" style="58" customWidth="1"/>
    <col min="6662" max="6912" width="9.109375" style="58"/>
    <col min="6913" max="6913" width="7" style="58" customWidth="1"/>
    <col min="6914" max="6914" width="51.88671875" style="58" customWidth="1"/>
    <col min="6915" max="6917" width="21.6640625" style="58" customWidth="1"/>
    <col min="6918" max="7168" width="9.109375" style="58"/>
    <col min="7169" max="7169" width="7" style="58" customWidth="1"/>
    <col min="7170" max="7170" width="51.88671875" style="58" customWidth="1"/>
    <col min="7171" max="7173" width="21.6640625" style="58" customWidth="1"/>
    <col min="7174" max="7424" width="9.109375" style="58"/>
    <col min="7425" max="7425" width="7" style="58" customWidth="1"/>
    <col min="7426" max="7426" width="51.88671875" style="58" customWidth="1"/>
    <col min="7427" max="7429" width="21.6640625" style="58" customWidth="1"/>
    <col min="7430" max="7680" width="9.109375" style="58"/>
    <col min="7681" max="7681" width="7" style="58" customWidth="1"/>
    <col min="7682" max="7682" width="51.88671875" style="58" customWidth="1"/>
    <col min="7683" max="7685" width="21.6640625" style="58" customWidth="1"/>
    <col min="7686" max="7936" width="9.109375" style="58"/>
    <col min="7937" max="7937" width="7" style="58" customWidth="1"/>
    <col min="7938" max="7938" width="51.88671875" style="58" customWidth="1"/>
    <col min="7939" max="7941" width="21.6640625" style="58" customWidth="1"/>
    <col min="7942" max="8192" width="9.109375" style="58"/>
    <col min="8193" max="8193" width="7" style="58" customWidth="1"/>
    <col min="8194" max="8194" width="51.88671875" style="58" customWidth="1"/>
    <col min="8195" max="8197" width="21.6640625" style="58" customWidth="1"/>
    <col min="8198" max="8448" width="9.109375" style="58"/>
    <col min="8449" max="8449" width="7" style="58" customWidth="1"/>
    <col min="8450" max="8450" width="51.88671875" style="58" customWidth="1"/>
    <col min="8451" max="8453" width="21.6640625" style="58" customWidth="1"/>
    <col min="8454" max="8704" width="9.109375" style="58"/>
    <col min="8705" max="8705" width="7" style="58" customWidth="1"/>
    <col min="8706" max="8706" width="51.88671875" style="58" customWidth="1"/>
    <col min="8707" max="8709" width="21.6640625" style="58" customWidth="1"/>
    <col min="8710" max="8960" width="9.109375" style="58"/>
    <col min="8961" max="8961" width="7" style="58" customWidth="1"/>
    <col min="8962" max="8962" width="51.88671875" style="58" customWidth="1"/>
    <col min="8963" max="8965" width="21.6640625" style="58" customWidth="1"/>
    <col min="8966" max="9216" width="9.109375" style="58"/>
    <col min="9217" max="9217" width="7" style="58" customWidth="1"/>
    <col min="9218" max="9218" width="51.88671875" style="58" customWidth="1"/>
    <col min="9219" max="9221" width="21.6640625" style="58" customWidth="1"/>
    <col min="9222" max="9472" width="9.109375" style="58"/>
    <col min="9473" max="9473" width="7" style="58" customWidth="1"/>
    <col min="9474" max="9474" width="51.88671875" style="58" customWidth="1"/>
    <col min="9475" max="9477" width="21.6640625" style="58" customWidth="1"/>
    <col min="9478" max="9728" width="9.109375" style="58"/>
    <col min="9729" max="9729" width="7" style="58" customWidth="1"/>
    <col min="9730" max="9730" width="51.88671875" style="58" customWidth="1"/>
    <col min="9731" max="9733" width="21.6640625" style="58" customWidth="1"/>
    <col min="9734" max="9984" width="9.109375" style="58"/>
    <col min="9985" max="9985" width="7" style="58" customWidth="1"/>
    <col min="9986" max="9986" width="51.88671875" style="58" customWidth="1"/>
    <col min="9987" max="9989" width="21.6640625" style="58" customWidth="1"/>
    <col min="9990" max="10240" width="9.109375" style="58"/>
    <col min="10241" max="10241" width="7" style="58" customWidth="1"/>
    <col min="10242" max="10242" width="51.88671875" style="58" customWidth="1"/>
    <col min="10243" max="10245" width="21.6640625" style="58" customWidth="1"/>
    <col min="10246" max="10496" width="9.109375" style="58"/>
    <col min="10497" max="10497" width="7" style="58" customWidth="1"/>
    <col min="10498" max="10498" width="51.88671875" style="58" customWidth="1"/>
    <col min="10499" max="10501" width="21.6640625" style="58" customWidth="1"/>
    <col min="10502" max="10752" width="9.109375" style="58"/>
    <col min="10753" max="10753" width="7" style="58" customWidth="1"/>
    <col min="10754" max="10754" width="51.88671875" style="58" customWidth="1"/>
    <col min="10755" max="10757" width="21.6640625" style="58" customWidth="1"/>
    <col min="10758" max="11008" width="9.109375" style="58"/>
    <col min="11009" max="11009" width="7" style="58" customWidth="1"/>
    <col min="11010" max="11010" width="51.88671875" style="58" customWidth="1"/>
    <col min="11011" max="11013" width="21.6640625" style="58" customWidth="1"/>
    <col min="11014" max="11264" width="9.109375" style="58"/>
    <col min="11265" max="11265" width="7" style="58" customWidth="1"/>
    <col min="11266" max="11266" width="51.88671875" style="58" customWidth="1"/>
    <col min="11267" max="11269" width="21.6640625" style="58" customWidth="1"/>
    <col min="11270" max="11520" width="9.109375" style="58"/>
    <col min="11521" max="11521" width="7" style="58" customWidth="1"/>
    <col min="11522" max="11522" width="51.88671875" style="58" customWidth="1"/>
    <col min="11523" max="11525" width="21.6640625" style="58" customWidth="1"/>
    <col min="11526" max="11776" width="9.109375" style="58"/>
    <col min="11777" max="11777" width="7" style="58" customWidth="1"/>
    <col min="11778" max="11778" width="51.88671875" style="58" customWidth="1"/>
    <col min="11779" max="11781" width="21.6640625" style="58" customWidth="1"/>
    <col min="11782" max="12032" width="9.109375" style="58"/>
    <col min="12033" max="12033" width="7" style="58" customWidth="1"/>
    <col min="12034" max="12034" width="51.88671875" style="58" customWidth="1"/>
    <col min="12035" max="12037" width="21.6640625" style="58" customWidth="1"/>
    <col min="12038" max="12288" width="9.109375" style="58"/>
    <col min="12289" max="12289" width="7" style="58" customWidth="1"/>
    <col min="12290" max="12290" width="51.88671875" style="58" customWidth="1"/>
    <col min="12291" max="12293" width="21.6640625" style="58" customWidth="1"/>
    <col min="12294" max="12544" width="9.109375" style="58"/>
    <col min="12545" max="12545" width="7" style="58" customWidth="1"/>
    <col min="12546" max="12546" width="51.88671875" style="58" customWidth="1"/>
    <col min="12547" max="12549" width="21.6640625" style="58" customWidth="1"/>
    <col min="12550" max="12800" width="9.109375" style="58"/>
    <col min="12801" max="12801" width="7" style="58" customWidth="1"/>
    <col min="12802" max="12802" width="51.88671875" style="58" customWidth="1"/>
    <col min="12803" max="12805" width="21.6640625" style="58" customWidth="1"/>
    <col min="12806" max="13056" width="9.109375" style="58"/>
    <col min="13057" max="13057" width="7" style="58" customWidth="1"/>
    <col min="13058" max="13058" width="51.88671875" style="58" customWidth="1"/>
    <col min="13059" max="13061" width="21.6640625" style="58" customWidth="1"/>
    <col min="13062" max="13312" width="9.109375" style="58"/>
    <col min="13313" max="13313" width="7" style="58" customWidth="1"/>
    <col min="13314" max="13314" width="51.88671875" style="58" customWidth="1"/>
    <col min="13315" max="13317" width="21.6640625" style="58" customWidth="1"/>
    <col min="13318" max="13568" width="9.109375" style="58"/>
    <col min="13569" max="13569" width="7" style="58" customWidth="1"/>
    <col min="13570" max="13570" width="51.88671875" style="58" customWidth="1"/>
    <col min="13571" max="13573" width="21.6640625" style="58" customWidth="1"/>
    <col min="13574" max="13824" width="9.109375" style="58"/>
    <col min="13825" max="13825" width="7" style="58" customWidth="1"/>
    <col min="13826" max="13826" width="51.88671875" style="58" customWidth="1"/>
    <col min="13827" max="13829" width="21.6640625" style="58" customWidth="1"/>
    <col min="13830" max="14080" width="9.109375" style="58"/>
    <col min="14081" max="14081" width="7" style="58" customWidth="1"/>
    <col min="14082" max="14082" width="51.88671875" style="58" customWidth="1"/>
    <col min="14083" max="14085" width="21.6640625" style="58" customWidth="1"/>
    <col min="14086" max="14336" width="9.109375" style="58"/>
    <col min="14337" max="14337" width="7" style="58" customWidth="1"/>
    <col min="14338" max="14338" width="51.88671875" style="58" customWidth="1"/>
    <col min="14339" max="14341" width="21.6640625" style="58" customWidth="1"/>
    <col min="14342" max="14592" width="9.109375" style="58"/>
    <col min="14593" max="14593" width="7" style="58" customWidth="1"/>
    <col min="14594" max="14594" width="51.88671875" style="58" customWidth="1"/>
    <col min="14595" max="14597" width="21.6640625" style="58" customWidth="1"/>
    <col min="14598" max="14848" width="9.109375" style="58"/>
    <col min="14849" max="14849" width="7" style="58" customWidth="1"/>
    <col min="14850" max="14850" width="51.88671875" style="58" customWidth="1"/>
    <col min="14851" max="14853" width="21.6640625" style="58" customWidth="1"/>
    <col min="14854" max="15104" width="9.109375" style="58"/>
    <col min="15105" max="15105" width="7" style="58" customWidth="1"/>
    <col min="15106" max="15106" width="51.88671875" style="58" customWidth="1"/>
    <col min="15107" max="15109" width="21.6640625" style="58" customWidth="1"/>
    <col min="15110" max="15360" width="9.109375" style="58"/>
    <col min="15361" max="15361" width="7" style="58" customWidth="1"/>
    <col min="15362" max="15362" width="51.88671875" style="58" customWidth="1"/>
    <col min="15363" max="15365" width="21.6640625" style="58" customWidth="1"/>
    <col min="15366" max="15616" width="9.109375" style="58"/>
    <col min="15617" max="15617" width="7" style="58" customWidth="1"/>
    <col min="15618" max="15618" width="51.88671875" style="58" customWidth="1"/>
    <col min="15619" max="15621" width="21.6640625" style="58" customWidth="1"/>
    <col min="15622" max="15872" width="9.109375" style="58"/>
    <col min="15873" max="15873" width="7" style="58" customWidth="1"/>
    <col min="15874" max="15874" width="51.88671875" style="58" customWidth="1"/>
    <col min="15875" max="15877" width="21.6640625" style="58" customWidth="1"/>
    <col min="15878" max="16128" width="9.109375" style="58"/>
    <col min="16129" max="16129" width="7" style="58" customWidth="1"/>
    <col min="16130" max="16130" width="51.88671875" style="58" customWidth="1"/>
    <col min="16131" max="16133" width="21.6640625" style="58" customWidth="1"/>
    <col min="16134" max="16384" width="9.109375" style="58"/>
  </cols>
  <sheetData>
    <row r="1" spans="1:6" ht="17.399999999999999" x14ac:dyDescent="0.3">
      <c r="A1" s="852" t="str">
        <f>'Standing Data'!D4</f>
        <v>NAME OF COUNCIL</v>
      </c>
      <c r="B1" s="56"/>
      <c r="C1" s="56"/>
      <c r="D1" s="56"/>
      <c r="E1" s="57" t="s">
        <v>1283</v>
      </c>
    </row>
    <row r="2" spans="1:6" ht="15.6" x14ac:dyDescent="0.3">
      <c r="A2" s="56"/>
      <c r="B2" s="56"/>
      <c r="C2" s="56"/>
      <c r="D2" s="56"/>
      <c r="E2" s="57" t="s">
        <v>862</v>
      </c>
    </row>
    <row r="3" spans="1:6" ht="15.6" x14ac:dyDescent="0.3">
      <c r="A3" s="56"/>
      <c r="B3" s="56"/>
      <c r="C3" s="56"/>
      <c r="D3" s="56"/>
      <c r="E3" s="57"/>
    </row>
    <row r="4" spans="1:6" ht="15.6" x14ac:dyDescent="0.3">
      <c r="A4" s="70" t="str">
        <f>'Standing Data'!D32</f>
        <v>FOR THE YEAR ENDED 31 March 2026</v>
      </c>
      <c r="B4" s="73"/>
      <c r="C4" s="73"/>
      <c r="D4" s="73"/>
      <c r="E4" s="57"/>
    </row>
    <row r="5" spans="1:6" ht="9" customHeight="1" x14ac:dyDescent="0.3">
      <c r="A5" s="56"/>
      <c r="B5" s="56"/>
      <c r="C5" s="56"/>
      <c r="D5" s="56"/>
      <c r="E5" s="57"/>
    </row>
    <row r="6" spans="1:6" ht="15.6" x14ac:dyDescent="0.3">
      <c r="A6" s="59" t="s">
        <v>1277</v>
      </c>
      <c r="B6" s="59"/>
      <c r="C6" s="670"/>
      <c r="D6" s="112"/>
      <c r="E6" s="671"/>
    </row>
    <row r="7" spans="1:6" ht="15" x14ac:dyDescent="0.25">
      <c r="A7" s="56"/>
      <c r="B7" s="56"/>
      <c r="C7" s="56"/>
      <c r="D7" s="56"/>
      <c r="E7" s="56"/>
    </row>
    <row r="8" spans="1:6" ht="31.2" x14ac:dyDescent="0.25">
      <c r="A8" s="60"/>
      <c r="B8" s="61" t="s">
        <v>863</v>
      </c>
      <c r="C8" s="62" t="s">
        <v>1278</v>
      </c>
      <c r="D8" s="62" t="s">
        <v>904</v>
      </c>
      <c r="E8" s="63" t="s">
        <v>1279</v>
      </c>
    </row>
    <row r="9" spans="1:6" ht="24" customHeight="1" x14ac:dyDescent="0.25">
      <c r="A9" s="64">
        <v>1</v>
      </c>
      <c r="B9" s="65" t="s">
        <v>864</v>
      </c>
      <c r="C9" s="113">
        <f>'Det CIES'!P43</f>
        <v>0</v>
      </c>
      <c r="D9" s="113">
        <f>'Notes 3 to 10'!G96</f>
        <v>0</v>
      </c>
      <c r="E9" s="103">
        <f>+C9-D9</f>
        <v>0</v>
      </c>
    </row>
    <row r="10" spans="1:6" ht="24" customHeight="1" x14ac:dyDescent="0.3">
      <c r="A10" s="66">
        <f t="shared" ref="A10:A15" si="0">+A9+1</f>
        <v>2</v>
      </c>
      <c r="B10" s="67" t="s">
        <v>888</v>
      </c>
      <c r="C10" s="210">
        <f>'RSG Input'!F4</f>
        <v>0</v>
      </c>
      <c r="D10" s="209">
        <f>'RSG Input'!F9</f>
        <v>0</v>
      </c>
      <c r="E10" s="103">
        <f t="shared" ref="E10:E15" si="1">+C10-D10</f>
        <v>0</v>
      </c>
      <c r="F10" s="68"/>
    </row>
    <row r="11" spans="1:6" ht="24" customHeight="1" x14ac:dyDescent="0.3">
      <c r="A11" s="64">
        <f t="shared" si="0"/>
        <v>3</v>
      </c>
      <c r="B11" s="67" t="s">
        <v>156</v>
      </c>
      <c r="C11" s="210">
        <f>'RSG Input'!F5</f>
        <v>0</v>
      </c>
      <c r="D11" s="209">
        <f>'RSG Input'!F10</f>
        <v>0</v>
      </c>
      <c r="E11" s="103">
        <f t="shared" si="1"/>
        <v>0</v>
      </c>
      <c r="F11" s="68"/>
    </row>
    <row r="12" spans="1:6" ht="24" customHeight="1" x14ac:dyDescent="0.3">
      <c r="A12" s="64">
        <f t="shared" si="0"/>
        <v>4</v>
      </c>
      <c r="B12" s="67" t="s">
        <v>865</v>
      </c>
      <c r="C12" s="210">
        <f>'RSG Input'!F6</f>
        <v>0</v>
      </c>
      <c r="D12" s="209">
        <f>'RSG Input'!F11</f>
        <v>0</v>
      </c>
      <c r="E12" s="103">
        <f t="shared" si="1"/>
        <v>0</v>
      </c>
      <c r="F12" s="68"/>
    </row>
    <row r="13" spans="1:6" ht="24" customHeight="1" x14ac:dyDescent="0.3">
      <c r="A13" s="64">
        <f t="shared" si="0"/>
        <v>5</v>
      </c>
      <c r="B13" s="67" t="s">
        <v>866</v>
      </c>
      <c r="C13" s="210">
        <f>'RSG Input'!F7</f>
        <v>0</v>
      </c>
      <c r="D13" s="209">
        <f>'RSG Input'!F12</f>
        <v>0</v>
      </c>
      <c r="E13" s="103">
        <f t="shared" si="1"/>
        <v>0</v>
      </c>
      <c r="F13" s="68"/>
    </row>
    <row r="14" spans="1:6" ht="24" customHeight="1" x14ac:dyDescent="0.3">
      <c r="A14" s="64">
        <f t="shared" si="0"/>
        <v>6</v>
      </c>
      <c r="B14" s="67" t="s">
        <v>159</v>
      </c>
      <c r="C14" s="210">
        <f>'RSG Input'!F8</f>
        <v>0</v>
      </c>
      <c r="D14" s="209">
        <f>'RSG Input'!F13</f>
        <v>0</v>
      </c>
      <c r="E14" s="103">
        <f t="shared" si="1"/>
        <v>0</v>
      </c>
      <c r="F14" s="68"/>
    </row>
    <row r="15" spans="1:6" ht="24" customHeight="1" x14ac:dyDescent="0.3">
      <c r="A15" s="64">
        <f t="shared" si="0"/>
        <v>7</v>
      </c>
      <c r="B15" s="69" t="s">
        <v>1280</v>
      </c>
      <c r="C15" s="211">
        <f>+C9-SUM(C10:C14)</f>
        <v>0</v>
      </c>
      <c r="D15" s="211">
        <f>+D9-SUM(D10:D14)</f>
        <v>0</v>
      </c>
      <c r="E15" s="874">
        <f t="shared" si="1"/>
        <v>0</v>
      </c>
      <c r="F15" s="68"/>
    </row>
    <row r="16" spans="1:6" ht="15.6" x14ac:dyDescent="0.3">
      <c r="A16" s="70"/>
      <c r="B16" s="56"/>
      <c r="C16" s="56"/>
      <c r="D16" s="56"/>
      <c r="E16" s="56"/>
    </row>
    <row r="18" spans="1:5" ht="38.25" customHeight="1" x14ac:dyDescent="0.25">
      <c r="A18" s="2111" t="s">
        <v>2091</v>
      </c>
      <c r="B18" s="2111"/>
      <c r="C18" s="2111"/>
      <c r="D18" s="2111"/>
      <c r="E18" s="2111"/>
    </row>
    <row r="19" spans="1:5" ht="15" x14ac:dyDescent="0.25">
      <c r="A19" s="71" t="s">
        <v>0</v>
      </c>
      <c r="B19" s="71"/>
      <c r="C19" s="71"/>
      <c r="D19" s="71"/>
      <c r="E19" s="71"/>
    </row>
    <row r="20" spans="1:5" ht="15" x14ac:dyDescent="0.25">
      <c r="A20" s="71" t="s">
        <v>0</v>
      </c>
      <c r="B20" s="71"/>
      <c r="C20" s="71"/>
      <c r="D20" s="71"/>
      <c r="E20" s="71"/>
    </row>
    <row r="21" spans="1:5" ht="24.75" customHeight="1" x14ac:dyDescent="0.25">
      <c r="A21" s="2110" t="s">
        <v>1916</v>
      </c>
      <c r="B21" s="2110"/>
      <c r="C21" s="2110"/>
      <c r="D21" s="2110"/>
      <c r="E21" s="71"/>
    </row>
    <row r="22" spans="1:5" ht="15" x14ac:dyDescent="0.25">
      <c r="A22" s="71"/>
      <c r="B22" s="71"/>
      <c r="C22" s="71"/>
      <c r="D22" s="71"/>
      <c r="E22" s="71"/>
    </row>
    <row r="23" spans="1:5" ht="24.75" customHeight="1" x14ac:dyDescent="0.25">
      <c r="A23" s="2110" t="s">
        <v>1915</v>
      </c>
      <c r="B23" s="2110"/>
      <c r="C23" s="2110"/>
      <c r="D23" s="2110"/>
      <c r="E23" s="71"/>
    </row>
    <row r="24" spans="1:5" ht="15" x14ac:dyDescent="0.25">
      <c r="A24" s="71"/>
      <c r="B24" s="71"/>
      <c r="C24" s="71"/>
      <c r="D24" s="71"/>
      <c r="E24" s="71"/>
    </row>
    <row r="25" spans="1:5" ht="24.75" customHeight="1" x14ac:dyDescent="0.25">
      <c r="A25" s="72" t="s">
        <v>931</v>
      </c>
      <c r="B25" s="851"/>
      <c r="C25" s="72"/>
      <c r="D25" s="72"/>
      <c r="E25" s="71"/>
    </row>
    <row r="26" spans="1:5" ht="15" x14ac:dyDescent="0.25">
      <c r="A26" s="71"/>
      <c r="B26" s="71"/>
      <c r="C26" s="71"/>
      <c r="D26" s="71"/>
      <c r="E26" s="71"/>
    </row>
    <row r="27" spans="1:5" ht="15" x14ac:dyDescent="0.25">
      <c r="A27" s="71" t="s">
        <v>1281</v>
      </c>
      <c r="B27" s="71"/>
      <c r="C27" s="71"/>
      <c r="D27" s="71"/>
      <c r="E27" s="71"/>
    </row>
    <row r="28" spans="1:5" ht="24" customHeight="1" x14ac:dyDescent="0.25">
      <c r="A28" s="2110" t="s">
        <v>1917</v>
      </c>
      <c r="B28" s="2110"/>
      <c r="C28" s="2110"/>
      <c r="D28" s="2110"/>
      <c r="E28" s="71"/>
    </row>
    <row r="29" spans="1:5" ht="15" x14ac:dyDescent="0.25">
      <c r="A29" s="71" t="s">
        <v>2</v>
      </c>
      <c r="B29" s="71"/>
      <c r="C29" s="71"/>
      <c r="D29" s="71"/>
      <c r="E29" s="71"/>
    </row>
    <row r="30" spans="1:5" ht="21.75" customHeight="1" x14ac:dyDescent="0.25">
      <c r="A30" s="2110" t="s">
        <v>1282</v>
      </c>
      <c r="B30" s="2110"/>
      <c r="C30" s="2110"/>
      <c r="D30" s="2110"/>
      <c r="E30" s="71"/>
    </row>
    <row r="31" spans="1:5" ht="15" x14ac:dyDescent="0.25">
      <c r="A31" s="71"/>
      <c r="B31" s="71"/>
      <c r="C31" s="71"/>
      <c r="D31" s="71"/>
      <c r="E31" s="71"/>
    </row>
    <row r="32" spans="1:5" ht="21.75" customHeight="1" x14ac:dyDescent="0.25">
      <c r="A32" s="72" t="s">
        <v>931</v>
      </c>
      <c r="B32" s="851"/>
      <c r="C32" s="72"/>
      <c r="D32" s="72"/>
      <c r="E32" s="71"/>
    </row>
  </sheetData>
  <sheetProtection selectLockedCells="1"/>
  <protectedRanges>
    <protectedRange sqref="D10:D14" name="Depreciation_1"/>
  </protectedRanges>
  <mergeCells count="5">
    <mergeCell ref="A30:D30"/>
    <mergeCell ref="A18:E18"/>
    <mergeCell ref="A21:D21"/>
    <mergeCell ref="A23:D23"/>
    <mergeCell ref="A28:D28"/>
  </mergeCells>
  <phoneticPr fontId="9" type="noConversion"/>
  <pageMargins left="0.75" right="0.75" top="1" bottom="1" header="0.5" footer="0.5"/>
  <pageSetup paperSize="9"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34"/>
  <sheetViews>
    <sheetView topLeftCell="A13" workbookViewId="0">
      <selection activeCell="A26" sqref="A26"/>
    </sheetView>
  </sheetViews>
  <sheetFormatPr defaultRowHeight="13.2" x14ac:dyDescent="0.25"/>
  <cols>
    <col min="1" max="1" width="7" style="58" customWidth="1"/>
    <col min="2" max="2" width="51.88671875" style="58" customWidth="1"/>
    <col min="3" max="5" width="21.6640625" style="58" customWidth="1"/>
    <col min="6" max="256" width="9.109375" style="58"/>
    <col min="257" max="257" width="7" style="58" customWidth="1"/>
    <col min="258" max="258" width="51.88671875" style="58" customWidth="1"/>
    <col min="259" max="261" width="21.6640625" style="58" customWidth="1"/>
    <col min="262" max="512" width="9.109375" style="58"/>
    <col min="513" max="513" width="7" style="58" customWidth="1"/>
    <col min="514" max="514" width="51.88671875" style="58" customWidth="1"/>
    <col min="515" max="517" width="21.6640625" style="58" customWidth="1"/>
    <col min="518" max="768" width="9.109375" style="58"/>
    <col min="769" max="769" width="7" style="58" customWidth="1"/>
    <col min="770" max="770" width="51.88671875" style="58" customWidth="1"/>
    <col min="771" max="773" width="21.6640625" style="58" customWidth="1"/>
    <col min="774" max="1024" width="9.109375" style="58"/>
    <col min="1025" max="1025" width="7" style="58" customWidth="1"/>
    <col min="1026" max="1026" width="51.88671875" style="58" customWidth="1"/>
    <col min="1027" max="1029" width="21.6640625" style="58" customWidth="1"/>
    <col min="1030" max="1280" width="9.109375" style="58"/>
    <col min="1281" max="1281" width="7" style="58" customWidth="1"/>
    <col min="1282" max="1282" width="51.88671875" style="58" customWidth="1"/>
    <col min="1283" max="1285" width="21.6640625" style="58" customWidth="1"/>
    <col min="1286" max="1536" width="9.109375" style="58"/>
    <col min="1537" max="1537" width="7" style="58" customWidth="1"/>
    <col min="1538" max="1538" width="51.88671875" style="58" customWidth="1"/>
    <col min="1539" max="1541" width="21.6640625" style="58" customWidth="1"/>
    <col min="1542" max="1792" width="9.109375" style="58"/>
    <col min="1793" max="1793" width="7" style="58" customWidth="1"/>
    <col min="1794" max="1794" width="51.88671875" style="58" customWidth="1"/>
    <col min="1795" max="1797" width="21.6640625" style="58" customWidth="1"/>
    <col min="1798" max="2048" width="9.109375" style="58"/>
    <col min="2049" max="2049" width="7" style="58" customWidth="1"/>
    <col min="2050" max="2050" width="51.88671875" style="58" customWidth="1"/>
    <col min="2051" max="2053" width="21.6640625" style="58" customWidth="1"/>
    <col min="2054" max="2304" width="9.109375" style="58"/>
    <col min="2305" max="2305" width="7" style="58" customWidth="1"/>
    <col min="2306" max="2306" width="51.88671875" style="58" customWidth="1"/>
    <col min="2307" max="2309" width="21.6640625" style="58" customWidth="1"/>
    <col min="2310" max="2560" width="9.109375" style="58"/>
    <col min="2561" max="2561" width="7" style="58" customWidth="1"/>
    <col min="2562" max="2562" width="51.88671875" style="58" customWidth="1"/>
    <col min="2563" max="2565" width="21.6640625" style="58" customWidth="1"/>
    <col min="2566" max="2816" width="9.109375" style="58"/>
    <col min="2817" max="2817" width="7" style="58" customWidth="1"/>
    <col min="2818" max="2818" width="51.88671875" style="58" customWidth="1"/>
    <col min="2819" max="2821" width="21.6640625" style="58" customWidth="1"/>
    <col min="2822" max="3072" width="9.109375" style="58"/>
    <col min="3073" max="3073" width="7" style="58" customWidth="1"/>
    <col min="3074" max="3074" width="51.88671875" style="58" customWidth="1"/>
    <col min="3075" max="3077" width="21.6640625" style="58" customWidth="1"/>
    <col min="3078" max="3328" width="9.109375" style="58"/>
    <col min="3329" max="3329" width="7" style="58" customWidth="1"/>
    <col min="3330" max="3330" width="51.88671875" style="58" customWidth="1"/>
    <col min="3331" max="3333" width="21.6640625" style="58" customWidth="1"/>
    <col min="3334" max="3584" width="9.109375" style="58"/>
    <col min="3585" max="3585" width="7" style="58" customWidth="1"/>
    <col min="3586" max="3586" width="51.88671875" style="58" customWidth="1"/>
    <col min="3587" max="3589" width="21.6640625" style="58" customWidth="1"/>
    <col min="3590" max="3840" width="9.109375" style="58"/>
    <col min="3841" max="3841" width="7" style="58" customWidth="1"/>
    <col min="3842" max="3842" width="51.88671875" style="58" customWidth="1"/>
    <col min="3843" max="3845" width="21.6640625" style="58" customWidth="1"/>
    <col min="3846" max="4096" width="9.109375" style="58"/>
    <col min="4097" max="4097" width="7" style="58" customWidth="1"/>
    <col min="4098" max="4098" width="51.88671875" style="58" customWidth="1"/>
    <col min="4099" max="4101" width="21.6640625" style="58" customWidth="1"/>
    <col min="4102" max="4352" width="9.109375" style="58"/>
    <col min="4353" max="4353" width="7" style="58" customWidth="1"/>
    <col min="4354" max="4354" width="51.88671875" style="58" customWidth="1"/>
    <col min="4355" max="4357" width="21.6640625" style="58" customWidth="1"/>
    <col min="4358" max="4608" width="9.109375" style="58"/>
    <col min="4609" max="4609" width="7" style="58" customWidth="1"/>
    <col min="4610" max="4610" width="51.88671875" style="58" customWidth="1"/>
    <col min="4611" max="4613" width="21.6640625" style="58" customWidth="1"/>
    <col min="4614" max="4864" width="9.109375" style="58"/>
    <col min="4865" max="4865" width="7" style="58" customWidth="1"/>
    <col min="4866" max="4866" width="51.88671875" style="58" customWidth="1"/>
    <col min="4867" max="4869" width="21.6640625" style="58" customWidth="1"/>
    <col min="4870" max="5120" width="9.109375" style="58"/>
    <col min="5121" max="5121" width="7" style="58" customWidth="1"/>
    <col min="5122" max="5122" width="51.88671875" style="58" customWidth="1"/>
    <col min="5123" max="5125" width="21.6640625" style="58" customWidth="1"/>
    <col min="5126" max="5376" width="9.109375" style="58"/>
    <col min="5377" max="5377" width="7" style="58" customWidth="1"/>
    <col min="5378" max="5378" width="51.88671875" style="58" customWidth="1"/>
    <col min="5379" max="5381" width="21.6640625" style="58" customWidth="1"/>
    <col min="5382" max="5632" width="9.109375" style="58"/>
    <col min="5633" max="5633" width="7" style="58" customWidth="1"/>
    <col min="5634" max="5634" width="51.88671875" style="58" customWidth="1"/>
    <col min="5635" max="5637" width="21.6640625" style="58" customWidth="1"/>
    <col min="5638" max="5888" width="9.109375" style="58"/>
    <col min="5889" max="5889" width="7" style="58" customWidth="1"/>
    <col min="5890" max="5890" width="51.88671875" style="58" customWidth="1"/>
    <col min="5891" max="5893" width="21.6640625" style="58" customWidth="1"/>
    <col min="5894" max="6144" width="9.109375" style="58"/>
    <col min="6145" max="6145" width="7" style="58" customWidth="1"/>
    <col min="6146" max="6146" width="51.88671875" style="58" customWidth="1"/>
    <col min="6147" max="6149" width="21.6640625" style="58" customWidth="1"/>
    <col min="6150" max="6400" width="9.109375" style="58"/>
    <col min="6401" max="6401" width="7" style="58" customWidth="1"/>
    <col min="6402" max="6402" width="51.88671875" style="58" customWidth="1"/>
    <col min="6403" max="6405" width="21.6640625" style="58" customWidth="1"/>
    <col min="6406" max="6656" width="9.109375" style="58"/>
    <col min="6657" max="6657" width="7" style="58" customWidth="1"/>
    <col min="6658" max="6658" width="51.88671875" style="58" customWidth="1"/>
    <col min="6659" max="6661" width="21.6640625" style="58" customWidth="1"/>
    <col min="6662" max="6912" width="9.109375" style="58"/>
    <col min="6913" max="6913" width="7" style="58" customWidth="1"/>
    <col min="6914" max="6914" width="51.88671875" style="58" customWidth="1"/>
    <col min="6915" max="6917" width="21.6640625" style="58" customWidth="1"/>
    <col min="6918" max="7168" width="9.109375" style="58"/>
    <col min="7169" max="7169" width="7" style="58" customWidth="1"/>
    <col min="7170" max="7170" width="51.88671875" style="58" customWidth="1"/>
    <col min="7171" max="7173" width="21.6640625" style="58" customWidth="1"/>
    <col min="7174" max="7424" width="9.109375" style="58"/>
    <col min="7425" max="7425" width="7" style="58" customWidth="1"/>
    <col min="7426" max="7426" width="51.88671875" style="58" customWidth="1"/>
    <col min="7427" max="7429" width="21.6640625" style="58" customWidth="1"/>
    <col min="7430" max="7680" width="9.109375" style="58"/>
    <col min="7681" max="7681" width="7" style="58" customWidth="1"/>
    <col min="7682" max="7682" width="51.88671875" style="58" customWidth="1"/>
    <col min="7683" max="7685" width="21.6640625" style="58" customWidth="1"/>
    <col min="7686" max="7936" width="9.109375" style="58"/>
    <col min="7937" max="7937" width="7" style="58" customWidth="1"/>
    <col min="7938" max="7938" width="51.88671875" style="58" customWidth="1"/>
    <col min="7939" max="7941" width="21.6640625" style="58" customWidth="1"/>
    <col min="7942" max="8192" width="9.109375" style="58"/>
    <col min="8193" max="8193" width="7" style="58" customWidth="1"/>
    <col min="8194" max="8194" width="51.88671875" style="58" customWidth="1"/>
    <col min="8195" max="8197" width="21.6640625" style="58" customWidth="1"/>
    <col min="8198" max="8448" width="9.109375" style="58"/>
    <col min="8449" max="8449" width="7" style="58" customWidth="1"/>
    <col min="8450" max="8450" width="51.88671875" style="58" customWidth="1"/>
    <col min="8451" max="8453" width="21.6640625" style="58" customWidth="1"/>
    <col min="8454" max="8704" width="9.109375" style="58"/>
    <col min="8705" max="8705" width="7" style="58" customWidth="1"/>
    <col min="8706" max="8706" width="51.88671875" style="58" customWidth="1"/>
    <col min="8707" max="8709" width="21.6640625" style="58" customWidth="1"/>
    <col min="8710" max="8960" width="9.109375" style="58"/>
    <col min="8961" max="8961" width="7" style="58" customWidth="1"/>
    <col min="8962" max="8962" width="51.88671875" style="58" customWidth="1"/>
    <col min="8963" max="8965" width="21.6640625" style="58" customWidth="1"/>
    <col min="8966" max="9216" width="9.109375" style="58"/>
    <col min="9217" max="9217" width="7" style="58" customWidth="1"/>
    <col min="9218" max="9218" width="51.88671875" style="58" customWidth="1"/>
    <col min="9219" max="9221" width="21.6640625" style="58" customWidth="1"/>
    <col min="9222" max="9472" width="9.109375" style="58"/>
    <col min="9473" max="9473" width="7" style="58" customWidth="1"/>
    <col min="9474" max="9474" width="51.88671875" style="58" customWidth="1"/>
    <col min="9475" max="9477" width="21.6640625" style="58" customWidth="1"/>
    <col min="9478" max="9728" width="9.109375" style="58"/>
    <col min="9729" max="9729" width="7" style="58" customWidth="1"/>
    <col min="9730" max="9730" width="51.88671875" style="58" customWidth="1"/>
    <col min="9731" max="9733" width="21.6640625" style="58" customWidth="1"/>
    <col min="9734" max="9984" width="9.109375" style="58"/>
    <col min="9985" max="9985" width="7" style="58" customWidth="1"/>
    <col min="9986" max="9986" width="51.88671875" style="58" customWidth="1"/>
    <col min="9987" max="9989" width="21.6640625" style="58" customWidth="1"/>
    <col min="9990" max="10240" width="9.109375" style="58"/>
    <col min="10241" max="10241" width="7" style="58" customWidth="1"/>
    <col min="10242" max="10242" width="51.88671875" style="58" customWidth="1"/>
    <col min="10243" max="10245" width="21.6640625" style="58" customWidth="1"/>
    <col min="10246" max="10496" width="9.109375" style="58"/>
    <col min="10497" max="10497" width="7" style="58" customWidth="1"/>
    <col min="10498" max="10498" width="51.88671875" style="58" customWidth="1"/>
    <col min="10499" max="10501" width="21.6640625" style="58" customWidth="1"/>
    <col min="10502" max="10752" width="9.109375" style="58"/>
    <col min="10753" max="10753" width="7" style="58" customWidth="1"/>
    <col min="10754" max="10754" width="51.88671875" style="58" customWidth="1"/>
    <col min="10755" max="10757" width="21.6640625" style="58" customWidth="1"/>
    <col min="10758" max="11008" width="9.109375" style="58"/>
    <col min="11009" max="11009" width="7" style="58" customWidth="1"/>
    <col min="11010" max="11010" width="51.88671875" style="58" customWidth="1"/>
    <col min="11011" max="11013" width="21.6640625" style="58" customWidth="1"/>
    <col min="11014" max="11264" width="9.109375" style="58"/>
    <col min="11265" max="11265" width="7" style="58" customWidth="1"/>
    <col min="11266" max="11266" width="51.88671875" style="58" customWidth="1"/>
    <col min="11267" max="11269" width="21.6640625" style="58" customWidth="1"/>
    <col min="11270" max="11520" width="9.109375" style="58"/>
    <col min="11521" max="11521" width="7" style="58" customWidth="1"/>
    <col min="11522" max="11522" width="51.88671875" style="58" customWidth="1"/>
    <col min="11523" max="11525" width="21.6640625" style="58" customWidth="1"/>
    <col min="11526" max="11776" width="9.109375" style="58"/>
    <col min="11777" max="11777" width="7" style="58" customWidth="1"/>
    <col min="11778" max="11778" width="51.88671875" style="58" customWidth="1"/>
    <col min="11779" max="11781" width="21.6640625" style="58" customWidth="1"/>
    <col min="11782" max="12032" width="9.109375" style="58"/>
    <col min="12033" max="12033" width="7" style="58" customWidth="1"/>
    <col min="12034" max="12034" width="51.88671875" style="58" customWidth="1"/>
    <col min="12035" max="12037" width="21.6640625" style="58" customWidth="1"/>
    <col min="12038" max="12288" width="9.109375" style="58"/>
    <col min="12289" max="12289" width="7" style="58" customWidth="1"/>
    <col min="12290" max="12290" width="51.88671875" style="58" customWidth="1"/>
    <col min="12291" max="12293" width="21.6640625" style="58" customWidth="1"/>
    <col min="12294" max="12544" width="9.109375" style="58"/>
    <col min="12545" max="12545" width="7" style="58" customWidth="1"/>
    <col min="12546" max="12546" width="51.88671875" style="58" customWidth="1"/>
    <col min="12547" max="12549" width="21.6640625" style="58" customWidth="1"/>
    <col min="12550" max="12800" width="9.109375" style="58"/>
    <col min="12801" max="12801" width="7" style="58" customWidth="1"/>
    <col min="12802" max="12802" width="51.88671875" style="58" customWidth="1"/>
    <col min="12803" max="12805" width="21.6640625" style="58" customWidth="1"/>
    <col min="12806" max="13056" width="9.109375" style="58"/>
    <col min="13057" max="13057" width="7" style="58" customWidth="1"/>
    <col min="13058" max="13058" width="51.88671875" style="58" customWidth="1"/>
    <col min="13059" max="13061" width="21.6640625" style="58" customWidth="1"/>
    <col min="13062" max="13312" width="9.109375" style="58"/>
    <col min="13313" max="13313" width="7" style="58" customWidth="1"/>
    <col min="13314" max="13314" width="51.88671875" style="58" customWidth="1"/>
    <col min="13315" max="13317" width="21.6640625" style="58" customWidth="1"/>
    <col min="13318" max="13568" width="9.109375" style="58"/>
    <col min="13569" max="13569" width="7" style="58" customWidth="1"/>
    <col min="13570" max="13570" width="51.88671875" style="58" customWidth="1"/>
    <col min="13571" max="13573" width="21.6640625" style="58" customWidth="1"/>
    <col min="13574" max="13824" width="9.109375" style="58"/>
    <col min="13825" max="13825" width="7" style="58" customWidth="1"/>
    <col min="13826" max="13826" width="51.88671875" style="58" customWidth="1"/>
    <col min="13827" max="13829" width="21.6640625" style="58" customWidth="1"/>
    <col min="13830" max="14080" width="9.109375" style="58"/>
    <col min="14081" max="14081" width="7" style="58" customWidth="1"/>
    <col min="14082" max="14082" width="51.88671875" style="58" customWidth="1"/>
    <col min="14083" max="14085" width="21.6640625" style="58" customWidth="1"/>
    <col min="14086" max="14336" width="9.109375" style="58"/>
    <col min="14337" max="14337" width="7" style="58" customWidth="1"/>
    <col min="14338" max="14338" width="51.88671875" style="58" customWidth="1"/>
    <col min="14339" max="14341" width="21.6640625" style="58" customWidth="1"/>
    <col min="14342" max="14592" width="9.109375" style="58"/>
    <col min="14593" max="14593" width="7" style="58" customWidth="1"/>
    <col min="14594" max="14594" width="51.88671875" style="58" customWidth="1"/>
    <col min="14595" max="14597" width="21.6640625" style="58" customWidth="1"/>
    <col min="14598" max="14848" width="9.109375" style="58"/>
    <col min="14849" max="14849" width="7" style="58" customWidth="1"/>
    <col min="14850" max="14850" width="51.88671875" style="58" customWidth="1"/>
    <col min="14851" max="14853" width="21.6640625" style="58" customWidth="1"/>
    <col min="14854" max="15104" width="9.109375" style="58"/>
    <col min="15105" max="15105" width="7" style="58" customWidth="1"/>
    <col min="15106" max="15106" width="51.88671875" style="58" customWidth="1"/>
    <col min="15107" max="15109" width="21.6640625" style="58" customWidth="1"/>
    <col min="15110" max="15360" width="9.109375" style="58"/>
    <col min="15361" max="15361" width="7" style="58" customWidth="1"/>
    <col min="15362" max="15362" width="51.88671875" style="58" customWidth="1"/>
    <col min="15363" max="15365" width="21.6640625" style="58" customWidth="1"/>
    <col min="15366" max="15616" width="9.109375" style="58"/>
    <col min="15617" max="15617" width="7" style="58" customWidth="1"/>
    <col min="15618" max="15618" width="51.88671875" style="58" customWidth="1"/>
    <col min="15619" max="15621" width="21.6640625" style="58" customWidth="1"/>
    <col min="15622" max="15872" width="9.109375" style="58"/>
    <col min="15873" max="15873" width="7" style="58" customWidth="1"/>
    <col min="15874" max="15874" width="51.88671875" style="58" customWidth="1"/>
    <col min="15875" max="15877" width="21.6640625" style="58" customWidth="1"/>
    <col min="15878" max="16128" width="9.109375" style="58"/>
    <col min="16129" max="16129" width="7" style="58" customWidth="1"/>
    <col min="16130" max="16130" width="51.88671875" style="58" customWidth="1"/>
    <col min="16131" max="16133" width="21.6640625" style="58" customWidth="1"/>
    <col min="16134" max="16384" width="9.109375" style="58"/>
  </cols>
  <sheetData>
    <row r="1" spans="1:6" ht="17.399999999999999" x14ac:dyDescent="0.3">
      <c r="A1" s="852" t="str">
        <f>'Standing Data'!D4</f>
        <v>NAME OF COUNCIL</v>
      </c>
      <c r="B1" s="56"/>
      <c r="C1" s="56"/>
      <c r="D1" s="56"/>
      <c r="E1" s="57" t="s">
        <v>1283</v>
      </c>
    </row>
    <row r="2" spans="1:6" ht="15.6" x14ac:dyDescent="0.3">
      <c r="A2" s="56"/>
      <c r="B2" s="56"/>
      <c r="C2" s="56"/>
      <c r="D2" s="56"/>
      <c r="E2" s="57" t="s">
        <v>862</v>
      </c>
    </row>
    <row r="3" spans="1:6" ht="15.6" x14ac:dyDescent="0.3">
      <c r="A3" s="56"/>
      <c r="B3" s="56"/>
      <c r="C3" s="56"/>
      <c r="D3" s="56"/>
      <c r="E3" s="57"/>
    </row>
    <row r="4" spans="1:6" ht="15.6" x14ac:dyDescent="0.3">
      <c r="A4" s="70" t="str">
        <f>'Standing Data'!D50</f>
        <v>FOR THE YEAR ENDED 31 March 2025</v>
      </c>
      <c r="B4" s="73"/>
      <c r="C4" s="73"/>
      <c r="D4" s="73"/>
      <c r="E4" s="57"/>
    </row>
    <row r="5" spans="1:6" ht="15.6" x14ac:dyDescent="0.3">
      <c r="A5" s="70"/>
      <c r="B5" s="73"/>
      <c r="C5" s="73"/>
      <c r="D5" s="73"/>
      <c r="E5" s="57"/>
    </row>
    <row r="6" spans="1:6" ht="15.6" x14ac:dyDescent="0.3">
      <c r="A6" s="70"/>
      <c r="B6" s="73"/>
      <c r="C6" s="73"/>
      <c r="D6" s="73"/>
      <c r="E6" s="57"/>
    </row>
    <row r="7" spans="1:6" ht="9" customHeight="1" x14ac:dyDescent="0.3">
      <c r="A7" s="56"/>
      <c r="B7" s="56"/>
      <c r="C7" s="56"/>
      <c r="D7" s="56"/>
      <c r="E7" s="57"/>
    </row>
    <row r="8" spans="1:6" ht="15.6" x14ac:dyDescent="0.3">
      <c r="A8" s="59" t="s">
        <v>1277</v>
      </c>
      <c r="B8" s="59"/>
      <c r="C8" s="670"/>
      <c r="D8" s="112"/>
      <c r="E8" s="671"/>
    </row>
    <row r="9" spans="1:6" ht="15" x14ac:dyDescent="0.25">
      <c r="A9" s="56"/>
      <c r="B9" s="56"/>
      <c r="C9" s="56"/>
      <c r="D9" s="56"/>
      <c r="E9" s="56"/>
    </row>
    <row r="10" spans="1:6" ht="31.2" x14ac:dyDescent="0.25">
      <c r="A10" s="60"/>
      <c r="B10" s="61" t="s">
        <v>863</v>
      </c>
      <c r="C10" s="62" t="s">
        <v>1278</v>
      </c>
      <c r="D10" s="62" t="s">
        <v>904</v>
      </c>
      <c r="E10" s="63" t="s">
        <v>1279</v>
      </c>
    </row>
    <row r="11" spans="1:6" ht="24" customHeight="1" x14ac:dyDescent="0.25">
      <c r="A11" s="64">
        <v>1</v>
      </c>
      <c r="B11" s="65" t="s">
        <v>864</v>
      </c>
      <c r="C11" s="113">
        <f>'Det CIES'!S43</f>
        <v>0</v>
      </c>
      <c r="D11" s="113">
        <f>'Notes 3 to 10'!I96</f>
        <v>0</v>
      </c>
      <c r="E11" s="103">
        <f>+C11-D11</f>
        <v>0</v>
      </c>
    </row>
    <row r="12" spans="1:6" ht="24" customHeight="1" x14ac:dyDescent="0.3">
      <c r="A12" s="66">
        <f t="shared" ref="A12:A17" si="0">+A11+1</f>
        <v>2</v>
      </c>
      <c r="B12" s="67" t="s">
        <v>888</v>
      </c>
      <c r="C12" s="210">
        <f>'RSG Input'!F14</f>
        <v>0</v>
      </c>
      <c r="D12" s="209">
        <f>'RSG Input'!F19</f>
        <v>0</v>
      </c>
      <c r="E12" s="103">
        <f t="shared" ref="E12:E17" si="1">+C12-D12</f>
        <v>0</v>
      </c>
      <c r="F12" s="68"/>
    </row>
    <row r="13" spans="1:6" ht="24" customHeight="1" x14ac:dyDescent="0.3">
      <c r="A13" s="64">
        <f t="shared" si="0"/>
        <v>3</v>
      </c>
      <c r="B13" s="67" t="s">
        <v>156</v>
      </c>
      <c r="C13" s="210">
        <f>'RSG Input'!F15</f>
        <v>0</v>
      </c>
      <c r="D13" s="209">
        <f>'RSG Input'!F20</f>
        <v>0</v>
      </c>
      <c r="E13" s="103">
        <f t="shared" si="1"/>
        <v>0</v>
      </c>
      <c r="F13" s="68"/>
    </row>
    <row r="14" spans="1:6" ht="24" customHeight="1" x14ac:dyDescent="0.3">
      <c r="A14" s="64">
        <f t="shared" si="0"/>
        <v>4</v>
      </c>
      <c r="B14" s="67" t="s">
        <v>865</v>
      </c>
      <c r="C14" s="210">
        <f>'RSG Input'!F16</f>
        <v>0</v>
      </c>
      <c r="D14" s="209">
        <f>'RSG Input'!F21</f>
        <v>0</v>
      </c>
      <c r="E14" s="103">
        <f t="shared" si="1"/>
        <v>0</v>
      </c>
      <c r="F14" s="68"/>
    </row>
    <row r="15" spans="1:6" ht="24" customHeight="1" x14ac:dyDescent="0.3">
      <c r="A15" s="64">
        <f t="shared" si="0"/>
        <v>5</v>
      </c>
      <c r="B15" s="67" t="s">
        <v>866</v>
      </c>
      <c r="C15" s="210">
        <f>'RSG Input'!F17</f>
        <v>0</v>
      </c>
      <c r="D15" s="209">
        <f>'RSG Input'!F22</f>
        <v>0</v>
      </c>
      <c r="E15" s="103">
        <f t="shared" si="1"/>
        <v>0</v>
      </c>
      <c r="F15" s="68"/>
    </row>
    <row r="16" spans="1:6" ht="24" customHeight="1" x14ac:dyDescent="0.3">
      <c r="A16" s="64">
        <f t="shared" si="0"/>
        <v>6</v>
      </c>
      <c r="B16" s="67" t="s">
        <v>159</v>
      </c>
      <c r="C16" s="210">
        <f>'RSG Input'!F18</f>
        <v>0</v>
      </c>
      <c r="D16" s="209">
        <f>'RSG Input'!F23</f>
        <v>0</v>
      </c>
      <c r="E16" s="103">
        <f t="shared" si="1"/>
        <v>0</v>
      </c>
      <c r="F16" s="68"/>
    </row>
    <row r="17" spans="1:6" ht="24" customHeight="1" x14ac:dyDescent="0.3">
      <c r="A17" s="64">
        <f t="shared" si="0"/>
        <v>7</v>
      </c>
      <c r="B17" s="69" t="s">
        <v>1280</v>
      </c>
      <c r="C17" s="211">
        <f>+C11-SUM(C12:C16)</f>
        <v>0</v>
      </c>
      <c r="D17" s="211">
        <f>+D11-SUM(D12:D16)</f>
        <v>0</v>
      </c>
      <c r="E17" s="103">
        <f t="shared" si="1"/>
        <v>0</v>
      </c>
      <c r="F17" s="68"/>
    </row>
    <row r="18" spans="1:6" ht="15.6" x14ac:dyDescent="0.3">
      <c r="A18" s="70"/>
      <c r="B18" s="56"/>
      <c r="C18" s="56"/>
      <c r="D18" s="56"/>
      <c r="E18" s="56"/>
    </row>
    <row r="20" spans="1:6" ht="38.25" customHeight="1" x14ac:dyDescent="0.25">
      <c r="A20" s="2111" t="s">
        <v>2092</v>
      </c>
      <c r="B20" s="2111"/>
      <c r="C20" s="2111"/>
      <c r="D20" s="2111"/>
      <c r="E20" s="2111"/>
    </row>
    <row r="21" spans="1:6" ht="15" x14ac:dyDescent="0.25">
      <c r="A21" s="71" t="s">
        <v>0</v>
      </c>
      <c r="B21" s="71"/>
      <c r="C21" s="71"/>
      <c r="D21" s="71"/>
      <c r="E21" s="71"/>
    </row>
    <row r="22" spans="1:6" ht="15" x14ac:dyDescent="0.25">
      <c r="A22" s="71" t="s">
        <v>0</v>
      </c>
      <c r="B22" s="71"/>
      <c r="C22" s="71"/>
      <c r="D22" s="71"/>
      <c r="E22" s="71"/>
    </row>
    <row r="23" spans="1:6" ht="24.75" customHeight="1" x14ac:dyDescent="0.25">
      <c r="A23" s="2110" t="s">
        <v>1918</v>
      </c>
      <c r="B23" s="2110"/>
      <c r="C23" s="2110"/>
      <c r="D23" s="2110"/>
      <c r="E23" s="71"/>
    </row>
    <row r="24" spans="1:6" ht="15" x14ac:dyDescent="0.25">
      <c r="A24" s="71"/>
      <c r="B24" s="71"/>
      <c r="C24" s="71"/>
      <c r="D24" s="71"/>
      <c r="E24" s="71"/>
    </row>
    <row r="25" spans="1:6" ht="24.75" customHeight="1" x14ac:dyDescent="0.25">
      <c r="A25" s="2110" t="s">
        <v>1</v>
      </c>
      <c r="B25" s="2110"/>
      <c r="C25" s="2110"/>
      <c r="D25" s="2110"/>
      <c r="E25" s="71"/>
    </row>
    <row r="26" spans="1:6" ht="15" x14ac:dyDescent="0.25">
      <c r="A26" s="71"/>
      <c r="B26" s="71"/>
      <c r="C26" s="71"/>
      <c r="D26" s="71"/>
      <c r="E26" s="71"/>
    </row>
    <row r="27" spans="1:6" ht="23.25" customHeight="1" x14ac:dyDescent="0.25">
      <c r="A27" s="72" t="s">
        <v>931</v>
      </c>
      <c r="B27" s="851"/>
      <c r="C27" s="72"/>
      <c r="D27" s="72"/>
      <c r="E27" s="71"/>
    </row>
    <row r="28" spans="1:6" ht="15" x14ac:dyDescent="0.25">
      <c r="A28" s="71"/>
      <c r="B28" s="71"/>
      <c r="C28" s="71"/>
      <c r="D28" s="71"/>
      <c r="E28" s="71"/>
    </row>
    <row r="29" spans="1:6" ht="15" x14ac:dyDescent="0.25">
      <c r="A29" s="71" t="s">
        <v>1281</v>
      </c>
      <c r="B29" s="71"/>
      <c r="C29" s="71"/>
      <c r="D29" s="71"/>
      <c r="E29" s="71"/>
    </row>
    <row r="30" spans="1:6" ht="20.25" customHeight="1" x14ac:dyDescent="0.25">
      <c r="A30" s="2110" t="s">
        <v>1919</v>
      </c>
      <c r="B30" s="2110"/>
      <c r="C30" s="2110"/>
      <c r="D30" s="2110"/>
      <c r="E30" s="71"/>
    </row>
    <row r="31" spans="1:6" ht="15" x14ac:dyDescent="0.25">
      <c r="A31" s="71" t="s">
        <v>2</v>
      </c>
      <c r="B31" s="71"/>
      <c r="C31" s="71"/>
      <c r="D31" s="71"/>
      <c r="E31" s="71"/>
    </row>
    <row r="32" spans="1:6" ht="21.75" customHeight="1" x14ac:dyDescent="0.25">
      <c r="A32" s="2110" t="s">
        <v>1282</v>
      </c>
      <c r="B32" s="2110"/>
      <c r="C32" s="2110"/>
      <c r="D32" s="2110"/>
      <c r="E32" s="71"/>
    </row>
    <row r="33" spans="1:5" ht="15" x14ac:dyDescent="0.25">
      <c r="A33" s="71"/>
      <c r="B33" s="71"/>
      <c r="C33" s="71"/>
      <c r="D33" s="71"/>
      <c r="E33" s="71"/>
    </row>
    <row r="34" spans="1:5" ht="21.75" customHeight="1" x14ac:dyDescent="0.25">
      <c r="A34" s="72" t="s">
        <v>931</v>
      </c>
      <c r="B34" s="853"/>
      <c r="C34" s="72"/>
      <c r="D34" s="72"/>
      <c r="E34" s="71"/>
    </row>
  </sheetData>
  <sheetProtection selectLockedCells="1"/>
  <protectedRanges>
    <protectedRange sqref="D12:D16" name="Depreciation_1_1"/>
  </protectedRanges>
  <mergeCells count="5">
    <mergeCell ref="A20:E20"/>
    <mergeCell ref="A23:D23"/>
    <mergeCell ref="A25:D25"/>
    <mergeCell ref="A30:D30"/>
    <mergeCell ref="A32:D3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V286"/>
  <sheetViews>
    <sheetView topLeftCell="A211" zoomScale="85" zoomScaleNormal="85" workbookViewId="0">
      <selection activeCell="B140" sqref="B140:G140"/>
    </sheetView>
  </sheetViews>
  <sheetFormatPr defaultRowHeight="15.6" x14ac:dyDescent="0.3"/>
  <cols>
    <col min="1" max="1" width="2.5546875" style="333" customWidth="1"/>
    <col min="2" max="2" width="49.5546875" style="333" customWidth="1"/>
    <col min="3" max="3" width="9.109375" style="333"/>
    <col min="4" max="4" width="13.88671875" style="333" customWidth="1"/>
    <col min="5" max="6" width="9.109375" style="333"/>
    <col min="7" max="7" width="16.6640625" style="333" customWidth="1"/>
    <col min="8" max="256" width="9.109375" style="333"/>
    <col min="257" max="257" width="2.5546875" style="333" customWidth="1"/>
    <col min="258" max="258" width="49.5546875" style="333" customWidth="1"/>
    <col min="259" max="512" width="9.109375" style="333"/>
    <col min="513" max="513" width="2.5546875" style="333" customWidth="1"/>
    <col min="514" max="514" width="49.5546875" style="333" customWidth="1"/>
    <col min="515" max="768" width="9.109375" style="333"/>
    <col min="769" max="769" width="2.5546875" style="333" customWidth="1"/>
    <col min="770" max="770" width="49.5546875" style="333" customWidth="1"/>
    <col min="771" max="1024" width="9.109375" style="333"/>
    <col min="1025" max="1025" width="2.5546875" style="333" customWidth="1"/>
    <col min="1026" max="1026" width="49.5546875" style="333" customWidth="1"/>
    <col min="1027" max="1280" width="9.109375" style="333"/>
    <col min="1281" max="1281" width="2.5546875" style="333" customWidth="1"/>
    <col min="1282" max="1282" width="49.5546875" style="333" customWidth="1"/>
    <col min="1283" max="1536" width="9.109375" style="333"/>
    <col min="1537" max="1537" width="2.5546875" style="333" customWidth="1"/>
    <col min="1538" max="1538" width="49.5546875" style="333" customWidth="1"/>
    <col min="1539" max="1792" width="9.109375" style="333"/>
    <col min="1793" max="1793" width="2.5546875" style="333" customWidth="1"/>
    <col min="1794" max="1794" width="49.5546875" style="333" customWidth="1"/>
    <col min="1795" max="2048" width="9.109375" style="333"/>
    <col min="2049" max="2049" width="2.5546875" style="333" customWidth="1"/>
    <col min="2050" max="2050" width="49.5546875" style="333" customWidth="1"/>
    <col min="2051" max="2304" width="9.109375" style="333"/>
    <col min="2305" max="2305" width="2.5546875" style="333" customWidth="1"/>
    <col min="2306" max="2306" width="49.5546875" style="333" customWidth="1"/>
    <col min="2307" max="2560" width="9.109375" style="333"/>
    <col min="2561" max="2561" width="2.5546875" style="333" customWidth="1"/>
    <col min="2562" max="2562" width="49.5546875" style="333" customWidth="1"/>
    <col min="2563" max="2816" width="9.109375" style="333"/>
    <col min="2817" max="2817" width="2.5546875" style="333" customWidth="1"/>
    <col min="2818" max="2818" width="49.5546875" style="333" customWidth="1"/>
    <col min="2819" max="3072" width="9.109375" style="333"/>
    <col min="3073" max="3073" width="2.5546875" style="333" customWidth="1"/>
    <col min="3074" max="3074" width="49.5546875" style="333" customWidth="1"/>
    <col min="3075" max="3328" width="9.109375" style="333"/>
    <col min="3329" max="3329" width="2.5546875" style="333" customWidth="1"/>
    <col min="3330" max="3330" width="49.5546875" style="333" customWidth="1"/>
    <col min="3331" max="3584" width="9.109375" style="333"/>
    <col min="3585" max="3585" width="2.5546875" style="333" customWidth="1"/>
    <col min="3586" max="3586" width="49.5546875" style="333" customWidth="1"/>
    <col min="3587" max="3840" width="9.109375" style="333"/>
    <col min="3841" max="3841" width="2.5546875" style="333" customWidth="1"/>
    <col min="3842" max="3842" width="49.5546875" style="333" customWidth="1"/>
    <col min="3843" max="4096" width="9.109375" style="333"/>
    <col min="4097" max="4097" width="2.5546875" style="333" customWidth="1"/>
    <col min="4098" max="4098" width="49.5546875" style="333" customWidth="1"/>
    <col min="4099" max="4352" width="9.109375" style="333"/>
    <col min="4353" max="4353" width="2.5546875" style="333" customWidth="1"/>
    <col min="4354" max="4354" width="49.5546875" style="333" customWidth="1"/>
    <col min="4355" max="4608" width="9.109375" style="333"/>
    <col min="4609" max="4609" width="2.5546875" style="333" customWidth="1"/>
    <col min="4610" max="4610" width="49.5546875" style="333" customWidth="1"/>
    <col min="4611" max="4864" width="9.109375" style="333"/>
    <col min="4865" max="4865" width="2.5546875" style="333" customWidth="1"/>
    <col min="4866" max="4866" width="49.5546875" style="333" customWidth="1"/>
    <col min="4867" max="5120" width="9.109375" style="333"/>
    <col min="5121" max="5121" width="2.5546875" style="333" customWidth="1"/>
    <col min="5122" max="5122" width="49.5546875" style="333" customWidth="1"/>
    <col min="5123" max="5376" width="9.109375" style="333"/>
    <col min="5377" max="5377" width="2.5546875" style="333" customWidth="1"/>
    <col min="5378" max="5378" width="49.5546875" style="333" customWidth="1"/>
    <col min="5379" max="5632" width="9.109375" style="333"/>
    <col min="5633" max="5633" width="2.5546875" style="333" customWidth="1"/>
    <col min="5634" max="5634" width="49.5546875" style="333" customWidth="1"/>
    <col min="5635" max="5888" width="9.109375" style="333"/>
    <col min="5889" max="5889" width="2.5546875" style="333" customWidth="1"/>
    <col min="5890" max="5890" width="49.5546875" style="333" customWidth="1"/>
    <col min="5891" max="6144" width="9.109375" style="333"/>
    <col min="6145" max="6145" width="2.5546875" style="333" customWidth="1"/>
    <col min="6146" max="6146" width="49.5546875" style="333" customWidth="1"/>
    <col min="6147" max="6400" width="9.109375" style="333"/>
    <col min="6401" max="6401" width="2.5546875" style="333" customWidth="1"/>
    <col min="6402" max="6402" width="49.5546875" style="333" customWidth="1"/>
    <col min="6403" max="6656" width="9.109375" style="333"/>
    <col min="6657" max="6657" width="2.5546875" style="333" customWidth="1"/>
    <col min="6658" max="6658" width="49.5546875" style="333" customWidth="1"/>
    <col min="6659" max="6912" width="9.109375" style="333"/>
    <col min="6913" max="6913" width="2.5546875" style="333" customWidth="1"/>
    <col min="6914" max="6914" width="49.5546875" style="333" customWidth="1"/>
    <col min="6915" max="7168" width="9.109375" style="333"/>
    <col min="7169" max="7169" width="2.5546875" style="333" customWidth="1"/>
    <col min="7170" max="7170" width="49.5546875" style="333" customWidth="1"/>
    <col min="7171" max="7424" width="9.109375" style="333"/>
    <col min="7425" max="7425" width="2.5546875" style="333" customWidth="1"/>
    <col min="7426" max="7426" width="49.5546875" style="333" customWidth="1"/>
    <col min="7427" max="7680" width="9.109375" style="333"/>
    <col min="7681" max="7681" width="2.5546875" style="333" customWidth="1"/>
    <col min="7682" max="7682" width="49.5546875" style="333" customWidth="1"/>
    <col min="7683" max="7936" width="9.109375" style="333"/>
    <col min="7937" max="7937" width="2.5546875" style="333" customWidth="1"/>
    <col min="7938" max="7938" width="49.5546875" style="333" customWidth="1"/>
    <col min="7939" max="8192" width="9.109375" style="333"/>
    <col min="8193" max="8193" width="2.5546875" style="333" customWidth="1"/>
    <col min="8194" max="8194" width="49.5546875" style="333" customWidth="1"/>
    <col min="8195" max="8448" width="9.109375" style="333"/>
    <col min="8449" max="8449" width="2.5546875" style="333" customWidth="1"/>
    <col min="8450" max="8450" width="49.5546875" style="333" customWidth="1"/>
    <col min="8451" max="8704" width="9.109375" style="333"/>
    <col min="8705" max="8705" width="2.5546875" style="333" customWidth="1"/>
    <col min="8706" max="8706" width="49.5546875" style="333" customWidth="1"/>
    <col min="8707" max="8960" width="9.109375" style="333"/>
    <col min="8961" max="8961" width="2.5546875" style="333" customWidth="1"/>
    <col min="8962" max="8962" width="49.5546875" style="333" customWidth="1"/>
    <col min="8963" max="9216" width="9.109375" style="333"/>
    <col min="9217" max="9217" width="2.5546875" style="333" customWidth="1"/>
    <col min="9218" max="9218" width="49.5546875" style="333" customWidth="1"/>
    <col min="9219" max="9472" width="9.109375" style="333"/>
    <col min="9473" max="9473" width="2.5546875" style="333" customWidth="1"/>
    <col min="9474" max="9474" width="49.5546875" style="333" customWidth="1"/>
    <col min="9475" max="9728" width="9.109375" style="333"/>
    <col min="9729" max="9729" width="2.5546875" style="333" customWidth="1"/>
    <col min="9730" max="9730" width="49.5546875" style="333" customWidth="1"/>
    <col min="9731" max="9984" width="9.109375" style="333"/>
    <col min="9985" max="9985" width="2.5546875" style="333" customWidth="1"/>
    <col min="9986" max="9986" width="49.5546875" style="333" customWidth="1"/>
    <col min="9987" max="10240" width="9.109375" style="333"/>
    <col min="10241" max="10241" width="2.5546875" style="333" customWidth="1"/>
    <col min="10242" max="10242" width="49.5546875" style="333" customWidth="1"/>
    <col min="10243" max="10496" width="9.109375" style="333"/>
    <col min="10497" max="10497" width="2.5546875" style="333" customWidth="1"/>
    <col min="10498" max="10498" width="49.5546875" style="333" customWidth="1"/>
    <col min="10499" max="10752" width="9.109375" style="333"/>
    <col min="10753" max="10753" width="2.5546875" style="333" customWidth="1"/>
    <col min="10754" max="10754" width="49.5546875" style="333" customWidth="1"/>
    <col min="10755" max="11008" width="9.109375" style="333"/>
    <col min="11009" max="11009" width="2.5546875" style="333" customWidth="1"/>
    <col min="11010" max="11010" width="49.5546875" style="333" customWidth="1"/>
    <col min="11011" max="11264" width="9.109375" style="333"/>
    <col min="11265" max="11265" width="2.5546875" style="333" customWidth="1"/>
    <col min="11266" max="11266" width="49.5546875" style="333" customWidth="1"/>
    <col min="11267" max="11520" width="9.109375" style="333"/>
    <col min="11521" max="11521" width="2.5546875" style="333" customWidth="1"/>
    <col min="11522" max="11522" width="49.5546875" style="333" customWidth="1"/>
    <col min="11523" max="11776" width="9.109375" style="333"/>
    <col min="11777" max="11777" width="2.5546875" style="333" customWidth="1"/>
    <col min="11778" max="11778" width="49.5546875" style="333" customWidth="1"/>
    <col min="11779" max="12032" width="9.109375" style="333"/>
    <col min="12033" max="12033" width="2.5546875" style="333" customWidth="1"/>
    <col min="12034" max="12034" width="49.5546875" style="333" customWidth="1"/>
    <col min="12035" max="12288" width="9.109375" style="333"/>
    <col min="12289" max="12289" width="2.5546875" style="333" customWidth="1"/>
    <col min="12290" max="12290" width="49.5546875" style="333" customWidth="1"/>
    <col min="12291" max="12544" width="9.109375" style="333"/>
    <col min="12545" max="12545" width="2.5546875" style="333" customWidth="1"/>
    <col min="12546" max="12546" width="49.5546875" style="333" customWidth="1"/>
    <col min="12547" max="12800" width="9.109375" style="333"/>
    <col min="12801" max="12801" width="2.5546875" style="333" customWidth="1"/>
    <col min="12802" max="12802" width="49.5546875" style="333" customWidth="1"/>
    <col min="12803" max="13056" width="9.109375" style="333"/>
    <col min="13057" max="13057" width="2.5546875" style="333" customWidth="1"/>
    <col min="13058" max="13058" width="49.5546875" style="333" customWidth="1"/>
    <col min="13059" max="13312" width="9.109375" style="333"/>
    <col min="13313" max="13313" width="2.5546875" style="333" customWidth="1"/>
    <col min="13314" max="13314" width="49.5546875" style="333" customWidth="1"/>
    <col min="13315" max="13568" width="9.109375" style="333"/>
    <col min="13569" max="13569" width="2.5546875" style="333" customWidth="1"/>
    <col min="13570" max="13570" width="49.5546875" style="333" customWidth="1"/>
    <col min="13571" max="13824" width="9.109375" style="333"/>
    <col min="13825" max="13825" width="2.5546875" style="333" customWidth="1"/>
    <col min="13826" max="13826" width="49.5546875" style="333" customWidth="1"/>
    <col min="13827" max="14080" width="9.109375" style="333"/>
    <col min="14081" max="14081" width="2.5546875" style="333" customWidth="1"/>
    <col min="14082" max="14082" width="49.5546875" style="333" customWidth="1"/>
    <col min="14083" max="14336" width="9.109375" style="333"/>
    <col min="14337" max="14337" width="2.5546875" style="333" customWidth="1"/>
    <col min="14338" max="14338" width="49.5546875" style="333" customWidth="1"/>
    <col min="14339" max="14592" width="9.109375" style="333"/>
    <col min="14593" max="14593" width="2.5546875" style="333" customWidth="1"/>
    <col min="14594" max="14594" width="49.5546875" style="333" customWidth="1"/>
    <col min="14595" max="14848" width="9.109375" style="333"/>
    <col min="14849" max="14849" width="2.5546875" style="333" customWidth="1"/>
    <col min="14850" max="14850" width="49.5546875" style="333" customWidth="1"/>
    <col min="14851" max="15104" width="9.109375" style="333"/>
    <col min="15105" max="15105" width="2.5546875" style="333" customWidth="1"/>
    <col min="15106" max="15106" width="49.5546875" style="333" customWidth="1"/>
    <col min="15107" max="15360" width="9.109375" style="333"/>
    <col min="15361" max="15361" width="2.5546875" style="333" customWidth="1"/>
    <col min="15362" max="15362" width="49.5546875" style="333" customWidth="1"/>
    <col min="15363" max="15616" width="9.109375" style="333"/>
    <col min="15617" max="15617" width="2.5546875" style="333" customWidth="1"/>
    <col min="15618" max="15618" width="49.5546875" style="333" customWidth="1"/>
    <col min="15619" max="15872" width="9.109375" style="333"/>
    <col min="15873" max="15873" width="2.5546875" style="333" customWidth="1"/>
    <col min="15874" max="15874" width="49.5546875" style="333" customWidth="1"/>
    <col min="15875" max="16128" width="9.109375" style="333"/>
    <col min="16129" max="16129" width="2.5546875" style="333" customWidth="1"/>
    <col min="16130" max="16130" width="49.5546875" style="333" customWidth="1"/>
    <col min="16131" max="16384" width="9.109375" style="333"/>
  </cols>
  <sheetData>
    <row r="1" spans="1:22" s="435" customFormat="1" ht="23.4" x14ac:dyDescent="0.45">
      <c r="B1" s="1274" t="s">
        <v>3068</v>
      </c>
      <c r="C1" s="1274"/>
      <c r="D1" s="1274"/>
      <c r="E1" s="1274"/>
      <c r="F1" s="1274"/>
      <c r="G1" s="1274"/>
      <c r="V1" s="436">
        <v>0</v>
      </c>
    </row>
    <row r="2" spans="1:22" s="435" customFormat="1" ht="23.4" x14ac:dyDescent="0.45">
      <c r="B2" s="1274" t="s">
        <v>1686</v>
      </c>
      <c r="C2" s="1274"/>
      <c r="D2" s="1274"/>
      <c r="E2" s="1274"/>
      <c r="F2" s="1274"/>
      <c r="G2" s="1274"/>
      <c r="V2" s="436">
        <v>1</v>
      </c>
    </row>
    <row r="3" spans="1:22" s="435" customFormat="1" ht="23.4" x14ac:dyDescent="0.45">
      <c r="B3" s="1274"/>
      <c r="C3" s="1274"/>
      <c r="D3" s="1274"/>
      <c r="E3" s="1274"/>
      <c r="F3" s="1274"/>
      <c r="G3" s="1274"/>
      <c r="V3" s="436"/>
    </row>
    <row r="4" spans="1:22" s="435" customFormat="1" ht="23.4" x14ac:dyDescent="0.45">
      <c r="A4" s="434">
        <v>1</v>
      </c>
      <c r="B4" s="1274" t="s">
        <v>906</v>
      </c>
      <c r="C4" s="1274"/>
      <c r="D4" s="1274"/>
      <c r="E4" s="1274"/>
      <c r="F4" s="1274"/>
      <c r="G4" s="1274"/>
    </row>
    <row r="5" spans="1:22" x14ac:dyDescent="0.3">
      <c r="A5" s="116"/>
      <c r="B5" s="1270"/>
      <c r="C5" s="1270"/>
      <c r="D5" s="1270"/>
      <c r="E5" s="1270"/>
      <c r="F5" s="1270"/>
      <c r="G5" s="1270"/>
    </row>
    <row r="6" spans="1:22" ht="48" customHeight="1" x14ac:dyDescent="0.3">
      <c r="B6" s="1269" t="s">
        <v>1506</v>
      </c>
      <c r="C6" s="1269"/>
      <c r="D6" s="1269"/>
      <c r="E6" s="1269"/>
      <c r="F6" s="1269"/>
      <c r="G6" s="1269"/>
    </row>
    <row r="7" spans="1:22" x14ac:dyDescent="0.3">
      <c r="B7" s="1263"/>
      <c r="C7" s="1263"/>
      <c r="D7" s="1263"/>
      <c r="E7" s="1263"/>
      <c r="F7" s="1263"/>
      <c r="G7" s="1263"/>
    </row>
    <row r="8" spans="1:22" ht="51" customHeight="1" x14ac:dyDescent="0.3">
      <c r="B8" s="1269" t="s">
        <v>1818</v>
      </c>
      <c r="C8" s="1269"/>
      <c r="D8" s="1269"/>
      <c r="E8" s="1269"/>
      <c r="F8" s="1269"/>
      <c r="G8" s="1269"/>
    </row>
    <row r="9" spans="1:22" x14ac:dyDescent="0.3">
      <c r="B9" s="1263"/>
      <c r="C9" s="1263"/>
      <c r="D9" s="1263"/>
      <c r="E9" s="1263"/>
      <c r="F9" s="1263"/>
      <c r="G9" s="1263"/>
    </row>
    <row r="10" spans="1:22" ht="76.5" customHeight="1" x14ac:dyDescent="0.3">
      <c r="B10" s="1269" t="s">
        <v>2780</v>
      </c>
      <c r="C10" s="1269"/>
      <c r="D10" s="1269"/>
      <c r="E10" s="1269"/>
      <c r="F10" s="1269"/>
      <c r="G10" s="1269"/>
    </row>
    <row r="11" spans="1:22" x14ac:dyDescent="0.3">
      <c r="B11" s="1269"/>
      <c r="C11" s="1269"/>
      <c r="D11" s="1269"/>
      <c r="E11" s="1269"/>
      <c r="F11" s="1269"/>
      <c r="G11" s="1269"/>
    </row>
    <row r="12" spans="1:22" ht="58.5" customHeight="1" x14ac:dyDescent="0.3">
      <c r="B12" s="1275" t="s">
        <v>2872</v>
      </c>
      <c r="C12" s="1275"/>
      <c r="D12" s="1275"/>
      <c r="E12" s="1275"/>
      <c r="F12" s="1275"/>
      <c r="G12" s="1275"/>
    </row>
    <row r="13" spans="1:22" x14ac:dyDescent="0.3">
      <c r="B13" s="1269"/>
      <c r="C13" s="1269"/>
      <c r="D13" s="1269"/>
      <c r="E13" s="1269"/>
      <c r="F13" s="1269"/>
      <c r="G13" s="1269"/>
    </row>
    <row r="14" spans="1:22" ht="23.4" x14ac:dyDescent="0.45">
      <c r="A14" s="434">
        <v>2</v>
      </c>
      <c r="B14" s="1274" t="s">
        <v>1507</v>
      </c>
      <c r="C14" s="1274"/>
      <c r="D14" s="1274"/>
      <c r="E14" s="1274"/>
      <c r="F14" s="1274"/>
      <c r="G14" s="1274"/>
    </row>
    <row r="15" spans="1:22" x14ac:dyDescent="0.3">
      <c r="A15" s="116"/>
      <c r="B15" s="1270"/>
      <c r="C15" s="1270"/>
      <c r="D15" s="1270"/>
      <c r="E15" s="1270"/>
      <c r="F15" s="1270"/>
      <c r="G15" s="1270"/>
    </row>
    <row r="16" spans="1:22" ht="31.5" customHeight="1" x14ac:dyDescent="0.3">
      <c r="A16" s="116"/>
      <c r="B16" s="1270" t="s">
        <v>1508</v>
      </c>
      <c r="C16" s="1270"/>
      <c r="D16" s="1270"/>
      <c r="E16" s="1270"/>
      <c r="F16" s="1270"/>
      <c r="G16" s="1270"/>
    </row>
    <row r="17" spans="1:7" x14ac:dyDescent="0.3">
      <c r="A17" s="116"/>
      <c r="B17" s="1270"/>
      <c r="C17" s="1270"/>
      <c r="D17" s="1270"/>
      <c r="E17" s="1270"/>
      <c r="F17" s="1270"/>
      <c r="G17" s="1270"/>
    </row>
    <row r="18" spans="1:7" ht="21" x14ac:dyDescent="0.4">
      <c r="B18" s="1271" t="s">
        <v>966</v>
      </c>
      <c r="C18" s="1271"/>
      <c r="D18" s="1271"/>
      <c r="E18" s="1271"/>
      <c r="F18" s="1271"/>
      <c r="G18" s="1271"/>
    </row>
    <row r="19" spans="1:7" ht="16.2" thickBot="1" x14ac:dyDescent="0.35">
      <c r="B19" s="1263"/>
      <c r="C19" s="1263"/>
      <c r="D19" s="1263"/>
      <c r="E19" s="1263"/>
      <c r="F19" s="1263"/>
      <c r="G19" s="1263"/>
    </row>
    <row r="20" spans="1:7" s="430" customFormat="1" ht="31.8" thickBot="1" x14ac:dyDescent="0.35">
      <c r="B20" s="423" t="s">
        <v>1620</v>
      </c>
      <c r="C20" s="424" t="s">
        <v>967</v>
      </c>
    </row>
    <row r="21" spans="1:7" s="430" customFormat="1" ht="16.2" thickBot="1" x14ac:dyDescent="0.35">
      <c r="B21" s="1262"/>
      <c r="C21" s="1262"/>
      <c r="D21" s="1262"/>
      <c r="E21" s="1262"/>
      <c r="F21" s="1262"/>
      <c r="G21" s="1262"/>
    </row>
    <row r="22" spans="1:7" s="430" customFormat="1" ht="31.8" thickBot="1" x14ac:dyDescent="0.35">
      <c r="B22" s="423" t="s">
        <v>1621</v>
      </c>
      <c r="C22" s="431" t="s">
        <v>1623</v>
      </c>
    </row>
    <row r="23" spans="1:7" s="430" customFormat="1" ht="16.2" thickBot="1" x14ac:dyDescent="0.35">
      <c r="B23" s="1262"/>
      <c r="C23" s="1262"/>
      <c r="D23" s="1262"/>
      <c r="E23" s="1262"/>
      <c r="F23" s="1262"/>
      <c r="G23" s="1262"/>
    </row>
    <row r="24" spans="1:7" s="430" customFormat="1" ht="31.8" thickBot="1" x14ac:dyDescent="0.35">
      <c r="B24" s="423" t="s">
        <v>1887</v>
      </c>
      <c r="C24" s="779" t="s">
        <v>1888</v>
      </c>
    </row>
    <row r="25" spans="1:7" s="430" customFormat="1" ht="16.2" thickBot="1" x14ac:dyDescent="0.35"/>
    <row r="26" spans="1:7" s="430" customFormat="1" ht="16.2" thickBot="1" x14ac:dyDescent="0.35">
      <c r="B26" s="423" t="s">
        <v>1622</v>
      </c>
      <c r="C26" s="432" t="s">
        <v>1624</v>
      </c>
      <c r="D26" s="425" t="s">
        <v>969</v>
      </c>
      <c r="G26" s="433"/>
    </row>
    <row r="27" spans="1:7" s="430" customFormat="1" ht="16.2" thickBot="1" x14ac:dyDescent="0.35">
      <c r="B27" s="1262"/>
      <c r="C27" s="1262"/>
      <c r="D27" s="1262"/>
      <c r="E27" s="1262"/>
      <c r="F27" s="1262"/>
      <c r="G27" s="1262"/>
    </row>
    <row r="28" spans="1:7" s="430" customFormat="1" ht="16.2" thickBot="1" x14ac:dyDescent="0.35">
      <c r="B28" s="426" t="s">
        <v>1619</v>
      </c>
      <c r="C28" s="427" t="s">
        <v>1618</v>
      </c>
    </row>
    <row r="29" spans="1:7" ht="16.2" thickBot="1" x14ac:dyDescent="0.35"/>
    <row r="30" spans="1:7" ht="31.8" thickBot="1" x14ac:dyDescent="0.35">
      <c r="B30" s="428" t="s">
        <v>1819</v>
      </c>
      <c r="C30" s="429" t="s">
        <v>1626</v>
      </c>
    </row>
    <row r="31" spans="1:7" x14ac:dyDescent="0.3">
      <c r="B31" s="1263"/>
      <c r="C31" s="1263"/>
      <c r="D31" s="1263"/>
      <c r="E31" s="1263"/>
      <c r="F31" s="1263"/>
      <c r="G31" s="1263"/>
    </row>
    <row r="33" spans="1:7" x14ac:dyDescent="0.3">
      <c r="B33" s="1263"/>
      <c r="C33" s="1263"/>
      <c r="D33" s="1263"/>
      <c r="E33" s="1263"/>
      <c r="F33" s="1263"/>
      <c r="G33" s="1263"/>
    </row>
    <row r="34" spans="1:7" ht="21" x14ac:dyDescent="0.4">
      <c r="A34" s="434" t="s">
        <v>717</v>
      </c>
      <c r="B34" s="1271" t="s">
        <v>1509</v>
      </c>
      <c r="C34" s="1271"/>
      <c r="D34" s="1271"/>
      <c r="E34" s="1271"/>
      <c r="F34" s="1271"/>
      <c r="G34" s="1271"/>
    </row>
    <row r="35" spans="1:7" x14ac:dyDescent="0.3">
      <c r="B35" s="1270"/>
      <c r="C35" s="1270"/>
      <c r="D35" s="1270"/>
      <c r="E35" s="1270"/>
      <c r="F35" s="1270"/>
      <c r="G35" s="1270"/>
    </row>
    <row r="36" spans="1:7" x14ac:dyDescent="0.3">
      <c r="B36" s="1263" t="s">
        <v>1717</v>
      </c>
      <c r="C36" s="1263"/>
      <c r="D36" s="1263"/>
      <c r="E36" s="1263"/>
      <c r="F36" s="1263"/>
      <c r="G36" s="1263"/>
    </row>
    <row r="37" spans="1:7" x14ac:dyDescent="0.3">
      <c r="B37" s="1263"/>
      <c r="C37" s="1263"/>
      <c r="D37" s="1263"/>
      <c r="E37" s="1263"/>
      <c r="F37" s="1263"/>
      <c r="G37" s="1263"/>
    </row>
    <row r="38" spans="1:7" ht="33.6" customHeight="1" x14ac:dyDescent="0.3">
      <c r="B38" s="1269" t="s">
        <v>1511</v>
      </c>
      <c r="C38" s="1269"/>
      <c r="D38" s="1269"/>
      <c r="E38" s="1269"/>
      <c r="F38" s="1269"/>
      <c r="G38" s="1269"/>
    </row>
    <row r="39" spans="1:7" x14ac:dyDescent="0.3">
      <c r="B39" s="1269"/>
      <c r="C39" s="1269"/>
      <c r="D39" s="1269"/>
      <c r="E39" s="1269"/>
      <c r="F39" s="1269"/>
      <c r="G39" s="1269"/>
    </row>
    <row r="40" spans="1:7" ht="21" x14ac:dyDescent="0.4">
      <c r="A40" s="434" t="s">
        <v>718</v>
      </c>
      <c r="B40" s="1268" t="s">
        <v>1510</v>
      </c>
      <c r="C40" s="1268"/>
      <c r="D40" s="1268"/>
      <c r="E40" s="1268"/>
      <c r="F40" s="1268"/>
      <c r="G40" s="1268"/>
    </row>
    <row r="41" spans="1:7" x14ac:dyDescent="0.3">
      <c r="B41" s="1263"/>
      <c r="C41" s="1263"/>
      <c r="D41" s="1263"/>
      <c r="E41" s="1263"/>
      <c r="F41" s="1263"/>
      <c r="G41" s="1263"/>
    </row>
    <row r="42" spans="1:7" x14ac:dyDescent="0.3">
      <c r="B42" s="1263" t="s">
        <v>1512</v>
      </c>
      <c r="C42" s="1263"/>
      <c r="D42" s="1263"/>
      <c r="E42" s="1263"/>
      <c r="F42" s="1263"/>
      <c r="G42" s="1263"/>
    </row>
    <row r="43" spans="1:7" x14ac:dyDescent="0.3">
      <c r="B43" s="1263"/>
      <c r="C43" s="1263"/>
      <c r="D43" s="1263"/>
      <c r="E43" s="1263"/>
      <c r="F43" s="1263"/>
      <c r="G43" s="1263"/>
    </row>
    <row r="44" spans="1:7" x14ac:dyDescent="0.3">
      <c r="B44" s="1263" t="s">
        <v>1718</v>
      </c>
      <c r="C44" s="1263"/>
      <c r="D44" s="1263"/>
      <c r="E44" s="1263"/>
      <c r="F44" s="1263"/>
      <c r="G44" s="1263"/>
    </row>
    <row r="45" spans="1:7" x14ac:dyDescent="0.3">
      <c r="B45" s="1263"/>
      <c r="C45" s="1263"/>
      <c r="D45" s="1263"/>
      <c r="E45" s="1263"/>
      <c r="F45" s="1263"/>
      <c r="G45" s="1263"/>
    </row>
    <row r="46" spans="1:7" x14ac:dyDescent="0.3">
      <c r="B46" s="1263" t="s">
        <v>1820</v>
      </c>
      <c r="C46" s="1263"/>
      <c r="D46" s="1263"/>
      <c r="E46" s="1263"/>
      <c r="F46" s="1263"/>
      <c r="G46" s="1263"/>
    </row>
    <row r="47" spans="1:7" x14ac:dyDescent="0.3">
      <c r="B47" s="1263"/>
      <c r="C47" s="1263"/>
      <c r="D47" s="1263"/>
      <c r="E47" s="1263"/>
      <c r="F47" s="1263"/>
      <c r="G47" s="1263"/>
    </row>
    <row r="48" spans="1:7" x14ac:dyDescent="0.3">
      <c r="B48" s="1263" t="s">
        <v>2027</v>
      </c>
      <c r="C48" s="1263"/>
      <c r="D48" s="1263"/>
      <c r="E48" s="1263"/>
      <c r="F48" s="1263"/>
      <c r="G48" s="1263"/>
    </row>
    <row r="49" spans="1:7" x14ac:dyDescent="0.3">
      <c r="B49" s="1263"/>
      <c r="C49" s="1263"/>
      <c r="D49" s="1263"/>
      <c r="E49" s="1263"/>
      <c r="F49" s="1263"/>
      <c r="G49" s="1263"/>
    </row>
    <row r="50" spans="1:7" x14ac:dyDescent="0.3">
      <c r="B50" s="1263" t="s">
        <v>2028</v>
      </c>
      <c r="C50" s="1263"/>
      <c r="D50" s="1263"/>
      <c r="E50" s="1263"/>
      <c r="F50" s="1263"/>
      <c r="G50" s="1263"/>
    </row>
    <row r="51" spans="1:7" x14ac:dyDescent="0.3">
      <c r="B51" s="1263"/>
      <c r="C51" s="1263"/>
      <c r="D51" s="1263"/>
      <c r="E51" s="1263"/>
      <c r="F51" s="1263"/>
      <c r="G51" s="1263"/>
    </row>
    <row r="52" spans="1:7" x14ac:dyDescent="0.3">
      <c r="B52" s="1263" t="s">
        <v>2029</v>
      </c>
      <c r="C52" s="1263"/>
      <c r="D52" s="1263"/>
      <c r="E52" s="1263"/>
      <c r="F52" s="1263"/>
      <c r="G52" s="1263"/>
    </row>
    <row r="53" spans="1:7" x14ac:dyDescent="0.3">
      <c r="B53" s="1263"/>
      <c r="C53" s="1263"/>
      <c r="D53" s="1263"/>
      <c r="E53" s="1263"/>
      <c r="F53" s="1263"/>
      <c r="G53" s="1263"/>
    </row>
    <row r="54" spans="1:7" ht="21" x14ac:dyDescent="0.4">
      <c r="A54" s="434" t="s">
        <v>533</v>
      </c>
      <c r="B54" s="1268" t="s">
        <v>1513</v>
      </c>
      <c r="C54" s="1268"/>
      <c r="D54" s="1268"/>
      <c r="E54" s="1268"/>
      <c r="F54" s="1268"/>
      <c r="G54" s="1268"/>
    </row>
    <row r="55" spans="1:7" x14ac:dyDescent="0.3">
      <c r="B55" s="1263"/>
      <c r="C55" s="1263"/>
      <c r="D55" s="1263"/>
      <c r="E55" s="1263"/>
      <c r="F55" s="1263"/>
      <c r="G55" s="1263"/>
    </row>
    <row r="56" spans="1:7" ht="106.5" customHeight="1" x14ac:dyDescent="0.3">
      <c r="B56" s="1269" t="s">
        <v>2030</v>
      </c>
      <c r="C56" s="1269"/>
      <c r="D56" s="1269"/>
      <c r="E56" s="1269"/>
      <c r="F56" s="1269"/>
      <c r="G56" s="1269"/>
    </row>
    <row r="57" spans="1:7" x14ac:dyDescent="0.3">
      <c r="B57" s="1263"/>
      <c r="C57" s="1263"/>
      <c r="D57" s="1263"/>
      <c r="E57" s="1263"/>
      <c r="F57" s="1263"/>
      <c r="G57" s="1263"/>
    </row>
    <row r="58" spans="1:7" ht="21" x14ac:dyDescent="0.4">
      <c r="A58" s="434" t="s">
        <v>534</v>
      </c>
      <c r="B58" s="1268" t="s">
        <v>1514</v>
      </c>
      <c r="C58" s="1268"/>
      <c r="D58" s="1268"/>
      <c r="E58" s="1268"/>
      <c r="F58" s="1268"/>
      <c r="G58" s="1268"/>
    </row>
    <row r="59" spans="1:7" x14ac:dyDescent="0.3">
      <c r="B59" s="1263"/>
      <c r="C59" s="1263"/>
      <c r="D59" s="1263"/>
      <c r="E59" s="1263"/>
      <c r="F59" s="1263"/>
      <c r="G59" s="1263"/>
    </row>
    <row r="60" spans="1:7" x14ac:dyDescent="0.3">
      <c r="B60" s="1263" t="s">
        <v>1687</v>
      </c>
      <c r="C60" s="1263"/>
      <c r="D60" s="1263"/>
      <c r="E60" s="1263"/>
      <c r="F60" s="1263"/>
      <c r="G60" s="1263"/>
    </row>
    <row r="61" spans="1:7" x14ac:dyDescent="0.3">
      <c r="B61" s="1263"/>
      <c r="C61" s="1263"/>
      <c r="D61" s="1263"/>
      <c r="E61" s="1263"/>
      <c r="F61" s="1263"/>
      <c r="G61" s="1263"/>
    </row>
    <row r="62" spans="1:7" ht="39" customHeight="1" x14ac:dyDescent="0.3">
      <c r="B62" s="1269" t="s">
        <v>1515</v>
      </c>
      <c r="C62" s="1269"/>
      <c r="D62" s="1269"/>
      <c r="E62" s="1269"/>
      <c r="F62" s="1269"/>
      <c r="G62" s="1269"/>
    </row>
    <row r="63" spans="1:7" x14ac:dyDescent="0.3">
      <c r="B63" s="1263"/>
      <c r="C63" s="1263"/>
      <c r="D63" s="1263"/>
      <c r="E63" s="1263"/>
      <c r="F63" s="1263"/>
      <c r="G63" s="1263"/>
    </row>
    <row r="64" spans="1:7" ht="66" customHeight="1" x14ac:dyDescent="0.3">
      <c r="B64" s="1262" t="s">
        <v>3069</v>
      </c>
      <c r="C64" s="1262"/>
      <c r="D64" s="1262"/>
      <c r="E64" s="1262"/>
      <c r="F64" s="1262"/>
      <c r="G64" s="1262"/>
    </row>
    <row r="65" spans="2:7" x14ac:dyDescent="0.3">
      <c r="B65" s="1263"/>
      <c r="C65" s="1263"/>
      <c r="D65" s="1263"/>
      <c r="E65" s="1263"/>
      <c r="F65" s="1263"/>
      <c r="G65" s="1263"/>
    </row>
    <row r="66" spans="2:7" x14ac:dyDescent="0.3">
      <c r="B66" s="1263" t="s">
        <v>2031</v>
      </c>
      <c r="C66" s="1263"/>
      <c r="D66" s="1263"/>
      <c r="E66" s="1263"/>
      <c r="F66" s="1263"/>
      <c r="G66" s="1263"/>
    </row>
    <row r="67" spans="2:7" x14ac:dyDescent="0.3">
      <c r="B67" s="1263"/>
      <c r="C67" s="1263"/>
      <c r="D67" s="1263"/>
      <c r="E67" s="1263"/>
      <c r="F67" s="1263"/>
      <c r="G67" s="1263"/>
    </row>
    <row r="68" spans="2:7" x14ac:dyDescent="0.3">
      <c r="B68" s="1263" t="s">
        <v>2032</v>
      </c>
      <c r="C68" s="1263"/>
      <c r="D68" s="1263"/>
      <c r="E68" s="1263"/>
      <c r="F68" s="1263"/>
      <c r="G68" s="1263"/>
    </row>
    <row r="69" spans="2:7" x14ac:dyDescent="0.3">
      <c r="B69" s="1263"/>
      <c r="C69" s="1263"/>
      <c r="D69" s="1263"/>
      <c r="E69" s="1263"/>
      <c r="F69" s="1263"/>
      <c r="G69" s="1263"/>
    </row>
    <row r="70" spans="2:7" ht="56.25" customHeight="1" x14ac:dyDescent="0.3">
      <c r="B70" s="1262" t="s">
        <v>2033</v>
      </c>
      <c r="C70" s="1262"/>
      <c r="D70" s="1262"/>
      <c r="E70" s="1262"/>
      <c r="F70" s="1262"/>
      <c r="G70" s="1262"/>
    </row>
    <row r="71" spans="2:7" x14ac:dyDescent="0.3">
      <c r="B71" s="1263"/>
      <c r="C71" s="1263"/>
      <c r="D71" s="1263"/>
      <c r="E71" s="1263"/>
      <c r="F71" s="1263"/>
      <c r="G71" s="1263"/>
    </row>
    <row r="72" spans="2:7" x14ac:dyDescent="0.3">
      <c r="B72" s="1265" t="s">
        <v>3070</v>
      </c>
      <c r="C72" s="1265"/>
      <c r="D72" s="1265"/>
      <c r="E72" s="1265"/>
      <c r="F72" s="1265"/>
      <c r="G72" s="1265"/>
    </row>
    <row r="73" spans="2:7" ht="42" customHeight="1" x14ac:dyDescent="0.3">
      <c r="B73" s="1262" t="s">
        <v>2034</v>
      </c>
      <c r="C73" s="1262"/>
      <c r="D73" s="1262"/>
      <c r="E73" s="1262"/>
      <c r="F73" s="1262"/>
      <c r="G73" s="1262"/>
    </row>
    <row r="74" spans="2:7" x14ac:dyDescent="0.3">
      <c r="B74" s="1263"/>
      <c r="C74" s="1263"/>
      <c r="D74" s="1263"/>
      <c r="E74" s="1263"/>
      <c r="F74" s="1263"/>
      <c r="G74" s="1263"/>
    </row>
    <row r="75" spans="2:7" x14ac:dyDescent="0.3">
      <c r="B75" s="1264" t="s">
        <v>3071</v>
      </c>
      <c r="C75" s="1264"/>
      <c r="D75" s="1264"/>
      <c r="E75" s="1264"/>
      <c r="F75" s="1264"/>
      <c r="G75" s="1264"/>
    </row>
    <row r="76" spans="2:7" ht="60.75" customHeight="1" x14ac:dyDescent="0.3">
      <c r="B76" s="1262" t="s">
        <v>2035</v>
      </c>
      <c r="C76" s="1262"/>
      <c r="D76" s="1262"/>
      <c r="E76" s="1262"/>
      <c r="F76" s="1262"/>
      <c r="G76" s="1262"/>
    </row>
    <row r="77" spans="2:7" x14ac:dyDescent="0.3">
      <c r="B77" s="1263"/>
      <c r="C77" s="1263"/>
      <c r="D77" s="1263"/>
      <c r="E77" s="1263"/>
      <c r="F77" s="1263"/>
      <c r="G77" s="1263"/>
    </row>
    <row r="78" spans="2:7" x14ac:dyDescent="0.3">
      <c r="B78" s="1265" t="s">
        <v>3023</v>
      </c>
      <c r="C78" s="1265"/>
      <c r="D78" s="1265"/>
      <c r="E78" s="1265"/>
      <c r="F78" s="1265"/>
      <c r="G78" s="1265"/>
    </row>
    <row r="79" spans="2:7" ht="60.75" customHeight="1" x14ac:dyDescent="0.3">
      <c r="B79" s="1262" t="s">
        <v>3072</v>
      </c>
      <c r="C79" s="1262"/>
      <c r="D79" s="1262"/>
      <c r="E79" s="1262"/>
      <c r="F79" s="1262"/>
      <c r="G79" s="1262"/>
    </row>
    <row r="80" spans="2:7" x14ac:dyDescent="0.3">
      <c r="B80" s="1263"/>
      <c r="C80" s="1263"/>
      <c r="D80" s="1263"/>
      <c r="E80" s="1263"/>
      <c r="F80" s="1263"/>
      <c r="G80" s="1263"/>
    </row>
    <row r="81" spans="1:7" x14ac:dyDescent="0.3">
      <c r="B81" s="1264" t="s">
        <v>3024</v>
      </c>
      <c r="C81" s="1264"/>
      <c r="D81" s="1264"/>
      <c r="E81" s="1264"/>
      <c r="F81" s="1264"/>
      <c r="G81" s="1264"/>
    </row>
    <row r="82" spans="1:7" ht="64.5" customHeight="1" x14ac:dyDescent="0.3">
      <c r="B82" s="1262" t="s">
        <v>3073</v>
      </c>
      <c r="C82" s="1262"/>
      <c r="D82" s="1262"/>
      <c r="E82" s="1262"/>
      <c r="F82" s="1262"/>
      <c r="G82" s="1262"/>
    </row>
    <row r="83" spans="1:7" x14ac:dyDescent="0.3">
      <c r="B83" s="1263"/>
      <c r="C83" s="1263"/>
      <c r="D83" s="1263"/>
      <c r="E83" s="1263"/>
      <c r="F83" s="1263"/>
      <c r="G83" s="1263"/>
    </row>
    <row r="84" spans="1:7" ht="21" x14ac:dyDescent="0.4">
      <c r="A84" s="434" t="s">
        <v>535</v>
      </c>
      <c r="B84" s="1268" t="s">
        <v>1516</v>
      </c>
      <c r="C84" s="1268"/>
      <c r="D84" s="1268"/>
      <c r="E84" s="1268"/>
      <c r="F84" s="1268"/>
      <c r="G84" s="1268"/>
    </row>
    <row r="85" spans="1:7" ht="43.5" customHeight="1" x14ac:dyDescent="0.3">
      <c r="B85" s="1262" t="s">
        <v>1688</v>
      </c>
      <c r="C85" s="1262"/>
      <c r="D85" s="1262"/>
      <c r="E85" s="1262"/>
      <c r="F85" s="1262"/>
      <c r="G85" s="1262"/>
    </row>
    <row r="86" spans="1:7" x14ac:dyDescent="0.3">
      <c r="B86" s="1263"/>
      <c r="C86" s="1263"/>
      <c r="D86" s="1263"/>
      <c r="E86" s="1263"/>
      <c r="F86" s="1263"/>
      <c r="G86" s="1263"/>
    </row>
    <row r="87" spans="1:7" ht="45" customHeight="1" x14ac:dyDescent="0.3">
      <c r="B87" s="1269" t="s">
        <v>1518</v>
      </c>
      <c r="C87" s="1269"/>
      <c r="D87" s="1269"/>
      <c r="E87" s="1269"/>
      <c r="F87" s="1269"/>
      <c r="G87" s="1269"/>
    </row>
    <row r="88" spans="1:7" x14ac:dyDescent="0.3">
      <c r="B88" s="1269"/>
      <c r="C88" s="1269"/>
      <c r="D88" s="1269"/>
      <c r="E88" s="1269"/>
      <c r="F88" s="1269"/>
      <c r="G88" s="1269"/>
    </row>
    <row r="89" spans="1:7" x14ac:dyDescent="0.3">
      <c r="B89" s="1265" t="s">
        <v>3074</v>
      </c>
      <c r="C89" s="1265"/>
      <c r="D89" s="1265"/>
      <c r="E89" s="1265"/>
      <c r="F89" s="1265"/>
      <c r="G89" s="1265"/>
    </row>
    <row r="90" spans="1:7" ht="45.75" customHeight="1" x14ac:dyDescent="0.3">
      <c r="B90" s="1262" t="s">
        <v>2036</v>
      </c>
      <c r="C90" s="1262"/>
      <c r="D90" s="1262"/>
      <c r="E90" s="1262"/>
      <c r="F90" s="1262"/>
      <c r="G90" s="1262"/>
    </row>
    <row r="91" spans="1:7" x14ac:dyDescent="0.3">
      <c r="B91" s="1263"/>
      <c r="C91" s="1263"/>
      <c r="D91" s="1263"/>
      <c r="E91" s="1263"/>
      <c r="F91" s="1263"/>
      <c r="G91" s="1263"/>
    </row>
    <row r="92" spans="1:7" ht="90" customHeight="1" x14ac:dyDescent="0.3">
      <c r="B92" s="1262" t="s">
        <v>3103</v>
      </c>
      <c r="C92" s="1262"/>
      <c r="D92" s="1262"/>
      <c r="E92" s="1262"/>
      <c r="F92" s="1262"/>
      <c r="G92" s="1262"/>
    </row>
    <row r="93" spans="1:7" x14ac:dyDescent="0.3">
      <c r="B93" s="1263"/>
      <c r="C93" s="1263"/>
      <c r="D93" s="1263"/>
      <c r="E93" s="1263"/>
      <c r="F93" s="1263"/>
      <c r="G93" s="1263"/>
    </row>
    <row r="94" spans="1:7" x14ac:dyDescent="0.3">
      <c r="B94" s="1264" t="s">
        <v>3075</v>
      </c>
      <c r="C94" s="1264"/>
      <c r="D94" s="1264"/>
      <c r="E94" s="1264"/>
      <c r="F94" s="1264"/>
      <c r="G94" s="1264"/>
    </row>
    <row r="95" spans="1:7" ht="68.25" customHeight="1" x14ac:dyDescent="0.3">
      <c r="B95" s="1262" t="s">
        <v>3076</v>
      </c>
      <c r="C95" s="1262"/>
      <c r="D95" s="1262"/>
      <c r="E95" s="1262"/>
      <c r="F95" s="1262"/>
      <c r="G95" s="1262"/>
    </row>
    <row r="96" spans="1:7" x14ac:dyDescent="0.3">
      <c r="B96" s="1262"/>
      <c r="C96" s="1262"/>
      <c r="D96" s="1262"/>
      <c r="E96" s="1262"/>
      <c r="F96" s="1262"/>
      <c r="G96" s="1262"/>
    </row>
    <row r="97" spans="1:7" x14ac:dyDescent="0.3">
      <c r="B97" s="1265" t="s">
        <v>3025</v>
      </c>
      <c r="C97" s="1265"/>
      <c r="D97" s="1265"/>
      <c r="E97" s="1265"/>
      <c r="F97" s="1265"/>
      <c r="G97" s="1265"/>
    </row>
    <row r="98" spans="1:7" ht="44.25" customHeight="1" x14ac:dyDescent="0.3">
      <c r="B98" s="1262" t="s">
        <v>3091</v>
      </c>
      <c r="C98" s="1262"/>
      <c r="D98" s="1262"/>
      <c r="E98" s="1262"/>
      <c r="F98" s="1262"/>
      <c r="G98" s="1262"/>
    </row>
    <row r="99" spans="1:7" x14ac:dyDescent="0.3">
      <c r="B99" s="1263"/>
      <c r="C99" s="1263"/>
      <c r="D99" s="1263"/>
      <c r="E99" s="1263"/>
      <c r="F99" s="1263"/>
      <c r="G99" s="1263"/>
    </row>
    <row r="100" spans="1:7" x14ac:dyDescent="0.3">
      <c r="B100" s="1264" t="s">
        <v>3092</v>
      </c>
      <c r="C100" s="1264"/>
      <c r="D100" s="1264"/>
      <c r="E100" s="1264"/>
      <c r="F100" s="1264"/>
      <c r="G100" s="1264"/>
    </row>
    <row r="101" spans="1:7" ht="54" customHeight="1" x14ac:dyDescent="0.3">
      <c r="B101" s="1262" t="s">
        <v>3093</v>
      </c>
      <c r="C101" s="1262"/>
      <c r="D101" s="1262"/>
      <c r="E101" s="1262"/>
      <c r="F101" s="1262"/>
      <c r="G101" s="1262"/>
    </row>
    <row r="102" spans="1:7" x14ac:dyDescent="0.3">
      <c r="B102" s="1263"/>
      <c r="C102" s="1263"/>
      <c r="D102" s="1263"/>
      <c r="E102" s="1263"/>
      <c r="F102" s="1263"/>
      <c r="G102" s="1263"/>
    </row>
    <row r="103" spans="1:7" x14ac:dyDescent="0.3">
      <c r="B103" s="1265" t="s">
        <v>2857</v>
      </c>
      <c r="C103" s="1265"/>
      <c r="D103" s="1265"/>
      <c r="E103" s="1265"/>
      <c r="F103" s="1265"/>
      <c r="G103" s="1265"/>
    </row>
    <row r="104" spans="1:7" ht="64.5" customHeight="1" x14ac:dyDescent="0.3">
      <c r="B104" s="1262" t="s">
        <v>3100</v>
      </c>
      <c r="C104" s="1262"/>
      <c r="D104" s="1262"/>
      <c r="E104" s="1262"/>
      <c r="F104" s="1262"/>
      <c r="G104" s="1262"/>
    </row>
    <row r="105" spans="1:7" x14ac:dyDescent="0.3">
      <c r="B105" s="1263"/>
      <c r="C105" s="1263"/>
      <c r="D105" s="1263"/>
      <c r="E105" s="1263"/>
      <c r="F105" s="1263"/>
      <c r="G105" s="1263"/>
    </row>
    <row r="106" spans="1:7" x14ac:dyDescent="0.3">
      <c r="B106" s="1264" t="s">
        <v>3043</v>
      </c>
      <c r="C106" s="1264"/>
      <c r="D106" s="1264"/>
      <c r="E106" s="1264"/>
      <c r="F106" s="1264"/>
      <c r="G106" s="1264"/>
    </row>
    <row r="107" spans="1:7" ht="61.5" customHeight="1" x14ac:dyDescent="0.3">
      <c r="B107" s="1262" t="s">
        <v>2037</v>
      </c>
      <c r="C107" s="1262"/>
      <c r="D107" s="1262"/>
      <c r="E107" s="1262"/>
      <c r="F107" s="1262"/>
      <c r="G107" s="1262"/>
    </row>
    <row r="108" spans="1:7" ht="20.25" customHeight="1" x14ac:dyDescent="0.3">
      <c r="B108" s="430"/>
      <c r="C108" s="430"/>
      <c r="D108" s="430"/>
      <c r="E108" s="430"/>
      <c r="F108" s="430"/>
      <c r="G108" s="430"/>
    </row>
    <row r="109" spans="1:7" ht="21" x14ac:dyDescent="0.4">
      <c r="A109" s="434" t="s">
        <v>535</v>
      </c>
      <c r="B109" s="1268" t="s">
        <v>2038</v>
      </c>
      <c r="C109" s="1268"/>
      <c r="D109" s="1268"/>
      <c r="E109" s="1268"/>
      <c r="F109" s="1268"/>
      <c r="G109" s="1268"/>
    </row>
    <row r="110" spans="1:7" ht="17.25" customHeight="1" x14ac:dyDescent="0.3">
      <c r="B110" s="1262" t="s">
        <v>2039</v>
      </c>
      <c r="C110" s="1262"/>
      <c r="D110" s="1262"/>
      <c r="E110" s="1262"/>
      <c r="F110" s="1262"/>
      <c r="G110" s="1262"/>
    </row>
    <row r="111" spans="1:7" x14ac:dyDescent="0.3">
      <c r="B111" s="1263"/>
      <c r="C111" s="1263"/>
      <c r="D111" s="1263"/>
      <c r="E111" s="1263"/>
      <c r="F111" s="1263"/>
      <c r="G111" s="1263"/>
    </row>
    <row r="112" spans="1:7" ht="69" customHeight="1" x14ac:dyDescent="0.3">
      <c r="B112" s="1269" t="s">
        <v>2040</v>
      </c>
      <c r="C112" s="1269"/>
      <c r="D112" s="1269"/>
      <c r="E112" s="1269"/>
      <c r="F112" s="1269"/>
      <c r="G112" s="1269"/>
    </row>
    <row r="113" spans="2:7" x14ac:dyDescent="0.3">
      <c r="B113" s="1263"/>
      <c r="C113" s="1263"/>
      <c r="D113" s="1263"/>
      <c r="E113" s="1263"/>
      <c r="F113" s="1263"/>
      <c r="G113" s="1263"/>
    </row>
    <row r="114" spans="2:7" ht="23.25" customHeight="1" x14ac:dyDescent="0.3">
      <c r="B114" s="1272" t="s">
        <v>2065</v>
      </c>
      <c r="C114" s="1272"/>
      <c r="D114" s="1272"/>
      <c r="E114" s="1272"/>
      <c r="F114" s="1272"/>
      <c r="G114" s="1272"/>
    </row>
    <row r="115" spans="2:7" x14ac:dyDescent="0.3">
      <c r="B115" s="1263"/>
      <c r="C115" s="1263"/>
      <c r="D115" s="1263"/>
      <c r="E115" s="1263"/>
      <c r="F115" s="1263"/>
      <c r="G115" s="1263"/>
    </row>
    <row r="116" spans="2:7" x14ac:dyDescent="0.3">
      <c r="B116" s="1263" t="s">
        <v>2042</v>
      </c>
      <c r="C116" s="1263"/>
      <c r="D116" s="1263"/>
      <c r="E116" s="1263"/>
      <c r="F116" s="1263"/>
      <c r="G116" s="1263"/>
    </row>
    <row r="117" spans="2:7" x14ac:dyDescent="0.3">
      <c r="B117" s="1263"/>
      <c r="C117" s="1263"/>
      <c r="D117" s="1263"/>
      <c r="E117" s="1263"/>
      <c r="F117" s="1263"/>
      <c r="G117" s="1263"/>
    </row>
    <row r="118" spans="2:7" ht="147" customHeight="1" x14ac:dyDescent="0.3">
      <c r="B118" s="1263" t="s">
        <v>2058</v>
      </c>
      <c r="C118" s="1263"/>
      <c r="D118" s="1263"/>
      <c r="E118" s="1263"/>
      <c r="F118" s="1263"/>
      <c r="G118" s="1263"/>
    </row>
    <row r="119" spans="2:7" x14ac:dyDescent="0.3">
      <c r="B119" s="1263"/>
      <c r="C119" s="1263"/>
      <c r="D119" s="1263"/>
      <c r="E119" s="1263"/>
      <c r="F119" s="1263"/>
      <c r="G119" s="1263"/>
    </row>
    <row r="120" spans="2:7" ht="60.75" customHeight="1" x14ac:dyDescent="0.3">
      <c r="B120" s="1262" t="s">
        <v>2043</v>
      </c>
      <c r="C120" s="1262"/>
      <c r="D120" s="1262"/>
      <c r="E120" s="1262"/>
      <c r="F120" s="1262"/>
      <c r="G120" s="1262"/>
    </row>
    <row r="121" spans="2:7" x14ac:dyDescent="0.3">
      <c r="B121" s="1263"/>
      <c r="C121" s="1263"/>
      <c r="D121" s="1263"/>
      <c r="E121" s="1263"/>
      <c r="F121" s="1263"/>
      <c r="G121" s="1263"/>
    </row>
    <row r="122" spans="2:7" x14ac:dyDescent="0.3">
      <c r="B122" s="1263" t="s">
        <v>2044</v>
      </c>
      <c r="C122" s="1263"/>
      <c r="D122" s="1263"/>
      <c r="E122" s="1263"/>
      <c r="F122" s="1263"/>
      <c r="G122" s="1263"/>
    </row>
    <row r="123" spans="2:7" x14ac:dyDescent="0.3">
      <c r="B123" s="1263"/>
      <c r="C123" s="1263"/>
      <c r="D123" s="1263"/>
      <c r="E123" s="1263"/>
      <c r="F123" s="1263"/>
      <c r="G123" s="1263"/>
    </row>
    <row r="124" spans="2:7" x14ac:dyDescent="0.3">
      <c r="B124" s="1263" t="s">
        <v>2045</v>
      </c>
      <c r="C124" s="1263"/>
      <c r="D124" s="1263"/>
      <c r="E124" s="1263"/>
      <c r="F124" s="1263"/>
      <c r="G124" s="1263"/>
    </row>
    <row r="125" spans="2:7" x14ac:dyDescent="0.3">
      <c r="B125" s="1263"/>
      <c r="C125" s="1263"/>
      <c r="D125" s="1263"/>
      <c r="E125" s="1263"/>
      <c r="F125" s="1263"/>
      <c r="G125" s="1263"/>
    </row>
    <row r="126" spans="2:7" ht="18" x14ac:dyDescent="0.35">
      <c r="B126" s="1273" t="s">
        <v>2041</v>
      </c>
      <c r="C126" s="1273"/>
      <c r="D126" s="1273"/>
      <c r="E126" s="1273"/>
      <c r="F126" s="1273"/>
      <c r="G126" s="1273"/>
    </row>
    <row r="127" spans="2:7" x14ac:dyDescent="0.3">
      <c r="B127" s="1263"/>
      <c r="C127" s="1263"/>
      <c r="D127" s="1263"/>
      <c r="E127" s="1263"/>
      <c r="F127" s="1263"/>
      <c r="G127" s="1263"/>
    </row>
    <row r="128" spans="2:7" ht="30.75" customHeight="1" x14ac:dyDescent="0.3">
      <c r="B128" s="1263" t="s">
        <v>2047</v>
      </c>
      <c r="C128" s="1263"/>
      <c r="D128" s="1263"/>
      <c r="E128" s="1263"/>
      <c r="F128" s="1263"/>
      <c r="G128" s="1263"/>
    </row>
    <row r="129" spans="2:7" x14ac:dyDescent="0.3">
      <c r="B129" s="1263"/>
      <c r="C129" s="1263"/>
      <c r="D129" s="1263"/>
      <c r="E129" s="1263"/>
      <c r="F129" s="1263"/>
      <c r="G129" s="1263"/>
    </row>
    <row r="130" spans="2:7" x14ac:dyDescent="0.3">
      <c r="B130" s="1265" t="s">
        <v>3077</v>
      </c>
      <c r="C130" s="1265"/>
      <c r="D130" s="1265"/>
      <c r="E130" s="1265"/>
      <c r="F130" s="1265"/>
      <c r="G130" s="1265"/>
    </row>
    <row r="131" spans="2:7" x14ac:dyDescent="0.3">
      <c r="B131" s="1263"/>
      <c r="C131" s="1263"/>
      <c r="D131" s="1263"/>
      <c r="E131" s="1263"/>
      <c r="F131" s="1263"/>
      <c r="G131" s="1263"/>
    </row>
    <row r="132" spans="2:7" ht="38.25" customHeight="1" x14ac:dyDescent="0.3">
      <c r="B132" s="1262" t="s">
        <v>3078</v>
      </c>
      <c r="C132" s="1262"/>
      <c r="D132" s="1262"/>
      <c r="E132" s="1262"/>
      <c r="F132" s="1262"/>
      <c r="G132" s="1262"/>
    </row>
    <row r="133" spans="2:7" x14ac:dyDescent="0.3">
      <c r="B133" s="1263"/>
      <c r="C133" s="1263"/>
      <c r="D133" s="1263"/>
      <c r="E133" s="1263"/>
      <c r="F133" s="1263"/>
      <c r="G133" s="1263"/>
    </row>
    <row r="134" spans="2:7" x14ac:dyDescent="0.3">
      <c r="B134" s="1264" t="s">
        <v>3079</v>
      </c>
      <c r="C134" s="1264"/>
      <c r="D134" s="1264"/>
      <c r="E134" s="1264"/>
      <c r="F134" s="1264"/>
      <c r="G134" s="1264"/>
    </row>
    <row r="135" spans="2:7" x14ac:dyDescent="0.3">
      <c r="B135" s="1263"/>
      <c r="C135" s="1263"/>
      <c r="D135" s="1263"/>
      <c r="E135" s="1263"/>
      <c r="F135" s="1263"/>
      <c r="G135" s="1263"/>
    </row>
    <row r="136" spans="2:7" ht="39.75" customHeight="1" x14ac:dyDescent="0.3">
      <c r="B136" s="1262" t="s">
        <v>3080</v>
      </c>
      <c r="C136" s="1262"/>
      <c r="D136" s="1262"/>
      <c r="E136" s="1262"/>
      <c r="F136" s="1262"/>
      <c r="G136" s="1262"/>
    </row>
    <row r="137" spans="2:7" x14ac:dyDescent="0.3">
      <c r="B137" s="1263"/>
      <c r="C137" s="1263"/>
      <c r="D137" s="1263"/>
      <c r="E137" s="1263"/>
      <c r="F137" s="1263"/>
      <c r="G137" s="1263"/>
    </row>
    <row r="138" spans="2:7" x14ac:dyDescent="0.3">
      <c r="B138" s="1265" t="s">
        <v>3026</v>
      </c>
      <c r="C138" s="1265"/>
      <c r="D138" s="1265"/>
      <c r="E138" s="1265"/>
      <c r="F138" s="1265"/>
      <c r="G138" s="1265"/>
    </row>
    <row r="139" spans="2:7" x14ac:dyDescent="0.3">
      <c r="B139" s="1263"/>
      <c r="C139" s="1263"/>
      <c r="D139" s="1263"/>
      <c r="E139" s="1263"/>
      <c r="F139" s="1263"/>
      <c r="G139" s="1263"/>
    </row>
    <row r="140" spans="2:7" ht="41.25" customHeight="1" x14ac:dyDescent="0.3">
      <c r="B140" s="1262" t="s">
        <v>3094</v>
      </c>
      <c r="C140" s="1262"/>
      <c r="D140" s="1262"/>
      <c r="E140" s="1262"/>
      <c r="F140" s="1262"/>
      <c r="G140" s="1262"/>
    </row>
    <row r="141" spans="2:7" x14ac:dyDescent="0.3">
      <c r="B141" s="1263"/>
      <c r="C141" s="1263"/>
      <c r="D141" s="1263"/>
      <c r="E141" s="1263"/>
      <c r="F141" s="1263"/>
      <c r="G141" s="1263"/>
    </row>
    <row r="142" spans="2:7" x14ac:dyDescent="0.3">
      <c r="B142" s="1264" t="s">
        <v>3092</v>
      </c>
      <c r="C142" s="1264"/>
      <c r="D142" s="1264"/>
      <c r="E142" s="1264"/>
      <c r="F142" s="1264"/>
      <c r="G142" s="1264"/>
    </row>
    <row r="143" spans="2:7" x14ac:dyDescent="0.3">
      <c r="B143" s="1263"/>
      <c r="C143" s="1263"/>
      <c r="D143" s="1263"/>
      <c r="E143" s="1263"/>
      <c r="F143" s="1263"/>
      <c r="G143" s="1263"/>
    </row>
    <row r="144" spans="2:7" ht="42" customHeight="1" x14ac:dyDescent="0.3">
      <c r="B144" s="1262" t="s">
        <v>3095</v>
      </c>
      <c r="C144" s="1262"/>
      <c r="D144" s="1262"/>
      <c r="E144" s="1262"/>
      <c r="F144" s="1262"/>
      <c r="G144" s="1262"/>
    </row>
    <row r="145" spans="2:7" x14ac:dyDescent="0.3">
      <c r="B145" s="1263"/>
      <c r="C145" s="1263"/>
      <c r="D145" s="1263"/>
      <c r="E145" s="1263"/>
      <c r="F145" s="1263"/>
      <c r="G145" s="1263"/>
    </row>
    <row r="146" spans="2:7" ht="41.25" customHeight="1" x14ac:dyDescent="0.3">
      <c r="B146" s="1262" t="s">
        <v>2048</v>
      </c>
      <c r="C146" s="1262"/>
      <c r="D146" s="1262"/>
      <c r="E146" s="1262"/>
      <c r="F146" s="1262"/>
      <c r="G146" s="1262"/>
    </row>
    <row r="147" spans="2:7" x14ac:dyDescent="0.3">
      <c r="B147" s="1263"/>
      <c r="C147" s="1263"/>
      <c r="D147" s="1263"/>
      <c r="E147" s="1263"/>
      <c r="F147" s="1263"/>
      <c r="G147" s="1263"/>
    </row>
    <row r="148" spans="2:7" ht="41.25" customHeight="1" x14ac:dyDescent="0.3">
      <c r="B148" s="1262" t="s">
        <v>2059</v>
      </c>
      <c r="C148" s="1262"/>
      <c r="D148" s="1262"/>
      <c r="E148" s="1262"/>
      <c r="F148" s="1262"/>
      <c r="G148" s="1262"/>
    </row>
    <row r="149" spans="2:7" ht="41.25" customHeight="1" x14ac:dyDescent="0.3">
      <c r="B149" s="1262" t="s">
        <v>2049</v>
      </c>
      <c r="C149" s="1262"/>
      <c r="D149" s="1262"/>
      <c r="E149" s="1262"/>
      <c r="F149" s="1262"/>
      <c r="G149" s="1262"/>
    </row>
    <row r="150" spans="2:7" ht="60" customHeight="1" x14ac:dyDescent="0.3">
      <c r="B150" s="1262" t="s">
        <v>2060</v>
      </c>
      <c r="C150" s="1262"/>
      <c r="D150" s="1262"/>
      <c r="E150" s="1262"/>
      <c r="F150" s="1262"/>
      <c r="G150" s="1262"/>
    </row>
    <row r="151" spans="2:7" ht="64.05" customHeight="1" x14ac:dyDescent="0.3">
      <c r="B151" s="1262" t="s">
        <v>2061</v>
      </c>
      <c r="C151" s="1262"/>
      <c r="D151" s="1262"/>
      <c r="E151" s="1262"/>
      <c r="F151" s="1262"/>
      <c r="G151" s="1262"/>
    </row>
    <row r="152" spans="2:7" x14ac:dyDescent="0.3">
      <c r="B152" s="1263"/>
      <c r="C152" s="1263"/>
      <c r="D152" s="1263"/>
      <c r="E152" s="1263"/>
      <c r="F152" s="1263"/>
      <c r="G152" s="1263"/>
    </row>
    <row r="153" spans="2:7" ht="42" customHeight="1" x14ac:dyDescent="0.3">
      <c r="B153" s="1262" t="s">
        <v>2050</v>
      </c>
      <c r="C153" s="1262"/>
      <c r="D153" s="1262"/>
      <c r="E153" s="1262"/>
      <c r="F153" s="1262"/>
      <c r="G153" s="1262"/>
    </row>
    <row r="154" spans="2:7" ht="43.5" customHeight="1" x14ac:dyDescent="0.3">
      <c r="B154" s="1262" t="s">
        <v>2051</v>
      </c>
      <c r="C154" s="1262"/>
      <c r="D154" s="1262"/>
      <c r="E154" s="1262"/>
      <c r="F154" s="1262"/>
      <c r="G154" s="1262"/>
    </row>
    <row r="155" spans="2:7" ht="39.75" customHeight="1" x14ac:dyDescent="0.3">
      <c r="B155" s="1262" t="s">
        <v>2052</v>
      </c>
      <c r="C155" s="1262"/>
      <c r="D155" s="1262"/>
      <c r="E155" s="1262"/>
      <c r="F155" s="1262"/>
      <c r="G155" s="1262"/>
    </row>
    <row r="156" spans="2:7" x14ac:dyDescent="0.3">
      <c r="B156" s="1263"/>
      <c r="C156" s="1263"/>
      <c r="D156" s="1263"/>
      <c r="E156" s="1263"/>
      <c r="F156" s="1263"/>
      <c r="G156" s="1263"/>
    </row>
    <row r="157" spans="2:7" ht="34.049999999999997" customHeight="1" x14ac:dyDescent="0.3">
      <c r="B157" s="1262" t="s">
        <v>2053</v>
      </c>
      <c r="C157" s="1262"/>
      <c r="D157" s="1262"/>
      <c r="E157" s="1262"/>
      <c r="F157" s="1262"/>
      <c r="G157" s="1262"/>
    </row>
    <row r="158" spans="2:7" ht="35.549999999999997" customHeight="1" x14ac:dyDescent="0.3">
      <c r="B158" s="1262" t="s">
        <v>2054</v>
      </c>
      <c r="C158" s="1262"/>
      <c r="D158" s="1262"/>
      <c r="E158" s="1262"/>
      <c r="F158" s="1262"/>
      <c r="G158" s="1262"/>
    </row>
    <row r="159" spans="2:7" ht="66.75" customHeight="1" x14ac:dyDescent="0.3">
      <c r="B159" s="1263" t="s">
        <v>2062</v>
      </c>
      <c r="C159" s="1263"/>
      <c r="D159" s="1263"/>
      <c r="E159" s="1263"/>
      <c r="F159" s="1263"/>
      <c r="G159" s="1263"/>
    </row>
    <row r="160" spans="2:7" x14ac:dyDescent="0.3">
      <c r="B160" s="1263"/>
      <c r="C160" s="1263"/>
      <c r="D160" s="1263"/>
      <c r="E160" s="1263"/>
      <c r="F160" s="1263"/>
      <c r="G160" s="1263"/>
    </row>
    <row r="161" spans="1:7" ht="18" x14ac:dyDescent="0.35">
      <c r="B161" s="1266" t="s">
        <v>2055</v>
      </c>
      <c r="C161" s="1266"/>
      <c r="D161" s="1266"/>
      <c r="E161" s="1266"/>
      <c r="F161" s="1266"/>
      <c r="G161" s="1266"/>
    </row>
    <row r="162" spans="1:7" ht="18" x14ac:dyDescent="0.35">
      <c r="B162" s="1266"/>
      <c r="C162" s="1266"/>
      <c r="D162" s="1266"/>
      <c r="E162" s="1266"/>
      <c r="F162" s="1266"/>
      <c r="G162" s="1266"/>
    </row>
    <row r="163" spans="1:7" ht="343.5" customHeight="1" x14ac:dyDescent="0.3">
      <c r="A163" s="1063"/>
      <c r="B163" s="1269" t="s">
        <v>2900</v>
      </c>
      <c r="C163" s="1269"/>
      <c r="D163" s="1269"/>
      <c r="E163" s="1269"/>
      <c r="F163" s="1269"/>
      <c r="G163" s="1269"/>
    </row>
    <row r="164" spans="1:7" ht="18" x14ac:dyDescent="0.35">
      <c r="B164" s="1266"/>
      <c r="C164" s="1266"/>
      <c r="D164" s="1266"/>
      <c r="E164" s="1266"/>
      <c r="F164" s="1266"/>
      <c r="G164" s="1266"/>
    </row>
    <row r="165" spans="1:7" ht="37.5" customHeight="1" x14ac:dyDescent="0.3">
      <c r="B165" s="1262" t="s">
        <v>2056</v>
      </c>
      <c r="C165" s="1262"/>
      <c r="D165" s="1262"/>
      <c r="E165" s="1262"/>
      <c r="F165" s="1262"/>
      <c r="G165" s="1262"/>
    </row>
    <row r="166" spans="1:7" x14ac:dyDescent="0.3">
      <c r="B166" s="1263"/>
      <c r="C166" s="1263"/>
      <c r="D166" s="1263"/>
      <c r="E166" s="1263"/>
      <c r="F166" s="1263"/>
      <c r="G166" s="1263"/>
    </row>
    <row r="167" spans="1:7" x14ac:dyDescent="0.3">
      <c r="B167" s="1263" t="s">
        <v>2057</v>
      </c>
      <c r="C167" s="1263"/>
      <c r="D167" s="1263"/>
      <c r="E167" s="1263"/>
      <c r="F167" s="1263"/>
      <c r="G167" s="1263"/>
    </row>
    <row r="168" spans="1:7" x14ac:dyDescent="0.3">
      <c r="B168" s="1263"/>
      <c r="C168" s="1263"/>
      <c r="D168" s="1263"/>
      <c r="E168" s="1263"/>
      <c r="F168" s="1263"/>
      <c r="G168" s="1263"/>
    </row>
    <row r="169" spans="1:7" x14ac:dyDescent="0.3">
      <c r="B169" s="1265" t="s">
        <v>3081</v>
      </c>
      <c r="C169" s="1265"/>
      <c r="D169" s="1265"/>
      <c r="E169" s="1265"/>
      <c r="F169" s="1265"/>
      <c r="G169" s="1265"/>
    </row>
    <row r="170" spans="1:7" x14ac:dyDescent="0.3">
      <c r="B170" s="1263"/>
      <c r="C170" s="1263"/>
      <c r="D170" s="1263"/>
      <c r="E170" s="1263"/>
      <c r="F170" s="1263"/>
      <c r="G170" s="1263"/>
    </row>
    <row r="171" spans="1:7" ht="39" customHeight="1" x14ac:dyDescent="0.3">
      <c r="B171" s="1262" t="s">
        <v>3082</v>
      </c>
      <c r="C171" s="1262"/>
      <c r="D171" s="1262"/>
      <c r="E171" s="1262"/>
      <c r="F171" s="1262"/>
      <c r="G171" s="1262"/>
    </row>
    <row r="172" spans="1:7" x14ac:dyDescent="0.3">
      <c r="B172" s="1263"/>
      <c r="C172" s="1263"/>
      <c r="D172" s="1263"/>
      <c r="E172" s="1263"/>
      <c r="F172" s="1263"/>
      <c r="G172" s="1263"/>
    </row>
    <row r="173" spans="1:7" x14ac:dyDescent="0.3">
      <c r="B173" s="1264" t="s">
        <v>3075</v>
      </c>
      <c r="C173" s="1264"/>
      <c r="D173" s="1264"/>
      <c r="E173" s="1264"/>
      <c r="F173" s="1264"/>
      <c r="G173" s="1264"/>
    </row>
    <row r="174" spans="1:7" x14ac:dyDescent="0.3">
      <c r="B174" s="1263"/>
      <c r="C174" s="1263"/>
      <c r="D174" s="1263"/>
      <c r="E174" s="1263"/>
      <c r="F174" s="1263"/>
      <c r="G174" s="1263"/>
    </row>
    <row r="175" spans="1:7" ht="36" customHeight="1" x14ac:dyDescent="0.3">
      <c r="B175" s="1262" t="s">
        <v>3083</v>
      </c>
      <c r="C175" s="1262"/>
      <c r="D175" s="1262"/>
      <c r="E175" s="1262"/>
      <c r="F175" s="1262"/>
      <c r="G175" s="1262"/>
    </row>
    <row r="176" spans="1:7" x14ac:dyDescent="0.3">
      <c r="B176" s="1263"/>
      <c r="C176" s="1263"/>
      <c r="D176" s="1263"/>
      <c r="E176" s="1263"/>
      <c r="F176" s="1263"/>
      <c r="G176" s="1263"/>
    </row>
    <row r="177" spans="2:7" x14ac:dyDescent="0.3">
      <c r="B177" s="1265" t="s">
        <v>3077</v>
      </c>
      <c r="C177" s="1265"/>
      <c r="D177" s="1265"/>
      <c r="E177" s="1265"/>
      <c r="F177" s="1265"/>
      <c r="G177" s="1265"/>
    </row>
    <row r="178" spans="2:7" x14ac:dyDescent="0.3">
      <c r="B178" s="1263"/>
      <c r="C178" s="1263"/>
      <c r="D178" s="1263"/>
      <c r="E178" s="1263"/>
      <c r="F178" s="1263"/>
      <c r="G178" s="1263"/>
    </row>
    <row r="179" spans="2:7" ht="42.75" customHeight="1" x14ac:dyDescent="0.3">
      <c r="B179" s="1262" t="s">
        <v>3084</v>
      </c>
      <c r="C179" s="1262"/>
      <c r="D179" s="1262"/>
      <c r="E179" s="1262"/>
      <c r="F179" s="1262"/>
      <c r="G179" s="1262"/>
    </row>
    <row r="180" spans="2:7" x14ac:dyDescent="0.3">
      <c r="B180" s="1263"/>
      <c r="C180" s="1263"/>
      <c r="D180" s="1263"/>
      <c r="E180" s="1263"/>
      <c r="F180" s="1263"/>
      <c r="G180" s="1263"/>
    </row>
    <row r="181" spans="2:7" ht="15.75" customHeight="1" x14ac:dyDescent="0.3">
      <c r="B181" s="1264" t="s">
        <v>3092</v>
      </c>
      <c r="C181" s="1264"/>
      <c r="D181" s="1264"/>
      <c r="E181" s="1264"/>
      <c r="F181" s="1264"/>
      <c r="G181" s="1264"/>
    </row>
    <row r="182" spans="2:7" x14ac:dyDescent="0.3">
      <c r="B182" s="1263"/>
      <c r="C182" s="1263"/>
      <c r="D182" s="1263"/>
      <c r="E182" s="1263"/>
      <c r="F182" s="1263"/>
      <c r="G182" s="1263"/>
    </row>
    <row r="183" spans="2:7" ht="33.75" customHeight="1" x14ac:dyDescent="0.3">
      <c r="B183" s="1262" t="s">
        <v>3095</v>
      </c>
      <c r="C183" s="1262"/>
      <c r="D183" s="1262"/>
      <c r="E183" s="1262"/>
      <c r="F183" s="1262"/>
      <c r="G183" s="1262"/>
    </row>
    <row r="184" spans="2:7" x14ac:dyDescent="0.3">
      <c r="B184" s="1263"/>
      <c r="C184" s="1263"/>
      <c r="D184" s="1263"/>
      <c r="E184" s="1263"/>
      <c r="F184" s="1263"/>
      <c r="G184" s="1263"/>
    </row>
    <row r="185" spans="2:7" x14ac:dyDescent="0.3">
      <c r="B185" s="1264" t="s">
        <v>2198</v>
      </c>
      <c r="C185" s="1264"/>
      <c r="D185" s="1264"/>
      <c r="E185" s="1264"/>
      <c r="F185" s="1264"/>
      <c r="G185" s="1264"/>
    </row>
    <row r="186" spans="2:7" x14ac:dyDescent="0.3">
      <c r="B186" s="1263"/>
      <c r="C186" s="1263"/>
      <c r="D186" s="1263"/>
      <c r="E186" s="1263"/>
      <c r="F186" s="1263"/>
      <c r="G186" s="1263"/>
    </row>
    <row r="187" spans="2:7" ht="39.75" customHeight="1" x14ac:dyDescent="0.3">
      <c r="B187" s="1262" t="s">
        <v>2844</v>
      </c>
      <c r="C187" s="1262"/>
      <c r="D187" s="1262"/>
      <c r="E187" s="1262"/>
      <c r="F187" s="1262"/>
      <c r="G187" s="1262"/>
    </row>
    <row r="188" spans="2:7" x14ac:dyDescent="0.3">
      <c r="B188" s="1263"/>
      <c r="C188" s="1263"/>
      <c r="D188" s="1263"/>
      <c r="E188" s="1263"/>
      <c r="F188" s="1263"/>
      <c r="G188" s="1263"/>
    </row>
    <row r="189" spans="2:7" ht="54" customHeight="1" x14ac:dyDescent="0.3">
      <c r="B189" s="1262" t="s">
        <v>2197</v>
      </c>
      <c r="C189" s="1262"/>
      <c r="D189" s="1262"/>
      <c r="E189" s="1262"/>
      <c r="F189" s="1262"/>
      <c r="G189" s="1262"/>
    </row>
    <row r="190" spans="2:7" x14ac:dyDescent="0.3">
      <c r="B190" s="1263"/>
      <c r="C190" s="1263"/>
      <c r="D190" s="1263"/>
      <c r="E190" s="1263"/>
      <c r="F190" s="1263"/>
      <c r="G190" s="1263"/>
    </row>
    <row r="191" spans="2:7" ht="75.75" customHeight="1" x14ac:dyDescent="0.3">
      <c r="B191" s="1262" t="s">
        <v>2199</v>
      </c>
      <c r="C191" s="1262"/>
      <c r="D191" s="1262"/>
      <c r="E191" s="1262"/>
      <c r="F191" s="1262"/>
      <c r="G191" s="1262"/>
    </row>
    <row r="192" spans="2:7" x14ac:dyDescent="0.3">
      <c r="B192" s="1263"/>
      <c r="C192" s="1263"/>
      <c r="D192" s="1263"/>
      <c r="E192" s="1263"/>
      <c r="F192" s="1263"/>
      <c r="G192" s="1263"/>
    </row>
    <row r="193" spans="1:7" ht="231.75" customHeight="1" x14ac:dyDescent="0.3">
      <c r="B193" s="1285" t="s">
        <v>2200</v>
      </c>
      <c r="C193" s="1284"/>
      <c r="D193" s="1284"/>
      <c r="E193" s="1284"/>
      <c r="F193" s="1284"/>
      <c r="G193" s="1284"/>
    </row>
    <row r="194" spans="1:7" x14ac:dyDescent="0.3">
      <c r="B194" s="1263"/>
      <c r="C194" s="1263"/>
      <c r="D194" s="1263"/>
      <c r="E194" s="1263"/>
      <c r="F194" s="1263"/>
      <c r="G194" s="1263"/>
    </row>
    <row r="195" spans="1:7" ht="21" x14ac:dyDescent="0.4">
      <c r="A195" s="434" t="s">
        <v>467</v>
      </c>
      <c r="B195" s="1268" t="s">
        <v>1517</v>
      </c>
      <c r="C195" s="1268"/>
      <c r="D195" s="1268"/>
      <c r="E195" s="1268"/>
      <c r="F195" s="1268"/>
      <c r="G195" s="1268"/>
    </row>
    <row r="196" spans="1:7" x14ac:dyDescent="0.3">
      <c r="B196" s="1263"/>
      <c r="C196" s="1263"/>
      <c r="D196" s="1263"/>
      <c r="E196" s="1263"/>
      <c r="F196" s="1263"/>
      <c r="G196" s="1263"/>
    </row>
    <row r="197" spans="1:7" ht="25.5" customHeight="1" x14ac:dyDescent="0.3">
      <c r="B197" s="1262" t="s">
        <v>1689</v>
      </c>
      <c r="C197" s="1262"/>
      <c r="D197" s="1262"/>
      <c r="E197" s="1262"/>
      <c r="F197" s="1262"/>
      <c r="G197" s="1262"/>
    </row>
    <row r="198" spans="1:7" x14ac:dyDescent="0.3">
      <c r="B198" s="1263"/>
      <c r="C198" s="1263"/>
      <c r="D198" s="1263"/>
      <c r="E198" s="1263"/>
      <c r="F198" s="1263"/>
      <c r="G198" s="1263"/>
    </row>
    <row r="199" spans="1:7" ht="133.5" customHeight="1" x14ac:dyDescent="0.3">
      <c r="B199" s="1262" t="s">
        <v>2066</v>
      </c>
      <c r="C199" s="1262"/>
      <c r="D199" s="1262"/>
      <c r="E199" s="1262"/>
      <c r="F199" s="1262"/>
      <c r="G199" s="1262"/>
    </row>
    <row r="200" spans="1:7" x14ac:dyDescent="0.3">
      <c r="B200" s="1263"/>
      <c r="C200" s="1263"/>
      <c r="D200" s="1263"/>
      <c r="E200" s="1263"/>
      <c r="F200" s="1263"/>
      <c r="G200" s="1263"/>
    </row>
    <row r="201" spans="1:7" ht="44.25" customHeight="1" x14ac:dyDescent="0.3">
      <c r="B201" s="1269" t="s">
        <v>1690</v>
      </c>
      <c r="C201" s="1269"/>
      <c r="D201" s="1269"/>
      <c r="E201" s="1269"/>
      <c r="F201" s="1269"/>
      <c r="G201" s="1269"/>
    </row>
    <row r="202" spans="1:7" x14ac:dyDescent="0.3">
      <c r="B202" s="1263"/>
      <c r="C202" s="1263"/>
      <c r="D202" s="1263"/>
      <c r="E202" s="1263"/>
      <c r="F202" s="1263"/>
      <c r="G202" s="1263"/>
    </row>
    <row r="203" spans="1:7" ht="46.5" customHeight="1" x14ac:dyDescent="0.3">
      <c r="B203" s="1269" t="s">
        <v>1519</v>
      </c>
      <c r="C203" s="1269"/>
      <c r="D203" s="1269"/>
      <c r="E203" s="1269"/>
      <c r="F203" s="1269"/>
      <c r="G203" s="1269"/>
    </row>
    <row r="204" spans="1:7" x14ac:dyDescent="0.3">
      <c r="B204" s="1263"/>
      <c r="C204" s="1263"/>
      <c r="D204" s="1263"/>
      <c r="E204" s="1263"/>
      <c r="F204" s="1263"/>
      <c r="G204" s="1263"/>
    </row>
    <row r="205" spans="1:7" ht="36.75" customHeight="1" x14ac:dyDescent="0.3">
      <c r="B205" s="1269" t="s">
        <v>1691</v>
      </c>
      <c r="C205" s="1269"/>
      <c r="D205" s="1269"/>
      <c r="E205" s="1269"/>
      <c r="F205" s="1269"/>
      <c r="G205" s="1269"/>
    </row>
    <row r="206" spans="1:7" x14ac:dyDescent="0.3">
      <c r="B206" s="1263"/>
      <c r="C206" s="1263"/>
      <c r="D206" s="1263"/>
      <c r="E206" s="1263"/>
      <c r="F206" s="1263"/>
      <c r="G206" s="1263"/>
    </row>
    <row r="207" spans="1:7" ht="80.25" customHeight="1" x14ac:dyDescent="0.3">
      <c r="B207" s="1269" t="s">
        <v>1719</v>
      </c>
      <c r="C207" s="1269"/>
      <c r="D207" s="1269"/>
      <c r="E207" s="1269"/>
      <c r="F207" s="1269"/>
      <c r="G207" s="1269"/>
    </row>
    <row r="208" spans="1:7" x14ac:dyDescent="0.3">
      <c r="B208" s="1263"/>
      <c r="C208" s="1263"/>
      <c r="D208" s="1263"/>
      <c r="E208" s="1263"/>
      <c r="F208" s="1263"/>
      <c r="G208" s="1263"/>
    </row>
    <row r="209" spans="1:11" ht="21" x14ac:dyDescent="0.4">
      <c r="A209" s="434" t="s">
        <v>1526</v>
      </c>
      <c r="B209" s="1268" t="s">
        <v>1520</v>
      </c>
      <c r="C209" s="1268"/>
      <c r="D209" s="1268"/>
      <c r="E209" s="1268"/>
      <c r="F209" s="1268"/>
      <c r="G209" s="1268"/>
    </row>
    <row r="210" spans="1:11" ht="56.25" customHeight="1" x14ac:dyDescent="0.3">
      <c r="B210" s="1269" t="s">
        <v>1692</v>
      </c>
      <c r="C210" s="1269"/>
      <c r="D210" s="1269"/>
      <c r="E210" s="1269"/>
      <c r="F210" s="1269"/>
      <c r="G210" s="1269"/>
    </row>
    <row r="211" spans="1:11" x14ac:dyDescent="0.3">
      <c r="B211" s="1263"/>
      <c r="C211" s="1263"/>
      <c r="D211" s="1263"/>
      <c r="E211" s="1263"/>
      <c r="F211" s="1263"/>
      <c r="G211" s="1263"/>
    </row>
    <row r="212" spans="1:11" ht="38.25" customHeight="1" x14ac:dyDescent="0.3">
      <c r="B212" s="1269" t="s">
        <v>1693</v>
      </c>
      <c r="C212" s="1269"/>
      <c r="D212" s="1269"/>
      <c r="E212" s="1269"/>
      <c r="F212" s="1269"/>
      <c r="G212" s="1269"/>
    </row>
    <row r="213" spans="1:11" x14ac:dyDescent="0.3">
      <c r="B213" s="1263"/>
      <c r="C213" s="1263"/>
      <c r="D213" s="1263"/>
      <c r="E213" s="1263"/>
      <c r="F213" s="1263"/>
      <c r="G213" s="1263"/>
    </row>
    <row r="214" spans="1:11" ht="18" x14ac:dyDescent="0.35">
      <c r="B214" s="1283" t="s">
        <v>2201</v>
      </c>
      <c r="C214" s="1283"/>
      <c r="D214" s="1283"/>
      <c r="E214" s="1283"/>
      <c r="F214" s="1283"/>
      <c r="G214" s="1283"/>
    </row>
    <row r="215" spans="1:11" x14ac:dyDescent="0.3">
      <c r="B215" s="1263"/>
      <c r="C215" s="1263"/>
      <c r="D215" s="1263"/>
      <c r="E215" s="1263"/>
      <c r="F215" s="1263"/>
      <c r="G215" s="1263"/>
    </row>
    <row r="216" spans="1:11" ht="39" customHeight="1" x14ac:dyDescent="0.3">
      <c r="B216" s="1262" t="s">
        <v>2202</v>
      </c>
      <c r="C216" s="1262"/>
      <c r="D216" s="1262"/>
      <c r="E216" s="1262"/>
      <c r="F216" s="1262"/>
      <c r="G216" s="1262"/>
    </row>
    <row r="217" spans="1:11" x14ac:dyDescent="0.3">
      <c r="B217" s="1263"/>
      <c r="C217" s="1263"/>
      <c r="D217" s="1263"/>
      <c r="E217" s="1263"/>
      <c r="F217" s="1263"/>
      <c r="G217" s="1263"/>
    </row>
    <row r="218" spans="1:11" ht="145.5" customHeight="1" x14ac:dyDescent="0.3">
      <c r="B218" s="1284" t="s">
        <v>2203</v>
      </c>
      <c r="C218" s="1284"/>
      <c r="D218" s="1284"/>
      <c r="E218" s="1284"/>
      <c r="F218" s="1284"/>
      <c r="G218" s="1284"/>
    </row>
    <row r="219" spans="1:11" x14ac:dyDescent="0.3">
      <c r="B219" s="1263"/>
      <c r="C219" s="1263"/>
      <c r="D219" s="1263"/>
      <c r="E219" s="1263"/>
      <c r="F219" s="1263"/>
      <c r="G219" s="1263"/>
    </row>
    <row r="220" spans="1:11" ht="35.25" customHeight="1" x14ac:dyDescent="0.4">
      <c r="A220" s="434" t="s">
        <v>1527</v>
      </c>
      <c r="B220" s="1282" t="s">
        <v>1522</v>
      </c>
      <c r="C220" s="1282"/>
      <c r="D220" s="1282"/>
      <c r="E220" s="1282"/>
      <c r="F220" s="1282"/>
      <c r="G220" s="1282"/>
      <c r="H220" s="1276"/>
      <c r="I220" s="1276"/>
      <c r="J220" s="1276"/>
      <c r="K220" s="1276"/>
    </row>
    <row r="221" spans="1:11" ht="80.25" customHeight="1" x14ac:dyDescent="0.3">
      <c r="B221" s="1280" t="s">
        <v>2196</v>
      </c>
      <c r="C221" s="1280"/>
      <c r="D221" s="1280"/>
      <c r="E221" s="1280"/>
      <c r="F221" s="1280"/>
      <c r="G221" s="1280"/>
    </row>
    <row r="222" spans="1:11" x14ac:dyDescent="0.3">
      <c r="B222" s="1281"/>
      <c r="C222" s="1281"/>
      <c r="D222" s="1281"/>
      <c r="E222" s="1281"/>
      <c r="F222" s="1281"/>
      <c r="G222" s="1281"/>
    </row>
    <row r="223" spans="1:11" ht="30" customHeight="1" x14ac:dyDescent="0.3">
      <c r="B223" s="1278"/>
      <c r="C223" s="1278"/>
      <c r="D223" s="1278"/>
      <c r="E223" s="1278"/>
      <c r="F223" s="1278"/>
      <c r="G223" s="1278"/>
    </row>
    <row r="224" spans="1:11" x14ac:dyDescent="0.3">
      <c r="B224" s="1264"/>
      <c r="C224" s="1264"/>
      <c r="D224" s="1264"/>
      <c r="E224" s="1264"/>
      <c r="F224" s="1264"/>
      <c r="G224" s="1264"/>
    </row>
    <row r="225" spans="1:14" ht="23.25" customHeight="1" x14ac:dyDescent="0.4">
      <c r="A225" s="434" t="s">
        <v>1525</v>
      </c>
      <c r="B225" s="1271" t="s">
        <v>1883</v>
      </c>
      <c r="C225" s="1271"/>
      <c r="D225" s="1271"/>
      <c r="E225" s="1271"/>
      <c r="F225" s="1271"/>
      <c r="G225" s="1271"/>
      <c r="H225" s="1279" t="s">
        <v>2063</v>
      </c>
      <c r="I225" s="1279"/>
      <c r="J225" s="1279"/>
      <c r="K225" s="1279"/>
      <c r="L225" s="1279"/>
      <c r="M225" s="1279"/>
      <c r="N225" s="1279"/>
    </row>
    <row r="226" spans="1:14" ht="15.75" customHeight="1" x14ac:dyDescent="0.4">
      <c r="A226" s="434"/>
      <c r="B226" s="1271"/>
      <c r="C226" s="1271"/>
      <c r="D226" s="1271"/>
      <c r="E226" s="1271"/>
      <c r="F226" s="1271"/>
      <c r="G226" s="1271"/>
      <c r="H226" s="778"/>
      <c r="I226" s="778"/>
      <c r="J226" s="778"/>
      <c r="K226" s="778"/>
      <c r="L226" s="778"/>
      <c r="M226" s="778"/>
      <c r="N226" s="778"/>
    </row>
    <row r="227" spans="1:14" ht="33.75" customHeight="1" x14ac:dyDescent="0.4">
      <c r="A227" s="434"/>
      <c r="B227" s="1277" t="s">
        <v>2064</v>
      </c>
      <c r="C227" s="1277"/>
      <c r="D227" s="1277"/>
      <c r="E227" s="1277"/>
      <c r="F227" s="1277"/>
      <c r="G227" s="1277"/>
      <c r="H227" s="778"/>
      <c r="I227" s="778"/>
      <c r="J227" s="778"/>
      <c r="K227" s="778"/>
      <c r="L227" s="778"/>
      <c r="M227" s="778"/>
      <c r="N227" s="778"/>
    </row>
    <row r="228" spans="1:14" ht="15.75" customHeight="1" x14ac:dyDescent="0.4">
      <c r="A228" s="434"/>
      <c r="B228" s="1271"/>
      <c r="C228" s="1271"/>
      <c r="D228" s="1271"/>
      <c r="E228" s="1271"/>
      <c r="F228" s="1271"/>
      <c r="G228" s="1271"/>
      <c r="H228" s="778"/>
      <c r="I228" s="778"/>
      <c r="J228" s="778"/>
      <c r="K228" s="778"/>
      <c r="L228" s="778"/>
      <c r="M228" s="778"/>
      <c r="N228" s="778"/>
    </row>
    <row r="229" spans="1:14" ht="15.75" customHeight="1" x14ac:dyDescent="0.4">
      <c r="A229" s="434"/>
      <c r="B229" s="1263" t="s">
        <v>1904</v>
      </c>
      <c r="C229" s="1263"/>
      <c r="D229" s="1263"/>
      <c r="E229" s="1263"/>
      <c r="F229" s="1263"/>
      <c r="G229" s="1263"/>
      <c r="H229" s="778"/>
      <c r="I229" s="778"/>
      <c r="J229" s="778"/>
      <c r="K229" s="778"/>
      <c r="L229" s="778"/>
      <c r="M229" s="778"/>
      <c r="N229" s="778"/>
    </row>
    <row r="230" spans="1:14" ht="15.75" customHeight="1" x14ac:dyDescent="0.4">
      <c r="A230" s="434"/>
      <c r="B230" s="1271"/>
      <c r="C230" s="1271"/>
      <c r="D230" s="1271"/>
      <c r="E230" s="1271"/>
      <c r="F230" s="1271"/>
      <c r="G230" s="1271"/>
      <c r="H230" s="778"/>
      <c r="I230" s="778"/>
      <c r="J230" s="778"/>
      <c r="K230" s="778"/>
      <c r="L230" s="778"/>
      <c r="M230" s="778"/>
      <c r="N230" s="778"/>
    </row>
    <row r="231" spans="1:14" ht="15.75" customHeight="1" x14ac:dyDescent="0.4">
      <c r="A231" s="434"/>
      <c r="B231" s="1263" t="s">
        <v>1903</v>
      </c>
      <c r="C231" s="1263"/>
      <c r="D231" s="1263"/>
      <c r="E231" s="1263"/>
      <c r="F231" s="1263"/>
      <c r="G231" s="1263"/>
      <c r="H231" s="778"/>
      <c r="I231" s="778"/>
      <c r="J231" s="778"/>
      <c r="K231" s="778"/>
      <c r="L231" s="778"/>
      <c r="M231" s="778"/>
      <c r="N231" s="778"/>
    </row>
    <row r="232" spans="1:14" ht="15.75" customHeight="1" x14ac:dyDescent="0.4">
      <c r="A232" s="434"/>
      <c r="B232" s="1271"/>
      <c r="C232" s="1271"/>
      <c r="D232" s="1271"/>
      <c r="E232" s="1271"/>
      <c r="F232" s="1271"/>
      <c r="G232" s="1271"/>
      <c r="H232" s="778"/>
      <c r="I232" s="778"/>
      <c r="J232" s="778"/>
      <c r="K232" s="778"/>
      <c r="L232" s="778"/>
      <c r="M232" s="778"/>
      <c r="N232" s="778"/>
    </row>
    <row r="233" spans="1:14" ht="154.5" customHeight="1" x14ac:dyDescent="0.4">
      <c r="A233" s="434"/>
      <c r="B233" s="1263" t="s">
        <v>1902</v>
      </c>
      <c r="C233" s="1263"/>
      <c r="D233" s="1263"/>
      <c r="E233" s="1263"/>
      <c r="F233" s="1263"/>
      <c r="G233" s="1263"/>
      <c r="H233" s="778"/>
      <c r="I233" s="778"/>
      <c r="J233" s="778"/>
      <c r="K233" s="778"/>
      <c r="L233" s="778"/>
      <c r="M233" s="778"/>
      <c r="N233" s="778"/>
    </row>
    <row r="234" spans="1:14" ht="15.75" customHeight="1" x14ac:dyDescent="0.3">
      <c r="B234" s="1263"/>
      <c r="C234" s="1263"/>
      <c r="D234" s="1263"/>
      <c r="E234" s="1263"/>
      <c r="F234" s="1263"/>
      <c r="G234" s="1263"/>
    </row>
    <row r="235" spans="1:14" ht="21" x14ac:dyDescent="0.4">
      <c r="B235" s="1268" t="s">
        <v>1884</v>
      </c>
      <c r="C235" s="1268"/>
      <c r="D235" s="1268"/>
      <c r="E235" s="1268"/>
      <c r="F235" s="1268"/>
      <c r="G235" s="1268"/>
    </row>
    <row r="236" spans="1:14" x14ac:dyDescent="0.3">
      <c r="B236" s="1263"/>
      <c r="C236" s="1263"/>
      <c r="D236" s="1263"/>
      <c r="E236" s="1263"/>
      <c r="F236" s="1263"/>
      <c r="G236" s="1263"/>
    </row>
    <row r="237" spans="1:14" ht="15.75" customHeight="1" x14ac:dyDescent="0.3">
      <c r="B237" s="1263" t="s">
        <v>1687</v>
      </c>
      <c r="C237" s="1263"/>
      <c r="D237" s="1263"/>
      <c r="E237" s="1263"/>
      <c r="F237" s="1263"/>
      <c r="G237" s="1263"/>
    </row>
    <row r="238" spans="1:14" x14ac:dyDescent="0.3">
      <c r="B238" s="1263"/>
      <c r="C238" s="1263"/>
      <c r="D238" s="1263"/>
      <c r="E238" s="1263"/>
      <c r="F238" s="1263"/>
      <c r="G238" s="1263"/>
    </row>
    <row r="239" spans="1:14" ht="34.5" customHeight="1" x14ac:dyDescent="0.3">
      <c r="B239" s="1269" t="s">
        <v>1515</v>
      </c>
      <c r="C239" s="1269"/>
      <c r="D239" s="1269"/>
      <c r="E239" s="1269"/>
      <c r="F239" s="1269"/>
      <c r="G239" s="1269"/>
    </row>
    <row r="240" spans="1:14" x14ac:dyDescent="0.3">
      <c r="B240" s="1263"/>
      <c r="C240" s="1263"/>
      <c r="D240" s="1263"/>
      <c r="E240" s="1263"/>
      <c r="F240" s="1263"/>
      <c r="G240" s="1263"/>
    </row>
    <row r="241" spans="2:7" x14ac:dyDescent="0.3">
      <c r="B241" s="1267" t="s">
        <v>3085</v>
      </c>
      <c r="C241" s="1267"/>
      <c r="D241" s="1267"/>
      <c r="E241" s="1267"/>
      <c r="F241" s="1267"/>
      <c r="G241" s="1267"/>
    </row>
    <row r="242" spans="2:7" x14ac:dyDescent="0.3">
      <c r="B242" s="1263"/>
      <c r="C242" s="1263"/>
      <c r="D242" s="1263"/>
      <c r="E242" s="1263"/>
      <c r="F242" s="1263"/>
      <c r="G242" s="1263"/>
    </row>
    <row r="243" spans="2:7" ht="41.25" customHeight="1" x14ac:dyDescent="0.3">
      <c r="B243" s="1262" t="s">
        <v>3086</v>
      </c>
      <c r="C243" s="1262"/>
      <c r="D243" s="1262"/>
      <c r="E243" s="1262"/>
      <c r="F243" s="1262"/>
      <c r="G243" s="1262"/>
    </row>
    <row r="244" spans="2:7" x14ac:dyDescent="0.3">
      <c r="B244" s="1263"/>
      <c r="C244" s="1263"/>
      <c r="D244" s="1263"/>
      <c r="E244" s="1263"/>
      <c r="F244" s="1263"/>
      <c r="G244" s="1263"/>
    </row>
    <row r="245" spans="2:7" ht="45.75" customHeight="1" x14ac:dyDescent="0.3">
      <c r="B245" s="1262" t="s">
        <v>3087</v>
      </c>
      <c r="C245" s="1262"/>
      <c r="D245" s="1262"/>
      <c r="E245" s="1262"/>
      <c r="F245" s="1262"/>
      <c r="G245" s="1262"/>
    </row>
    <row r="246" spans="2:7" ht="13.5" customHeight="1" x14ac:dyDescent="0.3">
      <c r="B246" s="430"/>
      <c r="C246" s="430"/>
      <c r="D246" s="430"/>
      <c r="E246" s="430"/>
      <c r="F246" s="430"/>
      <c r="G246" s="430"/>
    </row>
    <row r="247" spans="2:7" x14ac:dyDescent="0.3">
      <c r="B247" s="1267" t="s">
        <v>3027</v>
      </c>
      <c r="C247" s="1267"/>
      <c r="D247" s="1267"/>
      <c r="E247" s="1267"/>
      <c r="F247" s="1267"/>
      <c r="G247" s="1267"/>
    </row>
    <row r="248" spans="2:7" x14ac:dyDescent="0.3">
      <c r="B248" s="1262"/>
      <c r="C248" s="1262"/>
      <c r="D248" s="1262"/>
      <c r="E248" s="1262"/>
      <c r="F248" s="1262"/>
      <c r="G248" s="1262"/>
    </row>
    <row r="249" spans="2:7" ht="48" customHeight="1" x14ac:dyDescent="0.3">
      <c r="B249" s="1262" t="s">
        <v>3096</v>
      </c>
      <c r="C249" s="1262"/>
      <c r="D249" s="1262"/>
      <c r="E249" s="1262"/>
      <c r="F249" s="1262"/>
      <c r="G249" s="1262"/>
    </row>
    <row r="250" spans="2:7" x14ac:dyDescent="0.3">
      <c r="B250" s="1263"/>
      <c r="C250" s="1263"/>
      <c r="D250" s="1263"/>
      <c r="E250" s="1263"/>
      <c r="F250" s="1263"/>
      <c r="G250" s="1263"/>
    </row>
    <row r="251" spans="2:7" ht="39.75" customHeight="1" x14ac:dyDescent="0.3">
      <c r="B251" s="1262" t="s">
        <v>3097</v>
      </c>
      <c r="C251" s="1262"/>
      <c r="D251" s="1262"/>
      <c r="E251" s="1262"/>
      <c r="F251" s="1262"/>
      <c r="G251" s="1262"/>
    </row>
    <row r="252" spans="2:7" x14ac:dyDescent="0.3">
      <c r="B252" s="1263"/>
      <c r="C252" s="1263"/>
      <c r="D252" s="1263"/>
      <c r="E252" s="1263"/>
      <c r="F252" s="1263"/>
      <c r="G252" s="1263"/>
    </row>
    <row r="253" spans="2:7" ht="21" x14ac:dyDescent="0.4">
      <c r="B253" s="1268" t="s">
        <v>1885</v>
      </c>
      <c r="C253" s="1268"/>
      <c r="D253" s="1268"/>
      <c r="E253" s="1268"/>
      <c r="F253" s="1268"/>
      <c r="G253" s="1268"/>
    </row>
    <row r="254" spans="2:7" ht="13.5" customHeight="1" x14ac:dyDescent="0.4">
      <c r="B254" s="766"/>
      <c r="C254" s="766"/>
      <c r="D254" s="766"/>
      <c r="E254" s="766"/>
      <c r="F254" s="766"/>
      <c r="G254" s="766"/>
    </row>
    <row r="255" spans="2:7" ht="42.75" customHeight="1" x14ac:dyDescent="0.3">
      <c r="B255" s="1262" t="s">
        <v>1688</v>
      </c>
      <c r="C255" s="1262"/>
      <c r="D255" s="1262"/>
      <c r="E255" s="1262"/>
      <c r="F255" s="1262"/>
      <c r="G255" s="1262"/>
    </row>
    <row r="256" spans="2:7" x14ac:dyDescent="0.3">
      <c r="B256" s="1263"/>
      <c r="C256" s="1263"/>
      <c r="D256" s="1263"/>
      <c r="E256" s="1263"/>
      <c r="F256" s="1263"/>
      <c r="G256" s="1263"/>
    </row>
    <row r="257" spans="2:7" ht="42" customHeight="1" x14ac:dyDescent="0.3">
      <c r="B257" s="1269" t="s">
        <v>1518</v>
      </c>
      <c r="C257" s="1269"/>
      <c r="D257" s="1269"/>
      <c r="E257" s="1269"/>
      <c r="F257" s="1269"/>
      <c r="G257" s="1269"/>
    </row>
    <row r="258" spans="2:7" x14ac:dyDescent="0.3">
      <c r="B258" s="1263"/>
      <c r="C258" s="1263"/>
      <c r="D258" s="1263"/>
      <c r="E258" s="1263"/>
      <c r="F258" s="1263"/>
      <c r="G258" s="1263"/>
    </row>
    <row r="259" spans="2:7" x14ac:dyDescent="0.3">
      <c r="B259" s="1267" t="s">
        <v>3088</v>
      </c>
      <c r="C259" s="1267"/>
      <c r="D259" s="1267"/>
      <c r="E259" s="1267"/>
      <c r="F259" s="1267"/>
      <c r="G259" s="1267"/>
    </row>
    <row r="260" spans="2:7" x14ac:dyDescent="0.3">
      <c r="B260" s="1262"/>
      <c r="C260" s="1262"/>
      <c r="D260" s="1262"/>
      <c r="E260" s="1262"/>
      <c r="F260" s="1262"/>
      <c r="G260" s="1262"/>
    </row>
    <row r="261" spans="2:7" ht="51.75" customHeight="1" x14ac:dyDescent="0.3">
      <c r="B261" s="1262" t="s">
        <v>3089</v>
      </c>
      <c r="C261" s="1262"/>
      <c r="D261" s="1262"/>
      <c r="E261" s="1262"/>
      <c r="F261" s="1262"/>
      <c r="G261" s="1262"/>
    </row>
    <row r="262" spans="2:7" x14ac:dyDescent="0.3">
      <c r="B262" s="1262"/>
      <c r="C262" s="1262"/>
      <c r="D262" s="1262"/>
      <c r="E262" s="1262"/>
      <c r="F262" s="1262"/>
      <c r="G262" s="1262"/>
    </row>
    <row r="263" spans="2:7" ht="48.75" customHeight="1" x14ac:dyDescent="0.3">
      <c r="B263" s="1262" t="s">
        <v>3090</v>
      </c>
      <c r="C263" s="1262"/>
      <c r="D263" s="1262"/>
      <c r="E263" s="1262"/>
      <c r="F263" s="1262"/>
      <c r="G263" s="1262"/>
    </row>
    <row r="264" spans="2:7" ht="13.5" customHeight="1" x14ac:dyDescent="0.3">
      <c r="B264" s="430"/>
      <c r="C264" s="430"/>
      <c r="D264" s="430"/>
      <c r="E264" s="430"/>
      <c r="F264" s="430"/>
      <c r="G264" s="430"/>
    </row>
    <row r="265" spans="2:7" x14ac:dyDescent="0.3">
      <c r="B265" s="1267" t="s">
        <v>3028</v>
      </c>
      <c r="C265" s="1267"/>
      <c r="D265" s="1267"/>
      <c r="E265" s="1267"/>
      <c r="F265" s="1267"/>
      <c r="G265" s="1267"/>
    </row>
    <row r="266" spans="2:7" x14ac:dyDescent="0.3">
      <c r="B266" s="1263"/>
      <c r="C266" s="1263"/>
      <c r="D266" s="1263"/>
      <c r="E266" s="1263"/>
      <c r="F266" s="1263"/>
      <c r="G266" s="1263"/>
    </row>
    <row r="267" spans="2:7" ht="70.5" customHeight="1" x14ac:dyDescent="0.3">
      <c r="B267" s="1262" t="s">
        <v>3098</v>
      </c>
      <c r="C267" s="1262"/>
      <c r="D267" s="1262"/>
      <c r="E267" s="1262"/>
      <c r="F267" s="1262"/>
      <c r="G267" s="1262"/>
    </row>
    <row r="268" spans="2:7" x14ac:dyDescent="0.3">
      <c r="B268" s="1263"/>
      <c r="C268" s="1263"/>
      <c r="D268" s="1263"/>
      <c r="E268" s="1263"/>
      <c r="F268" s="1263"/>
      <c r="G268" s="1263"/>
    </row>
    <row r="269" spans="2:7" ht="48" customHeight="1" x14ac:dyDescent="0.3">
      <c r="B269" s="1262" t="s">
        <v>3099</v>
      </c>
      <c r="C269" s="1262"/>
      <c r="D269" s="1262"/>
      <c r="E269" s="1262"/>
      <c r="F269" s="1262"/>
      <c r="G269" s="1262"/>
    </row>
    <row r="270" spans="2:7" ht="13.5" customHeight="1" x14ac:dyDescent="0.3">
      <c r="B270" s="430"/>
      <c r="C270" s="430"/>
      <c r="D270" s="430"/>
      <c r="E270" s="430"/>
      <c r="F270" s="430"/>
      <c r="G270" s="430"/>
    </row>
    <row r="271" spans="2:7" x14ac:dyDescent="0.3">
      <c r="B271" s="1267" t="s">
        <v>2858</v>
      </c>
      <c r="C271" s="1267"/>
      <c r="D271" s="1267"/>
      <c r="E271" s="1267"/>
      <c r="F271" s="1267"/>
      <c r="G271" s="1267"/>
    </row>
    <row r="272" spans="2:7" x14ac:dyDescent="0.3">
      <c r="B272" s="1263"/>
      <c r="C272" s="1263"/>
      <c r="D272" s="1263"/>
      <c r="E272" s="1263"/>
      <c r="F272" s="1263"/>
      <c r="G272" s="1263"/>
    </row>
    <row r="273" spans="2:7" ht="78.75" customHeight="1" x14ac:dyDescent="0.3">
      <c r="B273" s="1262" t="s">
        <v>3101</v>
      </c>
      <c r="C273" s="1262"/>
      <c r="D273" s="1262"/>
      <c r="E273" s="1262"/>
      <c r="F273" s="1262"/>
      <c r="G273" s="1262"/>
    </row>
    <row r="274" spans="2:7" x14ac:dyDescent="0.3">
      <c r="B274" s="1263"/>
      <c r="C274" s="1263"/>
      <c r="D274" s="1263"/>
      <c r="E274" s="1263"/>
      <c r="F274" s="1263"/>
      <c r="G274" s="1263"/>
    </row>
    <row r="275" spans="2:7" ht="42" customHeight="1" x14ac:dyDescent="0.3">
      <c r="B275" s="1262" t="s">
        <v>3102</v>
      </c>
      <c r="C275" s="1262"/>
      <c r="D275" s="1262"/>
      <c r="E275" s="1262"/>
      <c r="F275" s="1262"/>
      <c r="G275" s="1262"/>
    </row>
    <row r="276" spans="2:7" x14ac:dyDescent="0.3">
      <c r="B276" s="1263"/>
      <c r="C276" s="1263"/>
      <c r="D276" s="1263"/>
      <c r="E276" s="1263"/>
      <c r="F276" s="1263"/>
      <c r="G276" s="1263"/>
    </row>
    <row r="277" spans="2:7" ht="21" x14ac:dyDescent="0.4">
      <c r="B277" s="1268" t="s">
        <v>1886</v>
      </c>
      <c r="C277" s="1268"/>
      <c r="D277" s="1268"/>
      <c r="E277" s="1268"/>
      <c r="F277" s="1268"/>
      <c r="G277" s="1268"/>
    </row>
    <row r="278" spans="2:7" x14ac:dyDescent="0.3">
      <c r="B278" s="1263"/>
      <c r="C278" s="1263"/>
      <c r="D278" s="1263"/>
      <c r="E278" s="1263"/>
      <c r="F278" s="1263"/>
      <c r="G278" s="1263"/>
    </row>
    <row r="279" spans="2:7" ht="22.5" customHeight="1" x14ac:dyDescent="0.3">
      <c r="B279" s="1262" t="s">
        <v>1689</v>
      </c>
      <c r="C279" s="1262"/>
      <c r="D279" s="1262"/>
      <c r="E279" s="1262"/>
      <c r="F279" s="1262"/>
      <c r="G279" s="1262"/>
    </row>
    <row r="280" spans="2:7" x14ac:dyDescent="0.3">
      <c r="B280" s="1263"/>
      <c r="C280" s="1263"/>
      <c r="D280" s="1263"/>
      <c r="E280" s="1263"/>
      <c r="F280" s="1263"/>
      <c r="G280" s="1263"/>
    </row>
    <row r="281" spans="2:7" x14ac:dyDescent="0.3">
      <c r="B281" s="1267" t="s">
        <v>1722</v>
      </c>
      <c r="C281" s="1267"/>
      <c r="D281" s="1267"/>
      <c r="E281" s="1267"/>
      <c r="F281" s="1267"/>
      <c r="G281" s="1267"/>
    </row>
    <row r="282" spans="2:7" x14ac:dyDescent="0.3">
      <c r="B282" s="1263"/>
      <c r="C282" s="1263"/>
      <c r="D282" s="1263"/>
      <c r="E282" s="1263"/>
      <c r="F282" s="1263"/>
      <c r="G282" s="1263"/>
    </row>
    <row r="283" spans="2:7" ht="55.5" customHeight="1" x14ac:dyDescent="0.3">
      <c r="B283" s="1262" t="s">
        <v>1817</v>
      </c>
      <c r="C283" s="1262"/>
      <c r="D283" s="1262"/>
      <c r="E283" s="1262"/>
      <c r="F283" s="1262"/>
      <c r="G283" s="1262"/>
    </row>
    <row r="284" spans="2:7" x14ac:dyDescent="0.3">
      <c r="B284" s="1263"/>
      <c r="C284" s="1263"/>
      <c r="D284" s="1263"/>
      <c r="E284" s="1263"/>
      <c r="F284" s="1263"/>
      <c r="G284" s="1263"/>
    </row>
    <row r="285" spans="2:7" ht="39.75" customHeight="1" x14ac:dyDescent="0.3">
      <c r="B285" s="1269" t="s">
        <v>1690</v>
      </c>
      <c r="C285" s="1269"/>
      <c r="D285" s="1269"/>
      <c r="E285" s="1269"/>
      <c r="F285" s="1269"/>
      <c r="G285" s="1269"/>
    </row>
    <row r="286" spans="2:7" x14ac:dyDescent="0.3">
      <c r="B286" s="1263"/>
      <c r="C286" s="1263"/>
      <c r="D286" s="1263"/>
      <c r="E286" s="1263"/>
      <c r="F286" s="1263"/>
      <c r="G286" s="1263"/>
    </row>
  </sheetData>
  <mergeCells count="274">
    <mergeCell ref="B214:G214"/>
    <mergeCell ref="B215:G215"/>
    <mergeCell ref="B216:G216"/>
    <mergeCell ref="B217:G217"/>
    <mergeCell ref="B218:G218"/>
    <mergeCell ref="B219:G219"/>
    <mergeCell ref="B191:G191"/>
    <mergeCell ref="B192:G192"/>
    <mergeCell ref="B193:G193"/>
    <mergeCell ref="B194:G194"/>
    <mergeCell ref="B211:G211"/>
    <mergeCell ref="B212:G212"/>
    <mergeCell ref="B213:G213"/>
    <mergeCell ref="B206:G206"/>
    <mergeCell ref="B207:G207"/>
    <mergeCell ref="B208:G208"/>
    <mergeCell ref="B162:G162"/>
    <mergeCell ref="B163:G163"/>
    <mergeCell ref="B164:G164"/>
    <mergeCell ref="B185:G185"/>
    <mergeCell ref="B186:G186"/>
    <mergeCell ref="B187:G187"/>
    <mergeCell ref="B188:G188"/>
    <mergeCell ref="B189:G189"/>
    <mergeCell ref="B190:G190"/>
    <mergeCell ref="B168:G168"/>
    <mergeCell ref="B169:G169"/>
    <mergeCell ref="H220:K220"/>
    <mergeCell ref="B226:G226"/>
    <mergeCell ref="B227:G227"/>
    <mergeCell ref="B228:G228"/>
    <mergeCell ref="B229:G229"/>
    <mergeCell ref="B230:G230"/>
    <mergeCell ref="B231:G231"/>
    <mergeCell ref="B232:G232"/>
    <mergeCell ref="B233:G233"/>
    <mergeCell ref="B224:G224"/>
    <mergeCell ref="B223:G223"/>
    <mergeCell ref="H225:N225"/>
    <mergeCell ref="B221:G221"/>
    <mergeCell ref="B222:G222"/>
    <mergeCell ref="B220:G220"/>
    <mergeCell ref="B1:G1"/>
    <mergeCell ref="B2:G2"/>
    <mergeCell ref="B4:G4"/>
    <mergeCell ref="B31:G31"/>
    <mergeCell ref="B33:G33"/>
    <mergeCell ref="B3:G3"/>
    <mergeCell ref="B7:G7"/>
    <mergeCell ref="B5:G5"/>
    <mergeCell ref="B36:G36"/>
    <mergeCell ref="B27:G27"/>
    <mergeCell ref="B6:G6"/>
    <mergeCell ref="B8:G8"/>
    <mergeCell ref="B10:G10"/>
    <mergeCell ref="B18:G18"/>
    <mergeCell ref="B19:G19"/>
    <mergeCell ref="B23:G23"/>
    <mergeCell ref="B9:G9"/>
    <mergeCell ref="B13:G13"/>
    <mergeCell ref="B11:G11"/>
    <mergeCell ref="B15:G15"/>
    <mergeCell ref="B14:G14"/>
    <mergeCell ref="B16:G16"/>
    <mergeCell ref="B12:G12"/>
    <mergeCell ref="B102:G102"/>
    <mergeCell ref="B105:G105"/>
    <mergeCell ref="B106:G106"/>
    <mergeCell ref="B103:G103"/>
    <mergeCell ref="B104:G104"/>
    <mergeCell ref="B128:G128"/>
    <mergeCell ref="B129:G129"/>
    <mergeCell ref="B147:G147"/>
    <mergeCell ref="B184:G184"/>
    <mergeCell ref="B116:G116"/>
    <mergeCell ref="B117:G117"/>
    <mergeCell ref="B118:G118"/>
    <mergeCell ref="B123:G123"/>
    <mergeCell ref="B124:G124"/>
    <mergeCell ref="B119:G119"/>
    <mergeCell ref="B120:G120"/>
    <mergeCell ref="B121:G121"/>
    <mergeCell ref="B148:G148"/>
    <mergeCell ref="B149:G149"/>
    <mergeCell ref="B150:G150"/>
    <mergeCell ref="B151:G151"/>
    <mergeCell ref="B152:G152"/>
    <mergeCell ref="B153:G153"/>
    <mergeCell ref="B154:G154"/>
    <mergeCell ref="B96:G96"/>
    <mergeCell ref="B72:G72"/>
    <mergeCell ref="B88:G88"/>
    <mergeCell ref="B89:G89"/>
    <mergeCell ref="B90:G90"/>
    <mergeCell ref="B99:G99"/>
    <mergeCell ref="B92:G92"/>
    <mergeCell ref="B93:G93"/>
    <mergeCell ref="B85:G85"/>
    <mergeCell ref="B86:G86"/>
    <mergeCell ref="B87:G87"/>
    <mergeCell ref="B91:G91"/>
    <mergeCell ref="B95:G95"/>
    <mergeCell ref="B97:G97"/>
    <mergeCell ref="B98:G98"/>
    <mergeCell ref="B83:G83"/>
    <mergeCell ref="B84:G84"/>
    <mergeCell ref="B100:G100"/>
    <mergeCell ref="B209:G209"/>
    <mergeCell ref="B210:G210"/>
    <mergeCell ref="B201:G201"/>
    <mergeCell ref="B202:G202"/>
    <mergeCell ref="B203:G203"/>
    <mergeCell ref="B204:G204"/>
    <mergeCell ref="B205:G205"/>
    <mergeCell ref="B110:G110"/>
    <mergeCell ref="B195:G195"/>
    <mergeCell ref="B196:G196"/>
    <mergeCell ref="B197:G197"/>
    <mergeCell ref="B198:G198"/>
    <mergeCell ref="B199:G199"/>
    <mergeCell ref="B200:G200"/>
    <mergeCell ref="B101:G101"/>
    <mergeCell ref="B109:G109"/>
    <mergeCell ref="B111:G111"/>
    <mergeCell ref="B112:G112"/>
    <mergeCell ref="B113:G113"/>
    <mergeCell ref="B114:G114"/>
    <mergeCell ref="B115:G115"/>
    <mergeCell ref="B126:G126"/>
    <mergeCell ref="B127:G127"/>
    <mergeCell ref="B235:G235"/>
    <mergeCell ref="B21:G21"/>
    <mergeCell ref="B34:G34"/>
    <mergeCell ref="B35:G35"/>
    <mergeCell ref="B37:G37"/>
    <mergeCell ref="B225:G225"/>
    <mergeCell ref="B234:G234"/>
    <mergeCell ref="B58:G58"/>
    <mergeCell ref="B59:G59"/>
    <mergeCell ref="B60:G60"/>
    <mergeCell ref="B61:G61"/>
    <mergeCell ref="B62:G62"/>
    <mergeCell ref="B63:G63"/>
    <mergeCell ref="B73:G73"/>
    <mergeCell ref="B107:G107"/>
    <mergeCell ref="B76:G76"/>
    <mergeCell ref="B77:G77"/>
    <mergeCell ref="B78:G78"/>
    <mergeCell ref="B79:G79"/>
    <mergeCell ref="B80:G80"/>
    <mergeCell ref="B94:G94"/>
    <mergeCell ref="B42:G42"/>
    <mergeCell ref="B75:G75"/>
    <mergeCell ref="B81:G81"/>
    <mergeCell ref="B43:G43"/>
    <mergeCell ref="B82:G82"/>
    <mergeCell ref="B57:G57"/>
    <mergeCell ref="B17:G17"/>
    <mergeCell ref="B74:G74"/>
    <mergeCell ref="B46:G46"/>
    <mergeCell ref="B47:G47"/>
    <mergeCell ref="B44:G44"/>
    <mergeCell ref="B45:G45"/>
    <mergeCell ref="B38:G38"/>
    <mergeCell ref="B40:G40"/>
    <mergeCell ref="B41:G41"/>
    <mergeCell ref="B39:G39"/>
    <mergeCell ref="B48:G48"/>
    <mergeCell ref="B49:G49"/>
    <mergeCell ref="B50:G50"/>
    <mergeCell ref="B51:G51"/>
    <mergeCell ref="B52:G52"/>
    <mergeCell ref="B53:G53"/>
    <mergeCell ref="B54:G54"/>
    <mergeCell ref="B55:G55"/>
    <mergeCell ref="B64:G64"/>
    <mergeCell ref="B65:G65"/>
    <mergeCell ref="B66:G66"/>
    <mergeCell ref="B67:G67"/>
    <mergeCell ref="B68:G68"/>
    <mergeCell ref="B71:G71"/>
    <mergeCell ref="B69:G69"/>
    <mergeCell ref="B70:G70"/>
    <mergeCell ref="B56:G56"/>
    <mergeCell ref="B253:G253"/>
    <mergeCell ref="B255:G255"/>
    <mergeCell ref="B256:G256"/>
    <mergeCell ref="B236:G236"/>
    <mergeCell ref="B237:G237"/>
    <mergeCell ref="B238:G238"/>
    <mergeCell ref="B239:G239"/>
    <mergeCell ref="B241:G241"/>
    <mergeCell ref="B242:G242"/>
    <mergeCell ref="B243:G243"/>
    <mergeCell ref="B244:G244"/>
    <mergeCell ref="B245:G245"/>
    <mergeCell ref="B240:G240"/>
    <mergeCell ref="B247:G247"/>
    <mergeCell ref="B248:G248"/>
    <mergeCell ref="B249:G249"/>
    <mergeCell ref="B250:G250"/>
    <mergeCell ref="B251:G251"/>
    <mergeCell ref="B252:G252"/>
    <mergeCell ref="B286:G286"/>
    <mergeCell ref="B268:G268"/>
    <mergeCell ref="B269:G269"/>
    <mergeCell ref="B271:G271"/>
    <mergeCell ref="B272:G272"/>
    <mergeCell ref="B273:G273"/>
    <mergeCell ref="B274:G274"/>
    <mergeCell ref="B275:G275"/>
    <mergeCell ref="B276:G276"/>
    <mergeCell ref="B277:G277"/>
    <mergeCell ref="B284:G284"/>
    <mergeCell ref="B278:G278"/>
    <mergeCell ref="B279:G279"/>
    <mergeCell ref="B280:G280"/>
    <mergeCell ref="B285:G285"/>
    <mergeCell ref="B281:G281"/>
    <mergeCell ref="B282:G282"/>
    <mergeCell ref="B283:G283"/>
    <mergeCell ref="B257:G257"/>
    <mergeCell ref="B259:G259"/>
    <mergeCell ref="B260:G260"/>
    <mergeCell ref="B261:G261"/>
    <mergeCell ref="B262:G262"/>
    <mergeCell ref="B263:G263"/>
    <mergeCell ref="B265:G265"/>
    <mergeCell ref="B266:G266"/>
    <mergeCell ref="B267:G267"/>
    <mergeCell ref="B258:G258"/>
    <mergeCell ref="B122:G122"/>
    <mergeCell ref="B125:G125"/>
    <mergeCell ref="B130:G130"/>
    <mergeCell ref="B131:G131"/>
    <mergeCell ref="B132:G132"/>
    <mergeCell ref="B133:G133"/>
    <mergeCell ref="B134:G134"/>
    <mergeCell ref="B135:G135"/>
    <mergeCell ref="B136:G136"/>
    <mergeCell ref="B137:G137"/>
    <mergeCell ref="B146:G146"/>
    <mergeCell ref="B138:G138"/>
    <mergeCell ref="B139:G139"/>
    <mergeCell ref="B140:G140"/>
    <mergeCell ref="B141:G141"/>
    <mergeCell ref="B142:G142"/>
    <mergeCell ref="B143:G143"/>
    <mergeCell ref="B144:G144"/>
    <mergeCell ref="B145:G145"/>
    <mergeCell ref="B155:G155"/>
    <mergeCell ref="B156:G156"/>
    <mergeCell ref="B157:G157"/>
    <mergeCell ref="B158:G158"/>
    <mergeCell ref="B180:G180"/>
    <mergeCell ref="B181:G181"/>
    <mergeCell ref="B182:G182"/>
    <mergeCell ref="B183:G183"/>
    <mergeCell ref="B170:G170"/>
    <mergeCell ref="B171:G171"/>
    <mergeCell ref="B172:G172"/>
    <mergeCell ref="B173:G173"/>
    <mergeCell ref="B174:G174"/>
    <mergeCell ref="B175:G175"/>
    <mergeCell ref="B176:G176"/>
    <mergeCell ref="B177:G177"/>
    <mergeCell ref="B178:G178"/>
    <mergeCell ref="B179:G179"/>
    <mergeCell ref="B159:G159"/>
    <mergeCell ref="B160:G160"/>
    <mergeCell ref="B161:G161"/>
    <mergeCell ref="B165:G165"/>
    <mergeCell ref="B166:G166"/>
    <mergeCell ref="B167:G167"/>
  </mergeCells>
  <pageMargins left="0.70866141732283472" right="0.70866141732283472" top="0.74803149606299213" bottom="0.74803149606299213" header="0.31496062992125984" footer="0.31496062992125984"/>
  <pageSetup paperSize="9" orientation="portrait" useFirstPageNumber="1"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pageSetUpPr fitToPage="1"/>
  </sheetPr>
  <dimension ref="A2:AD120"/>
  <sheetViews>
    <sheetView zoomScale="90" zoomScaleNormal="90" workbookViewId="0">
      <pane xSplit="9" ySplit="6" topLeftCell="J99" activePane="bottomRight" state="frozen"/>
      <selection activeCell="B2" sqref="B2:G2"/>
      <selection pane="topRight" activeCell="B2" sqref="B2:G2"/>
      <selection pane="bottomLeft" activeCell="B2" sqref="B2:G2"/>
      <selection pane="bottomRight" activeCell="O6" sqref="O6"/>
    </sheetView>
  </sheetViews>
  <sheetFormatPr defaultRowHeight="13.8" x14ac:dyDescent="0.3"/>
  <cols>
    <col min="1" max="1" width="6" customWidth="1"/>
    <col min="2" max="2" width="9.6640625" customWidth="1"/>
    <col min="3" max="3" width="10.44140625" customWidth="1"/>
    <col min="4" max="4" width="11.44140625" customWidth="1"/>
    <col min="5" max="5" width="15.109375" style="47" customWidth="1"/>
    <col min="6" max="6" width="13.33203125" style="214" bestFit="1" customWidth="1"/>
    <col min="7" max="7" width="14.5546875" style="214" customWidth="1"/>
    <col min="8" max="8" width="18" style="214" customWidth="1"/>
    <col min="9" max="9" width="8.5546875" customWidth="1"/>
    <col min="10" max="10" width="17" customWidth="1"/>
    <col min="11" max="11" width="9.5546875" customWidth="1"/>
    <col min="12" max="12" width="11.6640625" customWidth="1"/>
    <col min="13" max="13" width="10.6640625" hidden="1" customWidth="1"/>
    <col min="14" max="14" width="8.5546875" hidden="1" customWidth="1"/>
    <col min="15" max="15" width="12.88671875" style="4" customWidth="1"/>
    <col min="16" max="16" width="16.88671875" style="4" customWidth="1"/>
    <col min="17" max="17" width="13.109375" style="4" customWidth="1"/>
    <col min="18" max="18" width="11.33203125" style="4" bestFit="1" customWidth="1"/>
    <col min="19" max="19" width="14.109375" style="4" hidden="1" customWidth="1"/>
    <col min="20" max="20" width="7.5546875" style="4" hidden="1" customWidth="1"/>
    <col min="21" max="21" width="11.33203125" style="4" bestFit="1" customWidth="1"/>
    <col min="22" max="22" width="6.109375" style="4" customWidth="1"/>
    <col min="23" max="23" width="20.33203125" style="214" customWidth="1"/>
    <col min="24" max="24" width="4.109375" customWidth="1"/>
    <col min="25" max="25" width="20.6640625" customWidth="1"/>
    <col min="26" max="26" width="23.44140625" customWidth="1"/>
    <col min="27" max="27" width="11.33203125" style="7" hidden="1" customWidth="1"/>
    <col min="28" max="28" width="12" style="7" hidden="1" customWidth="1"/>
    <col min="29" max="29" width="13.109375" bestFit="1" customWidth="1"/>
  </cols>
  <sheetData>
    <row r="2" spans="1:30" x14ac:dyDescent="0.3">
      <c r="O2" s="36"/>
      <c r="P2" s="36"/>
      <c r="Q2" s="36"/>
      <c r="R2" s="36"/>
      <c r="S2" s="36"/>
      <c r="T2" s="36"/>
    </row>
    <row r="3" spans="1:30" x14ac:dyDescent="0.3">
      <c r="O3" s="36"/>
      <c r="P3" s="36"/>
      <c r="Q3" s="36"/>
      <c r="R3" s="36"/>
      <c r="S3" s="36"/>
      <c r="T3" s="36"/>
    </row>
    <row r="4" spans="1:30" x14ac:dyDescent="0.3">
      <c r="O4" s="36"/>
      <c r="P4" s="36"/>
      <c r="Q4" s="36"/>
      <c r="R4" s="36"/>
      <c r="S4" s="36"/>
      <c r="T4" s="36"/>
      <c r="Y4" s="1291" t="str">
        <f>'Standing Data'!D4</f>
        <v>NAME OF COUNCIL</v>
      </c>
      <c r="Z4" s="1291"/>
      <c r="AA4" s="1289" t="s">
        <v>1838</v>
      </c>
      <c r="AB4" s="1290"/>
    </row>
    <row r="5" spans="1:30" ht="14.4" x14ac:dyDescent="0.3">
      <c r="J5" s="1286" t="str">
        <f>'Standing Data'!D4</f>
        <v>NAME OF COUNCIL</v>
      </c>
      <c r="K5" s="1286"/>
      <c r="L5" s="258" t="s">
        <v>1599</v>
      </c>
      <c r="M5" s="1287" t="s">
        <v>1675</v>
      </c>
      <c r="N5" s="1287"/>
      <c r="O5" s="208" t="s">
        <v>1837</v>
      </c>
      <c r="P5" s="1288" t="str">
        <f>'Standing Data'!D4</f>
        <v>NAME OF COUNCIL</v>
      </c>
      <c r="Q5" s="1288"/>
      <c r="R5" s="701" t="s">
        <v>1599</v>
      </c>
      <c r="S5" s="1287" t="s">
        <v>1675</v>
      </c>
      <c r="T5" s="1287"/>
      <c r="U5" s="719" t="s">
        <v>1837</v>
      </c>
      <c r="V5" s="36"/>
      <c r="Y5" s="16" t="s">
        <v>1669</v>
      </c>
      <c r="Z5" s="16" t="s">
        <v>1669</v>
      </c>
      <c r="AA5" s="16" t="s">
        <v>1669</v>
      </c>
      <c r="AB5" s="16" t="s">
        <v>1669</v>
      </c>
    </row>
    <row r="6" spans="1:30" s="119" customFormat="1" ht="43.2" x14ac:dyDescent="0.3">
      <c r="A6" s="123" t="s">
        <v>439</v>
      </c>
      <c r="B6" s="123" t="s">
        <v>445</v>
      </c>
      <c r="C6" s="122" t="s">
        <v>435</v>
      </c>
      <c r="D6" s="123" t="s">
        <v>448</v>
      </c>
      <c r="E6" s="122" t="s">
        <v>440</v>
      </c>
      <c r="F6" s="122" t="s">
        <v>441</v>
      </c>
      <c r="G6" s="122" t="s">
        <v>442</v>
      </c>
      <c r="H6" s="122" t="s">
        <v>443</v>
      </c>
      <c r="I6" s="120" t="s">
        <v>1589</v>
      </c>
      <c r="J6" s="120" t="s">
        <v>1252</v>
      </c>
      <c r="K6" s="120" t="s">
        <v>1253</v>
      </c>
      <c r="L6" s="120" t="str">
        <f>'Standing Data'!D34</f>
        <v>2025/26</v>
      </c>
      <c r="M6" s="120" t="s">
        <v>1252</v>
      </c>
      <c r="N6" s="120" t="s">
        <v>1253</v>
      </c>
      <c r="O6" s="118" t="str">
        <f>'Standing Data'!D34</f>
        <v>2025/26</v>
      </c>
      <c r="P6" s="120" t="s">
        <v>1252</v>
      </c>
      <c r="Q6" s="120" t="s">
        <v>1253</v>
      </c>
      <c r="R6" s="120" t="str">
        <f>'Standing Data'!D52</f>
        <v>2024/25</v>
      </c>
      <c r="S6" s="120" t="s">
        <v>1252</v>
      </c>
      <c r="T6" s="120" t="s">
        <v>1253</v>
      </c>
      <c r="U6" s="118" t="str">
        <f>'Standing Data'!D52</f>
        <v>2024/25</v>
      </c>
      <c r="V6" s="121"/>
      <c r="W6" s="122" t="s">
        <v>443</v>
      </c>
      <c r="Y6" s="118" t="str">
        <f>O6</f>
        <v>2025/26</v>
      </c>
      <c r="Z6" s="118" t="str">
        <f>U6</f>
        <v>2024/25</v>
      </c>
      <c r="AA6" s="118" t="str">
        <f>O6</f>
        <v>2025/26</v>
      </c>
      <c r="AB6" s="118" t="str">
        <f>U6</f>
        <v>2024/25</v>
      </c>
    </row>
    <row r="7" spans="1:30" x14ac:dyDescent="0.3">
      <c r="A7" s="31">
        <v>1</v>
      </c>
      <c r="B7" s="31"/>
      <c r="C7" s="31" t="s">
        <v>154</v>
      </c>
      <c r="D7" s="31" t="str">
        <f>IF(AND(O7=0,U7=0,V7=0),"Do Not Print","Print")</f>
        <v>Do Not Print</v>
      </c>
      <c r="E7" s="235" t="s">
        <v>2232</v>
      </c>
      <c r="F7" s="1001" t="str">
        <f>E7</f>
        <v>CIES Line 1</v>
      </c>
      <c r="G7" s="1002" t="str">
        <f>E7</f>
        <v>CIES Line 1</v>
      </c>
      <c r="H7" s="213" t="s">
        <v>1530</v>
      </c>
      <c r="I7" s="2"/>
      <c r="J7" s="163">
        <v>0</v>
      </c>
      <c r="K7" s="163">
        <v>0</v>
      </c>
      <c r="L7" s="165">
        <f>SUM(J7:K7)</f>
        <v>0</v>
      </c>
      <c r="M7" s="163">
        <v>0</v>
      </c>
      <c r="N7" s="163">
        <v>0</v>
      </c>
      <c r="O7" s="165">
        <f>L7+SUM(M7:N7)</f>
        <v>0</v>
      </c>
      <c r="P7" s="163">
        <v>0</v>
      </c>
      <c r="Q7" s="163">
        <v>0</v>
      </c>
      <c r="R7" s="165">
        <f t="shared" ref="R7:R48" si="0">SUM(P7:Q7)</f>
        <v>0</v>
      </c>
      <c r="S7" s="163">
        <v>0</v>
      </c>
      <c r="T7" s="160">
        <v>0</v>
      </c>
      <c r="U7" s="161">
        <f>SUM(S7:T7)+R7</f>
        <v>0</v>
      </c>
      <c r="W7" s="212" t="str">
        <f>E7</f>
        <v>CIES Line 1</v>
      </c>
      <c r="Y7" s="165">
        <f>ROUND(L7,0)</f>
        <v>0</v>
      </c>
      <c r="Z7" s="165">
        <f>ROUND(R7,0)</f>
        <v>0</v>
      </c>
      <c r="AA7" s="165">
        <f>ROUND(O7,0)</f>
        <v>0</v>
      </c>
      <c r="AB7" s="165">
        <f>ROUND(U7,0)</f>
        <v>0</v>
      </c>
      <c r="AC7" s="7"/>
    </row>
    <row r="8" spans="1:30" x14ac:dyDescent="0.3">
      <c r="A8" s="31">
        <v>2</v>
      </c>
      <c r="B8" s="31"/>
      <c r="C8" s="31" t="s">
        <v>154</v>
      </c>
      <c r="D8" s="31" t="str">
        <f t="shared" ref="D8:D26" si="1">IF(AND(O8=0,U8=0,V8=0),"Do Not Print","Print")</f>
        <v>Do Not Print</v>
      </c>
      <c r="E8" s="235" t="s">
        <v>2233</v>
      </c>
      <c r="F8" s="1001" t="str">
        <f t="shared" ref="F8:F16" si="2">E8</f>
        <v>CIES Line 2</v>
      </c>
      <c r="G8" s="1002" t="str">
        <f t="shared" ref="G8:G12" si="3">E8</f>
        <v>CIES Line 2</v>
      </c>
      <c r="H8" s="213" t="s">
        <v>1530</v>
      </c>
      <c r="I8" s="2"/>
      <c r="J8" s="163">
        <v>0</v>
      </c>
      <c r="K8" s="163">
        <v>0</v>
      </c>
      <c r="L8" s="165">
        <f t="shared" ref="L8:L41" si="4">SUM(J8:K8)</f>
        <v>0</v>
      </c>
      <c r="M8" s="163">
        <v>0</v>
      </c>
      <c r="N8" s="163">
        <v>0</v>
      </c>
      <c r="O8" s="165">
        <f t="shared" ref="O8:O42" si="5">L8+SUM(M8:N8)</f>
        <v>0</v>
      </c>
      <c r="P8" s="163">
        <v>0</v>
      </c>
      <c r="Q8" s="163"/>
      <c r="R8" s="165">
        <f t="shared" si="0"/>
        <v>0</v>
      </c>
      <c r="S8" s="160">
        <v>0</v>
      </c>
      <c r="T8" s="160">
        <v>0</v>
      </c>
      <c r="U8" s="161">
        <f t="shared" ref="U8:U41" si="6">SUM(S8:T8)+R8</f>
        <v>0</v>
      </c>
      <c r="W8" s="212" t="str">
        <f t="shared" ref="W8:W41" si="7">E8</f>
        <v>CIES Line 2</v>
      </c>
      <c r="Y8" s="165">
        <f t="shared" ref="Y8:Y26" si="8">ROUND(L8,0)</f>
        <v>0</v>
      </c>
      <c r="Z8" s="165">
        <f t="shared" ref="Z8:Z26" si="9">ROUND(R8,0)</f>
        <v>0</v>
      </c>
      <c r="AA8" s="165">
        <f t="shared" ref="AA8:AA26" si="10">ROUND(O8,0)</f>
        <v>0</v>
      </c>
      <c r="AB8" s="165">
        <f t="shared" ref="AB8:AB26" si="11">ROUND(U8,0)</f>
        <v>0</v>
      </c>
      <c r="AC8" s="7"/>
      <c r="AD8" s="4"/>
    </row>
    <row r="9" spans="1:30" x14ac:dyDescent="0.3">
      <c r="A9" s="31">
        <v>3</v>
      </c>
      <c r="B9" s="31"/>
      <c r="C9" s="31" t="s">
        <v>154</v>
      </c>
      <c r="D9" s="31" t="str">
        <f t="shared" si="1"/>
        <v>Do Not Print</v>
      </c>
      <c r="E9" s="235" t="s">
        <v>2234</v>
      </c>
      <c r="F9" s="1001" t="str">
        <f t="shared" si="2"/>
        <v>CIES Line 3</v>
      </c>
      <c r="G9" s="1002" t="str">
        <f t="shared" si="3"/>
        <v>CIES Line 3</v>
      </c>
      <c r="H9" s="213" t="s">
        <v>1530</v>
      </c>
      <c r="I9" s="1"/>
      <c r="J9" s="163">
        <v>0</v>
      </c>
      <c r="K9" s="163">
        <v>0</v>
      </c>
      <c r="L9" s="165">
        <f t="shared" si="4"/>
        <v>0</v>
      </c>
      <c r="M9" s="163">
        <v>0</v>
      </c>
      <c r="N9" s="163">
        <v>0</v>
      </c>
      <c r="O9" s="165">
        <f t="shared" si="5"/>
        <v>0</v>
      </c>
      <c r="P9" s="163">
        <v>0</v>
      </c>
      <c r="Q9" s="163">
        <v>0</v>
      </c>
      <c r="R9" s="165">
        <f t="shared" si="0"/>
        <v>0</v>
      </c>
      <c r="S9" s="160">
        <v>0</v>
      </c>
      <c r="T9" s="160">
        <v>0</v>
      </c>
      <c r="U9" s="161">
        <f t="shared" si="6"/>
        <v>0</v>
      </c>
      <c r="W9" s="212" t="str">
        <f t="shared" si="7"/>
        <v>CIES Line 3</v>
      </c>
      <c r="Y9" s="165">
        <f t="shared" si="8"/>
        <v>0</v>
      </c>
      <c r="Z9" s="165">
        <f t="shared" si="9"/>
        <v>0</v>
      </c>
      <c r="AA9" s="165">
        <f t="shared" si="10"/>
        <v>0</v>
      </c>
      <c r="AB9" s="165">
        <f t="shared" si="11"/>
        <v>0</v>
      </c>
      <c r="AC9" s="7"/>
      <c r="AD9" s="4"/>
    </row>
    <row r="10" spans="1:30" x14ac:dyDescent="0.3">
      <c r="A10" s="31">
        <v>4</v>
      </c>
      <c r="B10" s="31"/>
      <c r="C10" s="31" t="s">
        <v>154</v>
      </c>
      <c r="D10" s="31" t="str">
        <f t="shared" si="1"/>
        <v>Do Not Print</v>
      </c>
      <c r="E10" s="235" t="s">
        <v>2235</v>
      </c>
      <c r="F10" s="1001" t="str">
        <f t="shared" si="2"/>
        <v>CIES Line 4</v>
      </c>
      <c r="G10" s="1002" t="str">
        <f t="shared" si="3"/>
        <v>CIES Line 4</v>
      </c>
      <c r="H10" s="213" t="s">
        <v>1530</v>
      </c>
      <c r="I10" s="1"/>
      <c r="J10" s="163">
        <v>0</v>
      </c>
      <c r="K10" s="163">
        <v>0</v>
      </c>
      <c r="L10" s="165">
        <f t="shared" si="4"/>
        <v>0</v>
      </c>
      <c r="M10" s="163">
        <v>0</v>
      </c>
      <c r="N10" s="163">
        <v>0</v>
      </c>
      <c r="O10" s="165">
        <f t="shared" si="5"/>
        <v>0</v>
      </c>
      <c r="P10" s="163">
        <v>0</v>
      </c>
      <c r="Q10" s="163">
        <v>0</v>
      </c>
      <c r="R10" s="165">
        <f t="shared" si="0"/>
        <v>0</v>
      </c>
      <c r="S10" s="160">
        <v>0</v>
      </c>
      <c r="T10" s="160">
        <v>0</v>
      </c>
      <c r="U10" s="161">
        <f t="shared" si="6"/>
        <v>0</v>
      </c>
      <c r="W10" s="212" t="str">
        <f t="shared" si="7"/>
        <v>CIES Line 4</v>
      </c>
      <c r="Y10" s="165">
        <f t="shared" si="8"/>
        <v>0</v>
      </c>
      <c r="Z10" s="165">
        <f t="shared" si="9"/>
        <v>0</v>
      </c>
      <c r="AA10" s="165">
        <f t="shared" si="10"/>
        <v>0</v>
      </c>
      <c r="AB10" s="165">
        <f t="shared" si="11"/>
        <v>0</v>
      </c>
      <c r="AC10" s="7"/>
      <c r="AD10" s="4"/>
    </row>
    <row r="11" spans="1:30" x14ac:dyDescent="0.3">
      <c r="A11" s="31">
        <v>5</v>
      </c>
      <c r="B11" s="31"/>
      <c r="C11" s="31" t="s">
        <v>154</v>
      </c>
      <c r="D11" s="31" t="str">
        <f t="shared" si="1"/>
        <v>Do Not Print</v>
      </c>
      <c r="E11" s="235" t="s">
        <v>2236</v>
      </c>
      <c r="F11" s="1001" t="str">
        <f t="shared" si="2"/>
        <v>CIES Line 5</v>
      </c>
      <c r="G11" s="1002" t="str">
        <f t="shared" si="3"/>
        <v>CIES Line 5</v>
      </c>
      <c r="H11" s="213" t="s">
        <v>1530</v>
      </c>
      <c r="I11" s="1"/>
      <c r="J11" s="163">
        <v>0</v>
      </c>
      <c r="K11" s="163">
        <v>0</v>
      </c>
      <c r="L11" s="165">
        <f t="shared" si="4"/>
        <v>0</v>
      </c>
      <c r="M11" s="163">
        <v>0</v>
      </c>
      <c r="N11" s="163">
        <v>0</v>
      </c>
      <c r="O11" s="165">
        <f t="shared" si="5"/>
        <v>0</v>
      </c>
      <c r="P11" s="163">
        <v>0</v>
      </c>
      <c r="Q11" s="163">
        <v>0</v>
      </c>
      <c r="R11" s="165">
        <f t="shared" si="0"/>
        <v>0</v>
      </c>
      <c r="S11" s="160">
        <v>0</v>
      </c>
      <c r="T11" s="160">
        <v>0</v>
      </c>
      <c r="U11" s="161">
        <f t="shared" si="6"/>
        <v>0</v>
      </c>
      <c r="W11" s="212" t="str">
        <f t="shared" si="7"/>
        <v>CIES Line 5</v>
      </c>
      <c r="Y11" s="165">
        <f t="shared" si="8"/>
        <v>0</v>
      </c>
      <c r="Z11" s="165">
        <f t="shared" si="9"/>
        <v>0</v>
      </c>
      <c r="AA11" s="165">
        <f t="shared" si="10"/>
        <v>0</v>
      </c>
      <c r="AB11" s="165">
        <f t="shared" si="11"/>
        <v>0</v>
      </c>
      <c r="AC11" s="7"/>
      <c r="AD11" s="4"/>
    </row>
    <row r="12" spans="1:30" x14ac:dyDescent="0.3">
      <c r="A12" s="31">
        <v>6</v>
      </c>
      <c r="B12" s="31"/>
      <c r="C12" s="31" t="s">
        <v>154</v>
      </c>
      <c r="D12" s="31" t="str">
        <f>IF(AND(O12=0,U12=0,V12=0),"Do Not Print","Print")</f>
        <v>Do Not Print</v>
      </c>
      <c r="E12" s="235" t="s">
        <v>2237</v>
      </c>
      <c r="F12" s="1001" t="str">
        <f t="shared" si="2"/>
        <v>CIES Line 6</v>
      </c>
      <c r="G12" s="1002" t="str">
        <f t="shared" si="3"/>
        <v>CIES Line 6</v>
      </c>
      <c r="H12" s="213" t="s">
        <v>1530</v>
      </c>
      <c r="I12" s="1"/>
      <c r="J12" s="163">
        <v>0</v>
      </c>
      <c r="K12" s="163"/>
      <c r="L12" s="165">
        <f t="shared" si="4"/>
        <v>0</v>
      </c>
      <c r="M12" s="163">
        <v>0</v>
      </c>
      <c r="N12" s="163">
        <v>0</v>
      </c>
      <c r="O12" s="165">
        <f t="shared" si="5"/>
        <v>0</v>
      </c>
      <c r="P12" s="163">
        <v>0</v>
      </c>
      <c r="Q12" s="163">
        <v>0</v>
      </c>
      <c r="R12" s="165">
        <f t="shared" si="0"/>
        <v>0</v>
      </c>
      <c r="S12" s="160">
        <v>0</v>
      </c>
      <c r="T12" s="160">
        <v>0</v>
      </c>
      <c r="U12" s="161">
        <f t="shared" si="6"/>
        <v>0</v>
      </c>
      <c r="V12" s="36"/>
      <c r="W12" s="212" t="str">
        <f t="shared" si="7"/>
        <v>CIES Line 6</v>
      </c>
      <c r="Y12" s="165">
        <f t="shared" si="8"/>
        <v>0</v>
      </c>
      <c r="Z12" s="165">
        <f t="shared" si="9"/>
        <v>0</v>
      </c>
      <c r="AA12" s="165">
        <f>ROUND(O12,0)</f>
        <v>0</v>
      </c>
      <c r="AB12" s="165">
        <f>ROUND(U12,0)</f>
        <v>0</v>
      </c>
      <c r="AC12" s="7"/>
      <c r="AD12" s="4"/>
    </row>
    <row r="13" spans="1:30" x14ac:dyDescent="0.3">
      <c r="A13" s="31">
        <v>7</v>
      </c>
      <c r="B13" s="31"/>
      <c r="C13" s="31" t="s">
        <v>154</v>
      </c>
      <c r="D13" s="31" t="str">
        <f>IF(AND(O13=0,U13=0,V13=0),"Do Not Print","Print")</f>
        <v>Do Not Print</v>
      </c>
      <c r="E13" s="235" t="s">
        <v>2238</v>
      </c>
      <c r="F13" s="1001" t="str">
        <f t="shared" si="2"/>
        <v>CIES Line 7</v>
      </c>
      <c r="G13" s="1002" t="str">
        <f t="shared" ref="G13:G20" si="12">E13</f>
        <v>CIES Line 7</v>
      </c>
      <c r="H13" s="213" t="s">
        <v>1530</v>
      </c>
      <c r="I13" s="1"/>
      <c r="J13" s="163">
        <v>0</v>
      </c>
      <c r="K13" s="163">
        <v>0</v>
      </c>
      <c r="L13" s="165">
        <f t="shared" si="4"/>
        <v>0</v>
      </c>
      <c r="M13" s="163">
        <v>0</v>
      </c>
      <c r="N13" s="163">
        <v>0</v>
      </c>
      <c r="O13" s="165">
        <f t="shared" si="5"/>
        <v>0</v>
      </c>
      <c r="P13" s="163">
        <v>0</v>
      </c>
      <c r="Q13" s="163">
        <v>0</v>
      </c>
      <c r="R13" s="165">
        <f t="shared" si="0"/>
        <v>0</v>
      </c>
      <c r="S13" s="160">
        <v>0</v>
      </c>
      <c r="T13" s="160">
        <v>0</v>
      </c>
      <c r="U13" s="161">
        <f t="shared" si="6"/>
        <v>0</v>
      </c>
      <c r="V13" s="36"/>
      <c r="W13" s="212" t="str">
        <f t="shared" si="7"/>
        <v>CIES Line 7</v>
      </c>
      <c r="Y13" s="165">
        <f t="shared" si="8"/>
        <v>0</v>
      </c>
      <c r="Z13" s="165">
        <f t="shared" si="9"/>
        <v>0</v>
      </c>
      <c r="AA13" s="165">
        <f>ROUND(O13,0)</f>
        <v>0</v>
      </c>
      <c r="AB13" s="165">
        <f>ROUND(U13,0)</f>
        <v>0</v>
      </c>
      <c r="AC13" s="7"/>
      <c r="AD13" s="4"/>
    </row>
    <row r="14" spans="1:30" x14ac:dyDescent="0.3">
      <c r="A14" s="31">
        <v>8</v>
      </c>
      <c r="B14" s="31"/>
      <c r="C14" s="31" t="s">
        <v>154</v>
      </c>
      <c r="D14" s="31" t="str">
        <f>IF(AND(O14=0,U14=0,V14=0),"Do Not Print","Print")</f>
        <v>Do Not Print</v>
      </c>
      <c r="E14" s="235" t="s">
        <v>1952</v>
      </c>
      <c r="F14" s="1001" t="str">
        <f>E14</f>
        <v>CIES Line 8</v>
      </c>
      <c r="G14" s="1002" t="str">
        <f>E14</f>
        <v>CIES Line 8</v>
      </c>
      <c r="H14" s="213" t="s">
        <v>1530</v>
      </c>
      <c r="I14" s="1"/>
      <c r="J14" s="163">
        <v>0</v>
      </c>
      <c r="K14" s="163">
        <v>0</v>
      </c>
      <c r="L14" s="165">
        <f t="shared" si="4"/>
        <v>0</v>
      </c>
      <c r="M14" s="163">
        <v>0</v>
      </c>
      <c r="N14" s="163">
        <v>0</v>
      </c>
      <c r="O14" s="165">
        <f t="shared" si="5"/>
        <v>0</v>
      </c>
      <c r="P14" s="163">
        <v>0</v>
      </c>
      <c r="Q14" s="163">
        <v>0</v>
      </c>
      <c r="R14" s="165">
        <f t="shared" si="0"/>
        <v>0</v>
      </c>
      <c r="S14" s="160">
        <v>0</v>
      </c>
      <c r="T14" s="160">
        <v>0</v>
      </c>
      <c r="U14" s="161">
        <f t="shared" si="6"/>
        <v>0</v>
      </c>
      <c r="V14" s="36"/>
      <c r="W14" s="212" t="str">
        <f>E14</f>
        <v>CIES Line 8</v>
      </c>
      <c r="Y14" s="165">
        <f t="shared" si="8"/>
        <v>0</v>
      </c>
      <c r="Z14" s="165">
        <f t="shared" si="9"/>
        <v>0</v>
      </c>
      <c r="AA14" s="165">
        <f>ROUND(O14,0)</f>
        <v>0</v>
      </c>
      <c r="AB14" s="165">
        <f>ROUND(U14,0)</f>
        <v>0</v>
      </c>
      <c r="AC14" s="7"/>
      <c r="AD14" s="4"/>
    </row>
    <row r="15" spans="1:30" x14ac:dyDescent="0.3">
      <c r="A15" s="31">
        <v>9</v>
      </c>
      <c r="B15" s="31"/>
      <c r="C15" s="31" t="s">
        <v>154</v>
      </c>
      <c r="D15" s="31" t="str">
        <f>IF(AND(O15=0,U15=0,V15=0),"Do Not Print","Print")</f>
        <v>Do Not Print</v>
      </c>
      <c r="E15" s="235" t="s">
        <v>1953</v>
      </c>
      <c r="F15" s="1001" t="str">
        <f t="shared" si="2"/>
        <v>CIES Line 9</v>
      </c>
      <c r="G15" s="1002" t="str">
        <f t="shared" si="12"/>
        <v>CIES Line 9</v>
      </c>
      <c r="H15" s="213" t="s">
        <v>1530</v>
      </c>
      <c r="I15" s="1"/>
      <c r="J15" s="163">
        <v>0</v>
      </c>
      <c r="K15" s="163">
        <v>0</v>
      </c>
      <c r="L15" s="165">
        <f t="shared" si="4"/>
        <v>0</v>
      </c>
      <c r="M15" s="163">
        <v>0</v>
      </c>
      <c r="N15" s="163">
        <v>0</v>
      </c>
      <c r="O15" s="165">
        <f t="shared" si="5"/>
        <v>0</v>
      </c>
      <c r="P15" s="163">
        <v>0</v>
      </c>
      <c r="Q15" s="163">
        <v>0</v>
      </c>
      <c r="R15" s="165">
        <f t="shared" si="0"/>
        <v>0</v>
      </c>
      <c r="S15" s="160">
        <v>0</v>
      </c>
      <c r="T15" s="160">
        <v>0</v>
      </c>
      <c r="U15" s="161">
        <f t="shared" si="6"/>
        <v>0</v>
      </c>
      <c r="V15" s="36"/>
      <c r="W15" s="212" t="str">
        <f t="shared" si="7"/>
        <v>CIES Line 9</v>
      </c>
      <c r="Y15" s="165">
        <f t="shared" si="8"/>
        <v>0</v>
      </c>
      <c r="Z15" s="165">
        <f t="shared" si="9"/>
        <v>0</v>
      </c>
      <c r="AA15" s="165">
        <f>ROUND(O15,0)</f>
        <v>0</v>
      </c>
      <c r="AB15" s="165">
        <f>ROUND(U15,0)</f>
        <v>0</v>
      </c>
      <c r="AC15" s="7"/>
      <c r="AD15" s="4"/>
    </row>
    <row r="16" spans="1:30" x14ac:dyDescent="0.3">
      <c r="A16" s="31">
        <v>10</v>
      </c>
      <c r="B16" s="31"/>
      <c r="C16" s="31" t="s">
        <v>154</v>
      </c>
      <c r="D16" s="31" t="str">
        <f t="shared" si="1"/>
        <v>Do Not Print</v>
      </c>
      <c r="E16" s="235" t="s">
        <v>1954</v>
      </c>
      <c r="F16" s="1001" t="str">
        <f t="shared" si="2"/>
        <v>CIES Line 10</v>
      </c>
      <c r="G16" s="1002" t="str">
        <f t="shared" si="12"/>
        <v>CIES Line 10</v>
      </c>
      <c r="H16" s="213" t="s">
        <v>1530</v>
      </c>
      <c r="I16" s="1"/>
      <c r="J16" s="163">
        <v>0</v>
      </c>
      <c r="K16" s="163">
        <v>0</v>
      </c>
      <c r="L16" s="165">
        <f t="shared" si="4"/>
        <v>0</v>
      </c>
      <c r="M16" s="163">
        <v>0</v>
      </c>
      <c r="N16" s="163">
        <v>0</v>
      </c>
      <c r="O16" s="165">
        <f t="shared" si="5"/>
        <v>0</v>
      </c>
      <c r="P16" s="163">
        <v>0</v>
      </c>
      <c r="Q16" s="163">
        <v>0</v>
      </c>
      <c r="R16" s="165">
        <f t="shared" si="0"/>
        <v>0</v>
      </c>
      <c r="S16" s="160">
        <v>0</v>
      </c>
      <c r="T16" s="160">
        <v>0</v>
      </c>
      <c r="U16" s="161">
        <f t="shared" si="6"/>
        <v>0</v>
      </c>
      <c r="V16" s="36"/>
      <c r="W16" s="212" t="str">
        <f t="shared" si="7"/>
        <v>CIES Line 10</v>
      </c>
      <c r="Y16" s="165">
        <f t="shared" si="8"/>
        <v>0</v>
      </c>
      <c r="Z16" s="165">
        <f t="shared" si="9"/>
        <v>0</v>
      </c>
      <c r="AA16" s="165">
        <f t="shared" si="10"/>
        <v>0</v>
      </c>
      <c r="AB16" s="165">
        <f t="shared" si="11"/>
        <v>0</v>
      </c>
      <c r="AC16" s="7"/>
      <c r="AD16" s="4"/>
    </row>
    <row r="17" spans="1:30" x14ac:dyDescent="0.3">
      <c r="A17" s="31">
        <v>11</v>
      </c>
      <c r="B17" s="31"/>
      <c r="C17" s="31" t="s">
        <v>154</v>
      </c>
      <c r="D17" s="31" t="str">
        <f t="shared" si="1"/>
        <v>Do Not Print</v>
      </c>
      <c r="E17" s="235" t="s">
        <v>1955</v>
      </c>
      <c r="F17" s="1001" t="str">
        <f>E17</f>
        <v>CIES Line 11</v>
      </c>
      <c r="G17" s="1002" t="str">
        <f t="shared" si="12"/>
        <v>CIES Line 11</v>
      </c>
      <c r="H17" s="213" t="s">
        <v>1530</v>
      </c>
      <c r="I17" s="1"/>
      <c r="J17" s="163">
        <v>0</v>
      </c>
      <c r="K17" s="163">
        <v>0</v>
      </c>
      <c r="L17" s="165">
        <f t="shared" si="4"/>
        <v>0</v>
      </c>
      <c r="M17" s="163">
        <v>0</v>
      </c>
      <c r="N17" s="163">
        <v>0</v>
      </c>
      <c r="O17" s="165">
        <f t="shared" si="5"/>
        <v>0</v>
      </c>
      <c r="P17" s="163">
        <v>0</v>
      </c>
      <c r="Q17" s="163">
        <v>0</v>
      </c>
      <c r="R17" s="165">
        <f t="shared" si="0"/>
        <v>0</v>
      </c>
      <c r="S17" s="160">
        <v>0</v>
      </c>
      <c r="T17" s="160">
        <v>0</v>
      </c>
      <c r="U17" s="161">
        <f t="shared" si="6"/>
        <v>0</v>
      </c>
      <c r="V17" s="36"/>
      <c r="W17" s="212" t="str">
        <f t="shared" si="7"/>
        <v>CIES Line 11</v>
      </c>
      <c r="Y17" s="165">
        <f t="shared" si="8"/>
        <v>0</v>
      </c>
      <c r="Z17" s="165">
        <f t="shared" si="9"/>
        <v>0</v>
      </c>
      <c r="AA17" s="165">
        <f t="shared" si="10"/>
        <v>0</v>
      </c>
      <c r="AB17" s="165">
        <f t="shared" si="11"/>
        <v>0</v>
      </c>
      <c r="AC17" s="7"/>
      <c r="AD17" s="4"/>
    </row>
    <row r="18" spans="1:30" x14ac:dyDescent="0.3">
      <c r="A18" s="31">
        <v>12</v>
      </c>
      <c r="B18" s="31"/>
      <c r="C18" s="31" t="s">
        <v>154</v>
      </c>
      <c r="D18" s="31" t="str">
        <f>IF(AND(O18=0,U18=0,V18=0),"Do Not Print","Print")</f>
        <v>Do Not Print</v>
      </c>
      <c r="E18" s="235" t="s">
        <v>1956</v>
      </c>
      <c r="F18" s="1001" t="str">
        <f>E18</f>
        <v>CIES Line 12</v>
      </c>
      <c r="G18" s="1002" t="str">
        <f t="shared" si="12"/>
        <v>CIES Line 12</v>
      </c>
      <c r="H18" s="213" t="s">
        <v>1530</v>
      </c>
      <c r="I18" s="1"/>
      <c r="J18" s="163">
        <v>0</v>
      </c>
      <c r="K18" s="163">
        <v>0</v>
      </c>
      <c r="L18" s="165">
        <f t="shared" si="4"/>
        <v>0</v>
      </c>
      <c r="M18" s="163">
        <v>0</v>
      </c>
      <c r="N18" s="163">
        <v>0</v>
      </c>
      <c r="O18" s="165">
        <f t="shared" si="5"/>
        <v>0</v>
      </c>
      <c r="P18" s="163">
        <v>0</v>
      </c>
      <c r="Q18" s="163">
        <v>0</v>
      </c>
      <c r="R18" s="165">
        <f t="shared" si="0"/>
        <v>0</v>
      </c>
      <c r="S18" s="160">
        <v>0</v>
      </c>
      <c r="T18" s="160">
        <v>0</v>
      </c>
      <c r="U18" s="161">
        <f t="shared" si="6"/>
        <v>0</v>
      </c>
      <c r="V18" s="36"/>
      <c r="W18" s="212" t="str">
        <f t="shared" si="7"/>
        <v>CIES Line 12</v>
      </c>
      <c r="Y18" s="165">
        <f t="shared" si="8"/>
        <v>0</v>
      </c>
      <c r="Z18" s="165">
        <f t="shared" si="9"/>
        <v>0</v>
      </c>
      <c r="AA18" s="165">
        <f>ROUND(O18,0)</f>
        <v>0</v>
      </c>
      <c r="AB18" s="165">
        <f>ROUND(U18,0)</f>
        <v>0</v>
      </c>
      <c r="AC18" s="7"/>
      <c r="AD18" s="4"/>
    </row>
    <row r="19" spans="1:30" x14ac:dyDescent="0.3">
      <c r="A19" s="31">
        <v>13</v>
      </c>
      <c r="B19" s="31"/>
      <c r="C19" s="31" t="s">
        <v>154</v>
      </c>
      <c r="D19" s="31" t="str">
        <f t="shared" si="1"/>
        <v>Do Not Print</v>
      </c>
      <c r="E19" s="235" t="s">
        <v>1957</v>
      </c>
      <c r="F19" s="1001" t="str">
        <f>E19</f>
        <v>CIES Line 13</v>
      </c>
      <c r="G19" s="1002" t="str">
        <f t="shared" si="12"/>
        <v>CIES Line 13</v>
      </c>
      <c r="H19" s="213" t="s">
        <v>1530</v>
      </c>
      <c r="I19" s="1"/>
      <c r="J19" s="163">
        <v>0</v>
      </c>
      <c r="K19" s="163">
        <v>0</v>
      </c>
      <c r="L19" s="165">
        <f t="shared" si="4"/>
        <v>0</v>
      </c>
      <c r="M19" s="163">
        <v>0</v>
      </c>
      <c r="N19" s="163">
        <v>0</v>
      </c>
      <c r="O19" s="165">
        <f t="shared" si="5"/>
        <v>0</v>
      </c>
      <c r="P19" s="163">
        <v>0</v>
      </c>
      <c r="Q19" s="163">
        <v>0</v>
      </c>
      <c r="R19" s="165">
        <f t="shared" si="0"/>
        <v>0</v>
      </c>
      <c r="S19" s="160">
        <v>0</v>
      </c>
      <c r="T19" s="160">
        <v>0</v>
      </c>
      <c r="U19" s="161">
        <f t="shared" si="6"/>
        <v>0</v>
      </c>
      <c r="V19" s="36"/>
      <c r="W19" s="212" t="str">
        <f t="shared" si="7"/>
        <v>CIES Line 13</v>
      </c>
      <c r="Y19" s="165">
        <f t="shared" si="8"/>
        <v>0</v>
      </c>
      <c r="Z19" s="165">
        <f t="shared" si="9"/>
        <v>0</v>
      </c>
      <c r="AA19" s="165">
        <f t="shared" si="10"/>
        <v>0</v>
      </c>
      <c r="AB19" s="165">
        <f t="shared" si="11"/>
        <v>0</v>
      </c>
      <c r="AC19" s="7"/>
      <c r="AD19" s="4"/>
    </row>
    <row r="20" spans="1:30" x14ac:dyDescent="0.3">
      <c r="A20" s="31">
        <v>14</v>
      </c>
      <c r="B20" s="31"/>
      <c r="C20" s="31" t="s">
        <v>154</v>
      </c>
      <c r="D20" s="31" t="str">
        <f>IF(AND(O20=0,U20=0,V20=0),"Do Not Print","Print")</f>
        <v>Do Not Print</v>
      </c>
      <c r="E20" s="235" t="s">
        <v>1958</v>
      </c>
      <c r="F20" s="1001" t="str">
        <f>E20</f>
        <v>CIES Line 14</v>
      </c>
      <c r="G20" s="1002" t="str">
        <f t="shared" si="12"/>
        <v>CIES Line 14</v>
      </c>
      <c r="H20" s="213" t="s">
        <v>1530</v>
      </c>
      <c r="I20" s="1"/>
      <c r="J20" s="163">
        <v>0</v>
      </c>
      <c r="K20" s="163">
        <v>0</v>
      </c>
      <c r="L20" s="165">
        <f t="shared" si="4"/>
        <v>0</v>
      </c>
      <c r="M20" s="163">
        <v>0</v>
      </c>
      <c r="N20" s="163">
        <v>0</v>
      </c>
      <c r="O20" s="165">
        <f t="shared" si="5"/>
        <v>0</v>
      </c>
      <c r="P20" s="163">
        <v>0</v>
      </c>
      <c r="Q20" s="163">
        <v>0</v>
      </c>
      <c r="R20" s="165">
        <f t="shared" si="0"/>
        <v>0</v>
      </c>
      <c r="S20" s="160">
        <v>0</v>
      </c>
      <c r="T20" s="160">
        <v>0</v>
      </c>
      <c r="U20" s="161">
        <f t="shared" si="6"/>
        <v>0</v>
      </c>
      <c r="V20" s="36"/>
      <c r="W20" s="212" t="str">
        <f t="shared" si="7"/>
        <v>CIES Line 14</v>
      </c>
      <c r="Y20" s="165">
        <f t="shared" si="8"/>
        <v>0</v>
      </c>
      <c r="Z20" s="165">
        <f t="shared" si="9"/>
        <v>0</v>
      </c>
      <c r="AA20" s="165">
        <f>ROUND(O20,0)</f>
        <v>0</v>
      </c>
      <c r="AB20" s="165">
        <f>ROUND(U20,0)</f>
        <v>0</v>
      </c>
      <c r="AC20" s="7"/>
      <c r="AD20" s="4"/>
    </row>
    <row r="21" spans="1:30" x14ac:dyDescent="0.3">
      <c r="A21" s="31">
        <v>15</v>
      </c>
      <c r="B21" s="31"/>
      <c r="C21" s="31" t="s">
        <v>154</v>
      </c>
      <c r="D21" s="31" t="str">
        <f t="shared" si="1"/>
        <v>Do Not Print</v>
      </c>
      <c r="E21" s="235" t="s">
        <v>1959</v>
      </c>
      <c r="F21" s="1001" t="str">
        <f t="shared" ref="F21:F26" si="13">E21</f>
        <v>CIES Line 15</v>
      </c>
      <c r="G21" s="1002" t="str">
        <f t="shared" ref="G21:G26" si="14">E21</f>
        <v>CIES Line 15</v>
      </c>
      <c r="H21" s="213" t="s">
        <v>1530</v>
      </c>
      <c r="I21" s="1"/>
      <c r="J21" s="163">
        <v>0</v>
      </c>
      <c r="K21" s="163">
        <v>0</v>
      </c>
      <c r="L21" s="165">
        <f t="shared" si="4"/>
        <v>0</v>
      </c>
      <c r="M21" s="163">
        <v>0</v>
      </c>
      <c r="N21" s="163">
        <v>0</v>
      </c>
      <c r="O21" s="165">
        <f t="shared" si="5"/>
        <v>0</v>
      </c>
      <c r="P21" s="163">
        <v>0</v>
      </c>
      <c r="Q21" s="163">
        <v>0</v>
      </c>
      <c r="R21" s="165">
        <f t="shared" si="0"/>
        <v>0</v>
      </c>
      <c r="S21" s="160">
        <v>0</v>
      </c>
      <c r="T21" s="160">
        <v>0</v>
      </c>
      <c r="U21" s="161">
        <f t="shared" si="6"/>
        <v>0</v>
      </c>
      <c r="V21" s="36"/>
      <c r="W21" s="212" t="str">
        <f t="shared" si="7"/>
        <v>CIES Line 15</v>
      </c>
      <c r="Y21" s="165">
        <f t="shared" si="8"/>
        <v>0</v>
      </c>
      <c r="Z21" s="165">
        <f t="shared" si="9"/>
        <v>0</v>
      </c>
      <c r="AA21" s="165">
        <f t="shared" si="10"/>
        <v>0</v>
      </c>
      <c r="AB21" s="165">
        <f t="shared" si="11"/>
        <v>0</v>
      </c>
      <c r="AC21" s="7"/>
      <c r="AD21" s="4"/>
    </row>
    <row r="22" spans="1:30" x14ac:dyDescent="0.3">
      <c r="A22" s="31">
        <v>16</v>
      </c>
      <c r="B22" s="31"/>
      <c r="C22" s="31" t="s">
        <v>154</v>
      </c>
      <c r="D22" s="31" t="str">
        <f>IF(AND(O22=0,U22=0,V22=0),"Do Not Print","Print")</f>
        <v>Do Not Print</v>
      </c>
      <c r="E22" s="235" t="s">
        <v>1960</v>
      </c>
      <c r="F22" s="1001" t="str">
        <f t="shared" si="13"/>
        <v>CIES Line 16</v>
      </c>
      <c r="G22" s="1002" t="str">
        <f t="shared" si="14"/>
        <v>CIES Line 16</v>
      </c>
      <c r="H22" s="213" t="s">
        <v>1530</v>
      </c>
      <c r="I22" s="1"/>
      <c r="J22" s="163">
        <v>0</v>
      </c>
      <c r="K22" s="163">
        <v>0</v>
      </c>
      <c r="L22" s="165">
        <f t="shared" si="4"/>
        <v>0</v>
      </c>
      <c r="M22" s="163">
        <v>0</v>
      </c>
      <c r="N22" s="163">
        <v>0</v>
      </c>
      <c r="O22" s="165">
        <f t="shared" si="5"/>
        <v>0</v>
      </c>
      <c r="P22" s="163">
        <v>0</v>
      </c>
      <c r="Q22" s="163">
        <v>0</v>
      </c>
      <c r="R22" s="165">
        <f t="shared" si="0"/>
        <v>0</v>
      </c>
      <c r="S22" s="160">
        <v>0</v>
      </c>
      <c r="T22" s="160">
        <v>0</v>
      </c>
      <c r="U22" s="161">
        <f t="shared" si="6"/>
        <v>0</v>
      </c>
      <c r="V22" s="36"/>
      <c r="W22" s="212" t="str">
        <f t="shared" si="7"/>
        <v>CIES Line 16</v>
      </c>
      <c r="Y22" s="165">
        <f t="shared" si="8"/>
        <v>0</v>
      </c>
      <c r="Z22" s="165">
        <f t="shared" si="9"/>
        <v>0</v>
      </c>
      <c r="AA22" s="165">
        <f>ROUND(O22,0)</f>
        <v>0</v>
      </c>
      <c r="AB22" s="165">
        <f>ROUND(U22,0)</f>
        <v>0</v>
      </c>
      <c r="AC22" s="7"/>
      <c r="AD22" s="4"/>
    </row>
    <row r="23" spans="1:30" x14ac:dyDescent="0.3">
      <c r="A23" s="31">
        <v>17</v>
      </c>
      <c r="B23" s="31"/>
      <c r="C23" s="31" t="s">
        <v>154</v>
      </c>
      <c r="D23" s="31" t="str">
        <f t="shared" si="1"/>
        <v>Do Not Print</v>
      </c>
      <c r="E23" s="235" t="s">
        <v>1961</v>
      </c>
      <c r="F23" s="1001" t="str">
        <f t="shared" si="13"/>
        <v>CIES Line 17</v>
      </c>
      <c r="G23" s="1002" t="str">
        <f t="shared" si="14"/>
        <v>CIES Line 17</v>
      </c>
      <c r="H23" s="213" t="s">
        <v>1530</v>
      </c>
      <c r="I23" s="1"/>
      <c r="J23" s="163">
        <v>0</v>
      </c>
      <c r="K23" s="163">
        <v>0</v>
      </c>
      <c r="L23" s="165">
        <f t="shared" si="4"/>
        <v>0</v>
      </c>
      <c r="M23" s="163">
        <v>0</v>
      </c>
      <c r="N23" s="163">
        <v>0</v>
      </c>
      <c r="O23" s="165">
        <f t="shared" si="5"/>
        <v>0</v>
      </c>
      <c r="P23" s="163">
        <v>0</v>
      </c>
      <c r="Q23" s="163">
        <v>0</v>
      </c>
      <c r="R23" s="165">
        <f t="shared" si="0"/>
        <v>0</v>
      </c>
      <c r="S23" s="160">
        <v>0</v>
      </c>
      <c r="T23" s="160">
        <v>0</v>
      </c>
      <c r="U23" s="161">
        <f t="shared" si="6"/>
        <v>0</v>
      </c>
      <c r="V23" s="36"/>
      <c r="W23" s="212" t="str">
        <f t="shared" si="7"/>
        <v>CIES Line 17</v>
      </c>
      <c r="Y23" s="165">
        <f t="shared" si="8"/>
        <v>0</v>
      </c>
      <c r="Z23" s="165">
        <f t="shared" si="9"/>
        <v>0</v>
      </c>
      <c r="AA23" s="165">
        <f t="shared" si="10"/>
        <v>0</v>
      </c>
      <c r="AB23" s="165">
        <f t="shared" si="11"/>
        <v>0</v>
      </c>
      <c r="AC23" s="7"/>
      <c r="AD23" s="4"/>
    </row>
    <row r="24" spans="1:30" x14ac:dyDescent="0.3">
      <c r="A24" s="31">
        <v>18</v>
      </c>
      <c r="B24" s="31"/>
      <c r="C24" s="31" t="s">
        <v>154</v>
      </c>
      <c r="D24" s="31" t="str">
        <f t="shared" si="1"/>
        <v>Do Not Print</v>
      </c>
      <c r="E24" s="235" t="s">
        <v>1962</v>
      </c>
      <c r="F24" s="1001" t="str">
        <f t="shared" si="13"/>
        <v>CIES Line 18</v>
      </c>
      <c r="G24" s="1002" t="str">
        <f t="shared" si="14"/>
        <v>CIES Line 18</v>
      </c>
      <c r="H24" s="213" t="s">
        <v>1530</v>
      </c>
      <c r="I24" s="1"/>
      <c r="J24" s="163">
        <v>0</v>
      </c>
      <c r="K24" s="163">
        <v>0</v>
      </c>
      <c r="L24" s="165">
        <f t="shared" si="4"/>
        <v>0</v>
      </c>
      <c r="M24" s="163">
        <v>0</v>
      </c>
      <c r="N24" s="163">
        <v>0</v>
      </c>
      <c r="O24" s="165">
        <f t="shared" si="5"/>
        <v>0</v>
      </c>
      <c r="P24" s="163">
        <v>0</v>
      </c>
      <c r="Q24" s="163">
        <v>0</v>
      </c>
      <c r="R24" s="165">
        <f t="shared" si="0"/>
        <v>0</v>
      </c>
      <c r="S24" s="160">
        <v>0</v>
      </c>
      <c r="T24" s="160">
        <v>0</v>
      </c>
      <c r="U24" s="161">
        <f t="shared" si="6"/>
        <v>0</v>
      </c>
      <c r="V24" s="36"/>
      <c r="W24" s="212" t="str">
        <f t="shared" si="7"/>
        <v>CIES Line 18</v>
      </c>
      <c r="Y24" s="165">
        <f t="shared" si="8"/>
        <v>0</v>
      </c>
      <c r="Z24" s="165">
        <f t="shared" si="9"/>
        <v>0</v>
      </c>
      <c r="AA24" s="165">
        <f t="shared" si="10"/>
        <v>0</v>
      </c>
      <c r="AB24" s="165">
        <f t="shared" si="11"/>
        <v>0</v>
      </c>
      <c r="AC24" s="7"/>
      <c r="AD24" s="4"/>
    </row>
    <row r="25" spans="1:30" x14ac:dyDescent="0.3">
      <c r="A25" s="31">
        <v>19</v>
      </c>
      <c r="B25" s="31"/>
      <c r="C25" s="31" t="s">
        <v>154</v>
      </c>
      <c r="D25" s="31" t="str">
        <f>IF(AND(O25=0,U25=0,V25=0),"Do Not Print","Print")</f>
        <v>Do Not Print</v>
      </c>
      <c r="E25" s="235" t="s">
        <v>1963</v>
      </c>
      <c r="F25" s="1001" t="str">
        <f t="shared" si="13"/>
        <v>CIES Line 19</v>
      </c>
      <c r="G25" s="1002" t="str">
        <f t="shared" si="14"/>
        <v>CIES Line 19</v>
      </c>
      <c r="H25" s="213" t="s">
        <v>1530</v>
      </c>
      <c r="I25" s="1"/>
      <c r="J25" s="163">
        <v>0</v>
      </c>
      <c r="K25" s="163">
        <v>0</v>
      </c>
      <c r="L25" s="165">
        <f t="shared" si="4"/>
        <v>0</v>
      </c>
      <c r="M25" s="163">
        <v>0</v>
      </c>
      <c r="N25" s="163">
        <v>0</v>
      </c>
      <c r="O25" s="165">
        <f t="shared" si="5"/>
        <v>0</v>
      </c>
      <c r="P25" s="163">
        <v>0</v>
      </c>
      <c r="Q25" s="163">
        <v>0</v>
      </c>
      <c r="R25" s="165">
        <f t="shared" si="0"/>
        <v>0</v>
      </c>
      <c r="S25" s="160">
        <v>0</v>
      </c>
      <c r="T25" s="160">
        <v>0</v>
      </c>
      <c r="U25" s="161">
        <f t="shared" si="6"/>
        <v>0</v>
      </c>
      <c r="V25" s="36"/>
      <c r="W25" s="212" t="str">
        <f t="shared" si="7"/>
        <v>CIES Line 19</v>
      </c>
      <c r="Y25" s="165">
        <f t="shared" si="8"/>
        <v>0</v>
      </c>
      <c r="Z25" s="165">
        <f t="shared" si="9"/>
        <v>0</v>
      </c>
      <c r="AA25" s="165">
        <f>ROUND(O25,0)</f>
        <v>0</v>
      </c>
      <c r="AB25" s="165">
        <f>ROUND(U25,0)</f>
        <v>0</v>
      </c>
      <c r="AC25" s="7"/>
      <c r="AD25" s="4"/>
    </row>
    <row r="26" spans="1:30" x14ac:dyDescent="0.3">
      <c r="A26" s="31">
        <v>20</v>
      </c>
      <c r="B26" s="31"/>
      <c r="C26" s="31" t="s">
        <v>154</v>
      </c>
      <c r="D26" s="31" t="str">
        <f t="shared" si="1"/>
        <v>Do Not Print</v>
      </c>
      <c r="E26" s="235" t="s">
        <v>1964</v>
      </c>
      <c r="F26" s="1001" t="str">
        <f t="shared" si="13"/>
        <v>CIES Line 20</v>
      </c>
      <c r="G26" s="1002" t="str">
        <f t="shared" si="14"/>
        <v>CIES Line 20</v>
      </c>
      <c r="H26" s="213" t="s">
        <v>1530</v>
      </c>
      <c r="I26" s="1"/>
      <c r="J26" s="163">
        <v>0</v>
      </c>
      <c r="K26" s="163">
        <v>0</v>
      </c>
      <c r="L26" s="165">
        <f t="shared" si="4"/>
        <v>0</v>
      </c>
      <c r="M26" s="163">
        <v>0</v>
      </c>
      <c r="N26" s="163">
        <v>0</v>
      </c>
      <c r="O26" s="165">
        <f t="shared" si="5"/>
        <v>0</v>
      </c>
      <c r="P26" s="163">
        <v>0</v>
      </c>
      <c r="Q26" s="163">
        <v>0</v>
      </c>
      <c r="R26" s="165">
        <f t="shared" si="0"/>
        <v>0</v>
      </c>
      <c r="S26" s="160">
        <v>0</v>
      </c>
      <c r="T26" s="160">
        <v>0</v>
      </c>
      <c r="U26" s="161">
        <f t="shared" si="6"/>
        <v>0</v>
      </c>
      <c r="V26" s="36"/>
      <c r="W26" s="212" t="str">
        <f t="shared" si="7"/>
        <v>CIES Line 20</v>
      </c>
      <c r="Y26" s="165">
        <f t="shared" si="8"/>
        <v>0</v>
      </c>
      <c r="Z26" s="165">
        <f t="shared" si="9"/>
        <v>0</v>
      </c>
      <c r="AA26" s="165">
        <f t="shared" si="10"/>
        <v>0</v>
      </c>
      <c r="AB26" s="165">
        <f t="shared" si="11"/>
        <v>0</v>
      </c>
      <c r="AC26" s="7"/>
      <c r="AD26" s="4"/>
    </row>
    <row r="27" spans="1:30" x14ac:dyDescent="0.3">
      <c r="A27" s="31">
        <v>21</v>
      </c>
      <c r="B27" s="31"/>
      <c r="C27" s="31" t="s">
        <v>154</v>
      </c>
      <c r="D27" s="31" t="str">
        <f t="shared" ref="D27:D41" si="15">IF(AND(O27=0,U27=0,V27=0),"Do Not Print","Print")</f>
        <v>Do Not Print</v>
      </c>
      <c r="E27" s="235" t="s">
        <v>2069</v>
      </c>
      <c r="F27" s="1001" t="str">
        <f t="shared" ref="F27:F41" si="16">E27</f>
        <v>CIES Line 21</v>
      </c>
      <c r="G27" s="1001" t="str">
        <f t="shared" ref="G27:G41" si="17">E27</f>
        <v>CIES Line 21</v>
      </c>
      <c r="H27" s="213" t="s">
        <v>1530</v>
      </c>
      <c r="I27" s="1"/>
      <c r="J27" s="163">
        <v>0</v>
      </c>
      <c r="K27" s="163">
        <v>0</v>
      </c>
      <c r="L27" s="165">
        <f t="shared" si="4"/>
        <v>0</v>
      </c>
      <c r="M27" s="163">
        <v>0</v>
      </c>
      <c r="N27" s="163">
        <v>0</v>
      </c>
      <c r="O27" s="165">
        <f t="shared" si="5"/>
        <v>0</v>
      </c>
      <c r="P27" s="163">
        <v>0</v>
      </c>
      <c r="Q27" s="163">
        <v>0</v>
      </c>
      <c r="R27" s="165">
        <f t="shared" si="0"/>
        <v>0</v>
      </c>
      <c r="S27" s="160">
        <v>0</v>
      </c>
      <c r="T27" s="160">
        <v>0</v>
      </c>
      <c r="U27" s="161">
        <f t="shared" si="6"/>
        <v>0</v>
      </c>
      <c r="V27" s="36"/>
      <c r="W27" s="212" t="str">
        <f t="shared" si="7"/>
        <v>CIES Line 21</v>
      </c>
      <c r="Y27" s="165"/>
      <c r="Z27" s="165"/>
      <c r="AA27" s="165"/>
      <c r="AB27" s="165"/>
      <c r="AC27" s="7"/>
      <c r="AD27" s="4"/>
    </row>
    <row r="28" spans="1:30" x14ac:dyDescent="0.3">
      <c r="A28" s="31">
        <v>22</v>
      </c>
      <c r="B28" s="31"/>
      <c r="C28" s="31" t="s">
        <v>154</v>
      </c>
      <c r="D28" s="31" t="str">
        <f t="shared" si="15"/>
        <v>Do Not Print</v>
      </c>
      <c r="E28" s="235" t="s">
        <v>2070</v>
      </c>
      <c r="F28" s="1001" t="str">
        <f t="shared" si="16"/>
        <v>CIES Line 22</v>
      </c>
      <c r="G28" s="1001" t="str">
        <f t="shared" si="17"/>
        <v>CIES Line 22</v>
      </c>
      <c r="H28" s="213" t="s">
        <v>1530</v>
      </c>
      <c r="I28" s="1"/>
      <c r="J28" s="163">
        <v>0</v>
      </c>
      <c r="K28" s="163">
        <v>0</v>
      </c>
      <c r="L28" s="165">
        <f t="shared" si="4"/>
        <v>0</v>
      </c>
      <c r="M28" s="163">
        <v>0</v>
      </c>
      <c r="N28" s="163">
        <v>0</v>
      </c>
      <c r="O28" s="165">
        <f t="shared" si="5"/>
        <v>0</v>
      </c>
      <c r="P28" s="163">
        <v>0</v>
      </c>
      <c r="Q28" s="163">
        <v>0</v>
      </c>
      <c r="R28" s="165">
        <f t="shared" si="0"/>
        <v>0</v>
      </c>
      <c r="S28" s="160">
        <v>0</v>
      </c>
      <c r="T28" s="160">
        <v>0</v>
      </c>
      <c r="U28" s="161">
        <f t="shared" si="6"/>
        <v>0</v>
      </c>
      <c r="V28" s="36"/>
      <c r="W28" s="212" t="str">
        <f t="shared" si="7"/>
        <v>CIES Line 22</v>
      </c>
      <c r="Y28" s="165"/>
      <c r="Z28" s="165"/>
      <c r="AA28" s="165"/>
      <c r="AB28" s="165"/>
      <c r="AC28" s="7"/>
      <c r="AD28" s="4"/>
    </row>
    <row r="29" spans="1:30" x14ac:dyDescent="0.3">
      <c r="A29" s="31">
        <v>23</v>
      </c>
      <c r="B29" s="31"/>
      <c r="C29" s="31" t="s">
        <v>154</v>
      </c>
      <c r="D29" s="31" t="str">
        <f t="shared" si="15"/>
        <v>Do Not Print</v>
      </c>
      <c r="E29" s="235" t="s">
        <v>2071</v>
      </c>
      <c r="F29" s="1001" t="str">
        <f t="shared" si="16"/>
        <v>CIES Line 23</v>
      </c>
      <c r="G29" s="1001" t="str">
        <f t="shared" si="17"/>
        <v>CIES Line 23</v>
      </c>
      <c r="H29" s="213" t="s">
        <v>1530</v>
      </c>
      <c r="I29" s="1"/>
      <c r="J29" s="163">
        <v>0</v>
      </c>
      <c r="K29" s="163">
        <v>0</v>
      </c>
      <c r="L29" s="165">
        <f t="shared" si="4"/>
        <v>0</v>
      </c>
      <c r="M29" s="163">
        <v>0</v>
      </c>
      <c r="N29" s="163">
        <v>0</v>
      </c>
      <c r="O29" s="165">
        <f t="shared" si="5"/>
        <v>0</v>
      </c>
      <c r="P29" s="163">
        <v>0</v>
      </c>
      <c r="Q29" s="163">
        <v>0</v>
      </c>
      <c r="R29" s="165">
        <f t="shared" si="0"/>
        <v>0</v>
      </c>
      <c r="S29" s="160">
        <v>0</v>
      </c>
      <c r="T29" s="160">
        <v>0</v>
      </c>
      <c r="U29" s="161">
        <f t="shared" si="6"/>
        <v>0</v>
      </c>
      <c r="V29" s="36"/>
      <c r="W29" s="212" t="str">
        <f t="shared" si="7"/>
        <v>CIES Line 23</v>
      </c>
      <c r="Y29" s="165"/>
      <c r="Z29" s="165"/>
      <c r="AA29" s="165"/>
      <c r="AB29" s="165"/>
      <c r="AC29" s="7"/>
      <c r="AD29" s="4"/>
    </row>
    <row r="30" spans="1:30" x14ac:dyDescent="0.3">
      <c r="A30" s="31">
        <v>24</v>
      </c>
      <c r="B30" s="31"/>
      <c r="C30" s="31" t="s">
        <v>154</v>
      </c>
      <c r="D30" s="31" t="str">
        <f t="shared" si="15"/>
        <v>Do Not Print</v>
      </c>
      <c r="E30" s="235" t="s">
        <v>2072</v>
      </c>
      <c r="F30" s="1001" t="str">
        <f t="shared" si="16"/>
        <v>CIES Line 24</v>
      </c>
      <c r="G30" s="1001" t="str">
        <f t="shared" si="17"/>
        <v>CIES Line 24</v>
      </c>
      <c r="H30" s="213" t="s">
        <v>1530</v>
      </c>
      <c r="I30" s="1"/>
      <c r="J30" s="163">
        <v>0</v>
      </c>
      <c r="K30" s="163">
        <v>0</v>
      </c>
      <c r="L30" s="165">
        <f t="shared" si="4"/>
        <v>0</v>
      </c>
      <c r="M30" s="163">
        <v>0</v>
      </c>
      <c r="N30" s="163">
        <v>0</v>
      </c>
      <c r="O30" s="165">
        <f t="shared" si="5"/>
        <v>0</v>
      </c>
      <c r="P30" s="163">
        <v>0</v>
      </c>
      <c r="Q30" s="163">
        <v>0</v>
      </c>
      <c r="R30" s="165">
        <f t="shared" si="0"/>
        <v>0</v>
      </c>
      <c r="S30" s="160">
        <v>0</v>
      </c>
      <c r="T30" s="160">
        <v>0</v>
      </c>
      <c r="U30" s="161">
        <f t="shared" si="6"/>
        <v>0</v>
      </c>
      <c r="V30" s="36"/>
      <c r="W30" s="212" t="str">
        <f t="shared" si="7"/>
        <v>CIES Line 24</v>
      </c>
      <c r="Y30" s="165"/>
      <c r="Z30" s="165"/>
      <c r="AA30" s="165"/>
      <c r="AB30" s="165"/>
      <c r="AC30" s="7"/>
      <c r="AD30" s="4"/>
    </row>
    <row r="31" spans="1:30" x14ac:dyDescent="0.3">
      <c r="A31" s="31">
        <v>25</v>
      </c>
      <c r="B31" s="31"/>
      <c r="C31" s="31" t="s">
        <v>154</v>
      </c>
      <c r="D31" s="31" t="str">
        <f t="shared" si="15"/>
        <v>Do Not Print</v>
      </c>
      <c r="E31" s="235" t="s">
        <v>2073</v>
      </c>
      <c r="F31" s="1001" t="str">
        <f t="shared" si="16"/>
        <v>CIES Line 25</v>
      </c>
      <c r="G31" s="1001" t="str">
        <f t="shared" si="17"/>
        <v>CIES Line 25</v>
      </c>
      <c r="H31" s="213" t="s">
        <v>1530</v>
      </c>
      <c r="I31" s="1"/>
      <c r="J31" s="163">
        <v>0</v>
      </c>
      <c r="K31" s="163">
        <v>0</v>
      </c>
      <c r="L31" s="165">
        <f t="shared" si="4"/>
        <v>0</v>
      </c>
      <c r="M31" s="163">
        <v>0</v>
      </c>
      <c r="N31" s="163">
        <v>0</v>
      </c>
      <c r="O31" s="165">
        <f t="shared" si="5"/>
        <v>0</v>
      </c>
      <c r="P31" s="163">
        <v>0</v>
      </c>
      <c r="Q31" s="163">
        <v>0</v>
      </c>
      <c r="R31" s="165">
        <f t="shared" si="0"/>
        <v>0</v>
      </c>
      <c r="S31" s="160">
        <v>0</v>
      </c>
      <c r="T31" s="160">
        <v>0</v>
      </c>
      <c r="U31" s="161">
        <f t="shared" si="6"/>
        <v>0</v>
      </c>
      <c r="V31" s="36"/>
      <c r="W31" s="212" t="str">
        <f t="shared" si="7"/>
        <v>CIES Line 25</v>
      </c>
      <c r="Y31" s="165"/>
      <c r="Z31" s="165"/>
      <c r="AA31" s="165"/>
      <c r="AB31" s="165"/>
      <c r="AC31" s="7"/>
      <c r="AD31" s="4"/>
    </row>
    <row r="32" spans="1:30" x14ac:dyDescent="0.3">
      <c r="A32" s="31">
        <v>26</v>
      </c>
      <c r="B32" s="31"/>
      <c r="C32" s="31" t="s">
        <v>154</v>
      </c>
      <c r="D32" s="31" t="str">
        <f t="shared" si="15"/>
        <v>Do Not Print</v>
      </c>
      <c r="E32" s="235" t="s">
        <v>2074</v>
      </c>
      <c r="F32" s="1001" t="str">
        <f t="shared" si="16"/>
        <v>CIES Line 26</v>
      </c>
      <c r="G32" s="1001" t="str">
        <f t="shared" si="17"/>
        <v>CIES Line 26</v>
      </c>
      <c r="H32" s="213" t="s">
        <v>1530</v>
      </c>
      <c r="I32" s="1"/>
      <c r="J32" s="163">
        <v>0</v>
      </c>
      <c r="K32" s="163">
        <v>0</v>
      </c>
      <c r="L32" s="165">
        <f t="shared" si="4"/>
        <v>0</v>
      </c>
      <c r="M32" s="163">
        <v>0</v>
      </c>
      <c r="N32" s="163">
        <v>0</v>
      </c>
      <c r="O32" s="165">
        <f t="shared" si="5"/>
        <v>0</v>
      </c>
      <c r="P32" s="163">
        <v>0</v>
      </c>
      <c r="Q32" s="163">
        <v>0</v>
      </c>
      <c r="R32" s="165">
        <f t="shared" si="0"/>
        <v>0</v>
      </c>
      <c r="S32" s="160">
        <v>0</v>
      </c>
      <c r="T32" s="160">
        <v>0</v>
      </c>
      <c r="U32" s="161">
        <f t="shared" si="6"/>
        <v>0</v>
      </c>
      <c r="V32" s="36"/>
      <c r="W32" s="212" t="str">
        <f t="shared" si="7"/>
        <v>CIES Line 26</v>
      </c>
      <c r="Y32" s="165"/>
      <c r="Z32" s="165"/>
      <c r="AA32" s="165"/>
      <c r="AB32" s="165"/>
      <c r="AC32" s="7"/>
      <c r="AD32" s="4"/>
    </row>
    <row r="33" spans="1:30" x14ac:dyDescent="0.3">
      <c r="A33" s="31">
        <v>27</v>
      </c>
      <c r="B33" s="31"/>
      <c r="C33" s="31" t="s">
        <v>154</v>
      </c>
      <c r="D33" s="31" t="str">
        <f t="shared" si="15"/>
        <v>Do Not Print</v>
      </c>
      <c r="E33" s="235" t="s">
        <v>2075</v>
      </c>
      <c r="F33" s="1001" t="str">
        <f t="shared" si="16"/>
        <v>CIES Line 27</v>
      </c>
      <c r="G33" s="1001" t="str">
        <f t="shared" si="17"/>
        <v>CIES Line 27</v>
      </c>
      <c r="H33" s="213" t="s">
        <v>1530</v>
      </c>
      <c r="I33" s="1"/>
      <c r="J33" s="163">
        <v>0</v>
      </c>
      <c r="K33" s="163">
        <v>0</v>
      </c>
      <c r="L33" s="165">
        <f t="shared" si="4"/>
        <v>0</v>
      </c>
      <c r="M33" s="163">
        <v>0</v>
      </c>
      <c r="N33" s="163">
        <v>0</v>
      </c>
      <c r="O33" s="165">
        <f t="shared" si="5"/>
        <v>0</v>
      </c>
      <c r="P33" s="163">
        <v>0</v>
      </c>
      <c r="Q33" s="163">
        <v>0</v>
      </c>
      <c r="R33" s="165">
        <f t="shared" si="0"/>
        <v>0</v>
      </c>
      <c r="S33" s="160">
        <v>0</v>
      </c>
      <c r="T33" s="160">
        <v>0</v>
      </c>
      <c r="U33" s="161">
        <f t="shared" si="6"/>
        <v>0</v>
      </c>
      <c r="V33" s="36"/>
      <c r="W33" s="212" t="str">
        <f t="shared" si="7"/>
        <v>CIES Line 27</v>
      </c>
      <c r="Y33" s="165"/>
      <c r="Z33" s="165"/>
      <c r="AA33" s="165"/>
      <c r="AB33" s="165"/>
      <c r="AC33" s="7"/>
      <c r="AD33" s="4"/>
    </row>
    <row r="34" spans="1:30" x14ac:dyDescent="0.3">
      <c r="A34" s="31">
        <v>28</v>
      </c>
      <c r="B34" s="31"/>
      <c r="C34" s="31" t="s">
        <v>154</v>
      </c>
      <c r="D34" s="31" t="str">
        <f t="shared" si="15"/>
        <v>Do Not Print</v>
      </c>
      <c r="E34" s="235" t="s">
        <v>2076</v>
      </c>
      <c r="F34" s="1001" t="str">
        <f t="shared" si="16"/>
        <v>CIES Line 28</v>
      </c>
      <c r="G34" s="1001" t="str">
        <f t="shared" si="17"/>
        <v>CIES Line 28</v>
      </c>
      <c r="H34" s="213" t="s">
        <v>1530</v>
      </c>
      <c r="I34" s="1"/>
      <c r="J34" s="163">
        <v>0</v>
      </c>
      <c r="K34" s="163">
        <v>0</v>
      </c>
      <c r="L34" s="165">
        <f t="shared" si="4"/>
        <v>0</v>
      </c>
      <c r="M34" s="163">
        <v>0</v>
      </c>
      <c r="N34" s="163">
        <v>0</v>
      </c>
      <c r="O34" s="165">
        <f t="shared" si="5"/>
        <v>0</v>
      </c>
      <c r="P34" s="163">
        <v>0</v>
      </c>
      <c r="Q34" s="163">
        <v>0</v>
      </c>
      <c r="R34" s="165">
        <f t="shared" si="0"/>
        <v>0</v>
      </c>
      <c r="S34" s="160">
        <v>0</v>
      </c>
      <c r="T34" s="160">
        <v>0</v>
      </c>
      <c r="U34" s="161">
        <f t="shared" si="6"/>
        <v>0</v>
      </c>
      <c r="V34" s="36"/>
      <c r="W34" s="212" t="str">
        <f t="shared" si="7"/>
        <v>CIES Line 28</v>
      </c>
      <c r="Y34" s="165"/>
      <c r="Z34" s="165"/>
      <c r="AA34" s="165"/>
      <c r="AB34" s="165"/>
      <c r="AC34" s="7"/>
      <c r="AD34" s="4"/>
    </row>
    <row r="35" spans="1:30" x14ac:dyDescent="0.3">
      <c r="A35" s="31">
        <v>29</v>
      </c>
      <c r="B35" s="31"/>
      <c r="C35" s="31" t="s">
        <v>154</v>
      </c>
      <c r="D35" s="31" t="str">
        <f t="shared" si="15"/>
        <v>Do Not Print</v>
      </c>
      <c r="E35" s="235" t="s">
        <v>2077</v>
      </c>
      <c r="F35" s="1001" t="str">
        <f t="shared" si="16"/>
        <v>CIES Line 29</v>
      </c>
      <c r="G35" s="1001" t="str">
        <f t="shared" si="17"/>
        <v>CIES Line 29</v>
      </c>
      <c r="H35" s="213" t="s">
        <v>1530</v>
      </c>
      <c r="I35" s="1"/>
      <c r="J35" s="163">
        <v>0</v>
      </c>
      <c r="K35" s="163">
        <v>0</v>
      </c>
      <c r="L35" s="165">
        <f t="shared" si="4"/>
        <v>0</v>
      </c>
      <c r="M35" s="163">
        <v>0</v>
      </c>
      <c r="N35" s="163">
        <v>0</v>
      </c>
      <c r="O35" s="165">
        <f t="shared" si="5"/>
        <v>0</v>
      </c>
      <c r="P35" s="163">
        <v>0</v>
      </c>
      <c r="Q35" s="163">
        <v>0</v>
      </c>
      <c r="R35" s="165">
        <f t="shared" si="0"/>
        <v>0</v>
      </c>
      <c r="S35" s="160">
        <v>0</v>
      </c>
      <c r="T35" s="160">
        <v>0</v>
      </c>
      <c r="U35" s="161">
        <f t="shared" si="6"/>
        <v>0</v>
      </c>
      <c r="V35" s="36"/>
      <c r="W35" s="212" t="str">
        <f t="shared" si="7"/>
        <v>CIES Line 29</v>
      </c>
      <c r="Y35" s="165"/>
      <c r="Z35" s="165"/>
      <c r="AA35" s="165"/>
      <c r="AB35" s="165"/>
      <c r="AC35" s="7"/>
      <c r="AD35" s="4"/>
    </row>
    <row r="36" spans="1:30" x14ac:dyDescent="0.3">
      <c r="A36" s="31">
        <v>30</v>
      </c>
      <c r="B36" s="31"/>
      <c r="C36" s="31" t="s">
        <v>154</v>
      </c>
      <c r="D36" s="31" t="str">
        <f t="shared" si="15"/>
        <v>Do Not Print</v>
      </c>
      <c r="E36" s="235" t="s">
        <v>2078</v>
      </c>
      <c r="F36" s="1001" t="str">
        <f t="shared" si="16"/>
        <v>CIES Line 30</v>
      </c>
      <c r="G36" s="1001" t="str">
        <f t="shared" si="17"/>
        <v>CIES Line 30</v>
      </c>
      <c r="H36" s="213" t="s">
        <v>1530</v>
      </c>
      <c r="I36" s="1"/>
      <c r="J36" s="163">
        <v>0</v>
      </c>
      <c r="K36" s="163">
        <v>0</v>
      </c>
      <c r="L36" s="165">
        <f t="shared" si="4"/>
        <v>0</v>
      </c>
      <c r="M36" s="163">
        <v>0</v>
      </c>
      <c r="N36" s="163">
        <v>0</v>
      </c>
      <c r="O36" s="165">
        <f t="shared" si="5"/>
        <v>0</v>
      </c>
      <c r="P36" s="163">
        <v>0</v>
      </c>
      <c r="Q36" s="163">
        <v>0</v>
      </c>
      <c r="R36" s="165">
        <f t="shared" si="0"/>
        <v>0</v>
      </c>
      <c r="S36" s="160">
        <v>0</v>
      </c>
      <c r="T36" s="160">
        <v>0</v>
      </c>
      <c r="U36" s="161">
        <f t="shared" si="6"/>
        <v>0</v>
      </c>
      <c r="V36" s="36"/>
      <c r="W36" s="212" t="str">
        <f t="shared" si="7"/>
        <v>CIES Line 30</v>
      </c>
      <c r="Y36" s="165"/>
      <c r="Z36" s="165"/>
      <c r="AA36" s="165"/>
      <c r="AB36" s="165"/>
      <c r="AC36" s="7"/>
      <c r="AD36" s="4"/>
    </row>
    <row r="37" spans="1:30" x14ac:dyDescent="0.3">
      <c r="A37" s="31">
        <v>31</v>
      </c>
      <c r="B37" s="31"/>
      <c r="C37" s="31" t="s">
        <v>154</v>
      </c>
      <c r="D37" s="31" t="str">
        <f t="shared" si="15"/>
        <v>Do Not Print</v>
      </c>
      <c r="E37" s="235" t="s">
        <v>2079</v>
      </c>
      <c r="F37" s="1001" t="str">
        <f t="shared" si="16"/>
        <v>CIES Line 31</v>
      </c>
      <c r="G37" s="1001" t="str">
        <f t="shared" si="17"/>
        <v>CIES Line 31</v>
      </c>
      <c r="H37" s="213" t="s">
        <v>1530</v>
      </c>
      <c r="I37" s="1"/>
      <c r="J37" s="163">
        <v>0</v>
      </c>
      <c r="K37" s="163">
        <v>0</v>
      </c>
      <c r="L37" s="165">
        <f t="shared" si="4"/>
        <v>0</v>
      </c>
      <c r="M37" s="163">
        <v>0</v>
      </c>
      <c r="N37" s="163">
        <v>0</v>
      </c>
      <c r="O37" s="165">
        <f t="shared" si="5"/>
        <v>0</v>
      </c>
      <c r="P37" s="163">
        <v>0</v>
      </c>
      <c r="Q37" s="163">
        <v>0</v>
      </c>
      <c r="R37" s="165">
        <f t="shared" si="0"/>
        <v>0</v>
      </c>
      <c r="S37" s="160">
        <v>0</v>
      </c>
      <c r="T37" s="160">
        <v>0</v>
      </c>
      <c r="U37" s="161">
        <f t="shared" si="6"/>
        <v>0</v>
      </c>
      <c r="V37" s="36"/>
      <c r="W37" s="212" t="str">
        <f t="shared" si="7"/>
        <v>CIES Line 31</v>
      </c>
      <c r="Y37" s="165"/>
      <c r="Z37" s="165"/>
      <c r="AA37" s="165"/>
      <c r="AB37" s="165"/>
      <c r="AC37" s="7"/>
      <c r="AD37" s="4"/>
    </row>
    <row r="38" spans="1:30" x14ac:dyDescent="0.3">
      <c r="A38" s="31">
        <v>32</v>
      </c>
      <c r="B38" s="31"/>
      <c r="C38" s="31" t="s">
        <v>154</v>
      </c>
      <c r="D38" s="31" t="str">
        <f t="shared" si="15"/>
        <v>Do Not Print</v>
      </c>
      <c r="E38" s="235" t="s">
        <v>2080</v>
      </c>
      <c r="F38" s="1001" t="str">
        <f t="shared" si="16"/>
        <v>CIES Line 32</v>
      </c>
      <c r="G38" s="1001" t="str">
        <f t="shared" si="17"/>
        <v>CIES Line 32</v>
      </c>
      <c r="H38" s="213" t="s">
        <v>1530</v>
      </c>
      <c r="I38" s="1"/>
      <c r="J38" s="163">
        <v>0</v>
      </c>
      <c r="K38" s="163">
        <v>0</v>
      </c>
      <c r="L38" s="165">
        <f t="shared" si="4"/>
        <v>0</v>
      </c>
      <c r="M38" s="163">
        <v>0</v>
      </c>
      <c r="N38" s="163">
        <v>0</v>
      </c>
      <c r="O38" s="165">
        <f t="shared" si="5"/>
        <v>0</v>
      </c>
      <c r="P38" s="163">
        <v>0</v>
      </c>
      <c r="Q38" s="163">
        <v>0</v>
      </c>
      <c r="R38" s="165">
        <f t="shared" si="0"/>
        <v>0</v>
      </c>
      <c r="S38" s="160">
        <v>0</v>
      </c>
      <c r="T38" s="160">
        <v>0</v>
      </c>
      <c r="U38" s="161">
        <f t="shared" si="6"/>
        <v>0</v>
      </c>
      <c r="V38" s="36"/>
      <c r="W38" s="212" t="str">
        <f t="shared" si="7"/>
        <v>CIES Line 32</v>
      </c>
      <c r="Y38" s="165"/>
      <c r="Z38" s="165"/>
      <c r="AA38" s="165"/>
      <c r="AB38" s="165"/>
      <c r="AC38" s="7"/>
      <c r="AD38" s="4"/>
    </row>
    <row r="39" spans="1:30" x14ac:dyDescent="0.3">
      <c r="A39" s="31">
        <v>33</v>
      </c>
      <c r="B39" s="31"/>
      <c r="C39" s="31" t="s">
        <v>154</v>
      </c>
      <c r="D39" s="31" t="str">
        <f t="shared" si="15"/>
        <v>Do Not Print</v>
      </c>
      <c r="E39" s="235" t="s">
        <v>2081</v>
      </c>
      <c r="F39" s="1001" t="str">
        <f t="shared" si="16"/>
        <v>CIES Line 33</v>
      </c>
      <c r="G39" s="1001" t="str">
        <f t="shared" si="17"/>
        <v>CIES Line 33</v>
      </c>
      <c r="H39" s="213" t="s">
        <v>1530</v>
      </c>
      <c r="I39" s="1"/>
      <c r="J39" s="163">
        <v>0</v>
      </c>
      <c r="K39" s="163">
        <v>0</v>
      </c>
      <c r="L39" s="165">
        <f t="shared" si="4"/>
        <v>0</v>
      </c>
      <c r="M39" s="163">
        <v>0</v>
      </c>
      <c r="N39" s="163">
        <v>0</v>
      </c>
      <c r="O39" s="165">
        <f t="shared" si="5"/>
        <v>0</v>
      </c>
      <c r="P39" s="163">
        <v>0</v>
      </c>
      <c r="Q39" s="163">
        <v>0</v>
      </c>
      <c r="R39" s="165">
        <f t="shared" si="0"/>
        <v>0</v>
      </c>
      <c r="S39" s="160">
        <v>0</v>
      </c>
      <c r="T39" s="160">
        <v>0</v>
      </c>
      <c r="U39" s="161">
        <f t="shared" si="6"/>
        <v>0</v>
      </c>
      <c r="V39" s="36"/>
      <c r="W39" s="212" t="str">
        <f t="shared" si="7"/>
        <v>CIES Line 33</v>
      </c>
      <c r="Y39" s="165"/>
      <c r="Z39" s="165"/>
      <c r="AA39" s="165"/>
      <c r="AB39" s="165"/>
      <c r="AC39" s="7"/>
      <c r="AD39" s="4"/>
    </row>
    <row r="40" spans="1:30" x14ac:dyDescent="0.3">
      <c r="A40" s="31">
        <v>34</v>
      </c>
      <c r="B40" s="31"/>
      <c r="C40" s="31" t="s">
        <v>154</v>
      </c>
      <c r="D40" s="31" t="str">
        <f t="shared" si="15"/>
        <v>Do Not Print</v>
      </c>
      <c r="E40" s="235" t="s">
        <v>2082</v>
      </c>
      <c r="F40" s="1001" t="str">
        <f t="shared" si="16"/>
        <v>CIES Line 34</v>
      </c>
      <c r="G40" s="1001" t="str">
        <f t="shared" si="17"/>
        <v>CIES Line 34</v>
      </c>
      <c r="H40" s="213" t="s">
        <v>1530</v>
      </c>
      <c r="I40" s="1"/>
      <c r="J40" s="163">
        <v>0</v>
      </c>
      <c r="K40" s="163">
        <v>0</v>
      </c>
      <c r="L40" s="165">
        <f t="shared" si="4"/>
        <v>0</v>
      </c>
      <c r="M40" s="163">
        <v>0</v>
      </c>
      <c r="N40" s="163">
        <v>0</v>
      </c>
      <c r="O40" s="165">
        <f t="shared" si="5"/>
        <v>0</v>
      </c>
      <c r="P40" s="163">
        <v>0</v>
      </c>
      <c r="Q40" s="163">
        <v>0</v>
      </c>
      <c r="R40" s="165">
        <f t="shared" si="0"/>
        <v>0</v>
      </c>
      <c r="S40" s="160">
        <v>0</v>
      </c>
      <c r="T40" s="160">
        <v>0</v>
      </c>
      <c r="U40" s="161">
        <f t="shared" si="6"/>
        <v>0</v>
      </c>
      <c r="V40" s="36"/>
      <c r="W40" s="212" t="str">
        <f t="shared" si="7"/>
        <v>CIES Line 34</v>
      </c>
      <c r="Y40" s="165"/>
      <c r="Z40" s="165"/>
      <c r="AA40" s="165"/>
      <c r="AB40" s="165"/>
      <c r="AC40" s="7"/>
      <c r="AD40" s="4"/>
    </row>
    <row r="41" spans="1:30" x14ac:dyDescent="0.3">
      <c r="A41" s="31">
        <v>35</v>
      </c>
      <c r="B41" s="31"/>
      <c r="C41" s="31" t="s">
        <v>154</v>
      </c>
      <c r="D41" s="31" t="str">
        <f t="shared" si="15"/>
        <v>Do Not Print</v>
      </c>
      <c r="E41" s="235" t="s">
        <v>2083</v>
      </c>
      <c r="F41" s="1001" t="str">
        <f t="shared" si="16"/>
        <v>CIES Line 35</v>
      </c>
      <c r="G41" s="1001" t="str">
        <f t="shared" si="17"/>
        <v>CIES Line 35</v>
      </c>
      <c r="H41" s="213" t="s">
        <v>1530</v>
      </c>
      <c r="I41" s="1"/>
      <c r="J41" s="163">
        <v>0</v>
      </c>
      <c r="K41" s="163">
        <v>0</v>
      </c>
      <c r="L41" s="165">
        <f t="shared" si="4"/>
        <v>0</v>
      </c>
      <c r="M41" s="163">
        <v>0</v>
      </c>
      <c r="N41" s="163">
        <v>0</v>
      </c>
      <c r="O41" s="165">
        <f t="shared" si="5"/>
        <v>0</v>
      </c>
      <c r="P41" s="163">
        <v>0</v>
      </c>
      <c r="Q41" s="163">
        <v>0</v>
      </c>
      <c r="R41" s="165">
        <f t="shared" si="0"/>
        <v>0</v>
      </c>
      <c r="S41" s="160">
        <v>0</v>
      </c>
      <c r="T41" s="160">
        <v>0</v>
      </c>
      <c r="U41" s="161">
        <f t="shared" si="6"/>
        <v>0</v>
      </c>
      <c r="V41" s="36"/>
      <c r="W41" s="212" t="str">
        <f t="shared" si="7"/>
        <v>CIES Line 35</v>
      </c>
      <c r="Y41" s="165"/>
      <c r="Z41" s="165"/>
      <c r="AA41" s="165"/>
      <c r="AB41" s="165"/>
      <c r="AC41" s="7"/>
      <c r="AD41" s="4"/>
    </row>
    <row r="42" spans="1:30" x14ac:dyDescent="0.3">
      <c r="A42" s="31">
        <v>1</v>
      </c>
      <c r="B42" s="31"/>
      <c r="C42" s="31" t="s">
        <v>154</v>
      </c>
      <c r="D42" s="31" t="str">
        <f t="shared" ref="D42:D61" si="18">IF(AND(O42=0,U42=0,V42=0),"Do Not Print","Print")</f>
        <v>Do Not Print</v>
      </c>
      <c r="E42" s="1002" t="str">
        <f>E7</f>
        <v>CIES Line 1</v>
      </c>
      <c r="F42" s="1002" t="str">
        <f t="shared" ref="E42:G62" si="19">F7</f>
        <v>CIES Line 1</v>
      </c>
      <c r="G42" s="1002" t="str">
        <f t="shared" si="19"/>
        <v>CIES Line 1</v>
      </c>
      <c r="H42" s="213" t="s">
        <v>1529</v>
      </c>
      <c r="J42" s="163">
        <v>0</v>
      </c>
      <c r="K42" s="163">
        <v>0</v>
      </c>
      <c r="L42" s="165">
        <f t="shared" ref="L42:L76" si="20">SUM(J42:K42)</f>
        <v>0</v>
      </c>
      <c r="M42" s="163">
        <v>0</v>
      </c>
      <c r="N42" s="163">
        <v>0</v>
      </c>
      <c r="O42" s="165">
        <f t="shared" si="5"/>
        <v>0</v>
      </c>
      <c r="P42" s="163">
        <v>0</v>
      </c>
      <c r="Q42" s="163">
        <v>0</v>
      </c>
      <c r="R42" s="165">
        <f t="shared" si="0"/>
        <v>0</v>
      </c>
      <c r="S42" s="160">
        <v>0</v>
      </c>
      <c r="T42" s="160">
        <v>0</v>
      </c>
      <c r="U42" s="161">
        <f t="shared" ref="U42:U76" si="21">SUM(S42:T42)+R42</f>
        <v>0</v>
      </c>
      <c r="V42" s="36"/>
      <c r="W42" s="212" t="str">
        <f>E42</f>
        <v>CIES Line 1</v>
      </c>
      <c r="Y42" s="165">
        <f t="shared" ref="Y42:Y61" si="22">ROUND(L42,0)</f>
        <v>0</v>
      </c>
      <c r="Z42" s="165">
        <f t="shared" ref="Z42:Z61" si="23">ROUND(R42,0)</f>
        <v>0</v>
      </c>
      <c r="AA42" s="165">
        <f t="shared" ref="AA42:AA61" si="24">ROUND(O42,0)</f>
        <v>0</v>
      </c>
      <c r="AB42" s="165">
        <f t="shared" ref="AB42:AB61" si="25">ROUND(U42,0)</f>
        <v>0</v>
      </c>
      <c r="AC42" s="7"/>
      <c r="AD42" s="4"/>
    </row>
    <row r="43" spans="1:30" x14ac:dyDescent="0.3">
      <c r="A43" s="31">
        <v>2</v>
      </c>
      <c r="B43" s="31"/>
      <c r="C43" s="31" t="s">
        <v>154</v>
      </c>
      <c r="D43" s="31" t="str">
        <f t="shared" si="18"/>
        <v>Do Not Print</v>
      </c>
      <c r="E43" s="1002" t="str">
        <f t="shared" si="19"/>
        <v>CIES Line 2</v>
      </c>
      <c r="F43" s="1002" t="str">
        <f t="shared" si="19"/>
        <v>CIES Line 2</v>
      </c>
      <c r="G43" s="1002" t="str">
        <f t="shared" si="19"/>
        <v>CIES Line 2</v>
      </c>
      <c r="H43" s="213" t="s">
        <v>1529</v>
      </c>
      <c r="J43" s="163">
        <v>0</v>
      </c>
      <c r="K43" s="163">
        <v>0</v>
      </c>
      <c r="L43" s="165">
        <f t="shared" si="20"/>
        <v>0</v>
      </c>
      <c r="M43" s="163">
        <v>0</v>
      </c>
      <c r="N43" s="163">
        <v>0</v>
      </c>
      <c r="O43" s="165">
        <f t="shared" ref="O43:O76" si="26">L43+SUM(M43:N43)</f>
        <v>0</v>
      </c>
      <c r="P43" s="163">
        <v>0</v>
      </c>
      <c r="Q43" s="163">
        <v>0</v>
      </c>
      <c r="R43" s="165">
        <f t="shared" si="0"/>
        <v>0</v>
      </c>
      <c r="S43" s="160">
        <v>0</v>
      </c>
      <c r="T43" s="160">
        <v>0</v>
      </c>
      <c r="U43" s="161">
        <f t="shared" si="21"/>
        <v>0</v>
      </c>
      <c r="V43" s="36"/>
      <c r="W43" s="212" t="str">
        <f t="shared" ref="W43:W76" si="27">E43</f>
        <v>CIES Line 2</v>
      </c>
      <c r="Y43" s="165">
        <f t="shared" si="22"/>
        <v>0</v>
      </c>
      <c r="Z43" s="165">
        <f t="shared" si="23"/>
        <v>0</v>
      </c>
      <c r="AA43" s="165">
        <f t="shared" si="24"/>
        <v>0</v>
      </c>
      <c r="AB43" s="165">
        <f t="shared" si="25"/>
        <v>0</v>
      </c>
      <c r="AC43" s="7"/>
      <c r="AD43" s="4"/>
    </row>
    <row r="44" spans="1:30" x14ac:dyDescent="0.3">
      <c r="A44" s="31">
        <v>3</v>
      </c>
      <c r="B44" s="31"/>
      <c r="C44" s="31" t="s">
        <v>154</v>
      </c>
      <c r="D44" s="31" t="str">
        <f t="shared" si="18"/>
        <v>Do Not Print</v>
      </c>
      <c r="E44" s="1002" t="str">
        <f t="shared" si="19"/>
        <v>CIES Line 3</v>
      </c>
      <c r="F44" s="1002" t="str">
        <f t="shared" si="19"/>
        <v>CIES Line 3</v>
      </c>
      <c r="G44" s="1002" t="str">
        <f t="shared" si="19"/>
        <v>CIES Line 3</v>
      </c>
      <c r="H44" s="213" t="s">
        <v>1529</v>
      </c>
      <c r="J44" s="163">
        <v>0</v>
      </c>
      <c r="K44" s="163">
        <v>0</v>
      </c>
      <c r="L44" s="165">
        <f t="shared" si="20"/>
        <v>0</v>
      </c>
      <c r="M44" s="163">
        <v>0</v>
      </c>
      <c r="N44" s="163">
        <v>0</v>
      </c>
      <c r="O44" s="165">
        <f t="shared" si="26"/>
        <v>0</v>
      </c>
      <c r="P44" s="163">
        <v>0</v>
      </c>
      <c r="Q44" s="163">
        <v>0</v>
      </c>
      <c r="R44" s="165">
        <f t="shared" si="0"/>
        <v>0</v>
      </c>
      <c r="S44" s="160">
        <v>0</v>
      </c>
      <c r="T44" s="160">
        <v>0</v>
      </c>
      <c r="U44" s="161">
        <f t="shared" si="21"/>
        <v>0</v>
      </c>
      <c r="V44" s="36"/>
      <c r="W44" s="212" t="str">
        <f t="shared" si="27"/>
        <v>CIES Line 3</v>
      </c>
      <c r="Y44" s="165">
        <f t="shared" si="22"/>
        <v>0</v>
      </c>
      <c r="Z44" s="165">
        <f t="shared" si="23"/>
        <v>0</v>
      </c>
      <c r="AA44" s="165">
        <f t="shared" si="24"/>
        <v>0</v>
      </c>
      <c r="AB44" s="165">
        <f t="shared" si="25"/>
        <v>0</v>
      </c>
      <c r="AC44" s="7"/>
      <c r="AD44" s="4"/>
    </row>
    <row r="45" spans="1:30" x14ac:dyDescent="0.3">
      <c r="A45" s="31">
        <v>4</v>
      </c>
      <c r="B45" s="31"/>
      <c r="C45" s="31" t="s">
        <v>154</v>
      </c>
      <c r="D45" s="31" t="str">
        <f t="shared" si="18"/>
        <v>Do Not Print</v>
      </c>
      <c r="E45" s="1002" t="str">
        <f t="shared" si="19"/>
        <v>CIES Line 4</v>
      </c>
      <c r="F45" s="1002" t="str">
        <f t="shared" si="19"/>
        <v>CIES Line 4</v>
      </c>
      <c r="G45" s="1002" t="str">
        <f t="shared" si="19"/>
        <v>CIES Line 4</v>
      </c>
      <c r="H45" s="213" t="s">
        <v>1529</v>
      </c>
      <c r="J45" s="163">
        <v>0</v>
      </c>
      <c r="K45" s="163">
        <v>0</v>
      </c>
      <c r="L45" s="165">
        <f t="shared" si="20"/>
        <v>0</v>
      </c>
      <c r="M45" s="163">
        <v>0</v>
      </c>
      <c r="N45" s="163">
        <v>0</v>
      </c>
      <c r="O45" s="165">
        <f t="shared" si="26"/>
        <v>0</v>
      </c>
      <c r="P45" s="163">
        <v>0</v>
      </c>
      <c r="Q45" s="163">
        <v>0</v>
      </c>
      <c r="R45" s="165">
        <f t="shared" si="0"/>
        <v>0</v>
      </c>
      <c r="S45" s="160">
        <v>0</v>
      </c>
      <c r="T45" s="160">
        <v>0</v>
      </c>
      <c r="U45" s="161">
        <f t="shared" si="21"/>
        <v>0</v>
      </c>
      <c r="W45" s="212" t="str">
        <f t="shared" si="27"/>
        <v>CIES Line 4</v>
      </c>
      <c r="Y45" s="165">
        <f t="shared" si="22"/>
        <v>0</v>
      </c>
      <c r="Z45" s="165">
        <f t="shared" si="23"/>
        <v>0</v>
      </c>
      <c r="AA45" s="165">
        <f t="shared" si="24"/>
        <v>0</v>
      </c>
      <c r="AB45" s="165">
        <f t="shared" si="25"/>
        <v>0</v>
      </c>
      <c r="AC45" s="7"/>
      <c r="AD45" s="4"/>
    </row>
    <row r="46" spans="1:30" x14ac:dyDescent="0.3">
      <c r="A46" s="31">
        <v>5</v>
      </c>
      <c r="B46" s="31"/>
      <c r="C46" s="31" t="s">
        <v>154</v>
      </c>
      <c r="D46" s="31" t="str">
        <f t="shared" si="18"/>
        <v>Do Not Print</v>
      </c>
      <c r="E46" s="1002" t="str">
        <f t="shared" si="19"/>
        <v>CIES Line 5</v>
      </c>
      <c r="F46" s="1002" t="str">
        <f t="shared" si="19"/>
        <v>CIES Line 5</v>
      </c>
      <c r="G46" s="1002" t="str">
        <f t="shared" si="19"/>
        <v>CIES Line 5</v>
      </c>
      <c r="H46" s="213" t="s">
        <v>1529</v>
      </c>
      <c r="J46" s="163">
        <v>0</v>
      </c>
      <c r="K46" s="163">
        <v>0</v>
      </c>
      <c r="L46" s="165">
        <f t="shared" si="20"/>
        <v>0</v>
      </c>
      <c r="M46" s="163">
        <v>0</v>
      </c>
      <c r="N46" s="163">
        <v>0</v>
      </c>
      <c r="O46" s="165">
        <f t="shared" si="26"/>
        <v>0</v>
      </c>
      <c r="P46" s="163">
        <v>0</v>
      </c>
      <c r="Q46" s="163">
        <v>0</v>
      </c>
      <c r="R46" s="165">
        <f t="shared" si="0"/>
        <v>0</v>
      </c>
      <c r="S46" s="160">
        <v>0</v>
      </c>
      <c r="T46" s="160">
        <v>0</v>
      </c>
      <c r="U46" s="161">
        <f t="shared" si="21"/>
        <v>0</v>
      </c>
      <c r="W46" s="212" t="str">
        <f t="shared" si="27"/>
        <v>CIES Line 5</v>
      </c>
      <c r="Y46" s="165">
        <f t="shared" si="22"/>
        <v>0</v>
      </c>
      <c r="Z46" s="165">
        <f t="shared" si="23"/>
        <v>0</v>
      </c>
      <c r="AA46" s="165">
        <f t="shared" si="24"/>
        <v>0</v>
      </c>
      <c r="AB46" s="165">
        <f t="shared" si="25"/>
        <v>0</v>
      </c>
      <c r="AC46" s="7"/>
      <c r="AD46" s="4"/>
    </row>
    <row r="47" spans="1:30" x14ac:dyDescent="0.3">
      <c r="A47" s="31">
        <v>6</v>
      </c>
      <c r="B47" s="31"/>
      <c r="C47" s="31" t="s">
        <v>154</v>
      </c>
      <c r="D47" s="31" t="str">
        <f>IF(AND(O47=0,U47=0,V47=0),"Do Not Print","Print")</f>
        <v>Do Not Print</v>
      </c>
      <c r="E47" s="1002" t="str">
        <f t="shared" si="19"/>
        <v>CIES Line 6</v>
      </c>
      <c r="F47" s="1002" t="str">
        <f t="shared" si="19"/>
        <v>CIES Line 6</v>
      </c>
      <c r="G47" s="1002" t="str">
        <f t="shared" si="19"/>
        <v>CIES Line 6</v>
      </c>
      <c r="H47" s="213" t="s">
        <v>1529</v>
      </c>
      <c r="J47" s="163">
        <v>0</v>
      </c>
      <c r="K47" s="163"/>
      <c r="L47" s="165">
        <f t="shared" si="20"/>
        <v>0</v>
      </c>
      <c r="M47" s="163">
        <v>0</v>
      </c>
      <c r="N47" s="163">
        <v>0</v>
      </c>
      <c r="O47" s="165">
        <f t="shared" si="26"/>
        <v>0</v>
      </c>
      <c r="P47" s="163">
        <v>0</v>
      </c>
      <c r="Q47" s="163">
        <v>0</v>
      </c>
      <c r="R47" s="165">
        <f t="shared" si="0"/>
        <v>0</v>
      </c>
      <c r="S47" s="160">
        <v>0</v>
      </c>
      <c r="T47" s="160">
        <v>0</v>
      </c>
      <c r="U47" s="161">
        <f t="shared" si="21"/>
        <v>0</v>
      </c>
      <c r="V47" s="36"/>
      <c r="W47" s="212" t="str">
        <f t="shared" si="27"/>
        <v>CIES Line 6</v>
      </c>
      <c r="Y47" s="165">
        <f t="shared" si="22"/>
        <v>0</v>
      </c>
      <c r="Z47" s="165">
        <f t="shared" si="23"/>
        <v>0</v>
      </c>
      <c r="AA47" s="165">
        <f>ROUND(O47,0)</f>
        <v>0</v>
      </c>
      <c r="AB47" s="165">
        <f>ROUND(U47,0)</f>
        <v>0</v>
      </c>
      <c r="AC47" s="7"/>
      <c r="AD47" s="4"/>
    </row>
    <row r="48" spans="1:30" x14ac:dyDescent="0.3">
      <c r="A48" s="31">
        <v>7</v>
      </c>
      <c r="B48" s="31"/>
      <c r="C48" s="31" t="s">
        <v>154</v>
      </c>
      <c r="D48" s="31" t="str">
        <f>IF(AND(O48=0,U48=0,V48=0),"Do Not Print","Print")</f>
        <v>Do Not Print</v>
      </c>
      <c r="E48" s="1002" t="str">
        <f t="shared" si="19"/>
        <v>CIES Line 7</v>
      </c>
      <c r="F48" s="1002" t="str">
        <f t="shared" si="19"/>
        <v>CIES Line 7</v>
      </c>
      <c r="G48" s="1002" t="str">
        <f t="shared" si="19"/>
        <v>CIES Line 7</v>
      </c>
      <c r="H48" s="213" t="s">
        <v>1529</v>
      </c>
      <c r="J48" s="163">
        <v>0</v>
      </c>
      <c r="K48" s="163">
        <v>0</v>
      </c>
      <c r="L48" s="165">
        <f t="shared" si="20"/>
        <v>0</v>
      </c>
      <c r="M48" s="163">
        <v>0</v>
      </c>
      <c r="N48" s="163">
        <v>0</v>
      </c>
      <c r="O48" s="165">
        <f t="shared" si="26"/>
        <v>0</v>
      </c>
      <c r="P48" s="163">
        <v>0</v>
      </c>
      <c r="Q48" s="163">
        <v>0</v>
      </c>
      <c r="R48" s="165">
        <f t="shared" si="0"/>
        <v>0</v>
      </c>
      <c r="S48" s="160">
        <v>0</v>
      </c>
      <c r="T48" s="160">
        <v>0</v>
      </c>
      <c r="U48" s="161">
        <f t="shared" si="21"/>
        <v>0</v>
      </c>
      <c r="V48" s="36"/>
      <c r="W48" s="212" t="str">
        <f t="shared" si="27"/>
        <v>CIES Line 7</v>
      </c>
      <c r="Y48" s="165">
        <f t="shared" si="22"/>
        <v>0</v>
      </c>
      <c r="Z48" s="165">
        <f t="shared" si="23"/>
        <v>0</v>
      </c>
      <c r="AA48" s="165">
        <f>ROUND(O48,0)</f>
        <v>0</v>
      </c>
      <c r="AB48" s="165">
        <f>ROUND(U48,0)</f>
        <v>0</v>
      </c>
      <c r="AC48" s="7"/>
      <c r="AD48" s="4"/>
    </row>
    <row r="49" spans="1:30" x14ac:dyDescent="0.3">
      <c r="A49" s="31">
        <v>8</v>
      </c>
      <c r="B49" s="31"/>
      <c r="C49" s="31" t="s">
        <v>154</v>
      </c>
      <c r="D49" s="31" t="str">
        <f>IF(AND(O49=0,U49=0,V49=0),"Do Not Print","Print")</f>
        <v>Do Not Print</v>
      </c>
      <c r="E49" s="1002" t="str">
        <f>E14</f>
        <v>CIES Line 8</v>
      </c>
      <c r="F49" s="1002" t="str">
        <f t="shared" si="19"/>
        <v>CIES Line 8</v>
      </c>
      <c r="G49" s="1002" t="str">
        <f t="shared" si="19"/>
        <v>CIES Line 8</v>
      </c>
      <c r="H49" s="213" t="s">
        <v>1529</v>
      </c>
      <c r="J49" s="163">
        <v>0</v>
      </c>
      <c r="K49" s="163">
        <v>0</v>
      </c>
      <c r="L49" s="165">
        <f t="shared" si="20"/>
        <v>0</v>
      </c>
      <c r="M49" s="163">
        <v>0</v>
      </c>
      <c r="N49" s="163">
        <v>0</v>
      </c>
      <c r="O49" s="165">
        <f t="shared" si="26"/>
        <v>0</v>
      </c>
      <c r="P49" s="163">
        <v>0</v>
      </c>
      <c r="Q49" s="163">
        <v>0</v>
      </c>
      <c r="R49" s="165">
        <f t="shared" ref="R49:R76" si="28">SUM(P49:Q49)</f>
        <v>0</v>
      </c>
      <c r="S49" s="163">
        <v>0</v>
      </c>
      <c r="T49" s="160">
        <v>0</v>
      </c>
      <c r="U49" s="161">
        <f t="shared" si="21"/>
        <v>0</v>
      </c>
      <c r="V49" s="36"/>
      <c r="W49" s="212" t="str">
        <f t="shared" si="27"/>
        <v>CIES Line 8</v>
      </c>
      <c r="Y49" s="165">
        <f t="shared" si="22"/>
        <v>0</v>
      </c>
      <c r="Z49" s="165">
        <f t="shared" si="23"/>
        <v>0</v>
      </c>
      <c r="AA49" s="165">
        <f>ROUND(O49,0)</f>
        <v>0</v>
      </c>
      <c r="AB49" s="165">
        <f>ROUND(U49,0)</f>
        <v>0</v>
      </c>
      <c r="AC49" s="7"/>
      <c r="AD49" s="4"/>
    </row>
    <row r="50" spans="1:30" x14ac:dyDescent="0.3">
      <c r="A50" s="31">
        <v>9</v>
      </c>
      <c r="B50" s="31"/>
      <c r="C50" s="31" t="s">
        <v>154</v>
      </c>
      <c r="D50" s="31" t="str">
        <f>IF(AND(O50=0,U50=0,V50=0),"Do Not Print","Print")</f>
        <v>Do Not Print</v>
      </c>
      <c r="E50" s="1002" t="str">
        <f t="shared" si="19"/>
        <v>CIES Line 9</v>
      </c>
      <c r="F50" s="1002" t="str">
        <f t="shared" si="19"/>
        <v>CIES Line 9</v>
      </c>
      <c r="G50" s="1002" t="str">
        <f t="shared" si="19"/>
        <v>CIES Line 9</v>
      </c>
      <c r="H50" s="213" t="s">
        <v>1529</v>
      </c>
      <c r="J50" s="163">
        <v>0</v>
      </c>
      <c r="K50" s="163">
        <v>0</v>
      </c>
      <c r="L50" s="165">
        <f t="shared" si="20"/>
        <v>0</v>
      </c>
      <c r="M50" s="163">
        <v>0</v>
      </c>
      <c r="N50" s="163">
        <v>0</v>
      </c>
      <c r="O50" s="165">
        <f t="shared" si="26"/>
        <v>0</v>
      </c>
      <c r="P50" s="163">
        <v>0</v>
      </c>
      <c r="Q50" s="163">
        <v>0</v>
      </c>
      <c r="R50" s="165">
        <f t="shared" si="28"/>
        <v>0</v>
      </c>
      <c r="S50" s="160">
        <v>0</v>
      </c>
      <c r="T50" s="160">
        <v>0</v>
      </c>
      <c r="U50" s="161">
        <f t="shared" si="21"/>
        <v>0</v>
      </c>
      <c r="V50" s="36"/>
      <c r="W50" s="212" t="str">
        <f t="shared" si="27"/>
        <v>CIES Line 9</v>
      </c>
      <c r="Y50" s="165">
        <f t="shared" si="22"/>
        <v>0</v>
      </c>
      <c r="Z50" s="165">
        <f t="shared" si="23"/>
        <v>0</v>
      </c>
      <c r="AA50" s="165">
        <f>ROUND(O50,0)</f>
        <v>0</v>
      </c>
      <c r="AB50" s="165">
        <f>ROUND(U50,0)</f>
        <v>0</v>
      </c>
      <c r="AC50" s="7"/>
      <c r="AD50" s="4"/>
    </row>
    <row r="51" spans="1:30" x14ac:dyDescent="0.3">
      <c r="A51" s="31">
        <v>10</v>
      </c>
      <c r="B51" s="31"/>
      <c r="C51" s="31" t="s">
        <v>154</v>
      </c>
      <c r="D51" s="31" t="str">
        <f t="shared" si="18"/>
        <v>Do Not Print</v>
      </c>
      <c r="E51" s="1002" t="str">
        <f t="shared" si="19"/>
        <v>CIES Line 10</v>
      </c>
      <c r="F51" s="1002" t="str">
        <f t="shared" si="19"/>
        <v>CIES Line 10</v>
      </c>
      <c r="G51" s="1002" t="str">
        <f t="shared" si="19"/>
        <v>CIES Line 10</v>
      </c>
      <c r="H51" s="213" t="s">
        <v>1529</v>
      </c>
      <c r="J51" s="163">
        <v>0</v>
      </c>
      <c r="K51" s="163">
        <v>0</v>
      </c>
      <c r="L51" s="165">
        <f t="shared" si="20"/>
        <v>0</v>
      </c>
      <c r="M51" s="163">
        <v>0</v>
      </c>
      <c r="N51" s="163">
        <v>0</v>
      </c>
      <c r="O51" s="165">
        <f t="shared" si="26"/>
        <v>0</v>
      </c>
      <c r="P51" s="163">
        <v>0</v>
      </c>
      <c r="Q51" s="163">
        <v>0</v>
      </c>
      <c r="R51" s="165">
        <f t="shared" si="28"/>
        <v>0</v>
      </c>
      <c r="S51" s="160">
        <v>0</v>
      </c>
      <c r="T51" s="160">
        <v>0</v>
      </c>
      <c r="U51" s="161">
        <f t="shared" si="21"/>
        <v>0</v>
      </c>
      <c r="V51" s="36"/>
      <c r="W51" s="212" t="str">
        <f t="shared" si="27"/>
        <v>CIES Line 10</v>
      </c>
      <c r="Y51" s="165">
        <f t="shared" si="22"/>
        <v>0</v>
      </c>
      <c r="Z51" s="165">
        <f t="shared" si="23"/>
        <v>0</v>
      </c>
      <c r="AA51" s="165">
        <f t="shared" si="24"/>
        <v>0</v>
      </c>
      <c r="AB51" s="165">
        <f t="shared" si="25"/>
        <v>0</v>
      </c>
      <c r="AC51" s="7"/>
      <c r="AD51" s="4"/>
    </row>
    <row r="52" spans="1:30" x14ac:dyDescent="0.3">
      <c r="A52" s="31">
        <v>11</v>
      </c>
      <c r="B52" s="31"/>
      <c r="C52" s="31" t="s">
        <v>154</v>
      </c>
      <c r="D52" s="31" t="str">
        <f t="shared" si="18"/>
        <v>Do Not Print</v>
      </c>
      <c r="E52" s="1002" t="str">
        <f t="shared" si="19"/>
        <v>CIES Line 11</v>
      </c>
      <c r="F52" s="1002" t="str">
        <f t="shared" si="19"/>
        <v>CIES Line 11</v>
      </c>
      <c r="G52" s="1002" t="str">
        <f t="shared" si="19"/>
        <v>CIES Line 11</v>
      </c>
      <c r="H52" s="213" t="s">
        <v>1529</v>
      </c>
      <c r="J52" s="163">
        <v>0</v>
      </c>
      <c r="K52" s="163">
        <v>0</v>
      </c>
      <c r="L52" s="165">
        <f t="shared" si="20"/>
        <v>0</v>
      </c>
      <c r="M52" s="163">
        <v>0</v>
      </c>
      <c r="N52" s="163">
        <v>0</v>
      </c>
      <c r="O52" s="165">
        <f t="shared" si="26"/>
        <v>0</v>
      </c>
      <c r="P52" s="163">
        <v>0</v>
      </c>
      <c r="Q52" s="163">
        <v>0</v>
      </c>
      <c r="R52" s="165">
        <f t="shared" si="28"/>
        <v>0</v>
      </c>
      <c r="S52" s="160">
        <v>0</v>
      </c>
      <c r="T52" s="160">
        <v>0</v>
      </c>
      <c r="U52" s="161">
        <f t="shared" si="21"/>
        <v>0</v>
      </c>
      <c r="V52" s="36"/>
      <c r="W52" s="212" t="str">
        <f t="shared" si="27"/>
        <v>CIES Line 11</v>
      </c>
      <c r="Y52" s="165">
        <f t="shared" si="22"/>
        <v>0</v>
      </c>
      <c r="Z52" s="165">
        <f t="shared" si="23"/>
        <v>0</v>
      </c>
      <c r="AA52" s="165">
        <f t="shared" si="24"/>
        <v>0</v>
      </c>
      <c r="AB52" s="165">
        <f t="shared" si="25"/>
        <v>0</v>
      </c>
      <c r="AC52" s="7"/>
      <c r="AD52" s="4"/>
    </row>
    <row r="53" spans="1:30" x14ac:dyDescent="0.3">
      <c r="A53" s="31">
        <v>12</v>
      </c>
      <c r="B53" s="31"/>
      <c r="C53" s="31" t="s">
        <v>154</v>
      </c>
      <c r="D53" s="31" t="str">
        <f>IF(AND(O53=0,U53=0,V53=0),"Do Not Print","Print")</f>
        <v>Do Not Print</v>
      </c>
      <c r="E53" s="1002" t="str">
        <f t="shared" si="19"/>
        <v>CIES Line 12</v>
      </c>
      <c r="F53" s="1002" t="str">
        <f t="shared" si="19"/>
        <v>CIES Line 12</v>
      </c>
      <c r="G53" s="1002" t="str">
        <f t="shared" si="19"/>
        <v>CIES Line 12</v>
      </c>
      <c r="H53" s="213" t="s">
        <v>1529</v>
      </c>
      <c r="J53" s="163">
        <v>0</v>
      </c>
      <c r="K53" s="163">
        <v>0</v>
      </c>
      <c r="L53" s="165">
        <f t="shared" si="20"/>
        <v>0</v>
      </c>
      <c r="M53" s="163">
        <v>0</v>
      </c>
      <c r="N53" s="163">
        <v>0</v>
      </c>
      <c r="O53" s="165">
        <f t="shared" si="26"/>
        <v>0</v>
      </c>
      <c r="P53" s="163">
        <v>0</v>
      </c>
      <c r="Q53" s="163">
        <v>0</v>
      </c>
      <c r="R53" s="165">
        <f t="shared" si="28"/>
        <v>0</v>
      </c>
      <c r="S53" s="160">
        <v>0</v>
      </c>
      <c r="T53" s="160">
        <v>0</v>
      </c>
      <c r="U53" s="161">
        <f t="shared" si="21"/>
        <v>0</v>
      </c>
      <c r="V53" s="36"/>
      <c r="W53" s="212" t="str">
        <f t="shared" si="27"/>
        <v>CIES Line 12</v>
      </c>
      <c r="Y53" s="165">
        <f t="shared" si="22"/>
        <v>0</v>
      </c>
      <c r="Z53" s="165">
        <f t="shared" si="23"/>
        <v>0</v>
      </c>
      <c r="AA53" s="165">
        <f>ROUND(O53,0)</f>
        <v>0</v>
      </c>
      <c r="AB53" s="165">
        <f>ROUND(U53,0)</f>
        <v>0</v>
      </c>
      <c r="AC53" s="7"/>
      <c r="AD53" s="4"/>
    </row>
    <row r="54" spans="1:30" x14ac:dyDescent="0.3">
      <c r="A54" s="31">
        <v>13</v>
      </c>
      <c r="B54" s="31"/>
      <c r="C54" s="31" t="s">
        <v>154</v>
      </c>
      <c r="D54" s="31" t="str">
        <f t="shared" si="18"/>
        <v>Do Not Print</v>
      </c>
      <c r="E54" s="1002" t="str">
        <f t="shared" si="19"/>
        <v>CIES Line 13</v>
      </c>
      <c r="F54" s="1002" t="str">
        <f t="shared" si="19"/>
        <v>CIES Line 13</v>
      </c>
      <c r="G54" s="1002" t="str">
        <f t="shared" si="19"/>
        <v>CIES Line 13</v>
      </c>
      <c r="H54" s="213" t="s">
        <v>1529</v>
      </c>
      <c r="J54" s="163">
        <v>0</v>
      </c>
      <c r="K54" s="163">
        <v>0</v>
      </c>
      <c r="L54" s="165">
        <f t="shared" si="20"/>
        <v>0</v>
      </c>
      <c r="M54" s="163">
        <v>0</v>
      </c>
      <c r="N54" s="163">
        <v>0</v>
      </c>
      <c r="O54" s="165">
        <f t="shared" si="26"/>
        <v>0</v>
      </c>
      <c r="P54" s="163">
        <v>0</v>
      </c>
      <c r="Q54" s="163">
        <v>0</v>
      </c>
      <c r="R54" s="165">
        <f t="shared" si="28"/>
        <v>0</v>
      </c>
      <c r="S54" s="160">
        <v>0</v>
      </c>
      <c r="T54" s="160">
        <v>0</v>
      </c>
      <c r="U54" s="161">
        <f t="shared" si="21"/>
        <v>0</v>
      </c>
      <c r="V54" s="36"/>
      <c r="W54" s="212" t="str">
        <f t="shared" si="27"/>
        <v>CIES Line 13</v>
      </c>
      <c r="Y54" s="165">
        <f t="shared" si="22"/>
        <v>0</v>
      </c>
      <c r="Z54" s="165">
        <f t="shared" si="23"/>
        <v>0</v>
      </c>
      <c r="AA54" s="165">
        <f t="shared" si="24"/>
        <v>0</v>
      </c>
      <c r="AB54" s="165">
        <f t="shared" si="25"/>
        <v>0</v>
      </c>
      <c r="AC54" s="7"/>
      <c r="AD54" s="4"/>
    </row>
    <row r="55" spans="1:30" x14ac:dyDescent="0.3">
      <c r="A55" s="31">
        <v>14</v>
      </c>
      <c r="B55" s="31"/>
      <c r="C55" s="31" t="s">
        <v>154</v>
      </c>
      <c r="D55" s="31" t="str">
        <f>IF(AND(O55=0,U55=0,V55=0),"Do Not Print","Print")</f>
        <v>Do Not Print</v>
      </c>
      <c r="E55" s="1002" t="str">
        <f t="shared" si="19"/>
        <v>CIES Line 14</v>
      </c>
      <c r="F55" s="1002" t="str">
        <f t="shared" si="19"/>
        <v>CIES Line 14</v>
      </c>
      <c r="G55" s="1002" t="str">
        <f t="shared" si="19"/>
        <v>CIES Line 14</v>
      </c>
      <c r="H55" s="213" t="s">
        <v>1529</v>
      </c>
      <c r="J55" s="163">
        <v>0</v>
      </c>
      <c r="K55" s="163">
        <v>0</v>
      </c>
      <c r="L55" s="165">
        <f t="shared" si="20"/>
        <v>0</v>
      </c>
      <c r="M55" s="163">
        <v>0</v>
      </c>
      <c r="N55" s="163">
        <v>0</v>
      </c>
      <c r="O55" s="165">
        <f t="shared" si="26"/>
        <v>0</v>
      </c>
      <c r="P55" s="163">
        <v>0</v>
      </c>
      <c r="Q55" s="163">
        <v>0</v>
      </c>
      <c r="R55" s="165">
        <f t="shared" si="28"/>
        <v>0</v>
      </c>
      <c r="S55" s="160">
        <v>0</v>
      </c>
      <c r="T55" s="160">
        <v>0</v>
      </c>
      <c r="U55" s="161">
        <f t="shared" si="21"/>
        <v>0</v>
      </c>
      <c r="V55" s="36"/>
      <c r="W55" s="212" t="str">
        <f t="shared" si="27"/>
        <v>CIES Line 14</v>
      </c>
      <c r="Y55" s="165">
        <f t="shared" si="22"/>
        <v>0</v>
      </c>
      <c r="Z55" s="165">
        <f t="shared" si="23"/>
        <v>0</v>
      </c>
      <c r="AA55" s="165">
        <f>ROUND(O55,0)</f>
        <v>0</v>
      </c>
      <c r="AB55" s="165">
        <f>ROUND(U55,0)</f>
        <v>0</v>
      </c>
      <c r="AC55" s="7"/>
      <c r="AD55" s="4"/>
    </row>
    <row r="56" spans="1:30" x14ac:dyDescent="0.3">
      <c r="A56" s="31">
        <v>15</v>
      </c>
      <c r="B56" s="31"/>
      <c r="C56" s="31" t="s">
        <v>154</v>
      </c>
      <c r="D56" s="31" t="str">
        <f t="shared" si="18"/>
        <v>Do Not Print</v>
      </c>
      <c r="E56" s="1002" t="str">
        <f t="shared" si="19"/>
        <v>CIES Line 15</v>
      </c>
      <c r="F56" s="1002" t="str">
        <f t="shared" si="19"/>
        <v>CIES Line 15</v>
      </c>
      <c r="G56" s="1002" t="str">
        <f t="shared" si="19"/>
        <v>CIES Line 15</v>
      </c>
      <c r="H56" s="213" t="s">
        <v>1529</v>
      </c>
      <c r="J56" s="163">
        <v>0</v>
      </c>
      <c r="K56" s="163">
        <v>0</v>
      </c>
      <c r="L56" s="165">
        <f t="shared" si="20"/>
        <v>0</v>
      </c>
      <c r="M56" s="163">
        <v>0</v>
      </c>
      <c r="N56" s="163">
        <v>0</v>
      </c>
      <c r="O56" s="165">
        <f t="shared" si="26"/>
        <v>0</v>
      </c>
      <c r="P56" s="163">
        <v>0</v>
      </c>
      <c r="Q56" s="163">
        <v>0</v>
      </c>
      <c r="R56" s="165">
        <f t="shared" si="28"/>
        <v>0</v>
      </c>
      <c r="S56" s="160">
        <v>0</v>
      </c>
      <c r="T56" s="160">
        <v>0</v>
      </c>
      <c r="U56" s="161">
        <f t="shared" si="21"/>
        <v>0</v>
      </c>
      <c r="V56" s="36"/>
      <c r="W56" s="212" t="str">
        <f t="shared" si="27"/>
        <v>CIES Line 15</v>
      </c>
      <c r="Y56" s="165">
        <f t="shared" si="22"/>
        <v>0</v>
      </c>
      <c r="Z56" s="165">
        <f t="shared" si="23"/>
        <v>0</v>
      </c>
      <c r="AA56" s="165">
        <f t="shared" si="24"/>
        <v>0</v>
      </c>
      <c r="AB56" s="165">
        <f t="shared" si="25"/>
        <v>0</v>
      </c>
      <c r="AC56" s="7"/>
      <c r="AD56" s="4"/>
    </row>
    <row r="57" spans="1:30" x14ac:dyDescent="0.3">
      <c r="A57" s="31">
        <v>16</v>
      </c>
      <c r="B57" s="31"/>
      <c r="C57" s="31" t="s">
        <v>154</v>
      </c>
      <c r="D57" s="31" t="str">
        <f>IF(AND(O57=0,U57=0,V57=0),"Do Not Print","Print")</f>
        <v>Do Not Print</v>
      </c>
      <c r="E57" s="1002" t="str">
        <f t="shared" si="19"/>
        <v>CIES Line 16</v>
      </c>
      <c r="F57" s="1002" t="str">
        <f t="shared" si="19"/>
        <v>CIES Line 16</v>
      </c>
      <c r="G57" s="1002" t="str">
        <f t="shared" si="19"/>
        <v>CIES Line 16</v>
      </c>
      <c r="H57" s="213" t="s">
        <v>1529</v>
      </c>
      <c r="J57" s="163">
        <v>0</v>
      </c>
      <c r="K57" s="163">
        <v>0</v>
      </c>
      <c r="L57" s="165">
        <f t="shared" si="20"/>
        <v>0</v>
      </c>
      <c r="M57" s="163">
        <v>0</v>
      </c>
      <c r="N57" s="163">
        <v>0</v>
      </c>
      <c r="O57" s="165">
        <f t="shared" si="26"/>
        <v>0</v>
      </c>
      <c r="P57" s="163">
        <v>0</v>
      </c>
      <c r="Q57" s="163">
        <v>0</v>
      </c>
      <c r="R57" s="165">
        <f t="shared" si="28"/>
        <v>0</v>
      </c>
      <c r="S57" s="160">
        <v>0</v>
      </c>
      <c r="T57" s="160">
        <v>0</v>
      </c>
      <c r="U57" s="161">
        <f t="shared" si="21"/>
        <v>0</v>
      </c>
      <c r="V57" s="36"/>
      <c r="W57" s="212" t="str">
        <f t="shared" si="27"/>
        <v>CIES Line 16</v>
      </c>
      <c r="Y57" s="165">
        <f t="shared" si="22"/>
        <v>0</v>
      </c>
      <c r="Z57" s="165">
        <f t="shared" si="23"/>
        <v>0</v>
      </c>
      <c r="AA57" s="165">
        <f>ROUND(O57,0)</f>
        <v>0</v>
      </c>
      <c r="AB57" s="165">
        <f>ROUND(U57,0)</f>
        <v>0</v>
      </c>
      <c r="AC57" s="7"/>
      <c r="AD57" s="4"/>
    </row>
    <row r="58" spans="1:30" x14ac:dyDescent="0.3">
      <c r="A58" s="31">
        <v>17</v>
      </c>
      <c r="B58" s="31"/>
      <c r="C58" s="31" t="s">
        <v>154</v>
      </c>
      <c r="D58" s="31" t="str">
        <f t="shared" si="18"/>
        <v>Do Not Print</v>
      </c>
      <c r="E58" s="1002" t="str">
        <f t="shared" si="19"/>
        <v>CIES Line 17</v>
      </c>
      <c r="F58" s="1002" t="str">
        <f t="shared" si="19"/>
        <v>CIES Line 17</v>
      </c>
      <c r="G58" s="1002" t="str">
        <f t="shared" si="19"/>
        <v>CIES Line 17</v>
      </c>
      <c r="H58" s="213" t="s">
        <v>1529</v>
      </c>
      <c r="J58" s="163">
        <v>0</v>
      </c>
      <c r="K58" s="163">
        <v>0</v>
      </c>
      <c r="L58" s="165">
        <f t="shared" si="20"/>
        <v>0</v>
      </c>
      <c r="M58" s="163">
        <v>0</v>
      </c>
      <c r="N58" s="163">
        <v>0</v>
      </c>
      <c r="O58" s="165">
        <f t="shared" si="26"/>
        <v>0</v>
      </c>
      <c r="P58" s="163">
        <v>0</v>
      </c>
      <c r="Q58" s="163">
        <v>0</v>
      </c>
      <c r="R58" s="165">
        <f t="shared" si="28"/>
        <v>0</v>
      </c>
      <c r="S58" s="160">
        <v>0</v>
      </c>
      <c r="T58" s="160">
        <v>0</v>
      </c>
      <c r="U58" s="161">
        <f t="shared" si="21"/>
        <v>0</v>
      </c>
      <c r="V58" s="36"/>
      <c r="W58" s="212" t="str">
        <f t="shared" si="27"/>
        <v>CIES Line 17</v>
      </c>
      <c r="Y58" s="165">
        <f t="shared" si="22"/>
        <v>0</v>
      </c>
      <c r="Z58" s="165">
        <f t="shared" si="23"/>
        <v>0</v>
      </c>
      <c r="AA58" s="165">
        <f t="shared" si="24"/>
        <v>0</v>
      </c>
      <c r="AB58" s="165">
        <f t="shared" si="25"/>
        <v>0</v>
      </c>
      <c r="AC58" s="7"/>
      <c r="AD58" s="4"/>
    </row>
    <row r="59" spans="1:30" x14ac:dyDescent="0.3">
      <c r="A59" s="31">
        <v>18</v>
      </c>
      <c r="B59" s="31"/>
      <c r="C59" s="31" t="s">
        <v>154</v>
      </c>
      <c r="D59" s="31" t="str">
        <f t="shared" si="18"/>
        <v>Do Not Print</v>
      </c>
      <c r="E59" s="1002" t="str">
        <f t="shared" si="19"/>
        <v>CIES Line 18</v>
      </c>
      <c r="F59" s="1002" t="str">
        <f t="shared" si="19"/>
        <v>CIES Line 18</v>
      </c>
      <c r="G59" s="1002" t="str">
        <f t="shared" si="19"/>
        <v>CIES Line 18</v>
      </c>
      <c r="H59" s="213" t="s">
        <v>1529</v>
      </c>
      <c r="J59" s="163">
        <v>0</v>
      </c>
      <c r="K59" s="163">
        <v>0</v>
      </c>
      <c r="L59" s="165">
        <f t="shared" si="20"/>
        <v>0</v>
      </c>
      <c r="M59" s="163">
        <v>0</v>
      </c>
      <c r="N59" s="163">
        <v>0</v>
      </c>
      <c r="O59" s="165">
        <f t="shared" si="26"/>
        <v>0</v>
      </c>
      <c r="P59" s="163">
        <v>0</v>
      </c>
      <c r="Q59" s="163">
        <v>0</v>
      </c>
      <c r="R59" s="165">
        <f t="shared" si="28"/>
        <v>0</v>
      </c>
      <c r="S59" s="160">
        <v>0</v>
      </c>
      <c r="T59" s="160">
        <v>0</v>
      </c>
      <c r="U59" s="161">
        <f t="shared" si="21"/>
        <v>0</v>
      </c>
      <c r="V59" s="36"/>
      <c r="W59" s="212" t="str">
        <f t="shared" si="27"/>
        <v>CIES Line 18</v>
      </c>
      <c r="Y59" s="165">
        <f t="shared" si="22"/>
        <v>0</v>
      </c>
      <c r="Z59" s="165">
        <f t="shared" si="23"/>
        <v>0</v>
      </c>
      <c r="AA59" s="165">
        <f t="shared" si="24"/>
        <v>0</v>
      </c>
      <c r="AB59" s="165">
        <f t="shared" si="25"/>
        <v>0</v>
      </c>
      <c r="AC59" s="7"/>
      <c r="AD59" s="4"/>
    </row>
    <row r="60" spans="1:30" x14ac:dyDescent="0.3">
      <c r="A60" s="31">
        <v>19</v>
      </c>
      <c r="B60" s="31"/>
      <c r="C60" s="31" t="s">
        <v>154</v>
      </c>
      <c r="D60" s="31" t="str">
        <f>IF(AND(O60=0,U60=0,V60=0),"Do Not Print","Print")</f>
        <v>Do Not Print</v>
      </c>
      <c r="E60" s="1002" t="str">
        <f t="shared" si="19"/>
        <v>CIES Line 19</v>
      </c>
      <c r="F60" s="1002" t="str">
        <f t="shared" si="19"/>
        <v>CIES Line 19</v>
      </c>
      <c r="G60" s="1002" t="str">
        <f t="shared" si="19"/>
        <v>CIES Line 19</v>
      </c>
      <c r="H60" s="213" t="s">
        <v>1529</v>
      </c>
      <c r="J60" s="163">
        <v>0</v>
      </c>
      <c r="K60" s="163">
        <v>0</v>
      </c>
      <c r="L60" s="165">
        <f t="shared" si="20"/>
        <v>0</v>
      </c>
      <c r="M60" s="163">
        <v>0</v>
      </c>
      <c r="N60" s="163">
        <v>0</v>
      </c>
      <c r="O60" s="165">
        <f t="shared" si="26"/>
        <v>0</v>
      </c>
      <c r="P60" s="163">
        <v>0</v>
      </c>
      <c r="Q60" s="163">
        <v>0</v>
      </c>
      <c r="R60" s="165">
        <f t="shared" si="28"/>
        <v>0</v>
      </c>
      <c r="S60" s="160">
        <v>0</v>
      </c>
      <c r="T60" s="160">
        <v>0</v>
      </c>
      <c r="U60" s="161">
        <f t="shared" si="21"/>
        <v>0</v>
      </c>
      <c r="V60" s="36"/>
      <c r="W60" s="212" t="str">
        <f t="shared" si="27"/>
        <v>CIES Line 19</v>
      </c>
      <c r="Y60" s="165">
        <f t="shared" si="22"/>
        <v>0</v>
      </c>
      <c r="Z60" s="165">
        <f t="shared" si="23"/>
        <v>0</v>
      </c>
      <c r="AA60" s="165">
        <f>ROUND(O60,0)</f>
        <v>0</v>
      </c>
      <c r="AB60" s="165">
        <f>ROUND(U60,0)</f>
        <v>0</v>
      </c>
      <c r="AC60" s="7"/>
      <c r="AD60" s="4"/>
    </row>
    <row r="61" spans="1:30" x14ac:dyDescent="0.3">
      <c r="A61" s="31">
        <v>20</v>
      </c>
      <c r="B61" s="31"/>
      <c r="C61" s="31" t="s">
        <v>154</v>
      </c>
      <c r="D61" s="31" t="str">
        <f t="shared" si="18"/>
        <v>Do Not Print</v>
      </c>
      <c r="E61" s="1002" t="str">
        <f t="shared" si="19"/>
        <v>CIES Line 20</v>
      </c>
      <c r="F61" s="1002" t="str">
        <f t="shared" si="19"/>
        <v>CIES Line 20</v>
      </c>
      <c r="G61" s="1002" t="str">
        <f t="shared" si="19"/>
        <v>CIES Line 20</v>
      </c>
      <c r="H61" s="213" t="s">
        <v>1529</v>
      </c>
      <c r="J61" s="163">
        <v>0</v>
      </c>
      <c r="K61" s="163">
        <v>0</v>
      </c>
      <c r="L61" s="165">
        <f t="shared" si="20"/>
        <v>0</v>
      </c>
      <c r="M61" s="163">
        <v>0</v>
      </c>
      <c r="N61" s="163">
        <v>0</v>
      </c>
      <c r="O61" s="165">
        <f t="shared" si="26"/>
        <v>0</v>
      </c>
      <c r="P61" s="163">
        <v>0</v>
      </c>
      <c r="Q61" s="163">
        <v>0</v>
      </c>
      <c r="R61" s="165">
        <f t="shared" si="28"/>
        <v>0</v>
      </c>
      <c r="S61" s="160">
        <v>0</v>
      </c>
      <c r="T61" s="160">
        <v>0</v>
      </c>
      <c r="U61" s="161">
        <f t="shared" si="21"/>
        <v>0</v>
      </c>
      <c r="V61" s="36"/>
      <c r="W61" s="212" t="str">
        <f t="shared" si="27"/>
        <v>CIES Line 20</v>
      </c>
      <c r="Y61" s="165">
        <f t="shared" si="22"/>
        <v>0</v>
      </c>
      <c r="Z61" s="165">
        <f t="shared" si="23"/>
        <v>0</v>
      </c>
      <c r="AA61" s="165">
        <f t="shared" si="24"/>
        <v>0</v>
      </c>
      <c r="AB61" s="165">
        <f t="shared" si="25"/>
        <v>0</v>
      </c>
      <c r="AC61" s="7"/>
      <c r="AD61" s="4"/>
    </row>
    <row r="62" spans="1:30" x14ac:dyDescent="0.3">
      <c r="A62" s="31">
        <v>21</v>
      </c>
      <c r="B62" s="31"/>
      <c r="C62" s="31" t="s">
        <v>154</v>
      </c>
      <c r="D62" s="31" t="str">
        <f t="shared" ref="D62" si="29">IF(AND(O62=0,U62=0,V62=0),"Do Not Print","Print")</f>
        <v>Do Not Print</v>
      </c>
      <c r="E62" s="1002" t="str">
        <f t="shared" si="19"/>
        <v>CIES Line 21</v>
      </c>
      <c r="F62" s="1002" t="str">
        <f t="shared" si="19"/>
        <v>CIES Line 21</v>
      </c>
      <c r="G62" s="1002" t="str">
        <f t="shared" si="19"/>
        <v>CIES Line 21</v>
      </c>
      <c r="H62" s="213" t="s">
        <v>1529</v>
      </c>
      <c r="J62" s="163">
        <v>0</v>
      </c>
      <c r="K62" s="163">
        <v>0</v>
      </c>
      <c r="L62" s="165">
        <f t="shared" si="20"/>
        <v>0</v>
      </c>
      <c r="M62" s="163">
        <v>0</v>
      </c>
      <c r="N62" s="163">
        <v>0</v>
      </c>
      <c r="O62" s="165">
        <f t="shared" si="26"/>
        <v>0</v>
      </c>
      <c r="P62" s="163">
        <v>0</v>
      </c>
      <c r="Q62" s="163">
        <v>0</v>
      </c>
      <c r="R62" s="165">
        <f t="shared" si="28"/>
        <v>0</v>
      </c>
      <c r="S62" s="160">
        <v>0</v>
      </c>
      <c r="T62" s="160">
        <v>0</v>
      </c>
      <c r="U62" s="161">
        <f t="shared" si="21"/>
        <v>0</v>
      </c>
      <c r="V62" s="36"/>
      <c r="W62" s="212" t="str">
        <f t="shared" si="27"/>
        <v>CIES Line 21</v>
      </c>
      <c r="Y62" s="165"/>
      <c r="Z62" s="165"/>
      <c r="AA62" s="165"/>
      <c r="AB62" s="165"/>
      <c r="AC62" s="7"/>
      <c r="AD62" s="4"/>
    </row>
    <row r="63" spans="1:30" x14ac:dyDescent="0.3">
      <c r="A63" s="31">
        <v>22</v>
      </c>
      <c r="B63" s="31"/>
      <c r="C63" s="31" t="s">
        <v>154</v>
      </c>
      <c r="D63" s="31" t="str">
        <f t="shared" ref="D63:D76" si="30">IF(AND(O63=0,U63=0,V63=0),"Do Not Print","Print")</f>
        <v>Do Not Print</v>
      </c>
      <c r="E63" s="1002" t="str">
        <f>E28</f>
        <v>CIES Line 22</v>
      </c>
      <c r="F63" s="1002" t="str">
        <f t="shared" ref="F63:G63" si="31">F28</f>
        <v>CIES Line 22</v>
      </c>
      <c r="G63" s="1002" t="str">
        <f t="shared" si="31"/>
        <v>CIES Line 22</v>
      </c>
      <c r="H63" s="213" t="s">
        <v>1529</v>
      </c>
      <c r="J63" s="163">
        <v>0</v>
      </c>
      <c r="K63" s="163">
        <v>0</v>
      </c>
      <c r="L63" s="165">
        <f t="shared" si="20"/>
        <v>0</v>
      </c>
      <c r="M63" s="163">
        <v>0</v>
      </c>
      <c r="N63" s="163">
        <v>0</v>
      </c>
      <c r="O63" s="165">
        <f t="shared" si="26"/>
        <v>0</v>
      </c>
      <c r="P63" s="163">
        <v>0</v>
      </c>
      <c r="Q63" s="163">
        <v>0</v>
      </c>
      <c r="R63" s="165">
        <f t="shared" si="28"/>
        <v>0</v>
      </c>
      <c r="S63" s="160">
        <v>0</v>
      </c>
      <c r="T63" s="160">
        <v>0</v>
      </c>
      <c r="U63" s="161">
        <f t="shared" si="21"/>
        <v>0</v>
      </c>
      <c r="V63" s="36"/>
      <c r="W63" s="212" t="str">
        <f t="shared" si="27"/>
        <v>CIES Line 22</v>
      </c>
      <c r="Y63" s="165"/>
      <c r="Z63" s="165"/>
      <c r="AA63" s="165"/>
      <c r="AB63" s="165"/>
      <c r="AC63" s="7"/>
      <c r="AD63" s="4"/>
    </row>
    <row r="64" spans="1:30" x14ac:dyDescent="0.3">
      <c r="A64" s="31">
        <v>23</v>
      </c>
      <c r="B64" s="31"/>
      <c r="C64" s="31" t="s">
        <v>154</v>
      </c>
      <c r="D64" s="31" t="str">
        <f t="shared" si="30"/>
        <v>Do Not Print</v>
      </c>
      <c r="E64" s="1002" t="str">
        <f t="shared" ref="E64:G76" si="32">E29</f>
        <v>CIES Line 23</v>
      </c>
      <c r="F64" s="1002" t="str">
        <f t="shared" si="32"/>
        <v>CIES Line 23</v>
      </c>
      <c r="G64" s="1002" t="str">
        <f t="shared" si="32"/>
        <v>CIES Line 23</v>
      </c>
      <c r="H64" s="213" t="s">
        <v>1529</v>
      </c>
      <c r="J64" s="163">
        <v>0</v>
      </c>
      <c r="K64" s="163">
        <v>0</v>
      </c>
      <c r="L64" s="165">
        <f t="shared" si="20"/>
        <v>0</v>
      </c>
      <c r="M64" s="163">
        <v>0</v>
      </c>
      <c r="N64" s="163">
        <v>0</v>
      </c>
      <c r="O64" s="165">
        <f t="shared" si="26"/>
        <v>0</v>
      </c>
      <c r="P64" s="163">
        <v>0</v>
      </c>
      <c r="Q64" s="163">
        <v>0</v>
      </c>
      <c r="R64" s="165">
        <f t="shared" si="28"/>
        <v>0</v>
      </c>
      <c r="S64" s="160">
        <v>0</v>
      </c>
      <c r="T64" s="160">
        <v>0</v>
      </c>
      <c r="U64" s="161">
        <f t="shared" si="21"/>
        <v>0</v>
      </c>
      <c r="V64" s="36"/>
      <c r="W64" s="212" t="str">
        <f t="shared" si="27"/>
        <v>CIES Line 23</v>
      </c>
      <c r="Y64" s="165"/>
      <c r="Z64" s="165"/>
      <c r="AA64" s="165"/>
      <c r="AB64" s="165"/>
      <c r="AC64" s="7"/>
      <c r="AD64" s="4"/>
    </row>
    <row r="65" spans="1:30" x14ac:dyDescent="0.3">
      <c r="A65" s="31">
        <v>24</v>
      </c>
      <c r="B65" s="31"/>
      <c r="C65" s="31" t="s">
        <v>154</v>
      </c>
      <c r="D65" s="31" t="str">
        <f t="shared" si="30"/>
        <v>Do Not Print</v>
      </c>
      <c r="E65" s="1002" t="str">
        <f t="shared" si="32"/>
        <v>CIES Line 24</v>
      </c>
      <c r="F65" s="1002" t="str">
        <f t="shared" si="32"/>
        <v>CIES Line 24</v>
      </c>
      <c r="G65" s="1002" t="str">
        <f t="shared" si="32"/>
        <v>CIES Line 24</v>
      </c>
      <c r="H65" s="213" t="s">
        <v>1529</v>
      </c>
      <c r="J65" s="163">
        <v>0</v>
      </c>
      <c r="K65" s="163">
        <v>0</v>
      </c>
      <c r="L65" s="165">
        <f t="shared" si="20"/>
        <v>0</v>
      </c>
      <c r="M65" s="163">
        <v>0</v>
      </c>
      <c r="N65" s="163">
        <v>0</v>
      </c>
      <c r="O65" s="165">
        <f t="shared" si="26"/>
        <v>0</v>
      </c>
      <c r="P65" s="163">
        <v>0</v>
      </c>
      <c r="Q65" s="163">
        <v>0</v>
      </c>
      <c r="R65" s="165">
        <f t="shared" si="28"/>
        <v>0</v>
      </c>
      <c r="S65" s="160">
        <v>0</v>
      </c>
      <c r="T65" s="160">
        <v>0</v>
      </c>
      <c r="U65" s="161">
        <f t="shared" si="21"/>
        <v>0</v>
      </c>
      <c r="V65" s="36"/>
      <c r="W65" s="212" t="str">
        <f t="shared" si="27"/>
        <v>CIES Line 24</v>
      </c>
      <c r="Y65" s="165"/>
      <c r="Z65" s="165"/>
      <c r="AA65" s="165"/>
      <c r="AB65" s="165"/>
      <c r="AC65" s="7"/>
      <c r="AD65" s="4"/>
    </row>
    <row r="66" spans="1:30" x14ac:dyDescent="0.3">
      <c r="A66" s="31">
        <v>25</v>
      </c>
      <c r="B66" s="31"/>
      <c r="C66" s="31" t="s">
        <v>154</v>
      </c>
      <c r="D66" s="31" t="str">
        <f t="shared" si="30"/>
        <v>Do Not Print</v>
      </c>
      <c r="E66" s="1002" t="str">
        <f t="shared" si="32"/>
        <v>CIES Line 25</v>
      </c>
      <c r="F66" s="1002" t="str">
        <f t="shared" si="32"/>
        <v>CIES Line 25</v>
      </c>
      <c r="G66" s="1002" t="str">
        <f t="shared" si="32"/>
        <v>CIES Line 25</v>
      </c>
      <c r="H66" s="213" t="s">
        <v>1529</v>
      </c>
      <c r="J66" s="163">
        <v>0</v>
      </c>
      <c r="K66" s="163">
        <v>0</v>
      </c>
      <c r="L66" s="165">
        <f t="shared" si="20"/>
        <v>0</v>
      </c>
      <c r="M66" s="163">
        <v>0</v>
      </c>
      <c r="N66" s="163">
        <v>0</v>
      </c>
      <c r="O66" s="165">
        <f t="shared" si="26"/>
        <v>0</v>
      </c>
      <c r="P66" s="163">
        <v>0</v>
      </c>
      <c r="Q66" s="163">
        <v>0</v>
      </c>
      <c r="R66" s="165">
        <f t="shared" si="28"/>
        <v>0</v>
      </c>
      <c r="S66" s="160">
        <v>0</v>
      </c>
      <c r="T66" s="160">
        <v>0</v>
      </c>
      <c r="U66" s="161">
        <f t="shared" si="21"/>
        <v>0</v>
      </c>
      <c r="V66" s="36"/>
      <c r="W66" s="212" t="str">
        <f t="shared" si="27"/>
        <v>CIES Line 25</v>
      </c>
      <c r="Y66" s="165"/>
      <c r="Z66" s="165"/>
      <c r="AA66" s="165"/>
      <c r="AB66" s="165"/>
      <c r="AC66" s="7"/>
      <c r="AD66" s="4"/>
    </row>
    <row r="67" spans="1:30" x14ac:dyDescent="0.3">
      <c r="A67" s="31">
        <v>26</v>
      </c>
      <c r="B67" s="31"/>
      <c r="C67" s="31" t="s">
        <v>154</v>
      </c>
      <c r="D67" s="31" t="str">
        <f t="shared" si="30"/>
        <v>Do Not Print</v>
      </c>
      <c r="E67" s="1002" t="str">
        <f t="shared" si="32"/>
        <v>CIES Line 26</v>
      </c>
      <c r="F67" s="1002" t="str">
        <f t="shared" si="32"/>
        <v>CIES Line 26</v>
      </c>
      <c r="G67" s="1002" t="str">
        <f t="shared" si="32"/>
        <v>CIES Line 26</v>
      </c>
      <c r="H67" s="213" t="s">
        <v>1529</v>
      </c>
      <c r="J67" s="163">
        <v>0</v>
      </c>
      <c r="K67" s="163">
        <v>0</v>
      </c>
      <c r="L67" s="165">
        <f t="shared" si="20"/>
        <v>0</v>
      </c>
      <c r="M67" s="163">
        <v>0</v>
      </c>
      <c r="N67" s="163">
        <v>0</v>
      </c>
      <c r="O67" s="165">
        <f t="shared" si="26"/>
        <v>0</v>
      </c>
      <c r="P67" s="163">
        <v>0</v>
      </c>
      <c r="Q67" s="163">
        <v>0</v>
      </c>
      <c r="R67" s="165">
        <f t="shared" si="28"/>
        <v>0</v>
      </c>
      <c r="S67" s="160">
        <v>0</v>
      </c>
      <c r="T67" s="160">
        <v>0</v>
      </c>
      <c r="U67" s="161">
        <f t="shared" si="21"/>
        <v>0</v>
      </c>
      <c r="V67" s="36"/>
      <c r="W67" s="212" t="str">
        <f t="shared" si="27"/>
        <v>CIES Line 26</v>
      </c>
      <c r="Y67" s="165"/>
      <c r="Z67" s="165"/>
      <c r="AA67" s="165"/>
      <c r="AB67" s="165"/>
      <c r="AC67" s="7"/>
      <c r="AD67" s="4"/>
    </row>
    <row r="68" spans="1:30" x14ac:dyDescent="0.3">
      <c r="A68" s="31">
        <v>27</v>
      </c>
      <c r="B68" s="31"/>
      <c r="C68" s="31" t="s">
        <v>154</v>
      </c>
      <c r="D68" s="31" t="str">
        <f t="shared" si="30"/>
        <v>Do Not Print</v>
      </c>
      <c r="E68" s="1002" t="str">
        <f t="shared" si="32"/>
        <v>CIES Line 27</v>
      </c>
      <c r="F68" s="1002" t="str">
        <f t="shared" si="32"/>
        <v>CIES Line 27</v>
      </c>
      <c r="G68" s="1002" t="str">
        <f t="shared" si="32"/>
        <v>CIES Line 27</v>
      </c>
      <c r="H68" s="213" t="s">
        <v>1529</v>
      </c>
      <c r="J68" s="163">
        <v>0</v>
      </c>
      <c r="K68" s="163">
        <v>0</v>
      </c>
      <c r="L68" s="165">
        <f t="shared" si="20"/>
        <v>0</v>
      </c>
      <c r="M68" s="163">
        <v>0</v>
      </c>
      <c r="N68" s="163">
        <v>0</v>
      </c>
      <c r="O68" s="165">
        <f t="shared" si="26"/>
        <v>0</v>
      </c>
      <c r="P68" s="163">
        <v>0</v>
      </c>
      <c r="Q68" s="163">
        <v>0</v>
      </c>
      <c r="R68" s="165">
        <f t="shared" si="28"/>
        <v>0</v>
      </c>
      <c r="S68" s="160">
        <v>0</v>
      </c>
      <c r="T68" s="160">
        <v>0</v>
      </c>
      <c r="U68" s="161">
        <f t="shared" si="21"/>
        <v>0</v>
      </c>
      <c r="V68" s="36"/>
      <c r="W68" s="212" t="str">
        <f t="shared" si="27"/>
        <v>CIES Line 27</v>
      </c>
      <c r="Y68" s="165"/>
      <c r="Z68" s="165"/>
      <c r="AA68" s="165"/>
      <c r="AB68" s="165"/>
      <c r="AC68" s="7"/>
      <c r="AD68" s="4"/>
    </row>
    <row r="69" spans="1:30" x14ac:dyDescent="0.3">
      <c r="A69" s="31">
        <v>28</v>
      </c>
      <c r="B69" s="31"/>
      <c r="C69" s="31" t="s">
        <v>154</v>
      </c>
      <c r="D69" s="31" t="str">
        <f t="shared" si="30"/>
        <v>Do Not Print</v>
      </c>
      <c r="E69" s="1002" t="str">
        <f t="shared" si="32"/>
        <v>CIES Line 28</v>
      </c>
      <c r="F69" s="1002" t="str">
        <f t="shared" si="32"/>
        <v>CIES Line 28</v>
      </c>
      <c r="G69" s="1002" t="str">
        <f t="shared" si="32"/>
        <v>CIES Line 28</v>
      </c>
      <c r="H69" s="213" t="s">
        <v>1529</v>
      </c>
      <c r="J69" s="163">
        <v>0</v>
      </c>
      <c r="K69" s="163">
        <v>0</v>
      </c>
      <c r="L69" s="165">
        <f t="shared" si="20"/>
        <v>0</v>
      </c>
      <c r="M69" s="163">
        <v>0</v>
      </c>
      <c r="N69" s="163">
        <v>0</v>
      </c>
      <c r="O69" s="165">
        <f t="shared" si="26"/>
        <v>0</v>
      </c>
      <c r="P69" s="163">
        <v>0</v>
      </c>
      <c r="Q69" s="163">
        <v>0</v>
      </c>
      <c r="R69" s="165">
        <f t="shared" si="28"/>
        <v>0</v>
      </c>
      <c r="S69" s="160">
        <v>0</v>
      </c>
      <c r="T69" s="160">
        <v>0</v>
      </c>
      <c r="U69" s="161">
        <f t="shared" si="21"/>
        <v>0</v>
      </c>
      <c r="V69" s="36"/>
      <c r="W69" s="212" t="str">
        <f t="shared" si="27"/>
        <v>CIES Line 28</v>
      </c>
      <c r="Y69" s="165"/>
      <c r="Z69" s="165"/>
      <c r="AA69" s="165"/>
      <c r="AB69" s="165"/>
      <c r="AC69" s="7"/>
      <c r="AD69" s="4"/>
    </row>
    <row r="70" spans="1:30" x14ac:dyDescent="0.3">
      <c r="A70" s="31">
        <v>29</v>
      </c>
      <c r="B70" s="31"/>
      <c r="C70" s="31" t="s">
        <v>154</v>
      </c>
      <c r="D70" s="31" t="str">
        <f t="shared" si="30"/>
        <v>Do Not Print</v>
      </c>
      <c r="E70" s="1002" t="str">
        <f t="shared" si="32"/>
        <v>CIES Line 29</v>
      </c>
      <c r="F70" s="1002" t="str">
        <f t="shared" si="32"/>
        <v>CIES Line 29</v>
      </c>
      <c r="G70" s="1002" t="str">
        <f t="shared" si="32"/>
        <v>CIES Line 29</v>
      </c>
      <c r="H70" s="213" t="s">
        <v>1529</v>
      </c>
      <c r="J70" s="163">
        <v>0</v>
      </c>
      <c r="K70" s="163">
        <v>0</v>
      </c>
      <c r="L70" s="165">
        <f t="shared" si="20"/>
        <v>0</v>
      </c>
      <c r="M70" s="163">
        <v>0</v>
      </c>
      <c r="N70" s="163">
        <v>0</v>
      </c>
      <c r="O70" s="165">
        <f t="shared" si="26"/>
        <v>0</v>
      </c>
      <c r="P70" s="163">
        <v>0</v>
      </c>
      <c r="Q70" s="163">
        <v>0</v>
      </c>
      <c r="R70" s="165">
        <f t="shared" si="28"/>
        <v>0</v>
      </c>
      <c r="S70" s="160">
        <v>0</v>
      </c>
      <c r="T70" s="160">
        <v>0</v>
      </c>
      <c r="U70" s="161">
        <f t="shared" si="21"/>
        <v>0</v>
      </c>
      <c r="V70" s="36"/>
      <c r="W70" s="212" t="str">
        <f t="shared" si="27"/>
        <v>CIES Line 29</v>
      </c>
      <c r="Y70" s="165"/>
      <c r="Z70" s="165"/>
      <c r="AA70" s="165"/>
      <c r="AB70" s="165"/>
      <c r="AC70" s="7"/>
      <c r="AD70" s="4"/>
    </row>
    <row r="71" spans="1:30" x14ac:dyDescent="0.3">
      <c r="A71" s="31">
        <v>30</v>
      </c>
      <c r="B71" s="31"/>
      <c r="C71" s="31" t="s">
        <v>154</v>
      </c>
      <c r="D71" s="31" t="str">
        <f t="shared" si="30"/>
        <v>Do Not Print</v>
      </c>
      <c r="E71" s="1002" t="str">
        <f t="shared" si="32"/>
        <v>CIES Line 30</v>
      </c>
      <c r="F71" s="1002" t="str">
        <f t="shared" si="32"/>
        <v>CIES Line 30</v>
      </c>
      <c r="G71" s="1002" t="str">
        <f t="shared" si="32"/>
        <v>CIES Line 30</v>
      </c>
      <c r="H71" s="213" t="s">
        <v>1529</v>
      </c>
      <c r="J71" s="163">
        <v>0</v>
      </c>
      <c r="K71" s="163">
        <v>0</v>
      </c>
      <c r="L71" s="165">
        <f t="shared" si="20"/>
        <v>0</v>
      </c>
      <c r="M71" s="163">
        <v>0</v>
      </c>
      <c r="N71" s="163">
        <v>0</v>
      </c>
      <c r="O71" s="165">
        <f t="shared" si="26"/>
        <v>0</v>
      </c>
      <c r="P71" s="163">
        <v>0</v>
      </c>
      <c r="Q71" s="163">
        <v>0</v>
      </c>
      <c r="R71" s="165">
        <f t="shared" si="28"/>
        <v>0</v>
      </c>
      <c r="S71" s="160">
        <v>0</v>
      </c>
      <c r="T71" s="160">
        <v>0</v>
      </c>
      <c r="U71" s="161">
        <f t="shared" si="21"/>
        <v>0</v>
      </c>
      <c r="V71" s="36"/>
      <c r="W71" s="212" t="str">
        <f t="shared" si="27"/>
        <v>CIES Line 30</v>
      </c>
      <c r="Y71" s="165"/>
      <c r="Z71" s="165"/>
      <c r="AA71" s="165"/>
      <c r="AB71" s="165"/>
      <c r="AC71" s="7"/>
      <c r="AD71" s="4"/>
    </row>
    <row r="72" spans="1:30" x14ac:dyDescent="0.3">
      <c r="A72" s="31">
        <v>31</v>
      </c>
      <c r="B72" s="31"/>
      <c r="C72" s="31" t="s">
        <v>154</v>
      </c>
      <c r="D72" s="31" t="str">
        <f t="shared" si="30"/>
        <v>Do Not Print</v>
      </c>
      <c r="E72" s="1002" t="str">
        <f t="shared" si="32"/>
        <v>CIES Line 31</v>
      </c>
      <c r="F72" s="1002" t="str">
        <f t="shared" si="32"/>
        <v>CIES Line 31</v>
      </c>
      <c r="G72" s="1002" t="str">
        <f t="shared" si="32"/>
        <v>CIES Line 31</v>
      </c>
      <c r="H72" s="213" t="s">
        <v>1529</v>
      </c>
      <c r="J72" s="163">
        <v>0</v>
      </c>
      <c r="K72" s="163">
        <v>0</v>
      </c>
      <c r="L72" s="165">
        <f t="shared" si="20"/>
        <v>0</v>
      </c>
      <c r="M72" s="163">
        <v>0</v>
      </c>
      <c r="N72" s="163">
        <v>0</v>
      </c>
      <c r="O72" s="165">
        <f t="shared" si="26"/>
        <v>0</v>
      </c>
      <c r="P72" s="163">
        <v>0</v>
      </c>
      <c r="Q72" s="163">
        <v>0</v>
      </c>
      <c r="R72" s="165">
        <f t="shared" si="28"/>
        <v>0</v>
      </c>
      <c r="S72" s="160">
        <v>0</v>
      </c>
      <c r="T72" s="160">
        <v>0</v>
      </c>
      <c r="U72" s="161">
        <f t="shared" si="21"/>
        <v>0</v>
      </c>
      <c r="V72" s="36"/>
      <c r="W72" s="212" t="str">
        <f t="shared" si="27"/>
        <v>CIES Line 31</v>
      </c>
      <c r="Y72" s="165"/>
      <c r="Z72" s="165"/>
      <c r="AA72" s="165"/>
      <c r="AB72" s="165"/>
      <c r="AC72" s="7"/>
      <c r="AD72" s="4"/>
    </row>
    <row r="73" spans="1:30" x14ac:dyDescent="0.3">
      <c r="A73" s="31">
        <v>32</v>
      </c>
      <c r="B73" s="31"/>
      <c r="C73" s="31" t="s">
        <v>154</v>
      </c>
      <c r="D73" s="31" t="str">
        <f t="shared" si="30"/>
        <v>Do Not Print</v>
      </c>
      <c r="E73" s="1002" t="str">
        <f t="shared" si="32"/>
        <v>CIES Line 32</v>
      </c>
      <c r="F73" s="1002" t="str">
        <f t="shared" si="32"/>
        <v>CIES Line 32</v>
      </c>
      <c r="G73" s="1002" t="str">
        <f t="shared" si="32"/>
        <v>CIES Line 32</v>
      </c>
      <c r="H73" s="213" t="s">
        <v>1529</v>
      </c>
      <c r="J73" s="163">
        <v>0</v>
      </c>
      <c r="K73" s="163">
        <v>0</v>
      </c>
      <c r="L73" s="165">
        <f t="shared" si="20"/>
        <v>0</v>
      </c>
      <c r="M73" s="163">
        <v>0</v>
      </c>
      <c r="N73" s="163">
        <v>0</v>
      </c>
      <c r="O73" s="165">
        <f t="shared" si="26"/>
        <v>0</v>
      </c>
      <c r="P73" s="163">
        <v>0</v>
      </c>
      <c r="Q73" s="163">
        <v>0</v>
      </c>
      <c r="R73" s="165">
        <f t="shared" si="28"/>
        <v>0</v>
      </c>
      <c r="S73" s="160">
        <v>0</v>
      </c>
      <c r="T73" s="160">
        <v>0</v>
      </c>
      <c r="U73" s="161">
        <f t="shared" si="21"/>
        <v>0</v>
      </c>
      <c r="V73" s="36"/>
      <c r="W73" s="212" t="str">
        <f t="shared" si="27"/>
        <v>CIES Line 32</v>
      </c>
      <c r="Y73" s="165"/>
      <c r="Z73" s="165"/>
      <c r="AA73" s="165"/>
      <c r="AB73" s="165"/>
      <c r="AC73" s="7"/>
      <c r="AD73" s="4"/>
    </row>
    <row r="74" spans="1:30" x14ac:dyDescent="0.3">
      <c r="A74" s="31">
        <v>33</v>
      </c>
      <c r="B74" s="31"/>
      <c r="C74" s="31" t="s">
        <v>154</v>
      </c>
      <c r="D74" s="31" t="str">
        <f t="shared" si="30"/>
        <v>Do Not Print</v>
      </c>
      <c r="E74" s="1002" t="str">
        <f t="shared" si="32"/>
        <v>CIES Line 33</v>
      </c>
      <c r="F74" s="1002" t="str">
        <f t="shared" si="32"/>
        <v>CIES Line 33</v>
      </c>
      <c r="G74" s="1002" t="str">
        <f t="shared" si="32"/>
        <v>CIES Line 33</v>
      </c>
      <c r="H74" s="213" t="s">
        <v>1529</v>
      </c>
      <c r="J74" s="163">
        <v>0</v>
      </c>
      <c r="K74" s="163">
        <v>0</v>
      </c>
      <c r="L74" s="165">
        <f t="shared" si="20"/>
        <v>0</v>
      </c>
      <c r="M74" s="163">
        <v>0</v>
      </c>
      <c r="N74" s="163">
        <v>0</v>
      </c>
      <c r="O74" s="165">
        <f t="shared" si="26"/>
        <v>0</v>
      </c>
      <c r="P74" s="163">
        <v>0</v>
      </c>
      <c r="Q74" s="163">
        <v>0</v>
      </c>
      <c r="R74" s="165">
        <f t="shared" si="28"/>
        <v>0</v>
      </c>
      <c r="S74" s="160">
        <v>0</v>
      </c>
      <c r="T74" s="160">
        <v>0</v>
      </c>
      <c r="U74" s="161">
        <f t="shared" si="21"/>
        <v>0</v>
      </c>
      <c r="V74" s="36"/>
      <c r="W74" s="212" t="str">
        <f t="shared" si="27"/>
        <v>CIES Line 33</v>
      </c>
      <c r="Y74" s="165"/>
      <c r="Z74" s="165"/>
      <c r="AA74" s="165"/>
      <c r="AB74" s="165"/>
      <c r="AC74" s="7"/>
      <c r="AD74" s="4"/>
    </row>
    <row r="75" spans="1:30" x14ac:dyDescent="0.3">
      <c r="A75" s="31">
        <v>34</v>
      </c>
      <c r="B75" s="31"/>
      <c r="C75" s="31" t="s">
        <v>154</v>
      </c>
      <c r="D75" s="31" t="str">
        <f t="shared" si="30"/>
        <v>Do Not Print</v>
      </c>
      <c r="E75" s="1002" t="str">
        <f t="shared" si="32"/>
        <v>CIES Line 34</v>
      </c>
      <c r="F75" s="1002" t="str">
        <f t="shared" si="32"/>
        <v>CIES Line 34</v>
      </c>
      <c r="G75" s="1002" t="str">
        <f t="shared" si="32"/>
        <v>CIES Line 34</v>
      </c>
      <c r="H75" s="213" t="s">
        <v>1529</v>
      </c>
      <c r="J75" s="163">
        <v>0</v>
      </c>
      <c r="K75" s="163">
        <v>0</v>
      </c>
      <c r="L75" s="165">
        <f t="shared" si="20"/>
        <v>0</v>
      </c>
      <c r="M75" s="163">
        <v>0</v>
      </c>
      <c r="N75" s="163">
        <v>0</v>
      </c>
      <c r="O75" s="165">
        <f t="shared" si="26"/>
        <v>0</v>
      </c>
      <c r="P75" s="163">
        <v>0</v>
      </c>
      <c r="Q75" s="163">
        <v>0</v>
      </c>
      <c r="R75" s="165">
        <f t="shared" si="28"/>
        <v>0</v>
      </c>
      <c r="S75" s="160">
        <v>0</v>
      </c>
      <c r="T75" s="160">
        <v>0</v>
      </c>
      <c r="U75" s="161">
        <f t="shared" si="21"/>
        <v>0</v>
      </c>
      <c r="V75" s="36"/>
      <c r="W75" s="212" t="str">
        <f t="shared" si="27"/>
        <v>CIES Line 34</v>
      </c>
      <c r="Y75" s="165"/>
      <c r="Z75" s="165"/>
      <c r="AA75" s="165"/>
      <c r="AB75" s="165"/>
      <c r="AC75" s="7"/>
      <c r="AD75" s="4"/>
    </row>
    <row r="76" spans="1:30" x14ac:dyDescent="0.3">
      <c r="A76" s="31">
        <v>35</v>
      </c>
      <c r="B76" s="31"/>
      <c r="C76" s="31" t="s">
        <v>154</v>
      </c>
      <c r="D76" s="31" t="str">
        <f t="shared" si="30"/>
        <v>Do Not Print</v>
      </c>
      <c r="E76" s="1002" t="str">
        <f t="shared" si="32"/>
        <v>CIES Line 35</v>
      </c>
      <c r="F76" s="1002" t="str">
        <f t="shared" si="32"/>
        <v>CIES Line 35</v>
      </c>
      <c r="G76" s="1002" t="str">
        <f t="shared" si="32"/>
        <v>CIES Line 35</v>
      </c>
      <c r="H76" s="213" t="s">
        <v>1529</v>
      </c>
      <c r="J76" s="163">
        <v>0</v>
      </c>
      <c r="K76" s="163">
        <v>0</v>
      </c>
      <c r="L76" s="165">
        <f t="shared" si="20"/>
        <v>0</v>
      </c>
      <c r="M76" s="163">
        <v>0</v>
      </c>
      <c r="N76" s="163">
        <v>0</v>
      </c>
      <c r="O76" s="165">
        <f t="shared" si="26"/>
        <v>0</v>
      </c>
      <c r="P76" s="163">
        <v>0</v>
      </c>
      <c r="Q76" s="163">
        <v>0</v>
      </c>
      <c r="R76" s="165">
        <f t="shared" si="28"/>
        <v>0</v>
      </c>
      <c r="S76" s="160">
        <v>0</v>
      </c>
      <c r="T76" s="160">
        <v>0</v>
      </c>
      <c r="U76" s="161">
        <f t="shared" si="21"/>
        <v>0</v>
      </c>
      <c r="V76" s="36"/>
      <c r="W76" s="212" t="str">
        <f t="shared" si="27"/>
        <v>CIES Line 35</v>
      </c>
      <c r="Y76" s="165"/>
      <c r="Z76" s="165"/>
      <c r="AA76" s="165"/>
      <c r="AB76" s="165"/>
      <c r="AC76" s="7"/>
      <c r="AD76" s="4"/>
    </row>
    <row r="77" spans="1:30" ht="41.4" x14ac:dyDescent="0.3">
      <c r="A77" s="31">
        <v>36</v>
      </c>
      <c r="B77" s="75" t="s">
        <v>151</v>
      </c>
      <c r="C77" s="31" t="s">
        <v>154</v>
      </c>
      <c r="D77" s="31" t="str">
        <f t="shared" ref="D77:D116" si="33">IF(AND(O77=0,U77=0,V77=0),"Do Not Print","Print")</f>
        <v>Do Not Print</v>
      </c>
      <c r="E77" s="216" t="s">
        <v>161</v>
      </c>
      <c r="F77" s="220" t="s">
        <v>161</v>
      </c>
      <c r="G77" s="221" t="s">
        <v>163</v>
      </c>
      <c r="H77" s="212" t="s">
        <v>163</v>
      </c>
      <c r="J77" s="836">
        <v>0</v>
      </c>
      <c r="K77" s="163">
        <v>0</v>
      </c>
      <c r="L77" s="165">
        <f t="shared" ref="L77:L118" si="34">SUM(J77:K77)</f>
        <v>0</v>
      </c>
      <c r="M77" s="836">
        <v>0</v>
      </c>
      <c r="N77" s="163">
        <v>0</v>
      </c>
      <c r="O77" s="165">
        <f t="shared" ref="O77:O118" si="35">L77+SUM(M77:N77)</f>
        <v>0</v>
      </c>
      <c r="P77" s="836">
        <v>0</v>
      </c>
      <c r="Q77" s="163">
        <v>0</v>
      </c>
      <c r="R77" s="165">
        <f t="shared" ref="R77:R118" si="36">SUM(P77:Q77)</f>
        <v>0</v>
      </c>
      <c r="S77" s="162">
        <v>0</v>
      </c>
      <c r="T77" s="163">
        <v>0</v>
      </c>
      <c r="U77" s="161">
        <f t="shared" ref="U77:U118" si="37">SUM(S77:T77)+R77</f>
        <v>0</v>
      </c>
      <c r="W77" s="212" t="s">
        <v>163</v>
      </c>
      <c r="Y77" s="165">
        <f t="shared" ref="Y77:Y118" si="38">ROUND(L77,0)</f>
        <v>0</v>
      </c>
      <c r="Z77" s="165">
        <f t="shared" ref="Z77:Z118" si="39">ROUND(R77,0)</f>
        <v>0</v>
      </c>
      <c r="AA77" s="165">
        <v>0</v>
      </c>
      <c r="AB77" s="165">
        <f t="shared" ref="AB77:AB85" si="40">ROUND(U77,0)</f>
        <v>0</v>
      </c>
      <c r="AC77" s="7"/>
      <c r="AD77" s="4"/>
    </row>
    <row r="78" spans="1:30" ht="41.4" x14ac:dyDescent="0.3">
      <c r="A78" s="31">
        <v>36</v>
      </c>
      <c r="B78" s="75" t="s">
        <v>151</v>
      </c>
      <c r="C78" s="31" t="s">
        <v>154</v>
      </c>
      <c r="D78" s="31" t="str">
        <f>IF(AND(O78=0,U78=0,V78=0),"Do Not Print","Print")</f>
        <v>Do Not Print</v>
      </c>
      <c r="E78" s="216" t="s">
        <v>161</v>
      </c>
      <c r="F78" s="220" t="s">
        <v>161</v>
      </c>
      <c r="G78" s="221" t="s">
        <v>117</v>
      </c>
      <c r="H78" s="212" t="s">
        <v>117</v>
      </c>
      <c r="J78" s="163">
        <v>0</v>
      </c>
      <c r="K78" s="163">
        <v>0</v>
      </c>
      <c r="L78" s="165">
        <f t="shared" si="34"/>
        <v>0</v>
      </c>
      <c r="M78" s="163">
        <v>0</v>
      </c>
      <c r="N78" s="163">
        <v>0</v>
      </c>
      <c r="O78" s="165">
        <f t="shared" si="35"/>
        <v>0</v>
      </c>
      <c r="P78" s="163">
        <v>0</v>
      </c>
      <c r="Q78" s="163">
        <v>0</v>
      </c>
      <c r="R78" s="165">
        <f t="shared" si="36"/>
        <v>0</v>
      </c>
      <c r="S78" s="163">
        <v>0</v>
      </c>
      <c r="T78" s="163">
        <v>0</v>
      </c>
      <c r="U78" s="161">
        <f t="shared" si="37"/>
        <v>0</v>
      </c>
      <c r="W78" s="212" t="s">
        <v>117</v>
      </c>
      <c r="Y78" s="165">
        <f t="shared" si="38"/>
        <v>0</v>
      </c>
      <c r="Z78" s="165">
        <f t="shared" si="39"/>
        <v>0</v>
      </c>
      <c r="AA78" s="165">
        <f t="shared" ref="AA78:AA85" si="41">ROUND(O78,0)</f>
        <v>0</v>
      </c>
      <c r="AB78" s="165">
        <f t="shared" si="40"/>
        <v>0</v>
      </c>
      <c r="AC78" s="7"/>
      <c r="AD78" s="4"/>
    </row>
    <row r="79" spans="1:30" ht="41.4" x14ac:dyDescent="0.3">
      <c r="A79" s="31">
        <v>36</v>
      </c>
      <c r="B79" s="75" t="s">
        <v>151</v>
      </c>
      <c r="C79" s="31" t="s">
        <v>154</v>
      </c>
      <c r="D79" s="31" t="str">
        <f>IF(AND(O79=0,U79=0,V79=0),"Do Not Print","Print")</f>
        <v>Do Not Print</v>
      </c>
      <c r="E79" s="216" t="s">
        <v>161</v>
      </c>
      <c r="F79" s="220" t="s">
        <v>161</v>
      </c>
      <c r="G79" s="221" t="s">
        <v>152</v>
      </c>
      <c r="H79" s="212" t="s">
        <v>152</v>
      </c>
      <c r="J79" s="836">
        <v>0</v>
      </c>
      <c r="K79" s="163">
        <v>0</v>
      </c>
      <c r="L79" s="165">
        <f t="shared" si="34"/>
        <v>0</v>
      </c>
      <c r="M79" s="836">
        <v>0</v>
      </c>
      <c r="N79" s="163">
        <v>0</v>
      </c>
      <c r="O79" s="165">
        <f t="shared" si="35"/>
        <v>0</v>
      </c>
      <c r="P79" s="836">
        <v>0</v>
      </c>
      <c r="Q79" s="163">
        <v>0</v>
      </c>
      <c r="R79" s="165">
        <f t="shared" si="36"/>
        <v>0</v>
      </c>
      <c r="S79" s="162">
        <v>0</v>
      </c>
      <c r="T79" s="163">
        <v>0</v>
      </c>
      <c r="U79" s="161">
        <f t="shared" si="37"/>
        <v>0</v>
      </c>
      <c r="W79" s="212" t="s">
        <v>152</v>
      </c>
      <c r="Y79" s="165">
        <f t="shared" si="38"/>
        <v>0</v>
      </c>
      <c r="Z79" s="165">
        <f t="shared" si="39"/>
        <v>0</v>
      </c>
      <c r="AA79" s="165">
        <f t="shared" si="41"/>
        <v>0</v>
      </c>
      <c r="AB79" s="165">
        <f t="shared" si="40"/>
        <v>0</v>
      </c>
      <c r="AC79" s="7"/>
      <c r="AD79" s="4"/>
    </row>
    <row r="80" spans="1:30" ht="55.2" x14ac:dyDescent="0.3">
      <c r="A80" s="31">
        <v>37</v>
      </c>
      <c r="B80" s="31" t="s">
        <v>446</v>
      </c>
      <c r="C80" s="31" t="s">
        <v>154</v>
      </c>
      <c r="D80" s="31" t="str">
        <f t="shared" si="33"/>
        <v>Do Not Print</v>
      </c>
      <c r="E80" s="217" t="s">
        <v>164</v>
      </c>
      <c r="F80" s="220" t="s">
        <v>2967</v>
      </c>
      <c r="G80" s="222" t="s">
        <v>2967</v>
      </c>
      <c r="H80" s="213" t="s">
        <v>2967</v>
      </c>
      <c r="J80" s="837">
        <v>0</v>
      </c>
      <c r="K80" s="163">
        <v>0</v>
      </c>
      <c r="L80" s="165">
        <f t="shared" si="34"/>
        <v>0</v>
      </c>
      <c r="M80" s="163">
        <v>0</v>
      </c>
      <c r="N80" s="163">
        <v>0</v>
      </c>
      <c r="O80" s="165">
        <f t="shared" si="35"/>
        <v>0</v>
      </c>
      <c r="P80" s="837">
        <v>0</v>
      </c>
      <c r="Q80" s="163">
        <v>0</v>
      </c>
      <c r="R80" s="165">
        <f t="shared" si="36"/>
        <v>0</v>
      </c>
      <c r="S80" s="163">
        <v>0</v>
      </c>
      <c r="T80" s="163">
        <v>0</v>
      </c>
      <c r="U80" s="161">
        <f t="shared" si="37"/>
        <v>0</v>
      </c>
      <c r="W80" s="213" t="s">
        <v>2967</v>
      </c>
      <c r="Y80" s="165">
        <f t="shared" si="38"/>
        <v>0</v>
      </c>
      <c r="Z80" s="165">
        <f t="shared" si="39"/>
        <v>0</v>
      </c>
      <c r="AA80" s="165">
        <f t="shared" si="41"/>
        <v>0</v>
      </c>
      <c r="AB80" s="165">
        <f t="shared" si="40"/>
        <v>0</v>
      </c>
      <c r="AC80" s="7"/>
      <c r="AD80" s="4"/>
    </row>
    <row r="81" spans="1:30" ht="55.2" x14ac:dyDescent="0.3">
      <c r="A81" s="31">
        <v>37</v>
      </c>
      <c r="B81" s="31" t="s">
        <v>446</v>
      </c>
      <c r="C81" s="31" t="s">
        <v>154</v>
      </c>
      <c r="D81" s="31" t="str">
        <f t="shared" si="33"/>
        <v>Do Not Print</v>
      </c>
      <c r="E81" s="217" t="s">
        <v>164</v>
      </c>
      <c r="F81" s="220" t="s">
        <v>165</v>
      </c>
      <c r="G81" s="220" t="s">
        <v>166</v>
      </c>
      <c r="H81" s="214" t="s">
        <v>166</v>
      </c>
      <c r="I81">
        <v>8</v>
      </c>
      <c r="J81" s="163">
        <v>0</v>
      </c>
      <c r="K81" s="163">
        <v>0</v>
      </c>
      <c r="L81" s="165">
        <f t="shared" si="34"/>
        <v>0</v>
      </c>
      <c r="M81" s="163">
        <v>0</v>
      </c>
      <c r="N81" s="163">
        <v>0</v>
      </c>
      <c r="O81" s="165">
        <f t="shared" si="35"/>
        <v>0</v>
      </c>
      <c r="P81" s="163">
        <v>0</v>
      </c>
      <c r="Q81" s="163">
        <v>0</v>
      </c>
      <c r="R81" s="165">
        <f t="shared" si="36"/>
        <v>0</v>
      </c>
      <c r="S81" s="163">
        <v>0</v>
      </c>
      <c r="T81" s="163">
        <v>0</v>
      </c>
      <c r="U81" s="161">
        <f t="shared" si="37"/>
        <v>0</v>
      </c>
      <c r="W81" s="214" t="s">
        <v>166</v>
      </c>
      <c r="Y81" s="165">
        <f t="shared" si="38"/>
        <v>0</v>
      </c>
      <c r="Z81" s="165">
        <f t="shared" si="39"/>
        <v>0</v>
      </c>
      <c r="AA81" s="165">
        <f t="shared" si="41"/>
        <v>0</v>
      </c>
      <c r="AB81" s="165">
        <f t="shared" si="40"/>
        <v>0</v>
      </c>
      <c r="AC81" s="7"/>
      <c r="AD81" s="4"/>
    </row>
    <row r="82" spans="1:30" ht="55.2" x14ac:dyDescent="0.3">
      <c r="A82" s="31">
        <v>37</v>
      </c>
      <c r="B82" s="31" t="s">
        <v>446</v>
      </c>
      <c r="C82" s="31" t="s">
        <v>154</v>
      </c>
      <c r="D82" s="31" t="str">
        <f t="shared" si="33"/>
        <v>Do Not Print</v>
      </c>
      <c r="E82" s="217" t="s">
        <v>164</v>
      </c>
      <c r="F82" s="220" t="s">
        <v>167</v>
      </c>
      <c r="G82" s="220" t="s">
        <v>168</v>
      </c>
      <c r="H82" s="214" t="s">
        <v>168</v>
      </c>
      <c r="I82">
        <v>8</v>
      </c>
      <c r="J82" s="163">
        <v>0</v>
      </c>
      <c r="K82" s="163">
        <v>0</v>
      </c>
      <c r="L82" s="165">
        <f t="shared" si="34"/>
        <v>0</v>
      </c>
      <c r="M82" s="163">
        <v>0</v>
      </c>
      <c r="N82" s="163">
        <v>0</v>
      </c>
      <c r="O82" s="165">
        <f t="shared" si="35"/>
        <v>0</v>
      </c>
      <c r="P82" s="163">
        <v>0</v>
      </c>
      <c r="Q82" s="163">
        <v>0</v>
      </c>
      <c r="R82" s="165">
        <f t="shared" si="36"/>
        <v>0</v>
      </c>
      <c r="S82" s="163">
        <v>0</v>
      </c>
      <c r="T82" s="163">
        <v>0</v>
      </c>
      <c r="U82" s="161">
        <f t="shared" si="37"/>
        <v>0</v>
      </c>
      <c r="W82" s="214" t="s">
        <v>168</v>
      </c>
      <c r="Y82" s="165">
        <f t="shared" si="38"/>
        <v>0</v>
      </c>
      <c r="Z82" s="165">
        <f t="shared" si="39"/>
        <v>0</v>
      </c>
      <c r="AA82" s="165">
        <f t="shared" si="41"/>
        <v>0</v>
      </c>
      <c r="AB82" s="165">
        <f t="shared" si="40"/>
        <v>0</v>
      </c>
      <c r="AC82" s="7"/>
      <c r="AD82" s="4"/>
    </row>
    <row r="83" spans="1:30" ht="55.2" x14ac:dyDescent="0.3">
      <c r="A83" s="31">
        <v>37</v>
      </c>
      <c r="B83" s="31" t="s">
        <v>446</v>
      </c>
      <c r="C83" s="31" t="s">
        <v>154</v>
      </c>
      <c r="D83" s="31" t="str">
        <f t="shared" si="33"/>
        <v>Do Not Print</v>
      </c>
      <c r="E83" s="217" t="s">
        <v>164</v>
      </c>
      <c r="F83" s="220" t="s">
        <v>169</v>
      </c>
      <c r="G83" s="220" t="s">
        <v>170</v>
      </c>
      <c r="H83" s="214" t="s">
        <v>170</v>
      </c>
      <c r="J83" s="163">
        <v>0</v>
      </c>
      <c r="K83" s="163">
        <v>0</v>
      </c>
      <c r="L83" s="165">
        <f t="shared" si="34"/>
        <v>0</v>
      </c>
      <c r="M83" s="163">
        <v>0</v>
      </c>
      <c r="N83" s="163">
        <v>0</v>
      </c>
      <c r="O83" s="165">
        <f t="shared" si="35"/>
        <v>0</v>
      </c>
      <c r="P83" s="163">
        <v>0</v>
      </c>
      <c r="Q83" s="163">
        <v>0</v>
      </c>
      <c r="R83" s="165">
        <f t="shared" si="36"/>
        <v>0</v>
      </c>
      <c r="S83" s="163">
        <v>0</v>
      </c>
      <c r="T83" s="163">
        <v>0</v>
      </c>
      <c r="U83" s="161">
        <f t="shared" si="37"/>
        <v>0</v>
      </c>
      <c r="W83" s="214" t="s">
        <v>170</v>
      </c>
      <c r="Y83" s="165">
        <f t="shared" si="38"/>
        <v>0</v>
      </c>
      <c r="Z83" s="165">
        <f t="shared" si="39"/>
        <v>0</v>
      </c>
      <c r="AA83" s="165">
        <f t="shared" si="41"/>
        <v>0</v>
      </c>
      <c r="AB83" s="165">
        <f t="shared" si="40"/>
        <v>0</v>
      </c>
      <c r="AC83" s="7"/>
      <c r="AD83" s="4"/>
    </row>
    <row r="84" spans="1:30" ht="55.2" x14ac:dyDescent="0.3">
      <c r="A84" s="31">
        <v>37</v>
      </c>
      <c r="B84" s="31" t="s">
        <v>446</v>
      </c>
      <c r="C84" s="31" t="s">
        <v>154</v>
      </c>
      <c r="D84" s="31" t="str">
        <f t="shared" si="33"/>
        <v>Do Not Print</v>
      </c>
      <c r="E84" s="217" t="s">
        <v>164</v>
      </c>
      <c r="F84" s="220" t="s">
        <v>171</v>
      </c>
      <c r="G84" s="220" t="s">
        <v>172</v>
      </c>
      <c r="H84" s="235" t="s">
        <v>172</v>
      </c>
      <c r="J84" s="163">
        <v>0</v>
      </c>
      <c r="K84" s="163">
        <v>0</v>
      </c>
      <c r="L84" s="165">
        <f t="shared" si="34"/>
        <v>0</v>
      </c>
      <c r="M84" s="163">
        <v>0</v>
      </c>
      <c r="N84" s="163">
        <v>0</v>
      </c>
      <c r="O84" s="165">
        <f t="shared" si="35"/>
        <v>0</v>
      </c>
      <c r="P84" s="163">
        <v>0</v>
      </c>
      <c r="Q84" s="163">
        <v>0</v>
      </c>
      <c r="R84" s="165">
        <f t="shared" si="36"/>
        <v>0</v>
      </c>
      <c r="S84" s="163">
        <v>0</v>
      </c>
      <c r="T84" s="163">
        <v>0</v>
      </c>
      <c r="U84" s="161">
        <f t="shared" si="37"/>
        <v>0</v>
      </c>
      <c r="W84" s="214" t="s">
        <v>172</v>
      </c>
      <c r="Y84" s="165">
        <f t="shared" si="38"/>
        <v>0</v>
      </c>
      <c r="Z84" s="165">
        <f t="shared" si="39"/>
        <v>0</v>
      </c>
      <c r="AA84" s="165">
        <f t="shared" si="41"/>
        <v>0</v>
      </c>
      <c r="AB84" s="165">
        <f t="shared" si="40"/>
        <v>0</v>
      </c>
      <c r="AC84" s="7"/>
      <c r="AD84" s="4"/>
    </row>
    <row r="85" spans="1:30" ht="34.5" customHeight="1" x14ac:dyDescent="0.3">
      <c r="A85" s="31">
        <v>37</v>
      </c>
      <c r="B85" s="31" t="s">
        <v>447</v>
      </c>
      <c r="C85" s="31" t="s">
        <v>154</v>
      </c>
      <c r="D85" s="31" t="str">
        <f t="shared" si="33"/>
        <v>Do Not Print</v>
      </c>
      <c r="E85" s="217" t="s">
        <v>164</v>
      </c>
      <c r="F85" s="221" t="s">
        <v>173</v>
      </c>
      <c r="G85" s="221" t="s">
        <v>173</v>
      </c>
      <c r="H85" s="212" t="s">
        <v>173</v>
      </c>
      <c r="I85">
        <v>8</v>
      </c>
      <c r="J85" s="836">
        <v>0</v>
      </c>
      <c r="K85" s="163">
        <v>0</v>
      </c>
      <c r="L85" s="165">
        <f t="shared" si="34"/>
        <v>0</v>
      </c>
      <c r="M85" s="836">
        <v>0</v>
      </c>
      <c r="N85" s="163">
        <v>0</v>
      </c>
      <c r="O85" s="165">
        <f t="shared" si="35"/>
        <v>0</v>
      </c>
      <c r="P85" s="836">
        <v>0</v>
      </c>
      <c r="Q85" s="163">
        <v>0</v>
      </c>
      <c r="R85" s="165">
        <f t="shared" si="36"/>
        <v>0</v>
      </c>
      <c r="S85" s="162">
        <v>0</v>
      </c>
      <c r="T85" s="163">
        <v>0</v>
      </c>
      <c r="U85" s="161">
        <f t="shared" si="37"/>
        <v>0</v>
      </c>
      <c r="W85" s="212" t="s">
        <v>173</v>
      </c>
      <c r="Y85" s="165">
        <f t="shared" si="38"/>
        <v>0</v>
      </c>
      <c r="Z85" s="165">
        <f t="shared" si="39"/>
        <v>0</v>
      </c>
      <c r="AA85" s="165">
        <f t="shared" si="41"/>
        <v>0</v>
      </c>
      <c r="AB85" s="165">
        <f t="shared" si="40"/>
        <v>0</v>
      </c>
      <c r="AC85" s="7"/>
      <c r="AD85" s="4"/>
    </row>
    <row r="86" spans="1:30" ht="29.25" customHeight="1" x14ac:dyDescent="0.3">
      <c r="A86" s="31">
        <v>37</v>
      </c>
      <c r="B86" s="31" t="s">
        <v>447</v>
      </c>
      <c r="C86" s="31" t="s">
        <v>154</v>
      </c>
      <c r="D86" s="31" t="str">
        <f t="shared" si="33"/>
        <v>Do Not Print</v>
      </c>
      <c r="E86" s="217" t="s">
        <v>164</v>
      </c>
      <c r="F86" s="221" t="s">
        <v>174</v>
      </c>
      <c r="G86" s="221" t="s">
        <v>174</v>
      </c>
      <c r="H86" s="212" t="s">
        <v>174</v>
      </c>
      <c r="J86" s="836">
        <v>0</v>
      </c>
      <c r="K86" s="163">
        <v>0</v>
      </c>
      <c r="L86" s="165">
        <f t="shared" si="34"/>
        <v>0</v>
      </c>
      <c r="M86" s="836">
        <v>0</v>
      </c>
      <c r="N86" s="163">
        <v>0</v>
      </c>
      <c r="O86" s="165">
        <f t="shared" si="35"/>
        <v>0</v>
      </c>
      <c r="P86" s="836">
        <v>0</v>
      </c>
      <c r="Q86" s="163">
        <v>0</v>
      </c>
      <c r="R86" s="165">
        <f t="shared" si="36"/>
        <v>0</v>
      </c>
      <c r="S86" s="162">
        <v>0</v>
      </c>
      <c r="T86" s="163">
        <v>0</v>
      </c>
      <c r="U86" s="161">
        <f t="shared" si="37"/>
        <v>0</v>
      </c>
      <c r="W86" s="212" t="s">
        <v>174</v>
      </c>
      <c r="Y86" s="165">
        <f t="shared" si="38"/>
        <v>0</v>
      </c>
      <c r="Z86" s="165">
        <f t="shared" si="39"/>
        <v>0</v>
      </c>
      <c r="AA86" s="165">
        <f t="shared" ref="AA86:AA109" si="42">ROUND(O86,0)</f>
        <v>0</v>
      </c>
      <c r="AB86" s="165">
        <f t="shared" ref="AB86:AB109" si="43">ROUND(U86,0)</f>
        <v>0</v>
      </c>
      <c r="AC86" s="7"/>
      <c r="AD86" s="4"/>
    </row>
    <row r="87" spans="1:30" ht="55.2" x14ac:dyDescent="0.3">
      <c r="A87" s="31">
        <v>37</v>
      </c>
      <c r="B87" s="31" t="s">
        <v>447</v>
      </c>
      <c r="C87" s="31" t="s">
        <v>154</v>
      </c>
      <c r="D87" s="31" t="str">
        <f t="shared" si="33"/>
        <v>Do Not Print</v>
      </c>
      <c r="E87" s="217" t="s">
        <v>164</v>
      </c>
      <c r="F87" s="221" t="s">
        <v>175</v>
      </c>
      <c r="G87" s="221" t="s">
        <v>175</v>
      </c>
      <c r="H87" s="212" t="s">
        <v>175</v>
      </c>
      <c r="J87" s="836">
        <v>0</v>
      </c>
      <c r="K87" s="163">
        <v>0</v>
      </c>
      <c r="L87" s="165">
        <f t="shared" si="34"/>
        <v>0</v>
      </c>
      <c r="M87" s="836">
        <v>0</v>
      </c>
      <c r="N87" s="163">
        <v>0</v>
      </c>
      <c r="O87" s="165">
        <f t="shared" si="35"/>
        <v>0</v>
      </c>
      <c r="P87" s="836">
        <v>0</v>
      </c>
      <c r="Q87" s="163">
        <v>0</v>
      </c>
      <c r="R87" s="165">
        <f t="shared" si="36"/>
        <v>0</v>
      </c>
      <c r="S87" s="162">
        <v>0</v>
      </c>
      <c r="T87" s="163">
        <v>0</v>
      </c>
      <c r="U87" s="161">
        <f t="shared" si="37"/>
        <v>0</v>
      </c>
      <c r="W87" s="212" t="s">
        <v>175</v>
      </c>
      <c r="Y87" s="165">
        <f t="shared" si="38"/>
        <v>0</v>
      </c>
      <c r="Z87" s="165">
        <f t="shared" si="39"/>
        <v>0</v>
      </c>
      <c r="AA87" s="165">
        <f t="shared" si="42"/>
        <v>0</v>
      </c>
      <c r="AB87" s="165">
        <f t="shared" si="43"/>
        <v>0</v>
      </c>
      <c r="AC87" s="7"/>
      <c r="AD87" s="4"/>
    </row>
    <row r="88" spans="1:30" ht="55.2" x14ac:dyDescent="0.3">
      <c r="A88" s="31">
        <v>37</v>
      </c>
      <c r="B88" s="31" t="s">
        <v>447</v>
      </c>
      <c r="C88" s="31" t="s">
        <v>154</v>
      </c>
      <c r="D88" s="31" t="str">
        <f t="shared" si="33"/>
        <v>Do Not Print</v>
      </c>
      <c r="E88" s="217" t="s">
        <v>164</v>
      </c>
      <c r="F88" s="221" t="s">
        <v>176</v>
      </c>
      <c r="G88" s="221" t="s">
        <v>177</v>
      </c>
      <c r="H88" s="212" t="s">
        <v>177</v>
      </c>
      <c r="J88" s="836">
        <v>0</v>
      </c>
      <c r="K88" s="163">
        <v>0</v>
      </c>
      <c r="L88" s="165">
        <f t="shared" si="34"/>
        <v>0</v>
      </c>
      <c r="M88" s="836">
        <v>0</v>
      </c>
      <c r="N88" s="163">
        <v>0</v>
      </c>
      <c r="O88" s="165">
        <f t="shared" si="35"/>
        <v>0</v>
      </c>
      <c r="P88" s="836">
        <v>0</v>
      </c>
      <c r="Q88" s="163">
        <v>0</v>
      </c>
      <c r="R88" s="165">
        <f t="shared" si="36"/>
        <v>0</v>
      </c>
      <c r="S88" s="162">
        <v>0</v>
      </c>
      <c r="T88" s="163">
        <v>0</v>
      </c>
      <c r="U88" s="161">
        <f t="shared" si="37"/>
        <v>0</v>
      </c>
      <c r="W88" s="212" t="s">
        <v>177</v>
      </c>
      <c r="Y88" s="165">
        <f t="shared" si="38"/>
        <v>0</v>
      </c>
      <c r="Z88" s="165">
        <f t="shared" si="39"/>
        <v>0</v>
      </c>
      <c r="AA88" s="165">
        <f t="shared" si="42"/>
        <v>0</v>
      </c>
      <c r="AB88" s="165">
        <f t="shared" si="43"/>
        <v>0</v>
      </c>
      <c r="AC88" s="7"/>
      <c r="AD88" s="4"/>
    </row>
    <row r="89" spans="1:30" ht="55.2" x14ac:dyDescent="0.3">
      <c r="A89" s="31">
        <v>37</v>
      </c>
      <c r="B89" s="31" t="s">
        <v>447</v>
      </c>
      <c r="C89" s="31" t="s">
        <v>154</v>
      </c>
      <c r="D89" s="31" t="str">
        <f t="shared" si="33"/>
        <v>Do Not Print</v>
      </c>
      <c r="E89" s="217" t="s">
        <v>164</v>
      </c>
      <c r="F89" s="221" t="s">
        <v>176</v>
      </c>
      <c r="G89" s="221" t="s">
        <v>178</v>
      </c>
      <c r="H89" s="212" t="s">
        <v>178</v>
      </c>
      <c r="J89" s="836">
        <v>0</v>
      </c>
      <c r="K89" s="163">
        <v>0</v>
      </c>
      <c r="L89" s="165">
        <f t="shared" si="34"/>
        <v>0</v>
      </c>
      <c r="M89" s="836">
        <v>0</v>
      </c>
      <c r="N89" s="163">
        <v>0</v>
      </c>
      <c r="O89" s="165">
        <f t="shared" si="35"/>
        <v>0</v>
      </c>
      <c r="P89" s="836">
        <v>0</v>
      </c>
      <c r="Q89" s="163">
        <v>0</v>
      </c>
      <c r="R89" s="165">
        <f t="shared" si="36"/>
        <v>0</v>
      </c>
      <c r="S89" s="162">
        <v>0</v>
      </c>
      <c r="T89" s="163">
        <v>0</v>
      </c>
      <c r="U89" s="161">
        <f t="shared" si="37"/>
        <v>0</v>
      </c>
      <c r="W89" s="212" t="s">
        <v>178</v>
      </c>
      <c r="Y89" s="165">
        <f t="shared" si="38"/>
        <v>0</v>
      </c>
      <c r="Z89" s="165">
        <f t="shared" si="39"/>
        <v>0</v>
      </c>
      <c r="AA89" s="165">
        <f t="shared" si="42"/>
        <v>0</v>
      </c>
      <c r="AB89" s="165">
        <f t="shared" si="43"/>
        <v>0</v>
      </c>
      <c r="AC89" s="7"/>
      <c r="AD89" s="4"/>
    </row>
    <row r="90" spans="1:30" ht="55.2" x14ac:dyDescent="0.3">
      <c r="A90" s="31">
        <v>37</v>
      </c>
      <c r="B90" s="31" t="s">
        <v>447</v>
      </c>
      <c r="C90" s="31" t="s">
        <v>154</v>
      </c>
      <c r="D90" s="31" t="str">
        <f t="shared" si="33"/>
        <v>Do Not Print</v>
      </c>
      <c r="E90" s="217" t="s">
        <v>164</v>
      </c>
      <c r="F90" s="221" t="s">
        <v>176</v>
      </c>
      <c r="G90" s="221" t="s">
        <v>179</v>
      </c>
      <c r="H90" s="212" t="s">
        <v>179</v>
      </c>
      <c r="J90" s="836">
        <v>0</v>
      </c>
      <c r="K90" s="163">
        <v>0</v>
      </c>
      <c r="L90" s="165">
        <f t="shared" si="34"/>
        <v>0</v>
      </c>
      <c r="M90" s="836">
        <v>0</v>
      </c>
      <c r="N90" s="163">
        <v>0</v>
      </c>
      <c r="O90" s="165">
        <f t="shared" si="35"/>
        <v>0</v>
      </c>
      <c r="P90" s="836">
        <v>0</v>
      </c>
      <c r="Q90" s="163">
        <v>0</v>
      </c>
      <c r="R90" s="165">
        <f t="shared" si="36"/>
        <v>0</v>
      </c>
      <c r="S90" s="162">
        <v>0</v>
      </c>
      <c r="T90" s="163">
        <v>0</v>
      </c>
      <c r="U90" s="161">
        <f t="shared" si="37"/>
        <v>0</v>
      </c>
      <c r="W90" s="212" t="s">
        <v>179</v>
      </c>
      <c r="Y90" s="165">
        <f t="shared" si="38"/>
        <v>0</v>
      </c>
      <c r="Z90" s="165">
        <f t="shared" si="39"/>
        <v>0</v>
      </c>
      <c r="AA90" s="165">
        <f t="shared" si="42"/>
        <v>0</v>
      </c>
      <c r="AB90" s="165">
        <f t="shared" si="43"/>
        <v>0</v>
      </c>
      <c r="AC90" s="7"/>
      <c r="AD90" s="4"/>
    </row>
    <row r="91" spans="1:30" ht="55.2" x14ac:dyDescent="0.3">
      <c r="A91" s="31">
        <v>37</v>
      </c>
      <c r="B91" s="31" t="s">
        <v>447</v>
      </c>
      <c r="C91" s="31" t="s">
        <v>154</v>
      </c>
      <c r="D91" s="31" t="str">
        <f>IF(AND(O91=0,U91=0,V91=0),"Do Not Print","Print")</f>
        <v>Do Not Print</v>
      </c>
      <c r="E91" s="217" t="s">
        <v>164</v>
      </c>
      <c r="F91" s="221" t="s">
        <v>180</v>
      </c>
      <c r="G91" s="222" t="s">
        <v>1591</v>
      </c>
      <c r="H91" s="213" t="s">
        <v>1590</v>
      </c>
      <c r="J91" s="163">
        <v>0</v>
      </c>
      <c r="K91" s="163">
        <v>0</v>
      </c>
      <c r="L91" s="165">
        <f t="shared" si="34"/>
        <v>0</v>
      </c>
      <c r="M91" s="163">
        <v>0</v>
      </c>
      <c r="N91" s="163">
        <v>0</v>
      </c>
      <c r="O91" s="165">
        <f t="shared" si="35"/>
        <v>0</v>
      </c>
      <c r="P91" s="163">
        <v>0</v>
      </c>
      <c r="Q91" s="163">
        <v>0</v>
      </c>
      <c r="R91" s="165">
        <f t="shared" si="36"/>
        <v>0</v>
      </c>
      <c r="S91" s="163">
        <v>0</v>
      </c>
      <c r="T91" s="163">
        <v>0</v>
      </c>
      <c r="U91" s="161">
        <f t="shared" si="37"/>
        <v>0</v>
      </c>
      <c r="W91" s="212"/>
      <c r="Y91" s="165">
        <f t="shared" si="38"/>
        <v>0</v>
      </c>
      <c r="Z91" s="165">
        <f t="shared" si="39"/>
        <v>0</v>
      </c>
      <c r="AA91" s="165"/>
      <c r="AB91" s="165"/>
      <c r="AC91" s="7"/>
      <c r="AD91" s="4"/>
    </row>
    <row r="92" spans="1:30" ht="55.2" x14ac:dyDescent="0.3">
      <c r="A92" s="31">
        <v>37</v>
      </c>
      <c r="B92" s="31" t="s">
        <v>447</v>
      </c>
      <c r="C92" s="31" t="s">
        <v>154</v>
      </c>
      <c r="D92" s="31" t="str">
        <f t="shared" si="33"/>
        <v>Do Not Print</v>
      </c>
      <c r="E92" s="217" t="s">
        <v>164</v>
      </c>
      <c r="F92" s="221" t="s">
        <v>180</v>
      </c>
      <c r="G92" s="221" t="s">
        <v>181</v>
      </c>
      <c r="H92" s="213" t="s">
        <v>181</v>
      </c>
      <c r="J92" s="836">
        <v>0</v>
      </c>
      <c r="K92" s="163">
        <v>0</v>
      </c>
      <c r="L92" s="165">
        <f t="shared" si="34"/>
        <v>0</v>
      </c>
      <c r="M92" s="836">
        <v>0</v>
      </c>
      <c r="N92" s="163">
        <v>0</v>
      </c>
      <c r="O92" s="165">
        <f t="shared" si="35"/>
        <v>0</v>
      </c>
      <c r="P92" s="836">
        <v>0</v>
      </c>
      <c r="Q92" s="163">
        <v>0</v>
      </c>
      <c r="R92" s="165">
        <f t="shared" si="36"/>
        <v>0</v>
      </c>
      <c r="S92" s="162">
        <v>0</v>
      </c>
      <c r="T92" s="163">
        <v>0</v>
      </c>
      <c r="U92" s="161">
        <f t="shared" si="37"/>
        <v>0</v>
      </c>
      <c r="W92" s="212" t="s">
        <v>181</v>
      </c>
      <c r="Y92" s="165">
        <f t="shared" si="38"/>
        <v>0</v>
      </c>
      <c r="Z92" s="165">
        <f t="shared" si="39"/>
        <v>0</v>
      </c>
      <c r="AA92" s="165">
        <f t="shared" si="42"/>
        <v>0</v>
      </c>
      <c r="AB92" s="165">
        <f t="shared" si="43"/>
        <v>0</v>
      </c>
      <c r="AC92" s="7"/>
      <c r="AD92" s="4"/>
    </row>
    <row r="93" spans="1:30" ht="55.2" x14ac:dyDescent="0.3">
      <c r="A93" s="31">
        <v>37</v>
      </c>
      <c r="B93" s="31" t="s">
        <v>446</v>
      </c>
      <c r="C93" s="31" t="s">
        <v>154</v>
      </c>
      <c r="D93" s="31" t="str">
        <f t="shared" si="33"/>
        <v>Do Not Print</v>
      </c>
      <c r="E93" s="217" t="s">
        <v>164</v>
      </c>
      <c r="F93" s="221" t="s">
        <v>182</v>
      </c>
      <c r="G93" s="221" t="s">
        <v>182</v>
      </c>
      <c r="H93" s="212" t="s">
        <v>182</v>
      </c>
      <c r="J93" s="163">
        <v>0</v>
      </c>
      <c r="K93" s="163">
        <v>0</v>
      </c>
      <c r="L93" s="165">
        <f t="shared" si="34"/>
        <v>0</v>
      </c>
      <c r="M93" s="163">
        <v>0</v>
      </c>
      <c r="N93" s="163">
        <v>0</v>
      </c>
      <c r="O93" s="165">
        <f t="shared" si="35"/>
        <v>0</v>
      </c>
      <c r="P93" s="163">
        <v>0</v>
      </c>
      <c r="Q93" s="163">
        <v>0</v>
      </c>
      <c r="R93" s="165">
        <f t="shared" si="36"/>
        <v>0</v>
      </c>
      <c r="S93" s="163">
        <v>0</v>
      </c>
      <c r="T93" s="163">
        <v>0</v>
      </c>
      <c r="U93" s="161">
        <f t="shared" si="37"/>
        <v>0</v>
      </c>
      <c r="W93" s="212" t="s">
        <v>182</v>
      </c>
      <c r="Y93" s="165">
        <f t="shared" si="38"/>
        <v>0</v>
      </c>
      <c r="Z93" s="165">
        <f t="shared" si="39"/>
        <v>0</v>
      </c>
      <c r="AA93" s="165">
        <f t="shared" si="42"/>
        <v>0</v>
      </c>
      <c r="AB93" s="165">
        <f t="shared" si="43"/>
        <v>0</v>
      </c>
      <c r="AC93" s="7"/>
      <c r="AD93" s="4"/>
    </row>
    <row r="94" spans="1:30" ht="55.2" x14ac:dyDescent="0.3">
      <c r="A94" s="31">
        <v>37</v>
      </c>
      <c r="B94" s="31" t="s">
        <v>446</v>
      </c>
      <c r="C94" s="31" t="s">
        <v>154</v>
      </c>
      <c r="D94" s="31" t="str">
        <f t="shared" si="33"/>
        <v>Do Not Print</v>
      </c>
      <c r="E94" s="217" t="s">
        <v>164</v>
      </c>
      <c r="F94" s="221" t="s">
        <v>659</v>
      </c>
      <c r="G94" s="221" t="s">
        <v>659</v>
      </c>
      <c r="H94" s="212" t="s">
        <v>659</v>
      </c>
      <c r="J94" s="836">
        <v>0</v>
      </c>
      <c r="K94" s="163">
        <v>0</v>
      </c>
      <c r="L94" s="165">
        <f t="shared" si="34"/>
        <v>0</v>
      </c>
      <c r="M94" s="836">
        <v>0</v>
      </c>
      <c r="N94" s="163">
        <v>0</v>
      </c>
      <c r="O94" s="165">
        <f t="shared" si="35"/>
        <v>0</v>
      </c>
      <c r="P94" s="836">
        <v>0</v>
      </c>
      <c r="Q94" s="163">
        <v>0</v>
      </c>
      <c r="R94" s="165">
        <f t="shared" si="36"/>
        <v>0</v>
      </c>
      <c r="S94" s="162">
        <v>0</v>
      </c>
      <c r="T94" s="163">
        <v>0</v>
      </c>
      <c r="U94" s="161">
        <f t="shared" si="37"/>
        <v>0</v>
      </c>
      <c r="W94" s="212" t="s">
        <v>659</v>
      </c>
      <c r="Y94" s="165">
        <f t="shared" si="38"/>
        <v>0</v>
      </c>
      <c r="Z94" s="165">
        <f t="shared" si="39"/>
        <v>0</v>
      </c>
      <c r="AA94" s="165">
        <f t="shared" si="42"/>
        <v>0</v>
      </c>
      <c r="AB94" s="165">
        <f t="shared" si="43"/>
        <v>0</v>
      </c>
      <c r="AC94" s="7"/>
      <c r="AD94" s="4"/>
    </row>
    <row r="95" spans="1:30" ht="55.2" x14ac:dyDescent="0.3">
      <c r="A95" s="31">
        <v>37</v>
      </c>
      <c r="B95" s="31" t="s">
        <v>89</v>
      </c>
      <c r="C95" s="31" t="s">
        <v>154</v>
      </c>
      <c r="D95" s="31" t="str">
        <f t="shared" si="33"/>
        <v>Do Not Print</v>
      </c>
      <c r="E95" s="217" t="s">
        <v>164</v>
      </c>
      <c r="F95" s="221" t="s">
        <v>661</v>
      </c>
      <c r="G95" s="222" t="s">
        <v>661</v>
      </c>
      <c r="H95" s="212" t="s">
        <v>661</v>
      </c>
      <c r="J95" s="163">
        <v>0</v>
      </c>
      <c r="K95" s="163">
        <v>0</v>
      </c>
      <c r="L95" s="165">
        <f t="shared" si="34"/>
        <v>0</v>
      </c>
      <c r="M95" s="163">
        <v>0</v>
      </c>
      <c r="N95" s="163">
        <v>0</v>
      </c>
      <c r="O95" s="165">
        <f t="shared" si="35"/>
        <v>0</v>
      </c>
      <c r="P95" s="163">
        <v>0</v>
      </c>
      <c r="Q95" s="163">
        <v>0</v>
      </c>
      <c r="R95" s="165">
        <f t="shared" si="36"/>
        <v>0</v>
      </c>
      <c r="S95" s="163">
        <v>0</v>
      </c>
      <c r="T95" s="163">
        <v>0</v>
      </c>
      <c r="U95" s="161">
        <f t="shared" si="37"/>
        <v>0</v>
      </c>
      <c r="V95" s="36"/>
      <c r="W95" s="212" t="s">
        <v>661</v>
      </c>
      <c r="Y95" s="165">
        <f t="shared" si="38"/>
        <v>0</v>
      </c>
      <c r="Z95" s="165">
        <f t="shared" si="39"/>
        <v>0</v>
      </c>
      <c r="AA95" s="165">
        <f t="shared" si="42"/>
        <v>0</v>
      </c>
      <c r="AB95" s="165">
        <f t="shared" si="43"/>
        <v>0</v>
      </c>
      <c r="AC95" s="7"/>
      <c r="AD95" s="4"/>
    </row>
    <row r="96" spans="1:30" ht="55.2" x14ac:dyDescent="0.3">
      <c r="A96" s="31">
        <v>37</v>
      </c>
      <c r="B96" s="31" t="s">
        <v>90</v>
      </c>
      <c r="C96" s="31" t="s">
        <v>154</v>
      </c>
      <c r="D96" s="31" t="str">
        <f t="shared" si="33"/>
        <v>Do Not Print</v>
      </c>
      <c r="E96" s="217" t="s">
        <v>164</v>
      </c>
      <c r="F96" s="221" t="s">
        <v>660</v>
      </c>
      <c r="G96" s="222" t="s">
        <v>660</v>
      </c>
      <c r="H96" s="212" t="s">
        <v>660</v>
      </c>
      <c r="J96" s="836">
        <v>0</v>
      </c>
      <c r="K96" s="163">
        <v>0</v>
      </c>
      <c r="L96" s="165">
        <f t="shared" si="34"/>
        <v>0</v>
      </c>
      <c r="M96" s="836">
        <v>0</v>
      </c>
      <c r="N96" s="163">
        <v>0</v>
      </c>
      <c r="O96" s="165">
        <f t="shared" si="35"/>
        <v>0</v>
      </c>
      <c r="P96" s="836">
        <v>0</v>
      </c>
      <c r="Q96" s="163">
        <v>0</v>
      </c>
      <c r="R96" s="165">
        <f t="shared" si="36"/>
        <v>0</v>
      </c>
      <c r="S96" s="162">
        <v>0</v>
      </c>
      <c r="T96" s="163">
        <v>0</v>
      </c>
      <c r="U96" s="161">
        <f t="shared" si="37"/>
        <v>0</v>
      </c>
      <c r="W96" s="212" t="s">
        <v>660</v>
      </c>
      <c r="Y96" s="165">
        <f t="shared" si="38"/>
        <v>0</v>
      </c>
      <c r="Z96" s="165">
        <f t="shared" si="39"/>
        <v>0</v>
      </c>
      <c r="AA96" s="165">
        <f t="shared" si="42"/>
        <v>0</v>
      </c>
      <c r="AB96" s="165">
        <f t="shared" si="43"/>
        <v>0</v>
      </c>
      <c r="AC96" s="7"/>
      <c r="AD96" s="4"/>
    </row>
    <row r="97" spans="1:30" ht="55.2" x14ac:dyDescent="0.3">
      <c r="A97" s="31">
        <v>37</v>
      </c>
      <c r="B97" s="31" t="s">
        <v>90</v>
      </c>
      <c r="C97" s="31" t="s">
        <v>154</v>
      </c>
      <c r="D97" s="31" t="str">
        <f t="shared" si="33"/>
        <v>Do Not Print</v>
      </c>
      <c r="E97" s="217" t="s">
        <v>164</v>
      </c>
      <c r="F97" s="221" t="s">
        <v>660</v>
      </c>
      <c r="G97" s="221" t="s">
        <v>663</v>
      </c>
      <c r="H97" s="212" t="s">
        <v>663</v>
      </c>
      <c r="J97" s="836">
        <v>0</v>
      </c>
      <c r="K97" s="163">
        <v>0</v>
      </c>
      <c r="L97" s="165">
        <f t="shared" si="34"/>
        <v>0</v>
      </c>
      <c r="M97" s="836">
        <v>0</v>
      </c>
      <c r="N97" s="163">
        <v>0</v>
      </c>
      <c r="O97" s="165">
        <f t="shared" si="35"/>
        <v>0</v>
      </c>
      <c r="P97" s="836">
        <v>0</v>
      </c>
      <c r="Q97" s="163">
        <v>0</v>
      </c>
      <c r="R97" s="165">
        <f t="shared" si="36"/>
        <v>0</v>
      </c>
      <c r="S97" s="162">
        <v>0</v>
      </c>
      <c r="T97" s="163">
        <v>0</v>
      </c>
      <c r="U97" s="161">
        <f t="shared" si="37"/>
        <v>0</v>
      </c>
      <c r="V97" s="36"/>
      <c r="W97" s="212" t="s">
        <v>663</v>
      </c>
      <c r="Y97" s="165">
        <f t="shared" si="38"/>
        <v>0</v>
      </c>
      <c r="Z97" s="165">
        <f t="shared" si="39"/>
        <v>0</v>
      </c>
      <c r="AA97" s="165">
        <f t="shared" si="42"/>
        <v>0</v>
      </c>
      <c r="AB97" s="165">
        <f t="shared" si="43"/>
        <v>0</v>
      </c>
      <c r="AC97" s="7"/>
      <c r="AD97" s="4"/>
    </row>
    <row r="98" spans="1:30" ht="55.2" x14ac:dyDescent="0.3">
      <c r="A98" s="31">
        <v>38</v>
      </c>
      <c r="B98" s="31" t="s">
        <v>1482</v>
      </c>
      <c r="C98" s="31" t="s">
        <v>154</v>
      </c>
      <c r="D98" s="31" t="str">
        <f t="shared" ref="D98:D103" si="44">IF(AND(O98=0,U98=0,V98=0),"Do Not Print","Print")</f>
        <v>Do Not Print</v>
      </c>
      <c r="E98" s="218" t="s">
        <v>1483</v>
      </c>
      <c r="F98" s="222" t="s">
        <v>1483</v>
      </c>
      <c r="G98" s="222" t="s">
        <v>1483</v>
      </c>
      <c r="H98" s="213" t="s">
        <v>1483</v>
      </c>
      <c r="J98" s="163">
        <v>0</v>
      </c>
      <c r="K98" s="163">
        <v>0</v>
      </c>
      <c r="L98" s="165">
        <f t="shared" si="34"/>
        <v>0</v>
      </c>
      <c r="M98" s="163">
        <v>0</v>
      </c>
      <c r="N98" s="163">
        <v>0</v>
      </c>
      <c r="O98" s="165">
        <f t="shared" si="35"/>
        <v>0</v>
      </c>
      <c r="P98" s="163">
        <v>0</v>
      </c>
      <c r="Q98" s="163">
        <v>0</v>
      </c>
      <c r="R98" s="165">
        <f t="shared" si="36"/>
        <v>0</v>
      </c>
      <c r="S98" s="163">
        <v>0</v>
      </c>
      <c r="T98" s="163">
        <v>0</v>
      </c>
      <c r="U98" s="161">
        <f t="shared" si="37"/>
        <v>0</v>
      </c>
      <c r="V98" s="36"/>
      <c r="W98" s="213" t="s">
        <v>1483</v>
      </c>
      <c r="Y98" s="165">
        <f t="shared" si="38"/>
        <v>0</v>
      </c>
      <c r="Z98" s="165">
        <f t="shared" si="39"/>
        <v>0</v>
      </c>
      <c r="AA98" s="165">
        <f t="shared" ref="AA98:AA103" si="45">ROUND(O98,0)</f>
        <v>0</v>
      </c>
      <c r="AB98" s="165">
        <f t="shared" ref="AB98:AB103" si="46">ROUND(U98,0)</f>
        <v>0</v>
      </c>
      <c r="AC98" s="7"/>
      <c r="AD98" s="4"/>
    </row>
    <row r="99" spans="1:30" ht="55.2" x14ac:dyDescent="0.3">
      <c r="A99" s="31">
        <v>39</v>
      </c>
      <c r="B99" s="75" t="s">
        <v>1665</v>
      </c>
      <c r="C99" s="31" t="s">
        <v>154</v>
      </c>
      <c r="D99" s="31" t="str">
        <f t="shared" si="44"/>
        <v>Do Not Print</v>
      </c>
      <c r="E99" s="218" t="s">
        <v>1661</v>
      </c>
      <c r="F99" s="222" t="s">
        <v>1529</v>
      </c>
      <c r="G99" s="222" t="s">
        <v>1529</v>
      </c>
      <c r="H99" s="213" t="s">
        <v>1652</v>
      </c>
      <c r="J99" s="163">
        <v>0</v>
      </c>
      <c r="K99" s="163">
        <v>0</v>
      </c>
      <c r="L99" s="165">
        <f t="shared" si="34"/>
        <v>0</v>
      </c>
      <c r="M99" s="163">
        <v>0</v>
      </c>
      <c r="N99" s="163">
        <v>0</v>
      </c>
      <c r="O99" s="165">
        <f t="shared" si="35"/>
        <v>0</v>
      </c>
      <c r="P99" s="163">
        <v>0</v>
      </c>
      <c r="Q99" s="163">
        <v>0</v>
      </c>
      <c r="R99" s="165">
        <f t="shared" si="36"/>
        <v>0</v>
      </c>
      <c r="S99" s="163">
        <v>0</v>
      </c>
      <c r="T99" s="163">
        <v>0</v>
      </c>
      <c r="U99" s="161">
        <f t="shared" si="37"/>
        <v>0</v>
      </c>
      <c r="V99" s="36"/>
      <c r="W99" s="213" t="s">
        <v>1652</v>
      </c>
      <c r="Y99" s="165">
        <f t="shared" si="38"/>
        <v>0</v>
      </c>
      <c r="Z99" s="165">
        <f t="shared" si="39"/>
        <v>0</v>
      </c>
      <c r="AA99" s="165">
        <f t="shared" si="45"/>
        <v>0</v>
      </c>
      <c r="AB99" s="165">
        <f t="shared" si="46"/>
        <v>0</v>
      </c>
      <c r="AC99" s="7"/>
      <c r="AD99" s="4"/>
    </row>
    <row r="100" spans="1:30" ht="55.2" x14ac:dyDescent="0.3">
      <c r="A100" s="31">
        <v>39</v>
      </c>
      <c r="B100" s="75" t="s">
        <v>1665</v>
      </c>
      <c r="C100" s="31" t="s">
        <v>154</v>
      </c>
      <c r="D100" s="31" t="str">
        <f t="shared" si="44"/>
        <v>Do Not Print</v>
      </c>
      <c r="E100" s="218" t="s">
        <v>1661</v>
      </c>
      <c r="F100" s="222" t="s">
        <v>1529</v>
      </c>
      <c r="G100" s="222" t="s">
        <v>1529</v>
      </c>
      <c r="H100" s="213" t="s">
        <v>1653</v>
      </c>
      <c r="J100" s="163">
        <v>0</v>
      </c>
      <c r="K100" s="163">
        <v>0</v>
      </c>
      <c r="L100" s="165">
        <f t="shared" si="34"/>
        <v>0</v>
      </c>
      <c r="M100" s="163">
        <v>0</v>
      </c>
      <c r="N100" s="163">
        <v>0</v>
      </c>
      <c r="O100" s="165">
        <f t="shared" si="35"/>
        <v>0</v>
      </c>
      <c r="P100" s="163">
        <v>0</v>
      </c>
      <c r="Q100" s="163">
        <v>0</v>
      </c>
      <c r="R100" s="165">
        <f t="shared" si="36"/>
        <v>0</v>
      </c>
      <c r="S100" s="163">
        <v>0</v>
      </c>
      <c r="T100" s="163">
        <v>0</v>
      </c>
      <c r="U100" s="161">
        <f t="shared" si="37"/>
        <v>0</v>
      </c>
      <c r="V100" s="36"/>
      <c r="W100" s="213" t="s">
        <v>1653</v>
      </c>
      <c r="Y100" s="165">
        <f t="shared" si="38"/>
        <v>0</v>
      </c>
      <c r="Z100" s="165">
        <f t="shared" si="39"/>
        <v>0</v>
      </c>
      <c r="AA100" s="165">
        <f t="shared" si="45"/>
        <v>0</v>
      </c>
      <c r="AB100" s="165">
        <f t="shared" si="46"/>
        <v>0</v>
      </c>
      <c r="AC100" s="7"/>
      <c r="AD100" s="4"/>
    </row>
    <row r="101" spans="1:30" ht="55.2" x14ac:dyDescent="0.3">
      <c r="A101" s="31">
        <v>39</v>
      </c>
      <c r="B101" s="75" t="s">
        <v>1665</v>
      </c>
      <c r="C101" s="31" t="s">
        <v>154</v>
      </c>
      <c r="D101" s="31" t="str">
        <f t="shared" si="44"/>
        <v>Do Not Print</v>
      </c>
      <c r="E101" s="218" t="s">
        <v>1661</v>
      </c>
      <c r="F101" s="222" t="s">
        <v>1529</v>
      </c>
      <c r="G101" s="222" t="s">
        <v>1529</v>
      </c>
      <c r="H101" s="213" t="s">
        <v>373</v>
      </c>
      <c r="J101" s="163">
        <v>0</v>
      </c>
      <c r="K101" s="163">
        <v>0</v>
      </c>
      <c r="L101" s="165">
        <f t="shared" si="34"/>
        <v>0</v>
      </c>
      <c r="M101" s="163">
        <v>0</v>
      </c>
      <c r="N101" s="163">
        <v>0</v>
      </c>
      <c r="O101" s="165">
        <f t="shared" si="35"/>
        <v>0</v>
      </c>
      <c r="P101" s="163">
        <v>0</v>
      </c>
      <c r="Q101" s="163">
        <v>0</v>
      </c>
      <c r="R101" s="165">
        <f t="shared" si="36"/>
        <v>0</v>
      </c>
      <c r="S101" s="163">
        <v>0</v>
      </c>
      <c r="T101" s="163">
        <v>0</v>
      </c>
      <c r="U101" s="161">
        <f t="shared" si="37"/>
        <v>0</v>
      </c>
      <c r="V101" s="36"/>
      <c r="W101" s="213" t="s">
        <v>373</v>
      </c>
      <c r="Y101" s="165">
        <f t="shared" si="38"/>
        <v>0</v>
      </c>
      <c r="Z101" s="165">
        <f t="shared" si="39"/>
        <v>0</v>
      </c>
      <c r="AA101" s="165">
        <f t="shared" si="45"/>
        <v>0</v>
      </c>
      <c r="AB101" s="165">
        <f t="shared" si="46"/>
        <v>0</v>
      </c>
      <c r="AC101" s="7"/>
      <c r="AD101" s="4"/>
    </row>
    <row r="102" spans="1:30" ht="55.2" x14ac:dyDescent="0.3">
      <c r="A102" s="31">
        <v>39</v>
      </c>
      <c r="B102" s="75" t="s">
        <v>1665</v>
      </c>
      <c r="C102" s="31" t="s">
        <v>154</v>
      </c>
      <c r="D102" s="31" t="str">
        <f t="shared" si="44"/>
        <v>Do Not Print</v>
      </c>
      <c r="E102" s="218" t="s">
        <v>1661</v>
      </c>
      <c r="F102" s="222" t="s">
        <v>1663</v>
      </c>
      <c r="G102" s="222" t="s">
        <v>1663</v>
      </c>
      <c r="H102" s="213" t="s">
        <v>1655</v>
      </c>
      <c r="J102" s="163">
        <v>0</v>
      </c>
      <c r="K102" s="163">
        <v>0</v>
      </c>
      <c r="L102" s="165">
        <f t="shared" si="34"/>
        <v>0</v>
      </c>
      <c r="M102" s="163">
        <v>0</v>
      </c>
      <c r="N102" s="163">
        <v>0</v>
      </c>
      <c r="O102" s="165">
        <f t="shared" si="35"/>
        <v>0</v>
      </c>
      <c r="P102" s="163">
        <v>0</v>
      </c>
      <c r="Q102" s="163">
        <v>0</v>
      </c>
      <c r="R102" s="165">
        <f t="shared" si="36"/>
        <v>0</v>
      </c>
      <c r="S102" s="163">
        <v>0</v>
      </c>
      <c r="T102" s="163">
        <v>0</v>
      </c>
      <c r="U102" s="161">
        <f t="shared" si="37"/>
        <v>0</v>
      </c>
      <c r="V102" s="36"/>
      <c r="W102" s="213" t="s">
        <v>1655</v>
      </c>
      <c r="Y102" s="165">
        <f t="shared" si="38"/>
        <v>0</v>
      </c>
      <c r="Z102" s="165">
        <f t="shared" si="39"/>
        <v>0</v>
      </c>
      <c r="AA102" s="165">
        <f t="shared" si="45"/>
        <v>0</v>
      </c>
      <c r="AB102" s="165">
        <f t="shared" si="46"/>
        <v>0</v>
      </c>
      <c r="AC102" s="7"/>
      <c r="AD102" s="4"/>
    </row>
    <row r="103" spans="1:30" ht="55.2" x14ac:dyDescent="0.3">
      <c r="A103" s="31">
        <v>39</v>
      </c>
      <c r="B103" s="75" t="s">
        <v>1665</v>
      </c>
      <c r="C103" s="31" t="s">
        <v>154</v>
      </c>
      <c r="D103" s="31" t="str">
        <f t="shared" si="44"/>
        <v>Do Not Print</v>
      </c>
      <c r="E103" s="218" t="s">
        <v>1661</v>
      </c>
      <c r="F103" s="222" t="s">
        <v>1663</v>
      </c>
      <c r="G103" s="222" t="s">
        <v>1663</v>
      </c>
      <c r="H103" s="213" t="s">
        <v>1656</v>
      </c>
      <c r="J103" s="163">
        <v>0</v>
      </c>
      <c r="K103" s="163">
        <v>0</v>
      </c>
      <c r="L103" s="165">
        <f t="shared" si="34"/>
        <v>0</v>
      </c>
      <c r="M103" s="163">
        <v>0</v>
      </c>
      <c r="N103" s="163">
        <v>0</v>
      </c>
      <c r="O103" s="165">
        <f t="shared" si="35"/>
        <v>0</v>
      </c>
      <c r="P103" s="163">
        <v>0</v>
      </c>
      <c r="Q103" s="163">
        <v>0</v>
      </c>
      <c r="R103" s="165">
        <f t="shared" si="36"/>
        <v>0</v>
      </c>
      <c r="S103" s="163">
        <v>0</v>
      </c>
      <c r="T103" s="163">
        <v>0</v>
      </c>
      <c r="U103" s="161">
        <f t="shared" si="37"/>
        <v>0</v>
      </c>
      <c r="V103" s="36"/>
      <c r="W103" s="213" t="s">
        <v>1656</v>
      </c>
      <c r="Y103" s="165">
        <f t="shared" si="38"/>
        <v>0</v>
      </c>
      <c r="Z103" s="165">
        <f t="shared" si="39"/>
        <v>0</v>
      </c>
      <c r="AA103" s="165">
        <f t="shared" si="45"/>
        <v>0</v>
      </c>
      <c r="AB103" s="165">
        <f t="shared" si="46"/>
        <v>0</v>
      </c>
      <c r="AC103" s="7"/>
      <c r="AD103" s="4"/>
    </row>
    <row r="104" spans="1:30" ht="41.4" x14ac:dyDescent="0.3">
      <c r="A104" s="31">
        <v>40</v>
      </c>
      <c r="B104" s="31" t="s">
        <v>889</v>
      </c>
      <c r="C104" s="31" t="s">
        <v>154</v>
      </c>
      <c r="D104" s="31" t="str">
        <f t="shared" si="33"/>
        <v>Do Not Print</v>
      </c>
      <c r="E104" s="217" t="s">
        <v>664</v>
      </c>
      <c r="F104" s="222" t="s">
        <v>665</v>
      </c>
      <c r="G104" s="222" t="s">
        <v>951</v>
      </c>
      <c r="H104" s="213" t="s">
        <v>665</v>
      </c>
      <c r="I104">
        <v>9</v>
      </c>
      <c r="J104" s="836">
        <v>0</v>
      </c>
      <c r="K104" s="163">
        <v>0</v>
      </c>
      <c r="L104" s="165">
        <f t="shared" si="34"/>
        <v>0</v>
      </c>
      <c r="M104" s="836">
        <v>0</v>
      </c>
      <c r="N104" s="163">
        <v>0</v>
      </c>
      <c r="O104" s="165">
        <f t="shared" si="35"/>
        <v>0</v>
      </c>
      <c r="P104" s="836">
        <v>0</v>
      </c>
      <c r="Q104" s="163">
        <v>0</v>
      </c>
      <c r="R104" s="165">
        <f t="shared" si="36"/>
        <v>0</v>
      </c>
      <c r="S104" s="162">
        <v>0</v>
      </c>
      <c r="T104" s="163">
        <v>0</v>
      </c>
      <c r="U104" s="161">
        <f t="shared" si="37"/>
        <v>0</v>
      </c>
      <c r="V104" s="36"/>
      <c r="W104" s="213" t="s">
        <v>665</v>
      </c>
      <c r="Y104" s="165">
        <f t="shared" si="38"/>
        <v>0</v>
      </c>
      <c r="Z104" s="165">
        <f t="shared" si="39"/>
        <v>0</v>
      </c>
      <c r="AA104" s="165">
        <f t="shared" si="42"/>
        <v>0</v>
      </c>
      <c r="AB104" s="165">
        <f t="shared" si="43"/>
        <v>0</v>
      </c>
      <c r="AC104" s="7"/>
      <c r="AD104" s="4"/>
    </row>
    <row r="105" spans="1:30" ht="41.4" x14ac:dyDescent="0.3">
      <c r="A105" s="31">
        <v>40</v>
      </c>
      <c r="B105" s="31" t="s">
        <v>889</v>
      </c>
      <c r="C105" s="31" t="s">
        <v>154</v>
      </c>
      <c r="D105" s="31" t="str">
        <f t="shared" si="33"/>
        <v>Do Not Print</v>
      </c>
      <c r="E105" s="217" t="s">
        <v>664</v>
      </c>
      <c r="F105" s="222" t="s">
        <v>665</v>
      </c>
      <c r="G105" s="222" t="s">
        <v>951</v>
      </c>
      <c r="H105" s="213" t="s">
        <v>373</v>
      </c>
      <c r="J105" s="836">
        <v>0</v>
      </c>
      <c r="K105" s="163">
        <v>0</v>
      </c>
      <c r="L105" s="165">
        <f t="shared" si="34"/>
        <v>0</v>
      </c>
      <c r="M105" s="836">
        <v>0</v>
      </c>
      <c r="N105" s="163">
        <v>0</v>
      </c>
      <c r="O105" s="165">
        <f t="shared" si="35"/>
        <v>0</v>
      </c>
      <c r="P105" s="836">
        <v>0</v>
      </c>
      <c r="Q105" s="163"/>
      <c r="R105" s="165">
        <f t="shared" si="36"/>
        <v>0</v>
      </c>
      <c r="S105" s="162">
        <v>0</v>
      </c>
      <c r="T105" s="163"/>
      <c r="U105" s="161">
        <f t="shared" si="37"/>
        <v>0</v>
      </c>
      <c r="V105" s="36"/>
      <c r="W105" s="213" t="s">
        <v>373</v>
      </c>
      <c r="Y105" s="165">
        <f t="shared" si="38"/>
        <v>0</v>
      </c>
      <c r="Z105" s="165">
        <f t="shared" si="39"/>
        <v>0</v>
      </c>
      <c r="AA105" s="165"/>
      <c r="AB105" s="165"/>
      <c r="AC105" s="7"/>
      <c r="AD105" s="4"/>
    </row>
    <row r="106" spans="1:30" ht="41.4" x14ac:dyDescent="0.3">
      <c r="A106" s="31">
        <v>40</v>
      </c>
      <c r="B106" s="31" t="s">
        <v>889</v>
      </c>
      <c r="C106" s="31" t="s">
        <v>154</v>
      </c>
      <c r="D106" s="31" t="str">
        <f t="shared" si="33"/>
        <v>Do Not Print</v>
      </c>
      <c r="E106" s="217" t="s">
        <v>664</v>
      </c>
      <c r="F106" s="221" t="s">
        <v>666</v>
      </c>
      <c r="G106" s="220" t="s">
        <v>666</v>
      </c>
      <c r="H106" s="214" t="s">
        <v>666</v>
      </c>
      <c r="I106">
        <v>9</v>
      </c>
      <c r="J106" s="836">
        <v>0</v>
      </c>
      <c r="K106" s="163">
        <v>0</v>
      </c>
      <c r="L106" s="165">
        <f t="shared" si="34"/>
        <v>0</v>
      </c>
      <c r="M106" s="836">
        <v>0</v>
      </c>
      <c r="N106" s="163">
        <v>0</v>
      </c>
      <c r="O106" s="165">
        <f t="shared" si="35"/>
        <v>0</v>
      </c>
      <c r="P106" s="836">
        <v>0</v>
      </c>
      <c r="Q106" s="163">
        <v>0</v>
      </c>
      <c r="R106" s="165">
        <f t="shared" si="36"/>
        <v>0</v>
      </c>
      <c r="S106" s="162">
        <v>0</v>
      </c>
      <c r="T106" s="163">
        <v>0</v>
      </c>
      <c r="U106" s="161">
        <f t="shared" si="37"/>
        <v>0</v>
      </c>
      <c r="W106" s="214" t="s">
        <v>666</v>
      </c>
      <c r="Y106" s="165">
        <f t="shared" si="38"/>
        <v>0</v>
      </c>
      <c r="Z106" s="165">
        <f t="shared" si="39"/>
        <v>0</v>
      </c>
      <c r="AA106" s="165">
        <f t="shared" si="42"/>
        <v>0</v>
      </c>
      <c r="AB106" s="165">
        <f t="shared" si="43"/>
        <v>0</v>
      </c>
      <c r="AC106" s="7"/>
      <c r="AD106" s="4"/>
    </row>
    <row r="107" spans="1:30" ht="41.4" x14ac:dyDescent="0.3">
      <c r="A107" s="31">
        <v>40</v>
      </c>
      <c r="B107" s="31" t="s">
        <v>889</v>
      </c>
      <c r="C107" s="31" t="s">
        <v>154</v>
      </c>
      <c r="D107" s="31" t="str">
        <f>IF(AND(O107=0,U107=0,V107=0),"Do Not Print","Print")</f>
        <v>Do Not Print</v>
      </c>
      <c r="E107" s="217" t="s">
        <v>664</v>
      </c>
      <c r="F107" s="221" t="s">
        <v>666</v>
      </c>
      <c r="G107" s="220" t="s">
        <v>666</v>
      </c>
      <c r="H107" s="213" t="s">
        <v>950</v>
      </c>
      <c r="J107" s="836">
        <v>0</v>
      </c>
      <c r="K107" s="163">
        <v>0</v>
      </c>
      <c r="L107" s="165">
        <f t="shared" si="34"/>
        <v>0</v>
      </c>
      <c r="M107" s="836">
        <v>0</v>
      </c>
      <c r="N107" s="163">
        <v>0</v>
      </c>
      <c r="O107" s="165">
        <f t="shared" si="35"/>
        <v>0</v>
      </c>
      <c r="P107" s="836">
        <v>0</v>
      </c>
      <c r="Q107" s="163">
        <v>0</v>
      </c>
      <c r="R107" s="165">
        <f t="shared" si="36"/>
        <v>0</v>
      </c>
      <c r="S107" s="162">
        <v>0</v>
      </c>
      <c r="T107" s="163">
        <v>0</v>
      </c>
      <c r="U107" s="161">
        <f t="shared" si="37"/>
        <v>0</v>
      </c>
      <c r="W107" s="213" t="s">
        <v>950</v>
      </c>
      <c r="Y107" s="165">
        <f t="shared" si="38"/>
        <v>0</v>
      </c>
      <c r="Z107" s="165">
        <f t="shared" si="39"/>
        <v>0</v>
      </c>
      <c r="AA107" s="165">
        <f>ROUND(O107,0)</f>
        <v>0</v>
      </c>
      <c r="AB107" s="165">
        <f>ROUND(U107,0)</f>
        <v>0</v>
      </c>
      <c r="AC107" s="7"/>
      <c r="AD107" s="4"/>
    </row>
    <row r="108" spans="1:30" ht="41.4" x14ac:dyDescent="0.3">
      <c r="A108" s="31">
        <v>40</v>
      </c>
      <c r="B108" s="31" t="s">
        <v>889</v>
      </c>
      <c r="C108" s="31" t="s">
        <v>154</v>
      </c>
      <c r="D108" s="31" t="str">
        <f t="shared" si="33"/>
        <v>Do Not Print</v>
      </c>
      <c r="E108" s="217" t="s">
        <v>664</v>
      </c>
      <c r="F108" s="221" t="s">
        <v>666</v>
      </c>
      <c r="G108" s="221" t="s">
        <v>666</v>
      </c>
      <c r="H108" s="212" t="s">
        <v>667</v>
      </c>
      <c r="J108" s="836">
        <v>0</v>
      </c>
      <c r="K108" s="163">
        <v>0</v>
      </c>
      <c r="L108" s="165">
        <f t="shared" si="34"/>
        <v>0</v>
      </c>
      <c r="M108" s="836">
        <v>0</v>
      </c>
      <c r="N108" s="163">
        <v>0</v>
      </c>
      <c r="O108" s="165">
        <f t="shared" si="35"/>
        <v>0</v>
      </c>
      <c r="P108" s="836">
        <v>0</v>
      </c>
      <c r="Q108" s="163">
        <v>0</v>
      </c>
      <c r="R108" s="165">
        <f t="shared" si="36"/>
        <v>0</v>
      </c>
      <c r="S108" s="162">
        <v>0</v>
      </c>
      <c r="T108" s="163">
        <v>0</v>
      </c>
      <c r="U108" s="161">
        <f t="shared" si="37"/>
        <v>0</v>
      </c>
      <c r="W108" s="212" t="s">
        <v>667</v>
      </c>
      <c r="Y108" s="165">
        <f t="shared" si="38"/>
        <v>0</v>
      </c>
      <c r="Z108" s="165">
        <f t="shared" si="39"/>
        <v>0</v>
      </c>
      <c r="AA108" s="165">
        <f t="shared" si="42"/>
        <v>0</v>
      </c>
      <c r="AB108" s="165">
        <f t="shared" si="43"/>
        <v>0</v>
      </c>
      <c r="AC108" s="7"/>
      <c r="AD108" s="4"/>
    </row>
    <row r="109" spans="1:30" ht="41.4" x14ac:dyDescent="0.3">
      <c r="A109" s="31">
        <v>40</v>
      </c>
      <c r="B109" s="31" t="s">
        <v>889</v>
      </c>
      <c r="C109" s="31" t="s">
        <v>154</v>
      </c>
      <c r="D109" s="31" t="str">
        <f t="shared" si="33"/>
        <v>Do Not Print</v>
      </c>
      <c r="E109" s="217" t="s">
        <v>664</v>
      </c>
      <c r="F109" s="221" t="s">
        <v>666</v>
      </c>
      <c r="G109" s="221" t="s">
        <v>666</v>
      </c>
      <c r="H109" s="212" t="s">
        <v>668</v>
      </c>
      <c r="J109" s="836">
        <v>0</v>
      </c>
      <c r="K109" s="163">
        <v>0</v>
      </c>
      <c r="L109" s="165">
        <f t="shared" si="34"/>
        <v>0</v>
      </c>
      <c r="M109" s="836">
        <v>0</v>
      </c>
      <c r="N109" s="163">
        <v>0</v>
      </c>
      <c r="O109" s="165">
        <f t="shared" si="35"/>
        <v>0</v>
      </c>
      <c r="P109" s="836">
        <v>0</v>
      </c>
      <c r="Q109" s="163">
        <v>0</v>
      </c>
      <c r="R109" s="165">
        <f t="shared" si="36"/>
        <v>0</v>
      </c>
      <c r="S109" s="162">
        <v>0</v>
      </c>
      <c r="T109" s="163">
        <v>0</v>
      </c>
      <c r="U109" s="161">
        <f t="shared" si="37"/>
        <v>0</v>
      </c>
      <c r="W109" s="212" t="s">
        <v>668</v>
      </c>
      <c r="Y109" s="165">
        <f t="shared" si="38"/>
        <v>0</v>
      </c>
      <c r="Z109" s="165">
        <f t="shared" si="39"/>
        <v>0</v>
      </c>
      <c r="AA109" s="165">
        <f t="shared" si="42"/>
        <v>0</v>
      </c>
      <c r="AB109" s="165">
        <f t="shared" si="43"/>
        <v>0</v>
      </c>
      <c r="AC109" s="7"/>
      <c r="AD109" s="4"/>
    </row>
    <row r="110" spans="1:30" ht="55.2" x14ac:dyDescent="0.3">
      <c r="A110" s="31">
        <v>40</v>
      </c>
      <c r="B110" s="31" t="s">
        <v>889</v>
      </c>
      <c r="C110" s="31" t="s">
        <v>154</v>
      </c>
      <c r="D110" s="31" t="str">
        <f t="shared" ref="D110:D115" si="47">IF(AND(O110=0,U110=0,V110=0),"Do Not Print","Print")</f>
        <v>Do Not Print</v>
      </c>
      <c r="E110" s="217" t="s">
        <v>664</v>
      </c>
      <c r="F110" s="222" t="s">
        <v>958</v>
      </c>
      <c r="G110" s="221" t="s">
        <v>669</v>
      </c>
      <c r="H110" s="213" t="s">
        <v>952</v>
      </c>
      <c r="J110" s="836">
        <v>0</v>
      </c>
      <c r="K110" s="163">
        <v>0</v>
      </c>
      <c r="L110" s="165">
        <f t="shared" si="34"/>
        <v>0</v>
      </c>
      <c r="M110" s="836">
        <v>0</v>
      </c>
      <c r="N110" s="163">
        <v>0</v>
      </c>
      <c r="O110" s="165">
        <f t="shared" si="35"/>
        <v>0</v>
      </c>
      <c r="P110" s="836">
        <v>0</v>
      </c>
      <c r="Q110" s="163">
        <v>0</v>
      </c>
      <c r="R110" s="165">
        <f t="shared" si="36"/>
        <v>0</v>
      </c>
      <c r="S110" s="162">
        <v>0</v>
      </c>
      <c r="T110" s="163">
        <v>0</v>
      </c>
      <c r="U110" s="161">
        <f t="shared" si="37"/>
        <v>0</v>
      </c>
      <c r="W110" s="213" t="s">
        <v>952</v>
      </c>
      <c r="Y110" s="165">
        <f t="shared" si="38"/>
        <v>0</v>
      </c>
      <c r="Z110" s="165">
        <f t="shared" si="39"/>
        <v>0</v>
      </c>
      <c r="AA110" s="165">
        <f t="shared" ref="AA110:AA118" si="48">ROUND(O110,0)</f>
        <v>0</v>
      </c>
      <c r="AB110" s="165">
        <f t="shared" ref="AB110:AB118" si="49">ROUND(U110,0)</f>
        <v>0</v>
      </c>
      <c r="AC110" s="7"/>
      <c r="AD110" s="4"/>
    </row>
    <row r="111" spans="1:30" ht="55.2" x14ac:dyDescent="0.3">
      <c r="A111" s="31">
        <v>40</v>
      </c>
      <c r="B111" s="31" t="s">
        <v>889</v>
      </c>
      <c r="C111" s="31" t="s">
        <v>154</v>
      </c>
      <c r="D111" s="31" t="str">
        <f t="shared" si="47"/>
        <v>Do Not Print</v>
      </c>
      <c r="E111" s="217" t="s">
        <v>664</v>
      </c>
      <c r="F111" s="222" t="s">
        <v>958</v>
      </c>
      <c r="G111" s="221" t="s">
        <v>669</v>
      </c>
      <c r="H111" s="213" t="s">
        <v>953</v>
      </c>
      <c r="J111" s="836">
        <v>0</v>
      </c>
      <c r="K111" s="163">
        <v>0</v>
      </c>
      <c r="L111" s="165">
        <f t="shared" si="34"/>
        <v>0</v>
      </c>
      <c r="M111" s="836">
        <v>0</v>
      </c>
      <c r="N111" s="163">
        <v>0</v>
      </c>
      <c r="O111" s="165">
        <f t="shared" si="35"/>
        <v>0</v>
      </c>
      <c r="P111" s="836">
        <v>0</v>
      </c>
      <c r="Q111" s="163">
        <v>0</v>
      </c>
      <c r="R111" s="165">
        <f t="shared" si="36"/>
        <v>0</v>
      </c>
      <c r="S111" s="162">
        <v>0</v>
      </c>
      <c r="T111" s="163">
        <v>0</v>
      </c>
      <c r="U111" s="161">
        <f t="shared" si="37"/>
        <v>0</v>
      </c>
      <c r="W111" s="213" t="s">
        <v>953</v>
      </c>
      <c r="Y111" s="165">
        <f t="shared" si="38"/>
        <v>0</v>
      </c>
      <c r="Z111" s="165">
        <f t="shared" si="39"/>
        <v>0</v>
      </c>
      <c r="AA111" s="165">
        <f t="shared" si="48"/>
        <v>0</v>
      </c>
      <c r="AB111" s="165">
        <f t="shared" si="49"/>
        <v>0</v>
      </c>
      <c r="AC111" s="7"/>
      <c r="AD111" s="4"/>
    </row>
    <row r="112" spans="1:30" ht="41.4" x14ac:dyDescent="0.3">
      <c r="A112" s="31">
        <v>40</v>
      </c>
      <c r="B112" s="31" t="s">
        <v>889</v>
      </c>
      <c r="C112" s="31" t="s">
        <v>154</v>
      </c>
      <c r="D112" s="31" t="str">
        <f t="shared" si="47"/>
        <v>Do Not Print</v>
      </c>
      <c r="E112" s="217" t="s">
        <v>664</v>
      </c>
      <c r="F112" s="222" t="s">
        <v>958</v>
      </c>
      <c r="G112" s="221" t="s">
        <v>669</v>
      </c>
      <c r="H112" s="213" t="s">
        <v>954</v>
      </c>
      <c r="J112" s="836">
        <v>0</v>
      </c>
      <c r="K112" s="163">
        <v>0</v>
      </c>
      <c r="L112" s="165">
        <f t="shared" si="34"/>
        <v>0</v>
      </c>
      <c r="M112" s="836">
        <v>0</v>
      </c>
      <c r="N112" s="163">
        <v>0</v>
      </c>
      <c r="O112" s="165">
        <f t="shared" si="35"/>
        <v>0</v>
      </c>
      <c r="P112" s="836">
        <v>0</v>
      </c>
      <c r="Q112" s="163">
        <v>0</v>
      </c>
      <c r="R112" s="165">
        <f t="shared" si="36"/>
        <v>0</v>
      </c>
      <c r="S112" s="162">
        <v>0</v>
      </c>
      <c r="T112" s="163">
        <v>0</v>
      </c>
      <c r="U112" s="161">
        <f t="shared" si="37"/>
        <v>0</v>
      </c>
      <c r="W112" s="213" t="s">
        <v>954</v>
      </c>
      <c r="Y112" s="165">
        <f t="shared" si="38"/>
        <v>0</v>
      </c>
      <c r="Z112" s="165">
        <f t="shared" si="39"/>
        <v>0</v>
      </c>
      <c r="AA112" s="165">
        <f t="shared" si="48"/>
        <v>0</v>
      </c>
      <c r="AB112" s="165">
        <f t="shared" si="49"/>
        <v>0</v>
      </c>
      <c r="AC112" s="7"/>
      <c r="AD112" s="4"/>
    </row>
    <row r="113" spans="1:30" ht="55.2" x14ac:dyDescent="0.3">
      <c r="A113" s="31">
        <v>40</v>
      </c>
      <c r="B113" s="31" t="s">
        <v>889</v>
      </c>
      <c r="C113" s="31" t="s">
        <v>154</v>
      </c>
      <c r="D113" s="31" t="str">
        <f t="shared" si="47"/>
        <v>Do Not Print</v>
      </c>
      <c r="E113" s="217" t="s">
        <v>664</v>
      </c>
      <c r="F113" s="222" t="s">
        <v>958</v>
      </c>
      <c r="G113" s="221" t="s">
        <v>669</v>
      </c>
      <c r="H113" s="213" t="s">
        <v>955</v>
      </c>
      <c r="J113" s="836">
        <v>0</v>
      </c>
      <c r="K113" s="163">
        <v>0</v>
      </c>
      <c r="L113" s="165">
        <f t="shared" si="34"/>
        <v>0</v>
      </c>
      <c r="M113" s="836">
        <v>0</v>
      </c>
      <c r="N113" s="163">
        <v>0</v>
      </c>
      <c r="O113" s="165">
        <f t="shared" si="35"/>
        <v>0</v>
      </c>
      <c r="P113" s="836">
        <v>0</v>
      </c>
      <c r="Q113" s="163">
        <v>0</v>
      </c>
      <c r="R113" s="165">
        <f t="shared" si="36"/>
        <v>0</v>
      </c>
      <c r="S113" s="162">
        <v>0</v>
      </c>
      <c r="T113" s="163">
        <v>0</v>
      </c>
      <c r="U113" s="161">
        <f t="shared" si="37"/>
        <v>0</v>
      </c>
      <c r="W113" s="213" t="s">
        <v>955</v>
      </c>
      <c r="Y113" s="165">
        <f t="shared" si="38"/>
        <v>0</v>
      </c>
      <c r="Z113" s="165">
        <f t="shared" si="39"/>
        <v>0</v>
      </c>
      <c r="AA113" s="165">
        <f t="shared" si="48"/>
        <v>0</v>
      </c>
      <c r="AB113" s="165">
        <f t="shared" si="49"/>
        <v>0</v>
      </c>
      <c r="AC113" s="7"/>
      <c r="AD113" s="4"/>
    </row>
    <row r="114" spans="1:30" ht="55.2" x14ac:dyDescent="0.3">
      <c r="A114" s="31">
        <v>40</v>
      </c>
      <c r="B114" s="31" t="s">
        <v>889</v>
      </c>
      <c r="C114" s="31" t="s">
        <v>154</v>
      </c>
      <c r="D114" s="31" t="str">
        <f t="shared" si="47"/>
        <v>Do Not Print</v>
      </c>
      <c r="E114" s="217" t="s">
        <v>664</v>
      </c>
      <c r="F114" s="222" t="s">
        <v>958</v>
      </c>
      <c r="G114" s="221" t="s">
        <v>669</v>
      </c>
      <c r="H114" s="213" t="s">
        <v>956</v>
      </c>
      <c r="J114" s="836">
        <v>0</v>
      </c>
      <c r="K114" s="163">
        <v>0</v>
      </c>
      <c r="L114" s="165">
        <f t="shared" si="34"/>
        <v>0</v>
      </c>
      <c r="M114" s="836">
        <v>0</v>
      </c>
      <c r="N114" s="163">
        <v>0</v>
      </c>
      <c r="O114" s="165">
        <f t="shared" si="35"/>
        <v>0</v>
      </c>
      <c r="P114" s="836">
        <v>0</v>
      </c>
      <c r="Q114" s="163">
        <v>0</v>
      </c>
      <c r="R114" s="165">
        <f t="shared" si="36"/>
        <v>0</v>
      </c>
      <c r="S114" s="162">
        <v>0</v>
      </c>
      <c r="T114" s="163">
        <v>0</v>
      </c>
      <c r="U114" s="161">
        <f t="shared" si="37"/>
        <v>0</v>
      </c>
      <c r="W114" s="213" t="s">
        <v>956</v>
      </c>
      <c r="Y114" s="165">
        <f t="shared" si="38"/>
        <v>0</v>
      </c>
      <c r="Z114" s="165">
        <f t="shared" si="39"/>
        <v>0</v>
      </c>
      <c r="AA114" s="165">
        <f t="shared" si="48"/>
        <v>0</v>
      </c>
      <c r="AB114" s="165">
        <f t="shared" si="49"/>
        <v>0</v>
      </c>
      <c r="AC114" s="7"/>
      <c r="AD114" s="4"/>
    </row>
    <row r="115" spans="1:30" ht="41.4" x14ac:dyDescent="0.3">
      <c r="A115" s="31">
        <v>40</v>
      </c>
      <c r="B115" s="31" t="s">
        <v>889</v>
      </c>
      <c r="C115" s="31" t="s">
        <v>154</v>
      </c>
      <c r="D115" s="31" t="str">
        <f t="shared" si="47"/>
        <v>Do Not Print</v>
      </c>
      <c r="E115" s="217" t="s">
        <v>664</v>
      </c>
      <c r="F115" s="222" t="s">
        <v>958</v>
      </c>
      <c r="G115" s="221" t="s">
        <v>669</v>
      </c>
      <c r="H115" s="213" t="s">
        <v>957</v>
      </c>
      <c r="J115" s="836">
        <v>0</v>
      </c>
      <c r="K115" s="163">
        <v>0</v>
      </c>
      <c r="L115" s="165">
        <f t="shared" si="34"/>
        <v>0</v>
      </c>
      <c r="M115" s="836">
        <v>0</v>
      </c>
      <c r="N115" s="163">
        <v>0</v>
      </c>
      <c r="O115" s="165">
        <f t="shared" si="35"/>
        <v>0</v>
      </c>
      <c r="P115" s="836">
        <v>0</v>
      </c>
      <c r="Q115" s="163">
        <v>0</v>
      </c>
      <c r="R115" s="165">
        <f t="shared" si="36"/>
        <v>0</v>
      </c>
      <c r="S115" s="162">
        <v>0</v>
      </c>
      <c r="T115" s="163">
        <v>0</v>
      </c>
      <c r="U115" s="161">
        <f t="shared" si="37"/>
        <v>0</v>
      </c>
      <c r="W115" s="213" t="s">
        <v>957</v>
      </c>
      <c r="Y115" s="165">
        <f t="shared" si="38"/>
        <v>0</v>
      </c>
      <c r="Z115" s="165">
        <f t="shared" si="39"/>
        <v>0</v>
      </c>
      <c r="AA115" s="165">
        <f t="shared" si="48"/>
        <v>0</v>
      </c>
      <c r="AB115" s="165">
        <f t="shared" si="49"/>
        <v>0</v>
      </c>
      <c r="AC115" s="7"/>
      <c r="AD115" s="4"/>
    </row>
    <row r="116" spans="1:30" ht="41.4" x14ac:dyDescent="0.3">
      <c r="A116" s="31">
        <v>40</v>
      </c>
      <c r="B116" s="31" t="s">
        <v>889</v>
      </c>
      <c r="C116" s="31" t="s">
        <v>154</v>
      </c>
      <c r="D116" s="31" t="str">
        <f t="shared" si="33"/>
        <v>Do Not Print</v>
      </c>
      <c r="E116" s="217" t="s">
        <v>664</v>
      </c>
      <c r="F116" s="222" t="s">
        <v>958</v>
      </c>
      <c r="G116" s="221" t="s">
        <v>670</v>
      </c>
      <c r="H116" s="212" t="s">
        <v>669</v>
      </c>
      <c r="J116" s="836">
        <v>0</v>
      </c>
      <c r="K116" s="163">
        <v>0</v>
      </c>
      <c r="L116" s="165">
        <f t="shared" si="34"/>
        <v>0</v>
      </c>
      <c r="M116" s="836">
        <v>0</v>
      </c>
      <c r="N116" s="163">
        <v>0</v>
      </c>
      <c r="O116" s="165">
        <f t="shared" si="35"/>
        <v>0</v>
      </c>
      <c r="P116" s="836">
        <v>0</v>
      </c>
      <c r="Q116" s="163">
        <v>0</v>
      </c>
      <c r="R116" s="165">
        <f t="shared" si="36"/>
        <v>0</v>
      </c>
      <c r="S116" s="162">
        <v>0</v>
      </c>
      <c r="T116" s="163">
        <v>0</v>
      </c>
      <c r="U116" s="161">
        <f t="shared" si="37"/>
        <v>0</v>
      </c>
      <c r="V116" s="36"/>
      <c r="W116" s="212" t="s">
        <v>669</v>
      </c>
      <c r="Y116" s="165">
        <f t="shared" si="38"/>
        <v>0</v>
      </c>
      <c r="Z116" s="165">
        <f t="shared" si="39"/>
        <v>0</v>
      </c>
      <c r="AA116" s="165">
        <f t="shared" si="48"/>
        <v>0</v>
      </c>
      <c r="AB116" s="165">
        <f t="shared" si="49"/>
        <v>0</v>
      </c>
      <c r="AC116" s="7"/>
      <c r="AD116" s="4"/>
    </row>
    <row r="117" spans="1:30" ht="82.8" x14ac:dyDescent="0.3">
      <c r="A117" s="31">
        <v>41</v>
      </c>
      <c r="B117" s="75" t="s">
        <v>1667</v>
      </c>
      <c r="C117" s="31" t="s">
        <v>154</v>
      </c>
      <c r="D117" s="31" t="str">
        <f>IF(AND(O117=0,U117=0,V117=0),"Do Not Print","Print")</f>
        <v>Do Not Print</v>
      </c>
      <c r="E117" s="218" t="s">
        <v>1666</v>
      </c>
      <c r="F117" s="218" t="s">
        <v>1666</v>
      </c>
      <c r="G117" s="218" t="s">
        <v>1666</v>
      </c>
      <c r="H117" s="213" t="s">
        <v>1658</v>
      </c>
      <c r="J117" s="163">
        <v>0</v>
      </c>
      <c r="K117" s="163">
        <v>0</v>
      </c>
      <c r="L117" s="165">
        <f t="shared" si="34"/>
        <v>0</v>
      </c>
      <c r="M117" s="163">
        <v>0</v>
      </c>
      <c r="N117" s="163">
        <v>0</v>
      </c>
      <c r="O117" s="165">
        <f t="shared" si="35"/>
        <v>0</v>
      </c>
      <c r="P117" s="163">
        <v>0</v>
      </c>
      <c r="Q117" s="163">
        <v>0</v>
      </c>
      <c r="R117" s="165">
        <f t="shared" si="36"/>
        <v>0</v>
      </c>
      <c r="S117" s="163">
        <v>0</v>
      </c>
      <c r="T117" s="163">
        <v>0</v>
      </c>
      <c r="U117" s="161">
        <f t="shared" si="37"/>
        <v>0</v>
      </c>
      <c r="V117" s="36"/>
      <c r="W117" s="213" t="s">
        <v>1658</v>
      </c>
      <c r="Y117" s="165">
        <f t="shared" si="38"/>
        <v>0</v>
      </c>
      <c r="Z117" s="165">
        <f t="shared" si="39"/>
        <v>0</v>
      </c>
      <c r="AA117" s="165">
        <f t="shared" si="48"/>
        <v>0</v>
      </c>
      <c r="AB117" s="165">
        <f t="shared" si="49"/>
        <v>0</v>
      </c>
      <c r="AC117" s="7"/>
      <c r="AD117" s="4"/>
    </row>
    <row r="118" spans="1:30" ht="82.8" x14ac:dyDescent="0.3">
      <c r="A118" s="31">
        <v>41</v>
      </c>
      <c r="B118" s="75" t="s">
        <v>1667</v>
      </c>
      <c r="C118" s="31" t="s">
        <v>154</v>
      </c>
      <c r="D118" s="31" t="str">
        <f>IF(AND(O118=0,U118=0,V118=0),"Do Not Print","Print")</f>
        <v>Do Not Print</v>
      </c>
      <c r="E118" s="218" t="s">
        <v>1666</v>
      </c>
      <c r="F118" s="218" t="s">
        <v>1666</v>
      </c>
      <c r="G118" s="218" t="s">
        <v>1666</v>
      </c>
      <c r="H118" s="213" t="s">
        <v>1659</v>
      </c>
      <c r="J118" s="163">
        <v>0</v>
      </c>
      <c r="K118" s="163">
        <v>0</v>
      </c>
      <c r="L118" s="165">
        <f t="shared" si="34"/>
        <v>0</v>
      </c>
      <c r="M118" s="163">
        <v>0</v>
      </c>
      <c r="N118" s="163">
        <v>0</v>
      </c>
      <c r="O118" s="165">
        <f t="shared" si="35"/>
        <v>0</v>
      </c>
      <c r="P118" s="163">
        <v>0</v>
      </c>
      <c r="Q118" s="163">
        <v>0</v>
      </c>
      <c r="R118" s="165">
        <f t="shared" si="36"/>
        <v>0</v>
      </c>
      <c r="S118" s="163">
        <v>0</v>
      </c>
      <c r="T118" s="163">
        <v>0</v>
      </c>
      <c r="U118" s="161">
        <f t="shared" si="37"/>
        <v>0</v>
      </c>
      <c r="V118" s="36"/>
      <c r="W118" s="213" t="s">
        <v>1659</v>
      </c>
      <c r="Y118" s="165">
        <f t="shared" si="38"/>
        <v>0</v>
      </c>
      <c r="Z118" s="165">
        <f t="shared" si="39"/>
        <v>0</v>
      </c>
      <c r="AA118" s="165">
        <f t="shared" si="48"/>
        <v>0</v>
      </c>
      <c r="AB118" s="165">
        <f t="shared" si="49"/>
        <v>0</v>
      </c>
      <c r="AC118" s="7"/>
      <c r="AD118" s="4"/>
    </row>
    <row r="119" spans="1:30" ht="31.2" x14ac:dyDescent="0.3">
      <c r="A119" s="224"/>
      <c r="B119" s="224"/>
      <c r="C119" s="224"/>
      <c r="D119" s="224"/>
      <c r="E119" s="219" t="s">
        <v>73</v>
      </c>
      <c r="F119" s="223"/>
      <c r="G119" s="223"/>
      <c r="H119" s="223"/>
      <c r="I119" s="11"/>
      <c r="J119" s="164"/>
      <c r="K119" s="164"/>
      <c r="L119" s="164"/>
      <c r="M119" s="164"/>
      <c r="N119" s="164"/>
      <c r="O119" s="164"/>
      <c r="P119" s="164"/>
      <c r="Q119" s="164"/>
      <c r="R119" s="164"/>
      <c r="S119" s="164"/>
      <c r="T119" s="164"/>
      <c r="U119" s="164"/>
      <c r="AA119" s="165"/>
      <c r="AB119" s="165"/>
    </row>
    <row r="120" spans="1:30" ht="38.25" customHeight="1" x14ac:dyDescent="0.3">
      <c r="A120" s="31"/>
      <c r="B120" s="31"/>
      <c r="C120" s="31"/>
      <c r="D120" s="31"/>
      <c r="H120" s="214" t="s">
        <v>2968</v>
      </c>
      <c r="J120" s="165"/>
      <c r="K120" s="165"/>
      <c r="L120" s="165"/>
      <c r="M120" s="165"/>
      <c r="N120" s="165"/>
      <c r="O120" s="838">
        <f>SUM(O7:O116)</f>
        <v>0</v>
      </c>
      <c r="P120" s="838"/>
      <c r="Q120" s="838"/>
      <c r="R120" s="838"/>
      <c r="S120" s="215"/>
      <c r="T120" s="215"/>
      <c r="U120" s="215">
        <f>SUM(U7:U119)</f>
        <v>0</v>
      </c>
      <c r="V120" s="36"/>
      <c r="Y120" s="165">
        <f>SUM(Y7:Y119)</f>
        <v>0</v>
      </c>
      <c r="Z120" s="165">
        <f>SUM(Z7:Z119)</f>
        <v>0</v>
      </c>
      <c r="AA120" s="165">
        <f>SUM(AA7:AA119)</f>
        <v>0</v>
      </c>
      <c r="AB120" s="165">
        <f>SUM(AB7:AB119)</f>
        <v>0</v>
      </c>
      <c r="AD120" s="4"/>
    </row>
  </sheetData>
  <autoFilter ref="A6:AD120" xr:uid="{00000000-0009-0000-0000-000004000000}"/>
  <mergeCells count="6">
    <mergeCell ref="J5:K5"/>
    <mergeCell ref="M5:N5"/>
    <mergeCell ref="P5:Q5"/>
    <mergeCell ref="S5:T5"/>
    <mergeCell ref="AA4:AB4"/>
    <mergeCell ref="Y4:Z4"/>
  </mergeCells>
  <phoneticPr fontId="9" type="noConversion"/>
  <conditionalFormatting sqref="AA3:AB3">
    <cfRule type="cellIs" dxfId="6" priority="1" stopIfTrue="1" operator="notEqual">
      <formula>0</formula>
    </cfRule>
  </conditionalFormatting>
  <pageMargins left="0.75" right="0.75" top="1" bottom="1" header="0.5" footer="0.5"/>
  <pageSetup paperSize="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0000"/>
  </sheetPr>
  <dimension ref="A3:AI438"/>
  <sheetViews>
    <sheetView topLeftCell="U1" zoomScale="90" zoomScaleNormal="90" workbookViewId="0">
      <pane ySplit="5" topLeftCell="A12" activePane="bottomLeft" state="frozen"/>
      <selection activeCell="B2" sqref="B2:G2"/>
      <selection pane="bottomLeft" activeCell="AA5" sqref="AA5"/>
    </sheetView>
  </sheetViews>
  <sheetFormatPr defaultColWidth="9.109375" defaultRowHeight="13.8" x14ac:dyDescent="0.3"/>
  <cols>
    <col min="1" max="1" width="3.5546875" style="46" customWidth="1"/>
    <col min="2" max="2" width="7.88671875" style="46" customWidth="1"/>
    <col min="3" max="3" width="5.5546875" style="46" customWidth="1"/>
    <col min="4" max="4" width="15.44140625" style="214" customWidth="1"/>
    <col min="5" max="5" width="9.88671875" style="214" customWidth="1"/>
    <col min="6" max="6" width="13.88671875" style="214" customWidth="1"/>
    <col min="7" max="7" width="27.109375" style="214" customWidth="1"/>
    <col min="8" max="8" width="22.88671875" style="214" customWidth="1"/>
    <col min="9" max="9" width="5.109375" style="46" customWidth="1"/>
    <col min="10" max="10" width="14.88671875" style="46" customWidth="1"/>
    <col min="11" max="11" width="13.109375" style="46" customWidth="1"/>
    <col min="12" max="12" width="14.109375" style="46" customWidth="1"/>
    <col min="13" max="14" width="13.109375" style="46" customWidth="1"/>
    <col min="15" max="20" width="15.88671875" style="46" customWidth="1"/>
    <col min="21" max="21" width="15" style="46" customWidth="1"/>
    <col min="22" max="26" width="15.88671875" style="46" customWidth="1"/>
    <col min="27" max="27" width="15" style="46" customWidth="1"/>
    <col min="28" max="28" width="31.88671875" style="214" customWidth="1"/>
    <col min="29" max="29" width="2.44140625" style="46" customWidth="1"/>
    <col min="30" max="30" width="18.5546875" style="46" customWidth="1"/>
    <col min="31" max="31" width="15.88671875" style="46" customWidth="1"/>
    <col min="32" max="32" width="15.33203125" style="46" customWidth="1"/>
    <col min="33" max="33" width="13.88671875" style="46" hidden="1" customWidth="1"/>
    <col min="34" max="34" width="12.6640625" style="46" hidden="1" customWidth="1"/>
    <col min="35" max="35" width="14.44140625" style="241" hidden="1" customWidth="1"/>
    <col min="36" max="16384" width="9.109375" style="46"/>
  </cols>
  <sheetData>
    <row r="3" spans="1:35" x14ac:dyDescent="0.3">
      <c r="AD3" s="46" t="s">
        <v>1599</v>
      </c>
      <c r="AE3" s="46" t="s">
        <v>1599</v>
      </c>
      <c r="AF3" s="46" t="s">
        <v>1599</v>
      </c>
      <c r="AG3" s="46" t="s">
        <v>1839</v>
      </c>
      <c r="AH3" s="46" t="s">
        <v>1839</v>
      </c>
      <c r="AI3" s="46" t="s">
        <v>1839</v>
      </c>
    </row>
    <row r="4" spans="1:35" s="415" customFormat="1" ht="15.6" x14ac:dyDescent="0.3">
      <c r="D4" s="416"/>
      <c r="E4" s="416"/>
      <c r="F4" s="416"/>
      <c r="G4" s="416"/>
      <c r="H4" s="416"/>
      <c r="J4" s="1292" t="str">
        <f>'Standing Data'!D4</f>
        <v>NAME OF COUNCIL</v>
      </c>
      <c r="K4" s="1292"/>
      <c r="L4" s="702" t="s">
        <v>1840</v>
      </c>
      <c r="M4" s="1292" t="s">
        <v>1676</v>
      </c>
      <c r="N4" s="1292"/>
      <c r="O4" s="415" t="s">
        <v>1838</v>
      </c>
      <c r="P4" s="1292" t="str">
        <f>'Standing Data'!D4</f>
        <v>NAME OF COUNCIL</v>
      </c>
      <c r="Q4" s="1292"/>
      <c r="R4" s="702" t="s">
        <v>1840</v>
      </c>
      <c r="S4" s="1292" t="s">
        <v>1676</v>
      </c>
      <c r="T4" s="1292"/>
      <c r="U4" s="415" t="s">
        <v>1838</v>
      </c>
      <c r="V4" s="1292" t="str">
        <f>'Standing Data'!D4</f>
        <v>NAME OF COUNCIL</v>
      </c>
      <c r="W4" s="1292"/>
      <c r="X4" s="702" t="s">
        <v>1840</v>
      </c>
      <c r="Y4" s="1292" t="s">
        <v>1676</v>
      </c>
      <c r="Z4" s="1292"/>
      <c r="AA4" s="415" t="s">
        <v>1838</v>
      </c>
      <c r="AB4" s="416"/>
      <c r="AD4" s="415" t="s">
        <v>1677</v>
      </c>
      <c r="AE4" s="415" t="s">
        <v>1677</v>
      </c>
      <c r="AF4" s="415" t="s">
        <v>1677</v>
      </c>
      <c r="AG4" s="415" t="s">
        <v>1677</v>
      </c>
      <c r="AH4" s="415" t="s">
        <v>1677</v>
      </c>
      <c r="AI4" s="415" t="s">
        <v>1677</v>
      </c>
    </row>
    <row r="5" spans="1:35" s="123" customFormat="1" ht="72" x14ac:dyDescent="0.3">
      <c r="A5" s="123" t="s">
        <v>439</v>
      </c>
      <c r="B5" s="123" t="s">
        <v>445</v>
      </c>
      <c r="C5" s="122" t="s">
        <v>435</v>
      </c>
      <c r="D5" s="122" t="s">
        <v>448</v>
      </c>
      <c r="E5" s="122" t="s">
        <v>440</v>
      </c>
      <c r="F5" s="122" t="s">
        <v>441</v>
      </c>
      <c r="G5" s="122" t="s">
        <v>442</v>
      </c>
      <c r="H5" s="122" t="s">
        <v>443</v>
      </c>
      <c r="I5" s="122" t="s">
        <v>1589</v>
      </c>
      <c r="J5" s="122" t="s">
        <v>1252</v>
      </c>
      <c r="K5" s="122" t="s">
        <v>1253</v>
      </c>
      <c r="L5" s="720">
        <f>'Standing Data'!D44</f>
        <v>46112</v>
      </c>
      <c r="M5" s="122" t="s">
        <v>1252</v>
      </c>
      <c r="N5" s="122" t="s">
        <v>1253</v>
      </c>
      <c r="O5" s="417">
        <f>'Standing Data'!D44</f>
        <v>46112</v>
      </c>
      <c r="P5" s="125" t="s">
        <v>1629</v>
      </c>
      <c r="Q5" s="125" t="s">
        <v>1253</v>
      </c>
      <c r="R5" s="124">
        <f>'Standing Data'!D72</f>
        <v>45747</v>
      </c>
      <c r="S5" s="125" t="s">
        <v>1252</v>
      </c>
      <c r="T5" s="125" t="s">
        <v>1253</v>
      </c>
      <c r="U5" s="417">
        <f>'Standing Data'!D72</f>
        <v>45747</v>
      </c>
      <c r="V5" s="125" t="s">
        <v>1629</v>
      </c>
      <c r="W5" s="125" t="s">
        <v>1253</v>
      </c>
      <c r="X5" s="124">
        <f>'Standing Data'!D76</f>
        <v>45382</v>
      </c>
      <c r="Y5" s="125" t="s">
        <v>1252</v>
      </c>
      <c r="Z5" s="125" t="s">
        <v>1253</v>
      </c>
      <c r="AA5" s="417">
        <f>'Standing Data'!D76</f>
        <v>45382</v>
      </c>
      <c r="AB5" s="122" t="s">
        <v>443</v>
      </c>
      <c r="AD5" s="124">
        <f>'Standing Data'!D44</f>
        <v>46112</v>
      </c>
      <c r="AE5" s="124">
        <f>'Standing Data'!D72</f>
        <v>45747</v>
      </c>
      <c r="AF5" s="124">
        <f>'Standing Data'!D76</f>
        <v>45382</v>
      </c>
      <c r="AG5" s="124">
        <f>'Standing Data'!D44</f>
        <v>46112</v>
      </c>
      <c r="AH5" s="124">
        <f>'Standing Data'!D72</f>
        <v>45747</v>
      </c>
      <c r="AI5" s="124">
        <f>'Standing Data'!D76</f>
        <v>45382</v>
      </c>
    </row>
    <row r="6" spans="1:35" ht="27.6" x14ac:dyDescent="0.3">
      <c r="A6" s="46">
        <v>13</v>
      </c>
      <c r="B6" s="46" t="s">
        <v>890</v>
      </c>
      <c r="C6" s="46" t="s">
        <v>671</v>
      </c>
      <c r="D6" s="214" t="str">
        <f t="shared" ref="D6:D37" si="0">IF(AND(O6=0,U6=0,V6=0),"Do Not Print","Print")</f>
        <v>Do Not Print</v>
      </c>
      <c r="E6" s="212" t="s">
        <v>672</v>
      </c>
      <c r="F6" s="214" t="s">
        <v>580</v>
      </c>
      <c r="G6" s="214" t="s">
        <v>436</v>
      </c>
      <c r="H6" s="214" t="s">
        <v>673</v>
      </c>
      <c r="I6" s="230"/>
      <c r="J6" s="839">
        <f>SUM(P6:P16)+SUM(Q6:Q16)</f>
        <v>0</v>
      </c>
      <c r="K6" s="840">
        <v>0</v>
      </c>
      <c r="L6" s="841">
        <f>SUM(J6:K6)</f>
        <v>0</v>
      </c>
      <c r="M6" s="839">
        <f>SUM(S6:S16)+SUM(T6:T16)</f>
        <v>0</v>
      </c>
      <c r="N6" s="840">
        <v>0</v>
      </c>
      <c r="O6" s="161">
        <f>SUM(M6:N6)+L6</f>
        <v>0</v>
      </c>
      <c r="P6" s="840">
        <v>0</v>
      </c>
      <c r="Q6" s="840">
        <v>0</v>
      </c>
      <c r="R6" s="841">
        <f>SUM(P6:Q6)</f>
        <v>0</v>
      </c>
      <c r="S6" s="840">
        <v>0</v>
      </c>
      <c r="T6" s="840">
        <v>0</v>
      </c>
      <c r="U6" s="161">
        <f>R6+SUM(S6:T6)</f>
        <v>0</v>
      </c>
      <c r="V6" s="841"/>
      <c r="W6" s="841"/>
      <c r="X6" s="841"/>
      <c r="Y6" s="233"/>
      <c r="Z6" s="233"/>
      <c r="AA6" s="233"/>
      <c r="AB6" s="214" t="s">
        <v>673</v>
      </c>
      <c r="AD6" s="232">
        <f>ROUND(L6,0)</f>
        <v>0</v>
      </c>
      <c r="AE6" s="232">
        <f>ROUND(R6,0)</f>
        <v>0</v>
      </c>
      <c r="AG6" s="232">
        <f>ROUND(O6,0)</f>
        <v>0</v>
      </c>
      <c r="AH6" s="232">
        <f>ROUND(U6,0)</f>
        <v>0</v>
      </c>
      <c r="AI6" s="232"/>
    </row>
    <row r="7" spans="1:35" ht="41.4" x14ac:dyDescent="0.3">
      <c r="A7" s="46">
        <v>13</v>
      </c>
      <c r="B7" s="46" t="s">
        <v>890</v>
      </c>
      <c r="C7" s="46" t="s">
        <v>671</v>
      </c>
      <c r="D7" s="214" t="str">
        <f t="shared" si="0"/>
        <v>Do Not Print</v>
      </c>
      <c r="E7" s="212" t="s">
        <v>672</v>
      </c>
      <c r="F7" s="214" t="s">
        <v>580</v>
      </c>
      <c r="G7" s="213" t="s">
        <v>101</v>
      </c>
      <c r="H7" s="213" t="s">
        <v>101</v>
      </c>
      <c r="I7" s="230"/>
      <c r="J7" s="840">
        <v>0</v>
      </c>
      <c r="K7" s="840">
        <v>0</v>
      </c>
      <c r="L7" s="841">
        <f t="shared" ref="L7:L70" si="1">SUM(J7:K7)</f>
        <v>0</v>
      </c>
      <c r="M7" s="840">
        <v>0</v>
      </c>
      <c r="N7" s="840">
        <v>0</v>
      </c>
      <c r="O7" s="161">
        <f t="shared" ref="O7:O70" si="2">SUM(M7:N7)+L7</f>
        <v>0</v>
      </c>
      <c r="P7" s="840">
        <v>0</v>
      </c>
      <c r="Q7" s="840">
        <v>0</v>
      </c>
      <c r="R7" s="841">
        <f t="shared" ref="R7:R70" si="3">SUM(P7:Q7)</f>
        <v>0</v>
      </c>
      <c r="S7" s="840">
        <v>0</v>
      </c>
      <c r="T7" s="840">
        <v>0</v>
      </c>
      <c r="U7" s="161">
        <f t="shared" ref="U7:U70" si="4">R7+SUM(S7:T7)</f>
        <v>0</v>
      </c>
      <c r="V7" s="841"/>
      <c r="W7" s="841"/>
      <c r="X7" s="841"/>
      <c r="Y7" s="233"/>
      <c r="Z7" s="233"/>
      <c r="AA7" s="233"/>
      <c r="AB7" s="213" t="s">
        <v>101</v>
      </c>
      <c r="AD7" s="232">
        <f t="shared" ref="AD7:AD70" si="5">ROUND(L7,0)</f>
        <v>0</v>
      </c>
      <c r="AE7" s="232">
        <f t="shared" ref="AE7:AE70" si="6">ROUND(R7,0)</f>
        <v>0</v>
      </c>
      <c r="AG7" s="232">
        <f>ROUND(O7,0)</f>
        <v>0</v>
      </c>
      <c r="AH7" s="232">
        <f t="shared" ref="AH7:AH124" si="7">ROUND(U7,0)</f>
        <v>0</v>
      </c>
      <c r="AI7" s="232"/>
    </row>
    <row r="8" spans="1:35" ht="27.6" x14ac:dyDescent="0.3">
      <c r="A8" s="46">
        <v>13</v>
      </c>
      <c r="B8" s="46" t="s">
        <v>890</v>
      </c>
      <c r="C8" s="46" t="s">
        <v>671</v>
      </c>
      <c r="D8" s="214" t="str">
        <f t="shared" si="0"/>
        <v>Do Not Print</v>
      </c>
      <c r="E8" s="212" t="s">
        <v>672</v>
      </c>
      <c r="F8" s="214" t="s">
        <v>580</v>
      </c>
      <c r="G8" s="213" t="s">
        <v>973</v>
      </c>
      <c r="H8" s="213" t="s">
        <v>972</v>
      </c>
      <c r="I8" s="230"/>
      <c r="J8" s="840">
        <v>0</v>
      </c>
      <c r="K8" s="840">
        <v>0</v>
      </c>
      <c r="L8" s="841">
        <f t="shared" si="1"/>
        <v>0</v>
      </c>
      <c r="M8" s="840">
        <v>0</v>
      </c>
      <c r="N8" s="840">
        <v>0</v>
      </c>
      <c r="O8" s="161">
        <f t="shared" si="2"/>
        <v>0</v>
      </c>
      <c r="P8" s="840">
        <v>0</v>
      </c>
      <c r="Q8" s="840">
        <v>0</v>
      </c>
      <c r="R8" s="841">
        <f t="shared" si="3"/>
        <v>0</v>
      </c>
      <c r="S8" s="840">
        <v>0</v>
      </c>
      <c r="T8" s="840">
        <v>0</v>
      </c>
      <c r="U8" s="161">
        <f t="shared" si="4"/>
        <v>0</v>
      </c>
      <c r="V8" s="841"/>
      <c r="W8" s="841"/>
      <c r="X8" s="841"/>
      <c r="Y8" s="233"/>
      <c r="Z8" s="233"/>
      <c r="AA8" s="233"/>
      <c r="AB8" s="213" t="s">
        <v>972</v>
      </c>
      <c r="AD8" s="232">
        <f t="shared" si="5"/>
        <v>0</v>
      </c>
      <c r="AE8" s="232">
        <f t="shared" si="6"/>
        <v>0</v>
      </c>
      <c r="AG8" s="232">
        <f>ROUND(O8,0)</f>
        <v>0</v>
      </c>
      <c r="AH8" s="232">
        <f t="shared" si="7"/>
        <v>0</v>
      </c>
      <c r="AI8" s="232"/>
    </row>
    <row r="9" spans="1:35" ht="27.6" x14ac:dyDescent="0.3">
      <c r="A9" s="46">
        <v>13</v>
      </c>
      <c r="B9" s="46" t="s">
        <v>890</v>
      </c>
      <c r="C9" s="46" t="s">
        <v>671</v>
      </c>
      <c r="D9" s="214" t="str">
        <f t="shared" si="0"/>
        <v>Do Not Print</v>
      </c>
      <c r="E9" s="212" t="s">
        <v>672</v>
      </c>
      <c r="F9" s="214" t="s">
        <v>580</v>
      </c>
      <c r="G9" s="214" t="s">
        <v>103</v>
      </c>
      <c r="H9" s="214" t="s">
        <v>974</v>
      </c>
      <c r="I9" s="230"/>
      <c r="J9" s="840">
        <v>0</v>
      </c>
      <c r="K9" s="840">
        <v>0</v>
      </c>
      <c r="L9" s="841">
        <f t="shared" si="1"/>
        <v>0</v>
      </c>
      <c r="M9" s="840">
        <v>0</v>
      </c>
      <c r="N9" s="840">
        <v>0</v>
      </c>
      <c r="O9" s="161">
        <f t="shared" si="2"/>
        <v>0</v>
      </c>
      <c r="P9" s="840">
        <v>0</v>
      </c>
      <c r="Q9" s="840">
        <v>0</v>
      </c>
      <c r="R9" s="841">
        <f t="shared" si="3"/>
        <v>0</v>
      </c>
      <c r="S9" s="840">
        <v>0</v>
      </c>
      <c r="T9" s="840">
        <v>0</v>
      </c>
      <c r="U9" s="161">
        <f t="shared" si="4"/>
        <v>0</v>
      </c>
      <c r="V9" s="841"/>
      <c r="W9" s="841"/>
      <c r="X9" s="841"/>
      <c r="Y9" s="233"/>
      <c r="Z9" s="233"/>
      <c r="AA9" s="233"/>
      <c r="AB9" s="214" t="s">
        <v>974</v>
      </c>
      <c r="AD9" s="232">
        <f t="shared" si="5"/>
        <v>0</v>
      </c>
      <c r="AE9" s="232">
        <f t="shared" si="6"/>
        <v>0</v>
      </c>
      <c r="AG9" s="232">
        <f>ROUND(O9,0)</f>
        <v>0</v>
      </c>
      <c r="AH9" s="232"/>
      <c r="AI9" s="232"/>
    </row>
    <row r="10" spans="1:35" ht="41.4" x14ac:dyDescent="0.3">
      <c r="A10" s="46">
        <v>13</v>
      </c>
      <c r="B10" s="46" t="s">
        <v>890</v>
      </c>
      <c r="C10" s="46" t="s">
        <v>671</v>
      </c>
      <c r="D10" s="214" t="str">
        <f t="shared" si="0"/>
        <v>Do Not Print</v>
      </c>
      <c r="E10" s="212" t="s">
        <v>672</v>
      </c>
      <c r="F10" s="214" t="s">
        <v>580</v>
      </c>
      <c r="G10" s="213" t="s">
        <v>1090</v>
      </c>
      <c r="H10" s="213" t="s">
        <v>975</v>
      </c>
      <c r="I10" s="230"/>
      <c r="J10" s="840">
        <v>0</v>
      </c>
      <c r="K10" s="840">
        <v>0</v>
      </c>
      <c r="L10" s="841">
        <f t="shared" si="1"/>
        <v>0</v>
      </c>
      <c r="M10" s="840">
        <v>0</v>
      </c>
      <c r="N10" s="840">
        <v>0</v>
      </c>
      <c r="O10" s="161">
        <f t="shared" si="2"/>
        <v>0</v>
      </c>
      <c r="P10" s="840">
        <v>0</v>
      </c>
      <c r="Q10" s="840">
        <v>0</v>
      </c>
      <c r="R10" s="841">
        <f t="shared" si="3"/>
        <v>0</v>
      </c>
      <c r="S10" s="840">
        <v>0</v>
      </c>
      <c r="T10" s="840">
        <v>0</v>
      </c>
      <c r="U10" s="161">
        <f t="shared" si="4"/>
        <v>0</v>
      </c>
      <c r="V10" s="841"/>
      <c r="W10" s="841"/>
      <c r="X10" s="841"/>
      <c r="Y10" s="233"/>
      <c r="Z10" s="233"/>
      <c r="AA10" s="233"/>
      <c r="AB10" s="213" t="s">
        <v>975</v>
      </c>
      <c r="AD10" s="232">
        <f t="shared" si="5"/>
        <v>0</v>
      </c>
      <c r="AE10" s="232">
        <f t="shared" si="6"/>
        <v>0</v>
      </c>
      <c r="AG10" s="232">
        <f>ROUND(O10,0)</f>
        <v>0</v>
      </c>
      <c r="AH10" s="232">
        <f t="shared" si="7"/>
        <v>0</v>
      </c>
      <c r="AI10" s="232"/>
    </row>
    <row r="11" spans="1:35" ht="55.2" x14ac:dyDescent="0.3">
      <c r="A11" s="46">
        <v>13</v>
      </c>
      <c r="B11" s="46" t="s">
        <v>890</v>
      </c>
      <c r="C11" s="46" t="s">
        <v>671</v>
      </c>
      <c r="D11" s="214" t="str">
        <f t="shared" si="0"/>
        <v>Do Not Print</v>
      </c>
      <c r="E11" s="212" t="s">
        <v>672</v>
      </c>
      <c r="F11" s="214" t="s">
        <v>580</v>
      </c>
      <c r="G11" s="214" t="s">
        <v>1091</v>
      </c>
      <c r="H11" s="213" t="s">
        <v>976</v>
      </c>
      <c r="I11" s="230"/>
      <c r="J11" s="840">
        <v>0</v>
      </c>
      <c r="K11" s="840">
        <v>0</v>
      </c>
      <c r="L11" s="841">
        <f t="shared" si="1"/>
        <v>0</v>
      </c>
      <c r="M11" s="840">
        <v>0</v>
      </c>
      <c r="N11" s="840">
        <v>0</v>
      </c>
      <c r="O11" s="161">
        <f t="shared" si="2"/>
        <v>0</v>
      </c>
      <c r="P11" s="840">
        <v>0</v>
      </c>
      <c r="Q11" s="840">
        <v>0</v>
      </c>
      <c r="R11" s="841">
        <f t="shared" si="3"/>
        <v>0</v>
      </c>
      <c r="S11" s="840">
        <v>0</v>
      </c>
      <c r="T11" s="840">
        <v>0</v>
      </c>
      <c r="U11" s="161">
        <f t="shared" si="4"/>
        <v>0</v>
      </c>
      <c r="V11" s="841"/>
      <c r="W11" s="841"/>
      <c r="X11" s="841"/>
      <c r="Y11" s="233"/>
      <c r="Z11" s="233"/>
      <c r="AA11" s="233"/>
      <c r="AB11" s="213" t="s">
        <v>976</v>
      </c>
      <c r="AD11" s="232">
        <f t="shared" si="5"/>
        <v>0</v>
      </c>
      <c r="AE11" s="232">
        <f t="shared" si="6"/>
        <v>0</v>
      </c>
      <c r="AG11" s="232"/>
      <c r="AH11" s="232"/>
      <c r="AI11" s="232"/>
    </row>
    <row r="12" spans="1:35" ht="27.6" x14ac:dyDescent="0.3">
      <c r="A12" s="46">
        <v>13</v>
      </c>
      <c r="B12" s="46" t="s">
        <v>890</v>
      </c>
      <c r="C12" s="46" t="s">
        <v>671</v>
      </c>
      <c r="D12" s="214" t="str">
        <f t="shared" si="0"/>
        <v>Do Not Print</v>
      </c>
      <c r="E12" s="212" t="s">
        <v>672</v>
      </c>
      <c r="F12" s="214" t="s">
        <v>580</v>
      </c>
      <c r="G12" s="214" t="s">
        <v>437</v>
      </c>
      <c r="H12" s="214" t="s">
        <v>674</v>
      </c>
      <c r="I12" s="230"/>
      <c r="J12" s="840">
        <v>0</v>
      </c>
      <c r="K12" s="840">
        <v>0</v>
      </c>
      <c r="L12" s="841">
        <f t="shared" si="1"/>
        <v>0</v>
      </c>
      <c r="M12" s="840">
        <v>0</v>
      </c>
      <c r="N12" s="840">
        <v>0</v>
      </c>
      <c r="O12" s="161">
        <f t="shared" si="2"/>
        <v>0</v>
      </c>
      <c r="P12" s="840">
        <v>0</v>
      </c>
      <c r="Q12" s="840">
        <v>0</v>
      </c>
      <c r="R12" s="841">
        <f t="shared" si="3"/>
        <v>0</v>
      </c>
      <c r="S12" s="840">
        <v>0</v>
      </c>
      <c r="T12" s="840">
        <v>0</v>
      </c>
      <c r="U12" s="161">
        <f t="shared" si="4"/>
        <v>0</v>
      </c>
      <c r="V12" s="841"/>
      <c r="W12" s="841"/>
      <c r="X12" s="841"/>
      <c r="Y12" s="233"/>
      <c r="Z12" s="233"/>
      <c r="AA12" s="233"/>
      <c r="AB12" s="214" t="s">
        <v>674</v>
      </c>
      <c r="AD12" s="232">
        <f t="shared" si="5"/>
        <v>0</v>
      </c>
      <c r="AE12" s="232">
        <f t="shared" si="6"/>
        <v>0</v>
      </c>
      <c r="AG12" s="232">
        <f t="shared" ref="AG12:AG20" si="8">ROUND(O12,0)</f>
        <v>0</v>
      </c>
      <c r="AH12" s="232">
        <f t="shared" si="7"/>
        <v>0</v>
      </c>
      <c r="AI12" s="232"/>
    </row>
    <row r="13" spans="1:35" ht="27.6" x14ac:dyDescent="0.3">
      <c r="A13" s="46">
        <v>13</v>
      </c>
      <c r="B13" s="46" t="s">
        <v>890</v>
      </c>
      <c r="C13" s="46" t="s">
        <v>671</v>
      </c>
      <c r="D13" s="214" t="str">
        <f t="shared" si="0"/>
        <v>Do Not Print</v>
      </c>
      <c r="E13" s="212" t="s">
        <v>672</v>
      </c>
      <c r="F13" s="214" t="s">
        <v>580</v>
      </c>
      <c r="G13" s="213" t="s">
        <v>977</v>
      </c>
      <c r="H13" s="213" t="s">
        <v>978</v>
      </c>
      <c r="I13" s="230"/>
      <c r="J13" s="842">
        <v>0</v>
      </c>
      <c r="K13" s="840">
        <v>0</v>
      </c>
      <c r="L13" s="841">
        <f t="shared" si="1"/>
        <v>0</v>
      </c>
      <c r="M13" s="842">
        <v>0</v>
      </c>
      <c r="N13" s="840">
        <v>0</v>
      </c>
      <c r="O13" s="161">
        <f t="shared" si="2"/>
        <v>0</v>
      </c>
      <c r="P13" s="162">
        <v>0</v>
      </c>
      <c r="Q13" s="840">
        <v>0</v>
      </c>
      <c r="R13" s="841">
        <f t="shared" si="3"/>
        <v>0</v>
      </c>
      <c r="S13" s="842">
        <v>0</v>
      </c>
      <c r="T13" s="840">
        <v>0</v>
      </c>
      <c r="U13" s="161">
        <f t="shared" si="4"/>
        <v>0</v>
      </c>
      <c r="V13" s="841"/>
      <c r="W13" s="841"/>
      <c r="X13" s="841"/>
      <c r="Y13" s="233"/>
      <c r="Z13" s="233"/>
      <c r="AA13" s="233"/>
      <c r="AB13" s="213" t="s">
        <v>978</v>
      </c>
      <c r="AD13" s="232">
        <f t="shared" si="5"/>
        <v>0</v>
      </c>
      <c r="AE13" s="232">
        <f t="shared" si="6"/>
        <v>0</v>
      </c>
      <c r="AG13" s="232">
        <f t="shared" si="8"/>
        <v>0</v>
      </c>
      <c r="AH13" s="232">
        <f t="shared" si="7"/>
        <v>0</v>
      </c>
      <c r="AI13" s="232"/>
    </row>
    <row r="14" spans="1:35" ht="27.6" x14ac:dyDescent="0.3">
      <c r="A14" s="46">
        <v>13</v>
      </c>
      <c r="B14" s="46" t="s">
        <v>890</v>
      </c>
      <c r="C14" s="46" t="s">
        <v>671</v>
      </c>
      <c r="D14" s="214" t="str">
        <f t="shared" si="0"/>
        <v>Do Not Print</v>
      </c>
      <c r="E14" s="212" t="s">
        <v>672</v>
      </c>
      <c r="F14" s="214" t="s">
        <v>580</v>
      </c>
      <c r="G14" s="213" t="s">
        <v>979</v>
      </c>
      <c r="H14" s="213" t="s">
        <v>984</v>
      </c>
      <c r="I14" s="230"/>
      <c r="J14" s="162">
        <v>0</v>
      </c>
      <c r="K14" s="840">
        <v>0</v>
      </c>
      <c r="L14" s="841">
        <f t="shared" si="1"/>
        <v>0</v>
      </c>
      <c r="M14" s="842">
        <v>0</v>
      </c>
      <c r="N14" s="840">
        <v>0</v>
      </c>
      <c r="O14" s="161">
        <f t="shared" si="2"/>
        <v>0</v>
      </c>
      <c r="P14" s="162">
        <v>0</v>
      </c>
      <c r="Q14" s="840">
        <v>0</v>
      </c>
      <c r="R14" s="841">
        <f t="shared" si="3"/>
        <v>0</v>
      </c>
      <c r="S14" s="842">
        <v>0</v>
      </c>
      <c r="T14" s="840">
        <v>0</v>
      </c>
      <c r="U14" s="161">
        <f t="shared" si="4"/>
        <v>0</v>
      </c>
      <c r="V14" s="841"/>
      <c r="W14" s="841"/>
      <c r="X14" s="841"/>
      <c r="Y14" s="233"/>
      <c r="Z14" s="233"/>
      <c r="AA14" s="233"/>
      <c r="AB14" s="213" t="s">
        <v>984</v>
      </c>
      <c r="AD14" s="232">
        <f t="shared" si="5"/>
        <v>0</v>
      </c>
      <c r="AE14" s="232">
        <f t="shared" si="6"/>
        <v>0</v>
      </c>
      <c r="AG14" s="232">
        <f t="shared" si="8"/>
        <v>0</v>
      </c>
      <c r="AH14" s="232">
        <f t="shared" si="7"/>
        <v>0</v>
      </c>
      <c r="AI14" s="232"/>
    </row>
    <row r="15" spans="1:35" ht="27.6" x14ac:dyDescent="0.3">
      <c r="A15" s="46">
        <v>13</v>
      </c>
      <c r="B15" s="46" t="s">
        <v>890</v>
      </c>
      <c r="C15" s="46" t="s">
        <v>671</v>
      </c>
      <c r="D15" s="214" t="str">
        <f t="shared" si="0"/>
        <v>Do Not Print</v>
      </c>
      <c r="E15" s="212" t="s">
        <v>672</v>
      </c>
      <c r="F15" s="214" t="s">
        <v>580</v>
      </c>
      <c r="G15" s="213" t="s">
        <v>980</v>
      </c>
      <c r="H15" s="213" t="s">
        <v>987</v>
      </c>
      <c r="I15" s="230"/>
      <c r="J15" s="840">
        <v>0</v>
      </c>
      <c r="K15" s="840">
        <v>0</v>
      </c>
      <c r="L15" s="841">
        <f t="shared" si="1"/>
        <v>0</v>
      </c>
      <c r="M15" s="840">
        <v>0</v>
      </c>
      <c r="N15" s="840">
        <v>0</v>
      </c>
      <c r="O15" s="161">
        <f t="shared" si="2"/>
        <v>0</v>
      </c>
      <c r="P15" s="840">
        <v>0</v>
      </c>
      <c r="Q15" s="840">
        <v>0</v>
      </c>
      <c r="R15" s="841">
        <f t="shared" si="3"/>
        <v>0</v>
      </c>
      <c r="S15" s="840">
        <v>0</v>
      </c>
      <c r="T15" s="840">
        <v>0</v>
      </c>
      <c r="U15" s="161">
        <f t="shared" si="4"/>
        <v>0</v>
      </c>
      <c r="V15" s="841"/>
      <c r="W15" s="841"/>
      <c r="X15" s="841"/>
      <c r="Y15" s="233"/>
      <c r="Z15" s="233"/>
      <c r="AA15" s="233"/>
      <c r="AB15" s="213" t="s">
        <v>987</v>
      </c>
      <c r="AD15" s="232">
        <f t="shared" si="5"/>
        <v>0</v>
      </c>
      <c r="AE15" s="232">
        <f t="shared" si="6"/>
        <v>0</v>
      </c>
      <c r="AG15" s="232">
        <f t="shared" si="8"/>
        <v>0</v>
      </c>
      <c r="AH15" s="232">
        <f t="shared" si="7"/>
        <v>0</v>
      </c>
      <c r="AI15" s="232"/>
    </row>
    <row r="16" spans="1:35" ht="27.6" x14ac:dyDescent="0.3">
      <c r="A16" s="46">
        <v>13</v>
      </c>
      <c r="B16" s="46" t="s">
        <v>890</v>
      </c>
      <c r="C16" s="46" t="s">
        <v>671</v>
      </c>
      <c r="D16" s="214" t="str">
        <f t="shared" si="0"/>
        <v>Do Not Print</v>
      </c>
      <c r="E16" s="212" t="s">
        <v>672</v>
      </c>
      <c r="F16" s="214" t="s">
        <v>580</v>
      </c>
      <c r="G16" s="213" t="s">
        <v>1093</v>
      </c>
      <c r="H16" s="214" t="s">
        <v>994</v>
      </c>
      <c r="I16" s="230"/>
      <c r="J16" s="840">
        <v>0</v>
      </c>
      <c r="K16" s="840">
        <v>0</v>
      </c>
      <c r="L16" s="841">
        <f t="shared" si="1"/>
        <v>0</v>
      </c>
      <c r="M16" s="840">
        <v>0</v>
      </c>
      <c r="N16" s="840">
        <v>0</v>
      </c>
      <c r="O16" s="161">
        <f t="shared" si="2"/>
        <v>0</v>
      </c>
      <c r="P16" s="840">
        <v>0</v>
      </c>
      <c r="Q16" s="840">
        <v>0</v>
      </c>
      <c r="R16" s="841">
        <f t="shared" si="3"/>
        <v>0</v>
      </c>
      <c r="S16" s="840">
        <v>0</v>
      </c>
      <c r="T16" s="840">
        <v>0</v>
      </c>
      <c r="U16" s="161">
        <f t="shared" si="4"/>
        <v>0</v>
      </c>
      <c r="V16" s="841"/>
      <c r="W16" s="841"/>
      <c r="X16" s="841"/>
      <c r="Y16" s="233"/>
      <c r="Z16" s="233"/>
      <c r="AA16" s="233"/>
      <c r="AB16" s="214" t="s">
        <v>994</v>
      </c>
      <c r="AD16" s="232">
        <f t="shared" si="5"/>
        <v>0</v>
      </c>
      <c r="AE16" s="232">
        <f t="shared" si="6"/>
        <v>0</v>
      </c>
      <c r="AG16" s="232">
        <f t="shared" si="8"/>
        <v>0</v>
      </c>
      <c r="AH16" s="232">
        <f t="shared" si="7"/>
        <v>0</v>
      </c>
      <c r="AI16" s="232"/>
    </row>
    <row r="17" spans="1:35" ht="27.6" x14ac:dyDescent="0.3">
      <c r="A17" s="46">
        <v>13</v>
      </c>
      <c r="B17" s="46" t="s">
        <v>890</v>
      </c>
      <c r="C17" s="46" t="s">
        <v>671</v>
      </c>
      <c r="D17" s="214" t="str">
        <f t="shared" si="0"/>
        <v>Do Not Print</v>
      </c>
      <c r="E17" s="212" t="s">
        <v>672</v>
      </c>
      <c r="F17" s="214" t="s">
        <v>580</v>
      </c>
      <c r="G17" s="214" t="s">
        <v>438</v>
      </c>
      <c r="H17" s="214" t="s">
        <v>676</v>
      </c>
      <c r="I17" s="230"/>
      <c r="J17" s="839">
        <f>P17+P18+P19-P20-P21-P22-P23-P24-P25+P26+P27+SUM(Q17:Q27)+P7+Q7</f>
        <v>0</v>
      </c>
      <c r="K17" s="840">
        <v>0</v>
      </c>
      <c r="L17" s="841">
        <f t="shared" si="1"/>
        <v>0</v>
      </c>
      <c r="M17" s="839">
        <f>S17+S18+S19-S20-S21-S22-S23-S24-S25+S26+S27+SUM(T17:T27)</f>
        <v>0</v>
      </c>
      <c r="N17" s="840">
        <v>0</v>
      </c>
      <c r="O17" s="161">
        <f t="shared" si="2"/>
        <v>0</v>
      </c>
      <c r="P17" s="840">
        <v>0</v>
      </c>
      <c r="Q17" s="840">
        <v>0</v>
      </c>
      <c r="R17" s="841">
        <f t="shared" si="3"/>
        <v>0</v>
      </c>
      <c r="S17" s="840">
        <v>0</v>
      </c>
      <c r="T17" s="840">
        <v>0</v>
      </c>
      <c r="U17" s="161">
        <f t="shared" si="4"/>
        <v>0</v>
      </c>
      <c r="V17" s="841"/>
      <c r="W17" s="841"/>
      <c r="X17" s="841"/>
      <c r="Y17" s="233"/>
      <c r="Z17" s="233"/>
      <c r="AA17" s="233"/>
      <c r="AB17" s="214" t="s">
        <v>676</v>
      </c>
      <c r="AD17" s="232">
        <f t="shared" si="5"/>
        <v>0</v>
      </c>
      <c r="AE17" s="232">
        <f t="shared" si="6"/>
        <v>0</v>
      </c>
      <c r="AG17" s="232">
        <f t="shared" si="8"/>
        <v>0</v>
      </c>
      <c r="AH17" s="232">
        <f t="shared" si="7"/>
        <v>0</v>
      </c>
      <c r="AI17" s="232"/>
    </row>
    <row r="18" spans="1:35" ht="41.4" x14ac:dyDescent="0.3">
      <c r="A18" s="46">
        <v>13</v>
      </c>
      <c r="B18" s="46" t="s">
        <v>890</v>
      </c>
      <c r="C18" s="46" t="s">
        <v>671</v>
      </c>
      <c r="D18" s="214" t="str">
        <f t="shared" si="0"/>
        <v>Do Not Print</v>
      </c>
      <c r="E18" s="212" t="s">
        <v>672</v>
      </c>
      <c r="F18" s="214" t="s">
        <v>580</v>
      </c>
      <c r="G18" s="213" t="s">
        <v>101</v>
      </c>
      <c r="H18" s="213" t="s">
        <v>101</v>
      </c>
      <c r="I18" s="230"/>
      <c r="J18" s="840">
        <v>0</v>
      </c>
      <c r="K18" s="840">
        <v>0</v>
      </c>
      <c r="L18" s="841">
        <f t="shared" si="1"/>
        <v>0</v>
      </c>
      <c r="M18" s="840">
        <v>0</v>
      </c>
      <c r="N18" s="840">
        <v>0</v>
      </c>
      <c r="O18" s="161">
        <f t="shared" si="2"/>
        <v>0</v>
      </c>
      <c r="P18" s="840">
        <v>0</v>
      </c>
      <c r="Q18" s="840">
        <v>0</v>
      </c>
      <c r="R18" s="841">
        <f t="shared" si="3"/>
        <v>0</v>
      </c>
      <c r="S18" s="840">
        <v>0</v>
      </c>
      <c r="T18" s="840">
        <v>0</v>
      </c>
      <c r="U18" s="161">
        <f t="shared" si="4"/>
        <v>0</v>
      </c>
      <c r="V18" s="841"/>
      <c r="W18" s="841"/>
      <c r="X18" s="841"/>
      <c r="Y18" s="233"/>
      <c r="Z18" s="233"/>
      <c r="AA18" s="233"/>
      <c r="AB18" s="213" t="s">
        <v>101</v>
      </c>
      <c r="AD18" s="232">
        <f t="shared" si="5"/>
        <v>0</v>
      </c>
      <c r="AE18" s="232">
        <f t="shared" si="6"/>
        <v>0</v>
      </c>
      <c r="AG18" s="232">
        <f t="shared" si="8"/>
        <v>0</v>
      </c>
      <c r="AH18" s="232"/>
      <c r="AI18" s="232"/>
    </row>
    <row r="19" spans="1:35" ht="27.6" x14ac:dyDescent="0.3">
      <c r="A19" s="46">
        <v>13</v>
      </c>
      <c r="B19" s="46" t="s">
        <v>890</v>
      </c>
      <c r="C19" s="46" t="s">
        <v>671</v>
      </c>
      <c r="D19" s="214" t="str">
        <f t="shared" si="0"/>
        <v>Do Not Print</v>
      </c>
      <c r="E19" s="212" t="s">
        <v>672</v>
      </c>
      <c r="F19" s="214" t="s">
        <v>580</v>
      </c>
      <c r="G19" s="214" t="s">
        <v>109</v>
      </c>
      <c r="H19" s="214" t="s">
        <v>675</v>
      </c>
      <c r="I19" s="230"/>
      <c r="J19" s="840">
        <v>0</v>
      </c>
      <c r="K19" s="840">
        <v>0</v>
      </c>
      <c r="L19" s="841">
        <f t="shared" si="1"/>
        <v>0</v>
      </c>
      <c r="M19" s="840">
        <v>0</v>
      </c>
      <c r="N19" s="840">
        <v>0</v>
      </c>
      <c r="O19" s="161">
        <f t="shared" si="2"/>
        <v>0</v>
      </c>
      <c r="P19" s="840">
        <v>0</v>
      </c>
      <c r="Q19" s="840">
        <v>0</v>
      </c>
      <c r="R19" s="841">
        <f t="shared" si="3"/>
        <v>0</v>
      </c>
      <c r="S19" s="840">
        <v>0</v>
      </c>
      <c r="T19" s="840">
        <v>0</v>
      </c>
      <c r="U19" s="161">
        <f t="shared" si="4"/>
        <v>0</v>
      </c>
      <c r="V19" s="841"/>
      <c r="W19" s="841"/>
      <c r="X19" s="841"/>
      <c r="Y19" s="233"/>
      <c r="Z19" s="233"/>
      <c r="AA19" s="233"/>
      <c r="AB19" s="214" t="s">
        <v>675</v>
      </c>
      <c r="AD19" s="232">
        <f t="shared" si="5"/>
        <v>0</v>
      </c>
      <c r="AE19" s="232">
        <f t="shared" si="6"/>
        <v>0</v>
      </c>
      <c r="AG19" s="232">
        <f t="shared" si="8"/>
        <v>0</v>
      </c>
      <c r="AH19" s="232">
        <f t="shared" si="7"/>
        <v>0</v>
      </c>
      <c r="AI19" s="232"/>
    </row>
    <row r="20" spans="1:35" ht="41.4" x14ac:dyDescent="0.3">
      <c r="A20" s="46">
        <v>13</v>
      </c>
      <c r="B20" s="46" t="s">
        <v>890</v>
      </c>
      <c r="C20" s="46" t="s">
        <v>671</v>
      </c>
      <c r="D20" s="214" t="str">
        <f t="shared" si="0"/>
        <v>Do Not Print</v>
      </c>
      <c r="E20" s="212" t="s">
        <v>672</v>
      </c>
      <c r="F20" s="214" t="s">
        <v>580</v>
      </c>
      <c r="G20" s="214" t="s">
        <v>1092</v>
      </c>
      <c r="H20" s="213" t="s">
        <v>677</v>
      </c>
      <c r="I20" s="230"/>
      <c r="J20" s="840">
        <v>0</v>
      </c>
      <c r="K20" s="840">
        <v>0</v>
      </c>
      <c r="L20" s="841">
        <f t="shared" si="1"/>
        <v>0</v>
      </c>
      <c r="M20" s="840">
        <v>0</v>
      </c>
      <c r="N20" s="840">
        <v>0</v>
      </c>
      <c r="O20" s="161">
        <f t="shared" si="2"/>
        <v>0</v>
      </c>
      <c r="P20" s="840">
        <v>0</v>
      </c>
      <c r="Q20" s="840">
        <v>0</v>
      </c>
      <c r="R20" s="841">
        <f t="shared" si="3"/>
        <v>0</v>
      </c>
      <c r="S20" s="840">
        <v>0</v>
      </c>
      <c r="T20" s="840">
        <v>0</v>
      </c>
      <c r="U20" s="161">
        <f t="shared" si="4"/>
        <v>0</v>
      </c>
      <c r="V20" s="841"/>
      <c r="W20" s="841"/>
      <c r="X20" s="841"/>
      <c r="Y20" s="233"/>
      <c r="Z20" s="233"/>
      <c r="AA20" s="233"/>
      <c r="AB20" s="213" t="s">
        <v>677</v>
      </c>
      <c r="AD20" s="232">
        <f t="shared" si="5"/>
        <v>0</v>
      </c>
      <c r="AE20" s="232">
        <f t="shared" si="6"/>
        <v>0</v>
      </c>
      <c r="AG20" s="232">
        <f t="shared" si="8"/>
        <v>0</v>
      </c>
      <c r="AH20" s="232">
        <f t="shared" si="7"/>
        <v>0</v>
      </c>
      <c r="AI20" s="232"/>
    </row>
    <row r="21" spans="1:35" ht="55.2" x14ac:dyDescent="0.3">
      <c r="A21" s="46">
        <v>13</v>
      </c>
      <c r="B21" s="46" t="s">
        <v>890</v>
      </c>
      <c r="C21" s="46" t="s">
        <v>671</v>
      </c>
      <c r="D21" s="214" t="str">
        <f t="shared" si="0"/>
        <v>Do Not Print</v>
      </c>
      <c r="E21" s="212" t="s">
        <v>672</v>
      </c>
      <c r="F21" s="214" t="s">
        <v>580</v>
      </c>
      <c r="G21" s="214" t="s">
        <v>111</v>
      </c>
      <c r="H21" s="214" t="s">
        <v>111</v>
      </c>
      <c r="I21" s="230"/>
      <c r="J21" s="840">
        <v>0</v>
      </c>
      <c r="K21" s="840">
        <v>0</v>
      </c>
      <c r="L21" s="841">
        <f t="shared" si="1"/>
        <v>0</v>
      </c>
      <c r="M21" s="840">
        <v>0</v>
      </c>
      <c r="N21" s="840">
        <v>0</v>
      </c>
      <c r="O21" s="161">
        <f t="shared" si="2"/>
        <v>0</v>
      </c>
      <c r="P21" s="840">
        <v>0</v>
      </c>
      <c r="Q21" s="840">
        <v>0</v>
      </c>
      <c r="R21" s="841">
        <f t="shared" si="3"/>
        <v>0</v>
      </c>
      <c r="S21" s="840">
        <v>0</v>
      </c>
      <c r="T21" s="840">
        <v>0</v>
      </c>
      <c r="U21" s="161">
        <f t="shared" si="4"/>
        <v>0</v>
      </c>
      <c r="V21" s="841"/>
      <c r="W21" s="841"/>
      <c r="X21" s="841"/>
      <c r="Y21" s="233"/>
      <c r="Z21" s="233"/>
      <c r="AA21" s="233"/>
      <c r="AB21" s="214" t="s">
        <v>111</v>
      </c>
      <c r="AD21" s="232">
        <f t="shared" si="5"/>
        <v>0</v>
      </c>
      <c r="AE21" s="232">
        <f t="shared" si="6"/>
        <v>0</v>
      </c>
      <c r="AG21" s="232"/>
      <c r="AH21" s="232"/>
      <c r="AI21" s="232"/>
    </row>
    <row r="22" spans="1:35" ht="41.4" x14ac:dyDescent="0.3">
      <c r="A22" s="46">
        <v>13</v>
      </c>
      <c r="B22" s="46" t="s">
        <v>890</v>
      </c>
      <c r="C22" s="46" t="s">
        <v>671</v>
      </c>
      <c r="D22" s="214" t="str">
        <f t="shared" si="0"/>
        <v>Do Not Print</v>
      </c>
      <c r="E22" s="212" t="s">
        <v>672</v>
      </c>
      <c r="F22" s="214" t="s">
        <v>580</v>
      </c>
      <c r="G22" s="213" t="s">
        <v>982</v>
      </c>
      <c r="H22" s="214" t="s">
        <v>678</v>
      </c>
      <c r="I22" s="230"/>
      <c r="J22" s="840">
        <v>0</v>
      </c>
      <c r="K22" s="840">
        <v>0</v>
      </c>
      <c r="L22" s="841">
        <f t="shared" si="1"/>
        <v>0</v>
      </c>
      <c r="M22" s="840">
        <v>0</v>
      </c>
      <c r="N22" s="840">
        <v>0</v>
      </c>
      <c r="O22" s="161">
        <f t="shared" si="2"/>
        <v>0</v>
      </c>
      <c r="P22" s="840">
        <v>0</v>
      </c>
      <c r="Q22" s="840">
        <v>0</v>
      </c>
      <c r="R22" s="841">
        <f t="shared" si="3"/>
        <v>0</v>
      </c>
      <c r="S22" s="840">
        <v>0</v>
      </c>
      <c r="T22" s="840">
        <v>0</v>
      </c>
      <c r="U22" s="161">
        <f t="shared" si="4"/>
        <v>0</v>
      </c>
      <c r="V22" s="841"/>
      <c r="W22" s="841"/>
      <c r="X22" s="841"/>
      <c r="Y22" s="233"/>
      <c r="Z22" s="233"/>
      <c r="AA22" s="233"/>
      <c r="AB22" s="214" t="s">
        <v>678</v>
      </c>
      <c r="AD22" s="232">
        <f t="shared" si="5"/>
        <v>0</v>
      </c>
      <c r="AE22" s="232">
        <f t="shared" si="6"/>
        <v>0</v>
      </c>
      <c r="AG22" s="232">
        <f t="shared" ref="AG22:AG42" si="9">ROUND(O22,0)</f>
        <v>0</v>
      </c>
      <c r="AH22" s="232">
        <f t="shared" si="7"/>
        <v>0</v>
      </c>
      <c r="AI22" s="232"/>
    </row>
    <row r="23" spans="1:35" ht="27.6" x14ac:dyDescent="0.3">
      <c r="A23" s="46">
        <v>13</v>
      </c>
      <c r="B23" s="46" t="s">
        <v>890</v>
      </c>
      <c r="C23" s="46" t="s">
        <v>671</v>
      </c>
      <c r="D23" s="214" t="str">
        <f t="shared" si="0"/>
        <v>Do Not Print</v>
      </c>
      <c r="E23" s="212" t="s">
        <v>672</v>
      </c>
      <c r="F23" s="214" t="s">
        <v>580</v>
      </c>
      <c r="G23" s="213" t="s">
        <v>981</v>
      </c>
      <c r="H23" s="213" t="s">
        <v>983</v>
      </c>
      <c r="I23" s="230"/>
      <c r="J23" s="840">
        <v>0</v>
      </c>
      <c r="K23" s="840">
        <v>0</v>
      </c>
      <c r="L23" s="841">
        <f t="shared" si="1"/>
        <v>0</v>
      </c>
      <c r="M23" s="840">
        <v>0</v>
      </c>
      <c r="N23" s="840">
        <v>0</v>
      </c>
      <c r="O23" s="161">
        <f t="shared" si="2"/>
        <v>0</v>
      </c>
      <c r="P23" s="840">
        <v>0</v>
      </c>
      <c r="Q23" s="840">
        <v>0</v>
      </c>
      <c r="R23" s="841">
        <f t="shared" si="3"/>
        <v>0</v>
      </c>
      <c r="S23" s="840">
        <v>0</v>
      </c>
      <c r="T23" s="840">
        <v>0</v>
      </c>
      <c r="U23" s="161">
        <f t="shared" si="4"/>
        <v>0</v>
      </c>
      <c r="V23" s="841"/>
      <c r="W23" s="841"/>
      <c r="X23" s="841"/>
      <c r="Y23" s="233"/>
      <c r="Z23" s="233"/>
      <c r="AA23" s="233"/>
      <c r="AB23" s="213" t="s">
        <v>983</v>
      </c>
      <c r="AD23" s="232">
        <f t="shared" si="5"/>
        <v>0</v>
      </c>
      <c r="AE23" s="232">
        <f t="shared" si="6"/>
        <v>0</v>
      </c>
      <c r="AG23" s="232">
        <f t="shared" si="9"/>
        <v>0</v>
      </c>
      <c r="AH23" s="232">
        <f>ROUND(U23,0)</f>
        <v>0</v>
      </c>
      <c r="AI23" s="232"/>
    </row>
    <row r="24" spans="1:35" ht="27.6" x14ac:dyDescent="0.3">
      <c r="A24" s="46">
        <v>13</v>
      </c>
      <c r="B24" s="46" t="s">
        <v>890</v>
      </c>
      <c r="C24" s="46" t="s">
        <v>671</v>
      </c>
      <c r="D24" s="214" t="str">
        <f t="shared" si="0"/>
        <v>Do Not Print</v>
      </c>
      <c r="E24" s="212" t="s">
        <v>672</v>
      </c>
      <c r="F24" s="214" t="s">
        <v>580</v>
      </c>
      <c r="G24" s="213" t="s">
        <v>977</v>
      </c>
      <c r="H24" s="213" t="s">
        <v>985</v>
      </c>
      <c r="I24" s="230"/>
      <c r="J24" s="840">
        <v>0</v>
      </c>
      <c r="K24" s="840">
        <v>0</v>
      </c>
      <c r="L24" s="841">
        <f t="shared" si="1"/>
        <v>0</v>
      </c>
      <c r="M24" s="840">
        <v>0</v>
      </c>
      <c r="N24" s="840">
        <v>0</v>
      </c>
      <c r="O24" s="161">
        <f t="shared" si="2"/>
        <v>0</v>
      </c>
      <c r="P24" s="840">
        <v>0</v>
      </c>
      <c r="Q24" s="840">
        <v>0</v>
      </c>
      <c r="R24" s="841">
        <f t="shared" si="3"/>
        <v>0</v>
      </c>
      <c r="S24" s="840">
        <v>0</v>
      </c>
      <c r="T24" s="840">
        <v>0</v>
      </c>
      <c r="U24" s="161">
        <f t="shared" si="4"/>
        <v>0</v>
      </c>
      <c r="V24" s="841"/>
      <c r="W24" s="841"/>
      <c r="X24" s="841"/>
      <c r="Y24" s="233"/>
      <c r="Z24" s="233"/>
      <c r="AA24" s="233"/>
      <c r="AB24" s="213" t="s">
        <v>985</v>
      </c>
      <c r="AD24" s="232">
        <f t="shared" si="5"/>
        <v>0</v>
      </c>
      <c r="AE24" s="232">
        <f t="shared" si="6"/>
        <v>0</v>
      </c>
      <c r="AG24" s="232">
        <f t="shared" si="9"/>
        <v>0</v>
      </c>
      <c r="AH24" s="232">
        <f t="shared" si="7"/>
        <v>0</v>
      </c>
      <c r="AI24" s="232"/>
    </row>
    <row r="25" spans="1:35" ht="27.6" x14ac:dyDescent="0.3">
      <c r="A25" s="46">
        <v>13</v>
      </c>
      <c r="B25" s="46" t="s">
        <v>890</v>
      </c>
      <c r="C25" s="46" t="s">
        <v>671</v>
      </c>
      <c r="D25" s="214" t="str">
        <f t="shared" si="0"/>
        <v>Do Not Print</v>
      </c>
      <c r="E25" s="212" t="s">
        <v>672</v>
      </c>
      <c r="F25" s="214" t="s">
        <v>580</v>
      </c>
      <c r="G25" s="213" t="s">
        <v>979</v>
      </c>
      <c r="H25" s="213" t="s">
        <v>986</v>
      </c>
      <c r="I25" s="230"/>
      <c r="J25" s="840">
        <v>0</v>
      </c>
      <c r="K25" s="840">
        <v>0</v>
      </c>
      <c r="L25" s="841">
        <f t="shared" si="1"/>
        <v>0</v>
      </c>
      <c r="M25" s="840">
        <v>0</v>
      </c>
      <c r="N25" s="840">
        <v>0</v>
      </c>
      <c r="O25" s="161">
        <f t="shared" si="2"/>
        <v>0</v>
      </c>
      <c r="P25" s="840">
        <v>0</v>
      </c>
      <c r="Q25" s="840">
        <v>0</v>
      </c>
      <c r="R25" s="841">
        <f t="shared" si="3"/>
        <v>0</v>
      </c>
      <c r="S25" s="840">
        <v>0</v>
      </c>
      <c r="T25" s="840">
        <v>0</v>
      </c>
      <c r="U25" s="161">
        <f t="shared" si="4"/>
        <v>0</v>
      </c>
      <c r="V25" s="841"/>
      <c r="W25" s="841"/>
      <c r="X25" s="841"/>
      <c r="Y25" s="233"/>
      <c r="Z25" s="233"/>
      <c r="AA25" s="233"/>
      <c r="AB25" s="213" t="s">
        <v>986</v>
      </c>
      <c r="AD25" s="232">
        <f t="shared" si="5"/>
        <v>0</v>
      </c>
      <c r="AE25" s="232">
        <f t="shared" si="6"/>
        <v>0</v>
      </c>
      <c r="AG25" s="232">
        <f t="shared" si="9"/>
        <v>0</v>
      </c>
      <c r="AH25" s="232">
        <f t="shared" si="7"/>
        <v>0</v>
      </c>
      <c r="AI25" s="232"/>
    </row>
    <row r="26" spans="1:35" ht="27.6" x14ac:dyDescent="0.3">
      <c r="A26" s="46">
        <v>13</v>
      </c>
      <c r="B26" s="46" t="s">
        <v>890</v>
      </c>
      <c r="C26" s="46" t="s">
        <v>671</v>
      </c>
      <c r="D26" s="214" t="str">
        <f t="shared" si="0"/>
        <v>Do Not Print</v>
      </c>
      <c r="E26" s="212" t="s">
        <v>672</v>
      </c>
      <c r="F26" s="214" t="s">
        <v>580</v>
      </c>
      <c r="G26" s="213" t="s">
        <v>980</v>
      </c>
      <c r="H26" s="214" t="s">
        <v>680</v>
      </c>
      <c r="I26" s="230"/>
      <c r="J26" s="840">
        <v>0</v>
      </c>
      <c r="K26" s="840">
        <v>0</v>
      </c>
      <c r="L26" s="841">
        <f t="shared" si="1"/>
        <v>0</v>
      </c>
      <c r="M26" s="840">
        <v>0</v>
      </c>
      <c r="N26" s="840">
        <v>0</v>
      </c>
      <c r="O26" s="161">
        <f t="shared" si="2"/>
        <v>0</v>
      </c>
      <c r="P26" s="840">
        <v>0</v>
      </c>
      <c r="Q26" s="840">
        <v>0</v>
      </c>
      <c r="R26" s="841">
        <f t="shared" si="3"/>
        <v>0</v>
      </c>
      <c r="S26" s="840">
        <v>0</v>
      </c>
      <c r="T26" s="840">
        <v>0</v>
      </c>
      <c r="U26" s="161">
        <f t="shared" si="4"/>
        <v>0</v>
      </c>
      <c r="V26" s="841"/>
      <c r="W26" s="841"/>
      <c r="X26" s="841"/>
      <c r="Y26" s="233"/>
      <c r="Z26" s="233"/>
      <c r="AA26" s="233"/>
      <c r="AB26" s="214" t="s">
        <v>680</v>
      </c>
      <c r="AD26" s="232">
        <f t="shared" si="5"/>
        <v>0</v>
      </c>
      <c r="AE26" s="232">
        <f t="shared" si="6"/>
        <v>0</v>
      </c>
      <c r="AG26" s="232">
        <f t="shared" si="9"/>
        <v>0</v>
      </c>
      <c r="AH26" s="232">
        <f t="shared" si="7"/>
        <v>0</v>
      </c>
      <c r="AI26" s="232"/>
    </row>
    <row r="27" spans="1:35" ht="41.4" x14ac:dyDescent="0.3">
      <c r="A27" s="46">
        <v>13</v>
      </c>
      <c r="B27" s="46" t="s">
        <v>890</v>
      </c>
      <c r="C27" s="46" t="s">
        <v>671</v>
      </c>
      <c r="D27" s="214" t="str">
        <f t="shared" si="0"/>
        <v>Do Not Print</v>
      </c>
      <c r="E27" s="212" t="s">
        <v>672</v>
      </c>
      <c r="F27" s="214" t="s">
        <v>580</v>
      </c>
      <c r="G27" s="213" t="s">
        <v>1093</v>
      </c>
      <c r="H27" s="213" t="s">
        <v>988</v>
      </c>
      <c r="I27" s="230"/>
      <c r="J27" s="840">
        <v>0</v>
      </c>
      <c r="K27" s="840">
        <v>0</v>
      </c>
      <c r="L27" s="841">
        <f t="shared" si="1"/>
        <v>0</v>
      </c>
      <c r="M27" s="840">
        <v>0</v>
      </c>
      <c r="N27" s="840">
        <v>0</v>
      </c>
      <c r="O27" s="161">
        <f t="shared" si="2"/>
        <v>0</v>
      </c>
      <c r="P27" s="840">
        <v>0</v>
      </c>
      <c r="Q27" s="840">
        <v>0</v>
      </c>
      <c r="R27" s="841">
        <f t="shared" si="3"/>
        <v>0</v>
      </c>
      <c r="S27" s="840">
        <v>0</v>
      </c>
      <c r="T27" s="840">
        <v>0</v>
      </c>
      <c r="U27" s="161">
        <f t="shared" si="4"/>
        <v>0</v>
      </c>
      <c r="V27" s="841"/>
      <c r="W27" s="841"/>
      <c r="X27" s="841"/>
      <c r="Y27" s="233"/>
      <c r="Z27" s="233"/>
      <c r="AA27" s="233"/>
      <c r="AB27" s="213" t="s">
        <v>988</v>
      </c>
      <c r="AD27" s="232">
        <f t="shared" si="5"/>
        <v>0</v>
      </c>
      <c r="AE27" s="232">
        <f t="shared" si="6"/>
        <v>0</v>
      </c>
      <c r="AG27" s="232">
        <f t="shared" si="9"/>
        <v>0</v>
      </c>
      <c r="AH27" s="232">
        <f t="shared" si="7"/>
        <v>0</v>
      </c>
      <c r="AI27" s="232"/>
    </row>
    <row r="28" spans="1:35" ht="27.6" x14ac:dyDescent="0.3">
      <c r="A28" s="46">
        <v>14</v>
      </c>
      <c r="B28" s="46" t="s">
        <v>891</v>
      </c>
      <c r="C28" s="46" t="s">
        <v>671</v>
      </c>
      <c r="D28" s="214" t="str">
        <f t="shared" si="0"/>
        <v>Do Not Print</v>
      </c>
      <c r="E28" s="212" t="s">
        <v>672</v>
      </c>
      <c r="F28" s="214" t="s">
        <v>681</v>
      </c>
      <c r="G28" s="214" t="s">
        <v>436</v>
      </c>
      <c r="H28" s="214" t="s">
        <v>682</v>
      </c>
      <c r="I28" s="230"/>
      <c r="J28" s="839">
        <f>SUM(P28:P38)+SUM(Q28:Q38)</f>
        <v>0</v>
      </c>
      <c r="K28" s="840">
        <v>0</v>
      </c>
      <c r="L28" s="841">
        <f t="shared" si="1"/>
        <v>0</v>
      </c>
      <c r="M28" s="839">
        <f>SUM(S28:S38)+SUM(T28:T38)</f>
        <v>0</v>
      </c>
      <c r="N28" s="840">
        <v>0</v>
      </c>
      <c r="O28" s="161">
        <f t="shared" si="2"/>
        <v>0</v>
      </c>
      <c r="P28" s="840">
        <v>0</v>
      </c>
      <c r="Q28" s="840">
        <v>0</v>
      </c>
      <c r="R28" s="841">
        <f t="shared" si="3"/>
        <v>0</v>
      </c>
      <c r="S28" s="840">
        <v>0</v>
      </c>
      <c r="T28" s="840">
        <v>0</v>
      </c>
      <c r="U28" s="161">
        <f t="shared" si="4"/>
        <v>0</v>
      </c>
      <c r="V28" s="841"/>
      <c r="W28" s="841"/>
      <c r="X28" s="841"/>
      <c r="Y28" s="233"/>
      <c r="Z28" s="233"/>
      <c r="AA28" s="233"/>
      <c r="AB28" s="214" t="s">
        <v>682</v>
      </c>
      <c r="AD28" s="232">
        <f t="shared" si="5"/>
        <v>0</v>
      </c>
      <c r="AE28" s="232">
        <f t="shared" si="6"/>
        <v>0</v>
      </c>
      <c r="AG28" s="232">
        <f t="shared" si="9"/>
        <v>0</v>
      </c>
      <c r="AH28" s="232">
        <f t="shared" si="7"/>
        <v>0</v>
      </c>
      <c r="AI28" s="232"/>
    </row>
    <row r="29" spans="1:35" ht="41.4" x14ac:dyDescent="0.3">
      <c r="A29" s="46">
        <v>14</v>
      </c>
      <c r="B29" s="46" t="s">
        <v>891</v>
      </c>
      <c r="C29" s="46" t="s">
        <v>671</v>
      </c>
      <c r="D29" s="214" t="str">
        <f t="shared" si="0"/>
        <v>Do Not Print</v>
      </c>
      <c r="E29" s="212" t="s">
        <v>672</v>
      </c>
      <c r="F29" s="214" t="s">
        <v>681</v>
      </c>
      <c r="G29" s="213" t="s">
        <v>101</v>
      </c>
      <c r="H29" s="213" t="s">
        <v>101</v>
      </c>
      <c r="I29" s="230"/>
      <c r="J29" s="840">
        <v>0</v>
      </c>
      <c r="K29" s="840">
        <v>0</v>
      </c>
      <c r="L29" s="841">
        <f t="shared" si="1"/>
        <v>0</v>
      </c>
      <c r="M29" s="840">
        <v>0</v>
      </c>
      <c r="N29" s="840">
        <v>0</v>
      </c>
      <c r="O29" s="161">
        <f t="shared" si="2"/>
        <v>0</v>
      </c>
      <c r="P29" s="840">
        <v>0</v>
      </c>
      <c r="Q29" s="840">
        <v>0</v>
      </c>
      <c r="R29" s="841">
        <f t="shared" si="3"/>
        <v>0</v>
      </c>
      <c r="S29" s="840">
        <v>0</v>
      </c>
      <c r="T29" s="840">
        <v>0</v>
      </c>
      <c r="U29" s="161">
        <f t="shared" si="4"/>
        <v>0</v>
      </c>
      <c r="V29" s="841"/>
      <c r="W29" s="841"/>
      <c r="X29" s="841"/>
      <c r="Y29" s="233"/>
      <c r="Z29" s="233"/>
      <c r="AA29" s="233"/>
      <c r="AB29" s="213" t="s">
        <v>101</v>
      </c>
      <c r="AD29" s="232">
        <f t="shared" si="5"/>
        <v>0</v>
      </c>
      <c r="AE29" s="232">
        <f t="shared" si="6"/>
        <v>0</v>
      </c>
      <c r="AG29" s="232">
        <f t="shared" si="9"/>
        <v>0</v>
      </c>
      <c r="AH29" s="232">
        <f t="shared" si="7"/>
        <v>0</v>
      </c>
      <c r="AI29" s="232"/>
    </row>
    <row r="30" spans="1:35" ht="27.6" x14ac:dyDescent="0.3">
      <c r="A30" s="46">
        <v>14</v>
      </c>
      <c r="B30" s="46" t="s">
        <v>891</v>
      </c>
      <c r="C30" s="46" t="s">
        <v>671</v>
      </c>
      <c r="D30" s="214" t="str">
        <f t="shared" si="0"/>
        <v>Do Not Print</v>
      </c>
      <c r="E30" s="212" t="s">
        <v>672</v>
      </c>
      <c r="F30" s="214" t="s">
        <v>681</v>
      </c>
      <c r="G30" s="214" t="s">
        <v>973</v>
      </c>
      <c r="H30" s="214" t="s">
        <v>989</v>
      </c>
      <c r="I30" s="230"/>
      <c r="J30" s="840">
        <v>0</v>
      </c>
      <c r="K30" s="840">
        <v>0</v>
      </c>
      <c r="L30" s="841">
        <f t="shared" si="1"/>
        <v>0</v>
      </c>
      <c r="M30" s="840">
        <v>0</v>
      </c>
      <c r="N30" s="840">
        <v>0</v>
      </c>
      <c r="O30" s="161">
        <f t="shared" si="2"/>
        <v>0</v>
      </c>
      <c r="P30" s="840">
        <v>0</v>
      </c>
      <c r="Q30" s="840">
        <v>0</v>
      </c>
      <c r="R30" s="841">
        <f t="shared" si="3"/>
        <v>0</v>
      </c>
      <c r="S30" s="840">
        <v>0</v>
      </c>
      <c r="T30" s="840">
        <v>0</v>
      </c>
      <c r="U30" s="161">
        <f t="shared" si="4"/>
        <v>0</v>
      </c>
      <c r="V30" s="841"/>
      <c r="W30" s="841"/>
      <c r="X30" s="841"/>
      <c r="Y30" s="233"/>
      <c r="Z30" s="233"/>
      <c r="AA30" s="233"/>
      <c r="AB30" s="214" t="s">
        <v>989</v>
      </c>
      <c r="AD30" s="232">
        <f t="shared" si="5"/>
        <v>0</v>
      </c>
      <c r="AE30" s="232">
        <f t="shared" si="6"/>
        <v>0</v>
      </c>
      <c r="AG30" s="232">
        <f t="shared" si="9"/>
        <v>0</v>
      </c>
      <c r="AH30" s="232">
        <f t="shared" si="7"/>
        <v>0</v>
      </c>
      <c r="AI30" s="232"/>
    </row>
    <row r="31" spans="1:35" ht="27.6" x14ac:dyDescent="0.3">
      <c r="A31" s="46">
        <v>14</v>
      </c>
      <c r="B31" s="46" t="s">
        <v>891</v>
      </c>
      <c r="C31" s="46" t="s">
        <v>671</v>
      </c>
      <c r="D31" s="214" t="str">
        <f t="shared" si="0"/>
        <v>Do Not Print</v>
      </c>
      <c r="E31" s="212" t="s">
        <v>672</v>
      </c>
      <c r="F31" s="214" t="s">
        <v>681</v>
      </c>
      <c r="G31" s="214" t="s">
        <v>103</v>
      </c>
      <c r="H31" s="214" t="s">
        <v>990</v>
      </c>
      <c r="I31" s="230"/>
      <c r="J31" s="840">
        <v>0</v>
      </c>
      <c r="K31" s="840">
        <v>0</v>
      </c>
      <c r="L31" s="841">
        <f t="shared" si="1"/>
        <v>0</v>
      </c>
      <c r="M31" s="840">
        <v>0</v>
      </c>
      <c r="N31" s="840">
        <v>0</v>
      </c>
      <c r="O31" s="161">
        <f t="shared" si="2"/>
        <v>0</v>
      </c>
      <c r="P31" s="840">
        <v>0</v>
      </c>
      <c r="Q31" s="840">
        <v>0</v>
      </c>
      <c r="R31" s="841">
        <f t="shared" si="3"/>
        <v>0</v>
      </c>
      <c r="S31" s="840">
        <v>0</v>
      </c>
      <c r="T31" s="840">
        <v>0</v>
      </c>
      <c r="U31" s="161">
        <f t="shared" si="4"/>
        <v>0</v>
      </c>
      <c r="V31" s="841"/>
      <c r="W31" s="841"/>
      <c r="X31" s="841"/>
      <c r="Y31" s="233"/>
      <c r="Z31" s="233"/>
      <c r="AA31" s="233"/>
      <c r="AB31" s="214" t="s">
        <v>990</v>
      </c>
      <c r="AD31" s="232">
        <f t="shared" si="5"/>
        <v>0</v>
      </c>
      <c r="AE31" s="232">
        <f t="shared" si="6"/>
        <v>0</v>
      </c>
      <c r="AG31" s="232">
        <f t="shared" si="9"/>
        <v>0</v>
      </c>
      <c r="AH31" s="232">
        <f t="shared" si="7"/>
        <v>0</v>
      </c>
      <c r="AI31" s="232"/>
    </row>
    <row r="32" spans="1:35" ht="41.4" x14ac:dyDescent="0.3">
      <c r="A32" s="46">
        <v>14</v>
      </c>
      <c r="B32" s="46" t="s">
        <v>891</v>
      </c>
      <c r="C32" s="46" t="s">
        <v>671</v>
      </c>
      <c r="D32" s="214" t="str">
        <f t="shared" si="0"/>
        <v>Do Not Print</v>
      </c>
      <c r="E32" s="212" t="s">
        <v>672</v>
      </c>
      <c r="F32" s="214" t="s">
        <v>681</v>
      </c>
      <c r="G32" s="214" t="s">
        <v>1090</v>
      </c>
      <c r="H32" s="213" t="s">
        <v>991</v>
      </c>
      <c r="I32" s="230"/>
      <c r="J32" s="840">
        <v>0</v>
      </c>
      <c r="K32" s="840">
        <v>0</v>
      </c>
      <c r="L32" s="841">
        <f t="shared" si="1"/>
        <v>0</v>
      </c>
      <c r="M32" s="840">
        <v>0</v>
      </c>
      <c r="N32" s="840">
        <v>0</v>
      </c>
      <c r="O32" s="161">
        <f t="shared" si="2"/>
        <v>0</v>
      </c>
      <c r="P32" s="840">
        <v>0</v>
      </c>
      <c r="Q32" s="840">
        <v>0</v>
      </c>
      <c r="R32" s="841">
        <f t="shared" si="3"/>
        <v>0</v>
      </c>
      <c r="S32" s="840">
        <v>0</v>
      </c>
      <c r="T32" s="840">
        <v>0</v>
      </c>
      <c r="U32" s="161">
        <f t="shared" si="4"/>
        <v>0</v>
      </c>
      <c r="V32" s="841"/>
      <c r="W32" s="841"/>
      <c r="X32" s="841"/>
      <c r="Y32" s="233"/>
      <c r="Z32" s="233"/>
      <c r="AA32" s="233"/>
      <c r="AB32" s="213" t="s">
        <v>991</v>
      </c>
      <c r="AD32" s="232">
        <f t="shared" si="5"/>
        <v>0</v>
      </c>
      <c r="AE32" s="232">
        <f t="shared" si="6"/>
        <v>0</v>
      </c>
      <c r="AG32" s="232">
        <f t="shared" si="9"/>
        <v>0</v>
      </c>
      <c r="AH32" s="232">
        <f t="shared" si="7"/>
        <v>0</v>
      </c>
      <c r="AI32" s="232"/>
    </row>
    <row r="33" spans="1:35" ht="55.2" x14ac:dyDescent="0.3">
      <c r="A33" s="46">
        <v>14</v>
      </c>
      <c r="B33" s="46" t="s">
        <v>891</v>
      </c>
      <c r="C33" s="46" t="s">
        <v>671</v>
      </c>
      <c r="D33" s="214" t="str">
        <f t="shared" si="0"/>
        <v>Do Not Print</v>
      </c>
      <c r="E33" s="212" t="s">
        <v>672</v>
      </c>
      <c r="F33" s="214" t="s">
        <v>681</v>
      </c>
      <c r="G33" s="214" t="s">
        <v>1091</v>
      </c>
      <c r="H33" s="213" t="s">
        <v>992</v>
      </c>
      <c r="I33" s="230"/>
      <c r="J33" s="840">
        <v>0</v>
      </c>
      <c r="K33" s="840">
        <v>0</v>
      </c>
      <c r="L33" s="841">
        <f t="shared" si="1"/>
        <v>0</v>
      </c>
      <c r="M33" s="840">
        <v>0</v>
      </c>
      <c r="N33" s="840">
        <v>0</v>
      </c>
      <c r="O33" s="161">
        <f t="shared" si="2"/>
        <v>0</v>
      </c>
      <c r="P33" s="840">
        <v>0</v>
      </c>
      <c r="Q33" s="840">
        <v>0</v>
      </c>
      <c r="R33" s="841">
        <f t="shared" si="3"/>
        <v>0</v>
      </c>
      <c r="S33" s="840">
        <v>0</v>
      </c>
      <c r="T33" s="840">
        <v>0</v>
      </c>
      <c r="U33" s="161">
        <f t="shared" si="4"/>
        <v>0</v>
      </c>
      <c r="V33" s="841"/>
      <c r="W33" s="841"/>
      <c r="X33" s="841"/>
      <c r="Y33" s="233"/>
      <c r="Z33" s="233"/>
      <c r="AA33" s="233"/>
      <c r="AB33" s="213" t="s">
        <v>992</v>
      </c>
      <c r="AD33" s="232">
        <f t="shared" si="5"/>
        <v>0</v>
      </c>
      <c r="AE33" s="232">
        <f t="shared" si="6"/>
        <v>0</v>
      </c>
      <c r="AG33" s="232">
        <f t="shared" si="9"/>
        <v>0</v>
      </c>
      <c r="AH33" s="232">
        <f t="shared" si="7"/>
        <v>0</v>
      </c>
      <c r="AI33" s="232"/>
    </row>
    <row r="34" spans="1:35" ht="41.4" x14ac:dyDescent="0.3">
      <c r="A34" s="46">
        <v>14</v>
      </c>
      <c r="B34" s="46" t="s">
        <v>891</v>
      </c>
      <c r="C34" s="46" t="s">
        <v>671</v>
      </c>
      <c r="D34" s="214" t="str">
        <f t="shared" si="0"/>
        <v>Do Not Print</v>
      </c>
      <c r="E34" s="212" t="s">
        <v>672</v>
      </c>
      <c r="F34" s="214" t="s">
        <v>681</v>
      </c>
      <c r="G34" s="214" t="s">
        <v>437</v>
      </c>
      <c r="H34" s="214" t="s">
        <v>683</v>
      </c>
      <c r="I34" s="230"/>
      <c r="J34" s="840">
        <v>0</v>
      </c>
      <c r="K34" s="840">
        <v>0</v>
      </c>
      <c r="L34" s="841">
        <f t="shared" si="1"/>
        <v>0</v>
      </c>
      <c r="M34" s="840">
        <v>0</v>
      </c>
      <c r="N34" s="840">
        <v>0</v>
      </c>
      <c r="O34" s="161">
        <f t="shared" si="2"/>
        <v>0</v>
      </c>
      <c r="P34" s="840">
        <v>0</v>
      </c>
      <c r="Q34" s="840">
        <v>0</v>
      </c>
      <c r="R34" s="841">
        <f t="shared" si="3"/>
        <v>0</v>
      </c>
      <c r="S34" s="840">
        <v>0</v>
      </c>
      <c r="T34" s="840">
        <v>0</v>
      </c>
      <c r="U34" s="161">
        <f t="shared" si="4"/>
        <v>0</v>
      </c>
      <c r="V34" s="841"/>
      <c r="W34" s="841"/>
      <c r="X34" s="841"/>
      <c r="Y34" s="233"/>
      <c r="Z34" s="233"/>
      <c r="AA34" s="233"/>
      <c r="AB34" s="214" t="s">
        <v>683</v>
      </c>
      <c r="AD34" s="232">
        <f t="shared" si="5"/>
        <v>0</v>
      </c>
      <c r="AE34" s="232">
        <f t="shared" si="6"/>
        <v>0</v>
      </c>
      <c r="AG34" s="232">
        <f t="shared" si="9"/>
        <v>0</v>
      </c>
      <c r="AH34" s="232">
        <f t="shared" si="7"/>
        <v>0</v>
      </c>
      <c r="AI34" s="232"/>
    </row>
    <row r="35" spans="1:35" ht="27.6" x14ac:dyDescent="0.3">
      <c r="A35" s="46">
        <v>14</v>
      </c>
      <c r="B35" s="46" t="s">
        <v>891</v>
      </c>
      <c r="C35" s="46" t="s">
        <v>671</v>
      </c>
      <c r="D35" s="214" t="str">
        <f t="shared" si="0"/>
        <v>Do Not Print</v>
      </c>
      <c r="E35" s="212" t="s">
        <v>672</v>
      </c>
      <c r="F35" s="214" t="s">
        <v>681</v>
      </c>
      <c r="G35" s="214" t="s">
        <v>977</v>
      </c>
      <c r="H35" s="214" t="s">
        <v>993</v>
      </c>
      <c r="I35" s="230"/>
      <c r="J35" s="842">
        <v>0</v>
      </c>
      <c r="K35" s="840">
        <v>0</v>
      </c>
      <c r="L35" s="841">
        <f t="shared" si="1"/>
        <v>0</v>
      </c>
      <c r="M35" s="842">
        <v>0</v>
      </c>
      <c r="N35" s="840">
        <v>0</v>
      </c>
      <c r="O35" s="161">
        <f t="shared" si="2"/>
        <v>0</v>
      </c>
      <c r="P35" s="842">
        <v>0</v>
      </c>
      <c r="Q35" s="840">
        <v>0</v>
      </c>
      <c r="R35" s="841">
        <f t="shared" si="3"/>
        <v>0</v>
      </c>
      <c r="S35" s="842">
        <v>0</v>
      </c>
      <c r="T35" s="840">
        <v>0</v>
      </c>
      <c r="U35" s="161">
        <f t="shared" si="4"/>
        <v>0</v>
      </c>
      <c r="V35" s="841"/>
      <c r="W35" s="841"/>
      <c r="X35" s="841"/>
      <c r="Y35" s="233"/>
      <c r="Z35" s="233"/>
      <c r="AA35" s="233"/>
      <c r="AB35" s="214" t="s">
        <v>993</v>
      </c>
      <c r="AD35" s="232">
        <f t="shared" si="5"/>
        <v>0</v>
      </c>
      <c r="AE35" s="232">
        <f t="shared" si="6"/>
        <v>0</v>
      </c>
      <c r="AG35" s="232">
        <f t="shared" si="9"/>
        <v>0</v>
      </c>
      <c r="AH35" s="232">
        <f t="shared" si="7"/>
        <v>0</v>
      </c>
      <c r="AI35" s="232"/>
    </row>
    <row r="36" spans="1:35" ht="27.6" x14ac:dyDescent="0.3">
      <c r="A36" s="46">
        <v>14</v>
      </c>
      <c r="B36" s="46" t="s">
        <v>891</v>
      </c>
      <c r="C36" s="46" t="s">
        <v>671</v>
      </c>
      <c r="D36" s="214" t="str">
        <f t="shared" si="0"/>
        <v>Do Not Print</v>
      </c>
      <c r="E36" s="212" t="s">
        <v>672</v>
      </c>
      <c r="F36" s="214" t="s">
        <v>681</v>
      </c>
      <c r="G36" s="213" t="s">
        <v>979</v>
      </c>
      <c r="H36" s="214" t="s">
        <v>684</v>
      </c>
      <c r="I36" s="230"/>
      <c r="J36" s="842">
        <v>0</v>
      </c>
      <c r="K36" s="840">
        <v>0</v>
      </c>
      <c r="L36" s="841">
        <f t="shared" si="1"/>
        <v>0</v>
      </c>
      <c r="M36" s="842">
        <v>0</v>
      </c>
      <c r="N36" s="840">
        <v>0</v>
      </c>
      <c r="O36" s="161">
        <f t="shared" si="2"/>
        <v>0</v>
      </c>
      <c r="P36" s="842">
        <v>0</v>
      </c>
      <c r="Q36" s="840">
        <v>0</v>
      </c>
      <c r="R36" s="841">
        <f t="shared" si="3"/>
        <v>0</v>
      </c>
      <c r="S36" s="842">
        <v>0</v>
      </c>
      <c r="T36" s="840">
        <v>0</v>
      </c>
      <c r="U36" s="161">
        <f t="shared" si="4"/>
        <v>0</v>
      </c>
      <c r="V36" s="841"/>
      <c r="W36" s="841"/>
      <c r="X36" s="841"/>
      <c r="Y36" s="233"/>
      <c r="Z36" s="233"/>
      <c r="AA36" s="233"/>
      <c r="AB36" s="214" t="s">
        <v>684</v>
      </c>
      <c r="AD36" s="232">
        <f t="shared" si="5"/>
        <v>0</v>
      </c>
      <c r="AE36" s="232">
        <f t="shared" si="6"/>
        <v>0</v>
      </c>
      <c r="AG36" s="232">
        <f t="shared" si="9"/>
        <v>0</v>
      </c>
      <c r="AH36" s="232">
        <f t="shared" si="7"/>
        <v>0</v>
      </c>
      <c r="AI36" s="232"/>
    </row>
    <row r="37" spans="1:35" ht="44.25" customHeight="1" x14ac:dyDescent="0.3">
      <c r="A37" s="46">
        <v>14</v>
      </c>
      <c r="B37" s="46" t="s">
        <v>891</v>
      </c>
      <c r="C37" s="46" t="s">
        <v>671</v>
      </c>
      <c r="D37" s="214" t="str">
        <f t="shared" si="0"/>
        <v>Do Not Print</v>
      </c>
      <c r="E37" s="212" t="s">
        <v>672</v>
      </c>
      <c r="F37" s="214" t="s">
        <v>681</v>
      </c>
      <c r="G37" s="214" t="s">
        <v>980</v>
      </c>
      <c r="H37" s="214" t="s">
        <v>685</v>
      </c>
      <c r="I37" s="230"/>
      <c r="J37" s="840">
        <v>0</v>
      </c>
      <c r="K37" s="840">
        <v>0</v>
      </c>
      <c r="L37" s="841">
        <f t="shared" si="1"/>
        <v>0</v>
      </c>
      <c r="M37" s="840">
        <v>0</v>
      </c>
      <c r="N37" s="840">
        <v>0</v>
      </c>
      <c r="O37" s="161">
        <f t="shared" si="2"/>
        <v>0</v>
      </c>
      <c r="P37" s="840">
        <v>0</v>
      </c>
      <c r="Q37" s="840">
        <v>0</v>
      </c>
      <c r="R37" s="841">
        <f t="shared" si="3"/>
        <v>0</v>
      </c>
      <c r="S37" s="840">
        <v>0</v>
      </c>
      <c r="T37" s="840">
        <v>0</v>
      </c>
      <c r="U37" s="161">
        <f t="shared" si="4"/>
        <v>0</v>
      </c>
      <c r="V37" s="841"/>
      <c r="W37" s="841"/>
      <c r="X37" s="841"/>
      <c r="Y37" s="233"/>
      <c r="Z37" s="233"/>
      <c r="AA37" s="233"/>
      <c r="AB37" s="214" t="s">
        <v>685</v>
      </c>
      <c r="AD37" s="232">
        <f t="shared" si="5"/>
        <v>0</v>
      </c>
      <c r="AE37" s="232">
        <f t="shared" si="6"/>
        <v>0</v>
      </c>
      <c r="AG37" s="232">
        <f t="shared" si="9"/>
        <v>0</v>
      </c>
      <c r="AH37" s="232">
        <f t="shared" si="7"/>
        <v>0</v>
      </c>
      <c r="AI37" s="232"/>
    </row>
    <row r="38" spans="1:35" ht="27.6" x14ac:dyDescent="0.3">
      <c r="A38" s="46">
        <v>14</v>
      </c>
      <c r="B38" s="46" t="s">
        <v>891</v>
      </c>
      <c r="C38" s="46" t="s">
        <v>671</v>
      </c>
      <c r="D38" s="214" t="str">
        <f t="shared" ref="D38:D69" si="10">IF(AND(O38=0,U38=0,V38=0),"Do Not Print","Print")</f>
        <v>Do Not Print</v>
      </c>
      <c r="E38" s="212" t="s">
        <v>672</v>
      </c>
      <c r="F38" s="214" t="s">
        <v>681</v>
      </c>
      <c r="G38" s="214" t="s">
        <v>1093</v>
      </c>
      <c r="H38" s="214" t="s">
        <v>994</v>
      </c>
      <c r="I38" s="230"/>
      <c r="J38" s="840">
        <v>0</v>
      </c>
      <c r="K38" s="840">
        <v>0</v>
      </c>
      <c r="L38" s="841">
        <f t="shared" si="1"/>
        <v>0</v>
      </c>
      <c r="M38" s="840">
        <v>0</v>
      </c>
      <c r="N38" s="840">
        <v>0</v>
      </c>
      <c r="O38" s="161">
        <f t="shared" si="2"/>
        <v>0</v>
      </c>
      <c r="P38" s="840">
        <v>0</v>
      </c>
      <c r="Q38" s="840">
        <v>0</v>
      </c>
      <c r="R38" s="841">
        <f t="shared" si="3"/>
        <v>0</v>
      </c>
      <c r="S38" s="840">
        <v>0</v>
      </c>
      <c r="T38" s="840">
        <v>0</v>
      </c>
      <c r="U38" s="161">
        <f t="shared" si="4"/>
        <v>0</v>
      </c>
      <c r="V38" s="841"/>
      <c r="W38" s="841"/>
      <c r="X38" s="841"/>
      <c r="Y38" s="233"/>
      <c r="Z38" s="233"/>
      <c r="AA38" s="233"/>
      <c r="AB38" s="214" t="s">
        <v>994</v>
      </c>
      <c r="AD38" s="232">
        <f t="shared" si="5"/>
        <v>0</v>
      </c>
      <c r="AE38" s="232">
        <f t="shared" si="6"/>
        <v>0</v>
      </c>
      <c r="AG38" s="232">
        <f t="shared" si="9"/>
        <v>0</v>
      </c>
      <c r="AH38" s="232">
        <f t="shared" si="7"/>
        <v>0</v>
      </c>
      <c r="AI38" s="232"/>
    </row>
    <row r="39" spans="1:35" ht="40.5" customHeight="1" x14ac:dyDescent="0.3">
      <c r="A39" s="46">
        <v>14</v>
      </c>
      <c r="B39" s="46" t="s">
        <v>891</v>
      </c>
      <c r="C39" s="46" t="s">
        <v>671</v>
      </c>
      <c r="D39" s="214" t="str">
        <f t="shared" si="10"/>
        <v>Do Not Print</v>
      </c>
      <c r="E39" s="212" t="s">
        <v>672</v>
      </c>
      <c r="F39" s="214" t="s">
        <v>681</v>
      </c>
      <c r="G39" s="214" t="s">
        <v>438</v>
      </c>
      <c r="H39" s="214" t="s">
        <v>687</v>
      </c>
      <c r="I39" s="230"/>
      <c r="J39" s="839">
        <f>P39+P40+P41-P42-P43-P44-P45-P46-P47+P48+P49+SUM(Q39:Q49)+P29+Q29</f>
        <v>0</v>
      </c>
      <c r="K39" s="840">
        <v>0</v>
      </c>
      <c r="L39" s="841">
        <f t="shared" si="1"/>
        <v>0</v>
      </c>
      <c r="M39" s="839">
        <f>S39+S40+S41-S42-S43-S44-S45-S46-S47+S48+S49+SUM(T39:T49)</f>
        <v>0</v>
      </c>
      <c r="N39" s="840">
        <v>0</v>
      </c>
      <c r="O39" s="161">
        <f t="shared" si="2"/>
        <v>0</v>
      </c>
      <c r="P39" s="840">
        <v>0</v>
      </c>
      <c r="Q39" s="840">
        <v>0</v>
      </c>
      <c r="R39" s="841">
        <f t="shared" si="3"/>
        <v>0</v>
      </c>
      <c r="S39" s="840">
        <v>0</v>
      </c>
      <c r="T39" s="840">
        <v>0</v>
      </c>
      <c r="U39" s="161">
        <f t="shared" si="4"/>
        <v>0</v>
      </c>
      <c r="V39" s="841"/>
      <c r="W39" s="841"/>
      <c r="X39" s="841"/>
      <c r="Y39" s="233"/>
      <c r="Z39" s="233"/>
      <c r="AA39" s="233"/>
      <c r="AB39" s="214" t="s">
        <v>687</v>
      </c>
      <c r="AD39" s="232">
        <f t="shared" si="5"/>
        <v>0</v>
      </c>
      <c r="AE39" s="232">
        <f t="shared" si="6"/>
        <v>0</v>
      </c>
      <c r="AG39" s="232">
        <f t="shared" si="9"/>
        <v>0</v>
      </c>
      <c r="AH39" s="232">
        <f t="shared" si="7"/>
        <v>0</v>
      </c>
      <c r="AI39" s="232"/>
    </row>
    <row r="40" spans="1:35" ht="41.4" x14ac:dyDescent="0.3">
      <c r="A40" s="46">
        <v>14</v>
      </c>
      <c r="B40" s="46" t="s">
        <v>891</v>
      </c>
      <c r="C40" s="46" t="s">
        <v>671</v>
      </c>
      <c r="D40" s="214" t="str">
        <f t="shared" si="10"/>
        <v>Do Not Print</v>
      </c>
      <c r="E40" s="212" t="s">
        <v>672</v>
      </c>
      <c r="F40" s="214" t="s">
        <v>681</v>
      </c>
      <c r="G40" s="213" t="s">
        <v>101</v>
      </c>
      <c r="H40" s="213" t="s">
        <v>101</v>
      </c>
      <c r="I40" s="230"/>
      <c r="J40" s="840">
        <v>0</v>
      </c>
      <c r="K40" s="840">
        <v>0</v>
      </c>
      <c r="L40" s="841">
        <f t="shared" si="1"/>
        <v>0</v>
      </c>
      <c r="M40" s="840">
        <v>0</v>
      </c>
      <c r="N40" s="840">
        <v>0</v>
      </c>
      <c r="O40" s="161">
        <f t="shared" si="2"/>
        <v>0</v>
      </c>
      <c r="P40" s="840">
        <v>0</v>
      </c>
      <c r="Q40" s="840">
        <v>0</v>
      </c>
      <c r="R40" s="841">
        <f t="shared" si="3"/>
        <v>0</v>
      </c>
      <c r="S40" s="840">
        <v>0</v>
      </c>
      <c r="T40" s="840">
        <v>0</v>
      </c>
      <c r="U40" s="161">
        <f t="shared" si="4"/>
        <v>0</v>
      </c>
      <c r="V40" s="841"/>
      <c r="W40" s="841"/>
      <c r="X40" s="841"/>
      <c r="Y40" s="233"/>
      <c r="Z40" s="233"/>
      <c r="AA40" s="233"/>
      <c r="AB40" s="213" t="s">
        <v>101</v>
      </c>
      <c r="AD40" s="232">
        <f t="shared" si="5"/>
        <v>0</v>
      </c>
      <c r="AE40" s="232">
        <f t="shared" si="6"/>
        <v>0</v>
      </c>
      <c r="AG40" s="232">
        <f t="shared" si="9"/>
        <v>0</v>
      </c>
      <c r="AH40" s="232">
        <f t="shared" si="7"/>
        <v>0</v>
      </c>
      <c r="AI40" s="232"/>
    </row>
    <row r="41" spans="1:35" ht="27.6" x14ac:dyDescent="0.3">
      <c r="A41" s="46">
        <v>14</v>
      </c>
      <c r="B41" s="46" t="s">
        <v>891</v>
      </c>
      <c r="C41" s="46" t="s">
        <v>671</v>
      </c>
      <c r="D41" s="214" t="str">
        <f t="shared" si="10"/>
        <v>Do Not Print</v>
      </c>
      <c r="E41" s="212" t="s">
        <v>672</v>
      </c>
      <c r="F41" s="214" t="s">
        <v>681</v>
      </c>
      <c r="G41" s="214" t="s">
        <v>109</v>
      </c>
      <c r="H41" s="214" t="s">
        <v>686</v>
      </c>
      <c r="I41" s="230"/>
      <c r="J41" s="840">
        <v>0</v>
      </c>
      <c r="K41" s="840">
        <v>0</v>
      </c>
      <c r="L41" s="841">
        <f t="shared" si="1"/>
        <v>0</v>
      </c>
      <c r="M41" s="840">
        <v>0</v>
      </c>
      <c r="N41" s="840">
        <v>0</v>
      </c>
      <c r="O41" s="161">
        <f t="shared" si="2"/>
        <v>0</v>
      </c>
      <c r="P41" s="840">
        <v>0</v>
      </c>
      <c r="Q41" s="840">
        <v>0</v>
      </c>
      <c r="R41" s="841">
        <f t="shared" si="3"/>
        <v>0</v>
      </c>
      <c r="S41" s="840">
        <v>0</v>
      </c>
      <c r="T41" s="840">
        <v>0</v>
      </c>
      <c r="U41" s="161">
        <f t="shared" si="4"/>
        <v>0</v>
      </c>
      <c r="V41" s="841"/>
      <c r="W41" s="841"/>
      <c r="X41" s="841"/>
      <c r="Y41" s="233"/>
      <c r="Z41" s="233"/>
      <c r="AA41" s="233"/>
      <c r="AB41" s="214" t="s">
        <v>686</v>
      </c>
      <c r="AD41" s="232">
        <f t="shared" si="5"/>
        <v>0</v>
      </c>
      <c r="AE41" s="232">
        <f t="shared" si="6"/>
        <v>0</v>
      </c>
      <c r="AG41" s="232">
        <f t="shared" si="9"/>
        <v>0</v>
      </c>
      <c r="AH41" s="232">
        <f t="shared" si="7"/>
        <v>0</v>
      </c>
      <c r="AI41" s="232"/>
    </row>
    <row r="42" spans="1:35" ht="41.4" x14ac:dyDescent="0.3">
      <c r="A42" s="46">
        <v>14</v>
      </c>
      <c r="B42" s="46" t="s">
        <v>891</v>
      </c>
      <c r="C42" s="46" t="s">
        <v>671</v>
      </c>
      <c r="D42" s="214" t="str">
        <f t="shared" si="10"/>
        <v>Do Not Print</v>
      </c>
      <c r="E42" s="212" t="s">
        <v>672</v>
      </c>
      <c r="F42" s="214" t="s">
        <v>681</v>
      </c>
      <c r="G42" s="214" t="s">
        <v>1092</v>
      </c>
      <c r="H42" s="214" t="s">
        <v>688</v>
      </c>
      <c r="I42" s="230"/>
      <c r="J42" s="840">
        <v>0</v>
      </c>
      <c r="K42" s="840">
        <v>0</v>
      </c>
      <c r="L42" s="841">
        <f t="shared" si="1"/>
        <v>0</v>
      </c>
      <c r="M42" s="840">
        <v>0</v>
      </c>
      <c r="N42" s="840">
        <v>0</v>
      </c>
      <c r="O42" s="161">
        <f t="shared" si="2"/>
        <v>0</v>
      </c>
      <c r="P42" s="840">
        <v>0</v>
      </c>
      <c r="Q42" s="840">
        <v>0</v>
      </c>
      <c r="R42" s="841">
        <f t="shared" si="3"/>
        <v>0</v>
      </c>
      <c r="S42" s="840">
        <v>0</v>
      </c>
      <c r="T42" s="840">
        <v>0</v>
      </c>
      <c r="U42" s="161">
        <f t="shared" si="4"/>
        <v>0</v>
      </c>
      <c r="V42" s="841"/>
      <c r="W42" s="841"/>
      <c r="X42" s="841"/>
      <c r="Y42" s="233"/>
      <c r="Z42" s="233"/>
      <c r="AA42" s="233"/>
      <c r="AB42" s="214" t="s">
        <v>688</v>
      </c>
      <c r="AD42" s="232">
        <f t="shared" si="5"/>
        <v>0</v>
      </c>
      <c r="AE42" s="232">
        <f t="shared" si="6"/>
        <v>0</v>
      </c>
      <c r="AG42" s="232">
        <f t="shared" si="9"/>
        <v>0</v>
      </c>
      <c r="AH42" s="232">
        <f t="shared" si="7"/>
        <v>0</v>
      </c>
      <c r="AI42" s="232"/>
    </row>
    <row r="43" spans="1:35" ht="55.2" x14ac:dyDescent="0.3">
      <c r="A43" s="46">
        <v>14</v>
      </c>
      <c r="B43" s="46" t="s">
        <v>891</v>
      </c>
      <c r="C43" s="46" t="s">
        <v>671</v>
      </c>
      <c r="D43" s="214" t="str">
        <f t="shared" si="10"/>
        <v>Do Not Print</v>
      </c>
      <c r="E43" s="212" t="s">
        <v>672</v>
      </c>
      <c r="F43" s="214" t="s">
        <v>681</v>
      </c>
      <c r="G43" s="214" t="s">
        <v>111</v>
      </c>
      <c r="H43" s="214" t="s">
        <v>111</v>
      </c>
      <c r="I43" s="230"/>
      <c r="J43" s="840">
        <v>0</v>
      </c>
      <c r="K43" s="840">
        <v>0</v>
      </c>
      <c r="L43" s="841">
        <f t="shared" si="1"/>
        <v>0</v>
      </c>
      <c r="M43" s="840">
        <v>0</v>
      </c>
      <c r="N43" s="840">
        <v>0</v>
      </c>
      <c r="O43" s="161">
        <f t="shared" si="2"/>
        <v>0</v>
      </c>
      <c r="P43" s="840">
        <v>0</v>
      </c>
      <c r="Q43" s="840">
        <v>0</v>
      </c>
      <c r="R43" s="841">
        <f t="shared" si="3"/>
        <v>0</v>
      </c>
      <c r="S43" s="840">
        <v>0</v>
      </c>
      <c r="T43" s="840">
        <v>0</v>
      </c>
      <c r="U43" s="161">
        <f t="shared" si="4"/>
        <v>0</v>
      </c>
      <c r="V43" s="841"/>
      <c r="W43" s="841"/>
      <c r="X43" s="841"/>
      <c r="Y43" s="233"/>
      <c r="Z43" s="233"/>
      <c r="AA43" s="233"/>
      <c r="AB43" s="214" t="s">
        <v>111</v>
      </c>
      <c r="AD43" s="232">
        <f t="shared" si="5"/>
        <v>0</v>
      </c>
      <c r="AE43" s="232">
        <f t="shared" si="6"/>
        <v>0</v>
      </c>
      <c r="AG43" s="232"/>
      <c r="AH43" s="232"/>
      <c r="AI43" s="232"/>
    </row>
    <row r="44" spans="1:35" ht="41.4" x14ac:dyDescent="0.3">
      <c r="A44" s="46">
        <v>14</v>
      </c>
      <c r="B44" s="46" t="s">
        <v>891</v>
      </c>
      <c r="C44" s="46" t="s">
        <v>671</v>
      </c>
      <c r="D44" s="214" t="str">
        <f t="shared" si="10"/>
        <v>Do Not Print</v>
      </c>
      <c r="E44" s="212" t="s">
        <v>672</v>
      </c>
      <c r="F44" s="214" t="s">
        <v>681</v>
      </c>
      <c r="G44" s="214" t="s">
        <v>982</v>
      </c>
      <c r="H44" s="214" t="s">
        <v>689</v>
      </c>
      <c r="I44" s="230"/>
      <c r="J44" s="840">
        <v>0</v>
      </c>
      <c r="K44" s="840">
        <v>0</v>
      </c>
      <c r="L44" s="841">
        <f t="shared" si="1"/>
        <v>0</v>
      </c>
      <c r="M44" s="840">
        <v>0</v>
      </c>
      <c r="N44" s="840">
        <v>0</v>
      </c>
      <c r="O44" s="161">
        <f t="shared" si="2"/>
        <v>0</v>
      </c>
      <c r="P44" s="840">
        <v>0</v>
      </c>
      <c r="Q44" s="840">
        <v>0</v>
      </c>
      <c r="R44" s="841">
        <f t="shared" si="3"/>
        <v>0</v>
      </c>
      <c r="S44" s="840">
        <v>0</v>
      </c>
      <c r="T44" s="840">
        <v>0</v>
      </c>
      <c r="U44" s="161">
        <f t="shared" si="4"/>
        <v>0</v>
      </c>
      <c r="V44" s="841"/>
      <c r="W44" s="841"/>
      <c r="X44" s="841"/>
      <c r="Y44" s="233"/>
      <c r="Z44" s="233"/>
      <c r="AA44" s="233"/>
      <c r="AB44" s="214" t="s">
        <v>689</v>
      </c>
      <c r="AD44" s="232">
        <f t="shared" si="5"/>
        <v>0</v>
      </c>
      <c r="AE44" s="232">
        <f t="shared" si="6"/>
        <v>0</v>
      </c>
      <c r="AG44" s="232">
        <f t="shared" ref="AG44:AG52" si="11">ROUND(O44,0)</f>
        <v>0</v>
      </c>
      <c r="AH44" s="232">
        <f t="shared" si="7"/>
        <v>0</v>
      </c>
      <c r="AI44" s="232"/>
    </row>
    <row r="45" spans="1:35" ht="27.6" x14ac:dyDescent="0.3">
      <c r="A45" s="46">
        <v>14</v>
      </c>
      <c r="B45" s="46" t="s">
        <v>891</v>
      </c>
      <c r="C45" s="46" t="s">
        <v>671</v>
      </c>
      <c r="D45" s="214" t="str">
        <f t="shared" si="10"/>
        <v>Do Not Print</v>
      </c>
      <c r="E45" s="212" t="s">
        <v>672</v>
      </c>
      <c r="F45" s="214" t="s">
        <v>681</v>
      </c>
      <c r="G45" s="214" t="s">
        <v>981</v>
      </c>
      <c r="H45" s="214" t="s">
        <v>995</v>
      </c>
      <c r="I45" s="230"/>
      <c r="J45" s="840">
        <v>0</v>
      </c>
      <c r="K45" s="840">
        <v>0</v>
      </c>
      <c r="L45" s="841">
        <f t="shared" si="1"/>
        <v>0</v>
      </c>
      <c r="M45" s="840">
        <v>0</v>
      </c>
      <c r="N45" s="840">
        <v>0</v>
      </c>
      <c r="O45" s="161">
        <f t="shared" si="2"/>
        <v>0</v>
      </c>
      <c r="P45" s="840">
        <v>0</v>
      </c>
      <c r="Q45" s="840">
        <v>0</v>
      </c>
      <c r="R45" s="841">
        <f t="shared" si="3"/>
        <v>0</v>
      </c>
      <c r="S45" s="840">
        <v>0</v>
      </c>
      <c r="T45" s="840">
        <v>0</v>
      </c>
      <c r="U45" s="161">
        <f t="shared" si="4"/>
        <v>0</v>
      </c>
      <c r="V45" s="841"/>
      <c r="W45" s="841"/>
      <c r="X45" s="841"/>
      <c r="Y45" s="233"/>
      <c r="Z45" s="233"/>
      <c r="AA45" s="233"/>
      <c r="AB45" s="214" t="s">
        <v>995</v>
      </c>
      <c r="AD45" s="232">
        <f t="shared" si="5"/>
        <v>0</v>
      </c>
      <c r="AE45" s="232">
        <f t="shared" si="6"/>
        <v>0</v>
      </c>
      <c r="AG45" s="232">
        <f t="shared" si="11"/>
        <v>0</v>
      </c>
      <c r="AH45" s="232">
        <f t="shared" si="7"/>
        <v>0</v>
      </c>
      <c r="AI45" s="232"/>
    </row>
    <row r="46" spans="1:35" ht="27.6" x14ac:dyDescent="0.3">
      <c r="A46" s="46">
        <v>14</v>
      </c>
      <c r="B46" s="46" t="s">
        <v>891</v>
      </c>
      <c r="C46" s="46" t="s">
        <v>671</v>
      </c>
      <c r="D46" s="214" t="str">
        <f t="shared" si="10"/>
        <v>Do Not Print</v>
      </c>
      <c r="E46" s="212" t="s">
        <v>672</v>
      </c>
      <c r="F46" s="214" t="s">
        <v>681</v>
      </c>
      <c r="G46" s="214" t="s">
        <v>977</v>
      </c>
      <c r="H46" s="214" t="s">
        <v>996</v>
      </c>
      <c r="I46" s="230"/>
      <c r="J46" s="840">
        <v>0</v>
      </c>
      <c r="K46" s="840">
        <v>0</v>
      </c>
      <c r="L46" s="841">
        <f t="shared" si="1"/>
        <v>0</v>
      </c>
      <c r="M46" s="840">
        <v>0</v>
      </c>
      <c r="N46" s="840">
        <v>0</v>
      </c>
      <c r="O46" s="161">
        <f t="shared" si="2"/>
        <v>0</v>
      </c>
      <c r="P46" s="840">
        <v>0</v>
      </c>
      <c r="Q46" s="840">
        <v>0</v>
      </c>
      <c r="R46" s="841">
        <f t="shared" si="3"/>
        <v>0</v>
      </c>
      <c r="S46" s="840">
        <v>0</v>
      </c>
      <c r="T46" s="840">
        <v>0</v>
      </c>
      <c r="U46" s="161">
        <f t="shared" si="4"/>
        <v>0</v>
      </c>
      <c r="V46" s="841"/>
      <c r="W46" s="841"/>
      <c r="X46" s="841"/>
      <c r="Y46" s="233"/>
      <c r="Z46" s="233"/>
      <c r="AA46" s="233"/>
      <c r="AB46" s="214" t="s">
        <v>996</v>
      </c>
      <c r="AD46" s="232">
        <f t="shared" si="5"/>
        <v>0</v>
      </c>
      <c r="AE46" s="232">
        <f t="shared" si="6"/>
        <v>0</v>
      </c>
      <c r="AG46" s="232">
        <f t="shared" si="11"/>
        <v>0</v>
      </c>
      <c r="AH46" s="232">
        <f t="shared" si="7"/>
        <v>0</v>
      </c>
      <c r="AI46" s="232"/>
    </row>
    <row r="47" spans="1:35" ht="41.4" x14ac:dyDescent="0.3">
      <c r="A47" s="46">
        <v>14</v>
      </c>
      <c r="B47" s="46" t="s">
        <v>891</v>
      </c>
      <c r="C47" s="46" t="s">
        <v>671</v>
      </c>
      <c r="D47" s="214" t="str">
        <f t="shared" si="10"/>
        <v>Do Not Print</v>
      </c>
      <c r="E47" s="212" t="s">
        <v>672</v>
      </c>
      <c r="F47" s="214" t="s">
        <v>681</v>
      </c>
      <c r="G47" s="214" t="s">
        <v>979</v>
      </c>
      <c r="H47" s="214" t="s">
        <v>690</v>
      </c>
      <c r="I47" s="230"/>
      <c r="J47" s="160">
        <v>0</v>
      </c>
      <c r="K47" s="840">
        <v>0</v>
      </c>
      <c r="L47" s="841">
        <f t="shared" si="1"/>
        <v>0</v>
      </c>
      <c r="M47" s="840">
        <v>0</v>
      </c>
      <c r="N47" s="840">
        <v>0</v>
      </c>
      <c r="O47" s="161">
        <f t="shared" si="2"/>
        <v>0</v>
      </c>
      <c r="P47" s="840">
        <v>0</v>
      </c>
      <c r="Q47" s="840">
        <v>0</v>
      </c>
      <c r="R47" s="841">
        <f t="shared" si="3"/>
        <v>0</v>
      </c>
      <c r="S47" s="840">
        <v>0</v>
      </c>
      <c r="T47" s="840">
        <v>0</v>
      </c>
      <c r="U47" s="161">
        <f t="shared" si="4"/>
        <v>0</v>
      </c>
      <c r="V47" s="841"/>
      <c r="W47" s="841"/>
      <c r="X47" s="841"/>
      <c r="Y47" s="233"/>
      <c r="Z47" s="233"/>
      <c r="AA47" s="233"/>
      <c r="AB47" s="214" t="s">
        <v>690</v>
      </c>
      <c r="AD47" s="232">
        <f t="shared" si="5"/>
        <v>0</v>
      </c>
      <c r="AE47" s="232">
        <f t="shared" si="6"/>
        <v>0</v>
      </c>
      <c r="AG47" s="232">
        <f t="shared" si="11"/>
        <v>0</v>
      </c>
      <c r="AH47" s="232">
        <f t="shared" si="7"/>
        <v>0</v>
      </c>
      <c r="AI47" s="232"/>
    </row>
    <row r="48" spans="1:35" ht="37.5" customHeight="1" x14ac:dyDescent="0.3">
      <c r="A48" s="46">
        <v>14</v>
      </c>
      <c r="B48" s="46" t="s">
        <v>891</v>
      </c>
      <c r="C48" s="46" t="s">
        <v>671</v>
      </c>
      <c r="D48" s="214" t="str">
        <f t="shared" si="10"/>
        <v>Do Not Print</v>
      </c>
      <c r="E48" s="212" t="s">
        <v>672</v>
      </c>
      <c r="F48" s="214" t="s">
        <v>681</v>
      </c>
      <c r="G48" s="214" t="s">
        <v>980</v>
      </c>
      <c r="H48" s="214" t="s">
        <v>691</v>
      </c>
      <c r="I48" s="230"/>
      <c r="J48" s="840">
        <v>0</v>
      </c>
      <c r="K48" s="840">
        <v>0</v>
      </c>
      <c r="L48" s="841">
        <f t="shared" si="1"/>
        <v>0</v>
      </c>
      <c r="M48" s="840">
        <v>0</v>
      </c>
      <c r="N48" s="840">
        <v>0</v>
      </c>
      <c r="O48" s="161">
        <f t="shared" si="2"/>
        <v>0</v>
      </c>
      <c r="P48" s="840">
        <v>0</v>
      </c>
      <c r="Q48" s="840">
        <v>0</v>
      </c>
      <c r="R48" s="841">
        <f t="shared" si="3"/>
        <v>0</v>
      </c>
      <c r="S48" s="840">
        <v>0</v>
      </c>
      <c r="T48" s="840">
        <v>0</v>
      </c>
      <c r="U48" s="161">
        <f t="shared" si="4"/>
        <v>0</v>
      </c>
      <c r="V48" s="841"/>
      <c r="W48" s="841"/>
      <c r="X48" s="841"/>
      <c r="Y48" s="233"/>
      <c r="Z48" s="233"/>
      <c r="AA48" s="233"/>
      <c r="AB48" s="214" t="s">
        <v>691</v>
      </c>
      <c r="AD48" s="232">
        <f t="shared" si="5"/>
        <v>0</v>
      </c>
      <c r="AE48" s="232">
        <f t="shared" si="6"/>
        <v>0</v>
      </c>
      <c r="AG48" s="232">
        <f t="shared" si="11"/>
        <v>0</v>
      </c>
      <c r="AH48" s="232">
        <f t="shared" si="7"/>
        <v>0</v>
      </c>
      <c r="AI48" s="232"/>
    </row>
    <row r="49" spans="1:35" ht="41.4" x14ac:dyDescent="0.3">
      <c r="A49" s="46">
        <v>14</v>
      </c>
      <c r="B49" s="46" t="s">
        <v>891</v>
      </c>
      <c r="C49" s="46" t="s">
        <v>671</v>
      </c>
      <c r="D49" s="214" t="str">
        <f t="shared" si="10"/>
        <v>Do Not Print</v>
      </c>
      <c r="E49" s="212" t="s">
        <v>672</v>
      </c>
      <c r="F49" s="214" t="s">
        <v>681</v>
      </c>
      <c r="G49" s="214" t="s">
        <v>1093</v>
      </c>
      <c r="H49" s="214" t="s">
        <v>997</v>
      </c>
      <c r="I49" s="230"/>
      <c r="J49" s="840">
        <v>0</v>
      </c>
      <c r="K49" s="840">
        <v>0</v>
      </c>
      <c r="L49" s="841">
        <f t="shared" si="1"/>
        <v>0</v>
      </c>
      <c r="M49" s="840">
        <v>0</v>
      </c>
      <c r="N49" s="840">
        <v>0</v>
      </c>
      <c r="O49" s="161">
        <f t="shared" si="2"/>
        <v>0</v>
      </c>
      <c r="P49" s="840">
        <v>0</v>
      </c>
      <c r="Q49" s="840">
        <v>0</v>
      </c>
      <c r="R49" s="841">
        <f t="shared" si="3"/>
        <v>0</v>
      </c>
      <c r="S49" s="840">
        <v>0</v>
      </c>
      <c r="T49" s="840">
        <v>0</v>
      </c>
      <c r="U49" s="161">
        <f t="shared" si="4"/>
        <v>0</v>
      </c>
      <c r="V49" s="841"/>
      <c r="W49" s="841"/>
      <c r="X49" s="841"/>
      <c r="Y49" s="233"/>
      <c r="Z49" s="233"/>
      <c r="AA49" s="233"/>
      <c r="AB49" s="214" t="s">
        <v>997</v>
      </c>
      <c r="AD49" s="232">
        <f t="shared" si="5"/>
        <v>0</v>
      </c>
      <c r="AE49" s="232">
        <f t="shared" si="6"/>
        <v>0</v>
      </c>
      <c r="AG49" s="232">
        <f t="shared" si="11"/>
        <v>0</v>
      </c>
      <c r="AH49" s="232">
        <f t="shared" si="7"/>
        <v>0</v>
      </c>
      <c r="AI49" s="232"/>
    </row>
    <row r="50" spans="1:35" ht="27.6" x14ac:dyDescent="0.3">
      <c r="A50" s="46">
        <v>15</v>
      </c>
      <c r="B50" s="46" t="s">
        <v>892</v>
      </c>
      <c r="C50" s="46" t="s">
        <v>671</v>
      </c>
      <c r="D50" s="214" t="str">
        <f t="shared" si="10"/>
        <v>Do Not Print</v>
      </c>
      <c r="E50" s="212" t="s">
        <v>672</v>
      </c>
      <c r="F50" s="214" t="s">
        <v>581</v>
      </c>
      <c r="G50" s="214" t="s">
        <v>436</v>
      </c>
      <c r="H50" s="214" t="s">
        <v>692</v>
      </c>
      <c r="I50" s="230"/>
      <c r="J50" s="839">
        <f>SUM(P50:P60)+SUM(Q50:Q60)</f>
        <v>0</v>
      </c>
      <c r="K50" s="840">
        <v>0</v>
      </c>
      <c r="L50" s="841">
        <f t="shared" si="1"/>
        <v>0</v>
      </c>
      <c r="M50" s="839">
        <f>SUM(S50:S60)+SUM(T50:T60)</f>
        <v>0</v>
      </c>
      <c r="N50" s="840">
        <v>0</v>
      </c>
      <c r="O50" s="161">
        <f t="shared" si="2"/>
        <v>0</v>
      </c>
      <c r="P50" s="840">
        <v>0</v>
      </c>
      <c r="Q50" s="840">
        <v>0</v>
      </c>
      <c r="R50" s="841">
        <f t="shared" si="3"/>
        <v>0</v>
      </c>
      <c r="S50" s="840">
        <v>0</v>
      </c>
      <c r="T50" s="840">
        <v>0</v>
      </c>
      <c r="U50" s="161">
        <f t="shared" si="4"/>
        <v>0</v>
      </c>
      <c r="V50" s="841"/>
      <c r="W50" s="841"/>
      <c r="X50" s="841"/>
      <c r="Y50" s="233"/>
      <c r="Z50" s="233"/>
      <c r="AA50" s="233"/>
      <c r="AB50" s="214" t="s">
        <v>692</v>
      </c>
      <c r="AD50" s="232">
        <f t="shared" si="5"/>
        <v>0</v>
      </c>
      <c r="AE50" s="232">
        <f t="shared" si="6"/>
        <v>0</v>
      </c>
      <c r="AG50" s="232">
        <f t="shared" si="11"/>
        <v>0</v>
      </c>
      <c r="AH50" s="232">
        <f t="shared" si="7"/>
        <v>0</v>
      </c>
      <c r="AI50" s="232"/>
    </row>
    <row r="51" spans="1:35" ht="41.4" x14ac:dyDescent="0.3">
      <c r="A51" s="46">
        <v>15</v>
      </c>
      <c r="B51" s="46" t="s">
        <v>892</v>
      </c>
      <c r="C51" s="46" t="s">
        <v>671</v>
      </c>
      <c r="D51" s="214" t="str">
        <f t="shared" si="10"/>
        <v>Do Not Print</v>
      </c>
      <c r="E51" s="212" t="s">
        <v>672</v>
      </c>
      <c r="F51" s="214" t="s">
        <v>581</v>
      </c>
      <c r="G51" s="213" t="s">
        <v>101</v>
      </c>
      <c r="H51" s="213" t="s">
        <v>101</v>
      </c>
      <c r="I51" s="230"/>
      <c r="J51" s="840">
        <v>0</v>
      </c>
      <c r="K51" s="840">
        <v>0</v>
      </c>
      <c r="L51" s="841">
        <f t="shared" si="1"/>
        <v>0</v>
      </c>
      <c r="M51" s="840">
        <v>0</v>
      </c>
      <c r="N51" s="840">
        <v>0</v>
      </c>
      <c r="O51" s="161">
        <f t="shared" si="2"/>
        <v>0</v>
      </c>
      <c r="P51" s="840">
        <v>0</v>
      </c>
      <c r="Q51" s="840">
        <v>0</v>
      </c>
      <c r="R51" s="841">
        <f t="shared" si="3"/>
        <v>0</v>
      </c>
      <c r="S51" s="840">
        <v>0</v>
      </c>
      <c r="T51" s="840">
        <v>0</v>
      </c>
      <c r="U51" s="161">
        <f t="shared" si="4"/>
        <v>0</v>
      </c>
      <c r="V51" s="841"/>
      <c r="W51" s="841"/>
      <c r="X51" s="841"/>
      <c r="Y51" s="233"/>
      <c r="Z51" s="233"/>
      <c r="AA51" s="233"/>
      <c r="AB51" s="213" t="s">
        <v>101</v>
      </c>
      <c r="AD51" s="232">
        <f t="shared" si="5"/>
        <v>0</v>
      </c>
      <c r="AE51" s="232">
        <f t="shared" si="6"/>
        <v>0</v>
      </c>
      <c r="AG51" s="232">
        <f t="shared" si="11"/>
        <v>0</v>
      </c>
      <c r="AH51" s="232"/>
      <c r="AI51" s="232"/>
    </row>
    <row r="52" spans="1:35" ht="27.6" x14ac:dyDescent="0.3">
      <c r="A52" s="46">
        <v>15</v>
      </c>
      <c r="B52" s="46" t="s">
        <v>892</v>
      </c>
      <c r="C52" s="46" t="s">
        <v>671</v>
      </c>
      <c r="D52" s="214" t="str">
        <f t="shared" si="10"/>
        <v>Do Not Print</v>
      </c>
      <c r="E52" s="212" t="s">
        <v>672</v>
      </c>
      <c r="F52" s="214" t="s">
        <v>581</v>
      </c>
      <c r="G52" s="214" t="s">
        <v>973</v>
      </c>
      <c r="H52" s="214" t="s">
        <v>998</v>
      </c>
      <c r="I52" s="230"/>
      <c r="J52" s="840">
        <v>0</v>
      </c>
      <c r="K52" s="840">
        <v>0</v>
      </c>
      <c r="L52" s="841">
        <f t="shared" si="1"/>
        <v>0</v>
      </c>
      <c r="M52" s="840">
        <v>0</v>
      </c>
      <c r="N52" s="840">
        <v>0</v>
      </c>
      <c r="O52" s="161">
        <f t="shared" si="2"/>
        <v>0</v>
      </c>
      <c r="P52" s="840">
        <v>0</v>
      </c>
      <c r="Q52" s="840">
        <v>0</v>
      </c>
      <c r="R52" s="841">
        <f t="shared" si="3"/>
        <v>0</v>
      </c>
      <c r="S52" s="840">
        <v>0</v>
      </c>
      <c r="T52" s="840">
        <v>0</v>
      </c>
      <c r="U52" s="161">
        <f t="shared" si="4"/>
        <v>0</v>
      </c>
      <c r="V52" s="841"/>
      <c r="W52" s="841"/>
      <c r="X52" s="841"/>
      <c r="Y52" s="233"/>
      <c r="Z52" s="233"/>
      <c r="AA52" s="233"/>
      <c r="AB52" s="214" t="s">
        <v>998</v>
      </c>
      <c r="AD52" s="232">
        <f t="shared" si="5"/>
        <v>0</v>
      </c>
      <c r="AE52" s="232">
        <f t="shared" si="6"/>
        <v>0</v>
      </c>
      <c r="AG52" s="232">
        <f t="shared" si="11"/>
        <v>0</v>
      </c>
      <c r="AH52" s="232">
        <f t="shared" si="7"/>
        <v>0</v>
      </c>
      <c r="AI52" s="232"/>
    </row>
    <row r="53" spans="1:35" ht="27.6" x14ac:dyDescent="0.3">
      <c r="A53" s="46">
        <v>15</v>
      </c>
      <c r="B53" s="46" t="s">
        <v>892</v>
      </c>
      <c r="C53" s="46" t="s">
        <v>671</v>
      </c>
      <c r="D53" s="214" t="str">
        <f t="shared" si="10"/>
        <v>Do Not Print</v>
      </c>
      <c r="E53" s="212" t="s">
        <v>672</v>
      </c>
      <c r="F53" s="214" t="s">
        <v>581</v>
      </c>
      <c r="G53" s="214" t="s">
        <v>103</v>
      </c>
      <c r="H53" s="214" t="s">
        <v>999</v>
      </c>
      <c r="I53" s="230"/>
      <c r="J53" s="840">
        <v>0</v>
      </c>
      <c r="K53" s="840">
        <v>0</v>
      </c>
      <c r="L53" s="841">
        <f t="shared" si="1"/>
        <v>0</v>
      </c>
      <c r="M53" s="840">
        <v>0</v>
      </c>
      <c r="N53" s="840">
        <v>0</v>
      </c>
      <c r="O53" s="161">
        <f t="shared" si="2"/>
        <v>0</v>
      </c>
      <c r="P53" s="840">
        <v>0</v>
      </c>
      <c r="Q53" s="840">
        <v>0</v>
      </c>
      <c r="R53" s="841">
        <f t="shared" si="3"/>
        <v>0</v>
      </c>
      <c r="S53" s="840">
        <v>0</v>
      </c>
      <c r="T53" s="840">
        <v>0</v>
      </c>
      <c r="U53" s="161">
        <f t="shared" si="4"/>
        <v>0</v>
      </c>
      <c r="V53" s="841"/>
      <c r="W53" s="841"/>
      <c r="X53" s="841"/>
      <c r="Y53" s="233"/>
      <c r="Z53" s="233"/>
      <c r="AA53" s="233"/>
      <c r="AB53" s="214" t="s">
        <v>999</v>
      </c>
      <c r="AD53" s="232">
        <f t="shared" si="5"/>
        <v>0</v>
      </c>
      <c r="AE53" s="232">
        <f t="shared" si="6"/>
        <v>0</v>
      </c>
      <c r="AG53" s="232"/>
      <c r="AH53" s="232"/>
      <c r="AI53" s="232"/>
    </row>
    <row r="54" spans="1:35" ht="41.4" x14ac:dyDescent="0.3">
      <c r="A54" s="46">
        <v>15</v>
      </c>
      <c r="B54" s="46" t="s">
        <v>892</v>
      </c>
      <c r="C54" s="46" t="s">
        <v>671</v>
      </c>
      <c r="D54" s="214" t="str">
        <f t="shared" si="10"/>
        <v>Do Not Print</v>
      </c>
      <c r="E54" s="212" t="s">
        <v>672</v>
      </c>
      <c r="F54" s="214" t="s">
        <v>581</v>
      </c>
      <c r="G54" s="214" t="s">
        <v>1090</v>
      </c>
      <c r="H54" s="214" t="s">
        <v>1000</v>
      </c>
      <c r="I54" s="230"/>
      <c r="J54" s="160">
        <v>0</v>
      </c>
      <c r="K54" s="840">
        <v>0</v>
      </c>
      <c r="L54" s="841">
        <f t="shared" si="1"/>
        <v>0</v>
      </c>
      <c r="M54" s="840">
        <v>0</v>
      </c>
      <c r="N54" s="840">
        <v>0</v>
      </c>
      <c r="O54" s="161">
        <f t="shared" si="2"/>
        <v>0</v>
      </c>
      <c r="P54" s="840">
        <v>0</v>
      </c>
      <c r="Q54" s="840">
        <v>0</v>
      </c>
      <c r="R54" s="841">
        <f t="shared" si="3"/>
        <v>0</v>
      </c>
      <c r="S54" s="840">
        <v>0</v>
      </c>
      <c r="T54" s="840">
        <v>0</v>
      </c>
      <c r="U54" s="161">
        <f t="shared" si="4"/>
        <v>0</v>
      </c>
      <c r="V54" s="841"/>
      <c r="W54" s="841"/>
      <c r="X54" s="841"/>
      <c r="Y54" s="233"/>
      <c r="Z54" s="233"/>
      <c r="AA54" s="233"/>
      <c r="AB54" s="214" t="s">
        <v>1000</v>
      </c>
      <c r="AD54" s="232">
        <f t="shared" si="5"/>
        <v>0</v>
      </c>
      <c r="AE54" s="232">
        <f t="shared" si="6"/>
        <v>0</v>
      </c>
      <c r="AG54" s="232">
        <f>ROUND(O54,0)</f>
        <v>0</v>
      </c>
      <c r="AH54" s="232">
        <f t="shared" si="7"/>
        <v>0</v>
      </c>
      <c r="AI54" s="232"/>
    </row>
    <row r="55" spans="1:35" ht="55.2" x14ac:dyDescent="0.3">
      <c r="A55" s="46">
        <v>15</v>
      </c>
      <c r="B55" s="46" t="s">
        <v>892</v>
      </c>
      <c r="C55" s="46" t="s">
        <v>671</v>
      </c>
      <c r="D55" s="214" t="str">
        <f t="shared" si="10"/>
        <v>Do Not Print</v>
      </c>
      <c r="E55" s="212" t="s">
        <v>672</v>
      </c>
      <c r="F55" s="214" t="s">
        <v>581</v>
      </c>
      <c r="G55" s="214" t="s">
        <v>1091</v>
      </c>
      <c r="H55" s="214" t="s">
        <v>1001</v>
      </c>
      <c r="I55" s="230"/>
      <c r="J55" s="840">
        <v>0</v>
      </c>
      <c r="K55" s="840">
        <v>0</v>
      </c>
      <c r="L55" s="841">
        <f t="shared" si="1"/>
        <v>0</v>
      </c>
      <c r="M55" s="840">
        <v>0</v>
      </c>
      <c r="N55" s="840">
        <v>0</v>
      </c>
      <c r="O55" s="161">
        <f t="shared" si="2"/>
        <v>0</v>
      </c>
      <c r="P55" s="840">
        <v>0</v>
      </c>
      <c r="Q55" s="840">
        <v>0</v>
      </c>
      <c r="R55" s="841">
        <f t="shared" si="3"/>
        <v>0</v>
      </c>
      <c r="S55" s="840">
        <v>0</v>
      </c>
      <c r="T55" s="840">
        <v>0</v>
      </c>
      <c r="U55" s="161">
        <f t="shared" si="4"/>
        <v>0</v>
      </c>
      <c r="V55" s="841"/>
      <c r="W55" s="841"/>
      <c r="X55" s="841"/>
      <c r="Y55" s="233"/>
      <c r="Z55" s="233"/>
      <c r="AA55" s="233"/>
      <c r="AB55" s="214" t="s">
        <v>1001</v>
      </c>
      <c r="AD55" s="232">
        <f t="shared" si="5"/>
        <v>0</v>
      </c>
      <c r="AE55" s="232">
        <f t="shared" si="6"/>
        <v>0</v>
      </c>
      <c r="AG55" s="232"/>
      <c r="AH55" s="232"/>
      <c r="AI55" s="232"/>
    </row>
    <row r="56" spans="1:35" ht="41.4" x14ac:dyDescent="0.3">
      <c r="A56" s="46">
        <v>15</v>
      </c>
      <c r="B56" s="46" t="s">
        <v>892</v>
      </c>
      <c r="C56" s="46" t="s">
        <v>671</v>
      </c>
      <c r="D56" s="214" t="str">
        <f t="shared" si="10"/>
        <v>Do Not Print</v>
      </c>
      <c r="E56" s="212" t="s">
        <v>672</v>
      </c>
      <c r="F56" s="214" t="s">
        <v>581</v>
      </c>
      <c r="G56" s="214" t="s">
        <v>437</v>
      </c>
      <c r="H56" s="214" t="s">
        <v>693</v>
      </c>
      <c r="I56" s="230"/>
      <c r="J56" s="840">
        <v>0</v>
      </c>
      <c r="K56" s="840">
        <v>0</v>
      </c>
      <c r="L56" s="841">
        <f t="shared" si="1"/>
        <v>0</v>
      </c>
      <c r="M56" s="840">
        <v>0</v>
      </c>
      <c r="N56" s="840">
        <v>0</v>
      </c>
      <c r="O56" s="161">
        <f t="shared" si="2"/>
        <v>0</v>
      </c>
      <c r="P56" s="840">
        <v>0</v>
      </c>
      <c r="Q56" s="840">
        <v>0</v>
      </c>
      <c r="R56" s="841">
        <f t="shared" si="3"/>
        <v>0</v>
      </c>
      <c r="S56" s="840">
        <v>0</v>
      </c>
      <c r="T56" s="840">
        <v>0</v>
      </c>
      <c r="U56" s="161">
        <f t="shared" si="4"/>
        <v>0</v>
      </c>
      <c r="V56" s="841"/>
      <c r="W56" s="841"/>
      <c r="X56" s="841"/>
      <c r="Y56" s="233"/>
      <c r="Z56" s="233"/>
      <c r="AA56" s="233"/>
      <c r="AB56" s="214" t="s">
        <v>693</v>
      </c>
      <c r="AD56" s="232">
        <f t="shared" si="5"/>
        <v>0</v>
      </c>
      <c r="AE56" s="232">
        <f t="shared" si="6"/>
        <v>0</v>
      </c>
      <c r="AG56" s="232">
        <f t="shared" ref="AG56:AG61" si="12">ROUND(O56,0)</f>
        <v>0</v>
      </c>
      <c r="AH56" s="232">
        <f t="shared" si="7"/>
        <v>0</v>
      </c>
      <c r="AI56" s="232"/>
    </row>
    <row r="57" spans="1:35" ht="27.6" x14ac:dyDescent="0.3">
      <c r="A57" s="46">
        <v>15</v>
      </c>
      <c r="B57" s="46" t="s">
        <v>892</v>
      </c>
      <c r="C57" s="46" t="s">
        <v>671</v>
      </c>
      <c r="D57" s="214" t="str">
        <f t="shared" si="10"/>
        <v>Do Not Print</v>
      </c>
      <c r="E57" s="212" t="s">
        <v>672</v>
      </c>
      <c r="F57" s="214" t="s">
        <v>581</v>
      </c>
      <c r="G57" s="214" t="s">
        <v>977</v>
      </c>
      <c r="H57" s="214" t="s">
        <v>1002</v>
      </c>
      <c r="I57" s="230"/>
      <c r="J57" s="842">
        <v>0</v>
      </c>
      <c r="K57" s="840">
        <v>0</v>
      </c>
      <c r="L57" s="841">
        <f t="shared" si="1"/>
        <v>0</v>
      </c>
      <c r="M57" s="162">
        <v>0</v>
      </c>
      <c r="N57" s="840">
        <v>0</v>
      </c>
      <c r="O57" s="161">
        <f t="shared" si="2"/>
        <v>0</v>
      </c>
      <c r="P57" s="842">
        <v>0</v>
      </c>
      <c r="Q57" s="840">
        <v>0</v>
      </c>
      <c r="R57" s="841">
        <f t="shared" si="3"/>
        <v>0</v>
      </c>
      <c r="S57" s="842">
        <v>0</v>
      </c>
      <c r="T57" s="840">
        <v>0</v>
      </c>
      <c r="U57" s="161">
        <f t="shared" si="4"/>
        <v>0</v>
      </c>
      <c r="V57" s="841"/>
      <c r="W57" s="841"/>
      <c r="X57" s="841"/>
      <c r="Y57" s="233"/>
      <c r="Z57" s="233"/>
      <c r="AA57" s="233"/>
      <c r="AB57" s="214" t="s">
        <v>1002</v>
      </c>
      <c r="AD57" s="232">
        <f t="shared" si="5"/>
        <v>0</v>
      </c>
      <c r="AE57" s="232">
        <f t="shared" si="6"/>
        <v>0</v>
      </c>
      <c r="AG57" s="232">
        <f t="shared" si="12"/>
        <v>0</v>
      </c>
      <c r="AH57" s="232">
        <f t="shared" si="7"/>
        <v>0</v>
      </c>
      <c r="AI57" s="232"/>
    </row>
    <row r="58" spans="1:35" ht="27.6" x14ac:dyDescent="0.3">
      <c r="A58" s="46">
        <v>15</v>
      </c>
      <c r="B58" s="46" t="s">
        <v>892</v>
      </c>
      <c r="C58" s="46" t="s">
        <v>671</v>
      </c>
      <c r="D58" s="214" t="str">
        <f t="shared" si="10"/>
        <v>Do Not Print</v>
      </c>
      <c r="E58" s="212" t="s">
        <v>672</v>
      </c>
      <c r="F58" s="214" t="s">
        <v>581</v>
      </c>
      <c r="G58" s="214" t="s">
        <v>979</v>
      </c>
      <c r="H58" s="214" t="s">
        <v>694</v>
      </c>
      <c r="I58" s="230"/>
      <c r="J58" s="842">
        <v>0</v>
      </c>
      <c r="K58" s="840">
        <v>0</v>
      </c>
      <c r="L58" s="841">
        <f t="shared" si="1"/>
        <v>0</v>
      </c>
      <c r="M58" s="162">
        <v>0</v>
      </c>
      <c r="N58" s="840">
        <v>0</v>
      </c>
      <c r="O58" s="161">
        <f t="shared" si="2"/>
        <v>0</v>
      </c>
      <c r="P58" s="842">
        <v>0</v>
      </c>
      <c r="Q58" s="840">
        <v>0</v>
      </c>
      <c r="R58" s="841">
        <f t="shared" si="3"/>
        <v>0</v>
      </c>
      <c r="S58" s="842">
        <v>0</v>
      </c>
      <c r="T58" s="840">
        <v>0</v>
      </c>
      <c r="U58" s="161">
        <f t="shared" si="4"/>
        <v>0</v>
      </c>
      <c r="V58" s="841"/>
      <c r="W58" s="841"/>
      <c r="X58" s="841"/>
      <c r="Y58" s="233"/>
      <c r="Z58" s="233"/>
      <c r="AA58" s="233"/>
      <c r="AB58" s="214" t="s">
        <v>694</v>
      </c>
      <c r="AD58" s="232">
        <f t="shared" si="5"/>
        <v>0</v>
      </c>
      <c r="AE58" s="232">
        <f t="shared" si="6"/>
        <v>0</v>
      </c>
      <c r="AG58" s="232">
        <f t="shared" si="12"/>
        <v>0</v>
      </c>
      <c r="AH58" s="232">
        <f t="shared" si="7"/>
        <v>0</v>
      </c>
      <c r="AI58" s="232"/>
    </row>
    <row r="59" spans="1:35" ht="41.4" x14ac:dyDescent="0.3">
      <c r="A59" s="46">
        <v>15</v>
      </c>
      <c r="B59" s="46" t="s">
        <v>892</v>
      </c>
      <c r="C59" s="46" t="s">
        <v>671</v>
      </c>
      <c r="D59" s="214" t="str">
        <f t="shared" si="10"/>
        <v>Do Not Print</v>
      </c>
      <c r="E59" s="212" t="s">
        <v>672</v>
      </c>
      <c r="F59" s="214" t="s">
        <v>581</v>
      </c>
      <c r="G59" s="214" t="s">
        <v>980</v>
      </c>
      <c r="H59" s="214" t="s">
        <v>695</v>
      </c>
      <c r="I59" s="230"/>
      <c r="J59" s="160">
        <v>0</v>
      </c>
      <c r="K59" s="840">
        <v>0</v>
      </c>
      <c r="L59" s="841">
        <f t="shared" si="1"/>
        <v>0</v>
      </c>
      <c r="M59" s="840">
        <v>0</v>
      </c>
      <c r="N59" s="840">
        <v>0</v>
      </c>
      <c r="O59" s="161">
        <f t="shared" si="2"/>
        <v>0</v>
      </c>
      <c r="P59" s="840">
        <v>0</v>
      </c>
      <c r="Q59" s="840">
        <v>0</v>
      </c>
      <c r="R59" s="841">
        <f t="shared" si="3"/>
        <v>0</v>
      </c>
      <c r="S59" s="840">
        <v>0</v>
      </c>
      <c r="T59" s="840">
        <v>0</v>
      </c>
      <c r="U59" s="161">
        <f t="shared" si="4"/>
        <v>0</v>
      </c>
      <c r="V59" s="841"/>
      <c r="W59" s="841"/>
      <c r="X59" s="841"/>
      <c r="Y59" s="233"/>
      <c r="Z59" s="233"/>
      <c r="AA59" s="233"/>
      <c r="AB59" s="214" t="s">
        <v>695</v>
      </c>
      <c r="AD59" s="232">
        <f t="shared" si="5"/>
        <v>0</v>
      </c>
      <c r="AE59" s="232">
        <f t="shared" si="6"/>
        <v>0</v>
      </c>
      <c r="AG59" s="232">
        <f t="shared" si="12"/>
        <v>0</v>
      </c>
      <c r="AH59" s="232">
        <f t="shared" si="7"/>
        <v>0</v>
      </c>
      <c r="AI59" s="232"/>
    </row>
    <row r="60" spans="1:35" ht="27.6" x14ac:dyDescent="0.3">
      <c r="A60" s="46">
        <v>15</v>
      </c>
      <c r="B60" s="46" t="s">
        <v>892</v>
      </c>
      <c r="C60" s="46" t="s">
        <v>671</v>
      </c>
      <c r="D60" s="214" t="str">
        <f t="shared" si="10"/>
        <v>Do Not Print</v>
      </c>
      <c r="E60" s="212" t="s">
        <v>672</v>
      </c>
      <c r="F60" s="214" t="s">
        <v>581</v>
      </c>
      <c r="G60" s="214" t="s">
        <v>1093</v>
      </c>
      <c r="H60" s="214" t="s">
        <v>994</v>
      </c>
      <c r="I60" s="230"/>
      <c r="J60" s="840">
        <v>0</v>
      </c>
      <c r="K60" s="840">
        <v>0</v>
      </c>
      <c r="L60" s="841">
        <f t="shared" si="1"/>
        <v>0</v>
      </c>
      <c r="M60" s="840">
        <v>0</v>
      </c>
      <c r="N60" s="840">
        <v>0</v>
      </c>
      <c r="O60" s="161">
        <f t="shared" si="2"/>
        <v>0</v>
      </c>
      <c r="P60" s="840">
        <v>0</v>
      </c>
      <c r="Q60" s="840">
        <v>0</v>
      </c>
      <c r="R60" s="841">
        <f t="shared" si="3"/>
        <v>0</v>
      </c>
      <c r="S60" s="840">
        <v>0</v>
      </c>
      <c r="T60" s="840">
        <v>0</v>
      </c>
      <c r="U60" s="161">
        <f t="shared" si="4"/>
        <v>0</v>
      </c>
      <c r="V60" s="841"/>
      <c r="W60" s="841"/>
      <c r="X60" s="841"/>
      <c r="Y60" s="233"/>
      <c r="Z60" s="233"/>
      <c r="AA60" s="233"/>
      <c r="AB60" s="214" t="s">
        <v>994</v>
      </c>
      <c r="AD60" s="232">
        <f t="shared" si="5"/>
        <v>0</v>
      </c>
      <c r="AE60" s="232">
        <f t="shared" si="6"/>
        <v>0</v>
      </c>
      <c r="AG60" s="232">
        <f t="shared" si="12"/>
        <v>0</v>
      </c>
      <c r="AH60" s="232">
        <f t="shared" si="7"/>
        <v>0</v>
      </c>
      <c r="AI60" s="232"/>
    </row>
    <row r="61" spans="1:35" ht="27.6" x14ac:dyDescent="0.3">
      <c r="A61" s="46">
        <v>15</v>
      </c>
      <c r="B61" s="46" t="s">
        <v>892</v>
      </c>
      <c r="C61" s="46" t="s">
        <v>671</v>
      </c>
      <c r="D61" s="214" t="str">
        <f t="shared" si="10"/>
        <v>Do Not Print</v>
      </c>
      <c r="E61" s="212" t="s">
        <v>672</v>
      </c>
      <c r="F61" s="214" t="s">
        <v>581</v>
      </c>
      <c r="G61" s="214" t="s">
        <v>438</v>
      </c>
      <c r="H61" s="214" t="s">
        <v>697</v>
      </c>
      <c r="I61" s="230"/>
      <c r="J61" s="839">
        <f>P61+P62+P63-P64-P65-P66-P67-P68-P69+P70+P71+SUM(Q61:Q71)+P51+Q51</f>
        <v>0</v>
      </c>
      <c r="K61" s="840">
        <v>0</v>
      </c>
      <c r="L61" s="841">
        <f t="shared" si="1"/>
        <v>0</v>
      </c>
      <c r="M61" s="839">
        <f>S61+S62+S63-S64-S65-S66-S67-S68-S69+S70+S71+SUM(T61:T71)</f>
        <v>0</v>
      </c>
      <c r="N61" s="840">
        <v>0</v>
      </c>
      <c r="O61" s="161">
        <f t="shared" si="2"/>
        <v>0</v>
      </c>
      <c r="P61" s="840">
        <v>0</v>
      </c>
      <c r="Q61" s="840">
        <v>0</v>
      </c>
      <c r="R61" s="841">
        <f t="shared" si="3"/>
        <v>0</v>
      </c>
      <c r="S61" s="840">
        <v>0</v>
      </c>
      <c r="T61" s="840">
        <v>0</v>
      </c>
      <c r="U61" s="161">
        <f t="shared" si="4"/>
        <v>0</v>
      </c>
      <c r="V61" s="841"/>
      <c r="W61" s="841"/>
      <c r="X61" s="841"/>
      <c r="Y61" s="233"/>
      <c r="Z61" s="233"/>
      <c r="AA61" s="233"/>
      <c r="AB61" s="214" t="s">
        <v>697</v>
      </c>
      <c r="AD61" s="232">
        <f t="shared" si="5"/>
        <v>0</v>
      </c>
      <c r="AE61" s="232">
        <f t="shared" si="6"/>
        <v>0</v>
      </c>
      <c r="AG61" s="232">
        <f t="shared" si="12"/>
        <v>0</v>
      </c>
      <c r="AH61" s="232">
        <f t="shared" si="7"/>
        <v>0</v>
      </c>
      <c r="AI61" s="232"/>
    </row>
    <row r="62" spans="1:35" ht="41.4" x14ac:dyDescent="0.3">
      <c r="A62" s="46">
        <v>15</v>
      </c>
      <c r="B62" s="46" t="s">
        <v>892</v>
      </c>
      <c r="C62" s="46" t="s">
        <v>671</v>
      </c>
      <c r="D62" s="214" t="str">
        <f t="shared" si="10"/>
        <v>Do Not Print</v>
      </c>
      <c r="E62" s="212" t="s">
        <v>672</v>
      </c>
      <c r="F62" s="214" t="s">
        <v>581</v>
      </c>
      <c r="G62" s="213" t="s">
        <v>101</v>
      </c>
      <c r="H62" s="213" t="s">
        <v>101</v>
      </c>
      <c r="I62" s="230"/>
      <c r="J62" s="840">
        <v>0</v>
      </c>
      <c r="K62" s="840">
        <v>0</v>
      </c>
      <c r="L62" s="841">
        <f t="shared" si="1"/>
        <v>0</v>
      </c>
      <c r="M62" s="840">
        <v>0</v>
      </c>
      <c r="N62" s="840">
        <v>0</v>
      </c>
      <c r="O62" s="161">
        <f t="shared" si="2"/>
        <v>0</v>
      </c>
      <c r="P62" s="840">
        <v>0</v>
      </c>
      <c r="Q62" s="840">
        <v>0</v>
      </c>
      <c r="R62" s="841">
        <f t="shared" si="3"/>
        <v>0</v>
      </c>
      <c r="S62" s="840">
        <v>0</v>
      </c>
      <c r="T62" s="840">
        <v>0</v>
      </c>
      <c r="U62" s="161">
        <f t="shared" si="4"/>
        <v>0</v>
      </c>
      <c r="V62" s="841"/>
      <c r="W62" s="841"/>
      <c r="X62" s="841"/>
      <c r="Y62" s="233"/>
      <c r="Z62" s="233"/>
      <c r="AA62" s="233"/>
      <c r="AB62" s="213" t="s">
        <v>101</v>
      </c>
      <c r="AD62" s="232">
        <f t="shared" si="5"/>
        <v>0</v>
      </c>
      <c r="AE62" s="232">
        <f t="shared" si="6"/>
        <v>0</v>
      </c>
      <c r="AG62" s="232"/>
      <c r="AH62" s="232"/>
      <c r="AI62" s="232"/>
    </row>
    <row r="63" spans="1:35" ht="27.6" x14ac:dyDescent="0.3">
      <c r="A63" s="46">
        <v>15</v>
      </c>
      <c r="B63" s="46" t="s">
        <v>892</v>
      </c>
      <c r="C63" s="46" t="s">
        <v>671</v>
      </c>
      <c r="D63" s="214" t="str">
        <f t="shared" si="10"/>
        <v>Do Not Print</v>
      </c>
      <c r="E63" s="212" t="s">
        <v>672</v>
      </c>
      <c r="F63" s="214" t="s">
        <v>581</v>
      </c>
      <c r="G63" s="214" t="s">
        <v>109</v>
      </c>
      <c r="H63" s="214" t="s">
        <v>696</v>
      </c>
      <c r="I63" s="230"/>
      <c r="J63" s="840">
        <v>0</v>
      </c>
      <c r="K63" s="840">
        <v>0</v>
      </c>
      <c r="L63" s="841">
        <f t="shared" si="1"/>
        <v>0</v>
      </c>
      <c r="M63" s="840">
        <v>0</v>
      </c>
      <c r="N63" s="840">
        <v>0</v>
      </c>
      <c r="O63" s="161">
        <f t="shared" si="2"/>
        <v>0</v>
      </c>
      <c r="P63" s="840">
        <v>0</v>
      </c>
      <c r="Q63" s="840">
        <v>0</v>
      </c>
      <c r="R63" s="841">
        <f t="shared" si="3"/>
        <v>0</v>
      </c>
      <c r="S63" s="840">
        <v>0</v>
      </c>
      <c r="T63" s="840">
        <v>0</v>
      </c>
      <c r="U63" s="161">
        <f t="shared" si="4"/>
        <v>0</v>
      </c>
      <c r="V63" s="841"/>
      <c r="W63" s="841"/>
      <c r="X63" s="841"/>
      <c r="Y63" s="233"/>
      <c r="Z63" s="233"/>
      <c r="AA63" s="233"/>
      <c r="AB63" s="214" t="s">
        <v>696</v>
      </c>
      <c r="AD63" s="232">
        <f t="shared" si="5"/>
        <v>0</v>
      </c>
      <c r="AE63" s="232">
        <f t="shared" si="6"/>
        <v>0</v>
      </c>
      <c r="AG63" s="232">
        <f>ROUND(O63,0)</f>
        <v>0</v>
      </c>
      <c r="AH63" s="232">
        <f t="shared" si="7"/>
        <v>0</v>
      </c>
      <c r="AI63" s="232"/>
    </row>
    <row r="64" spans="1:35" ht="41.4" x14ac:dyDescent="0.3">
      <c r="A64" s="46">
        <v>15</v>
      </c>
      <c r="B64" s="46" t="s">
        <v>892</v>
      </c>
      <c r="C64" s="46" t="s">
        <v>671</v>
      </c>
      <c r="D64" s="214" t="str">
        <f t="shared" si="10"/>
        <v>Do Not Print</v>
      </c>
      <c r="E64" s="212" t="s">
        <v>672</v>
      </c>
      <c r="F64" s="214" t="s">
        <v>581</v>
      </c>
      <c r="G64" s="214" t="s">
        <v>1092</v>
      </c>
      <c r="H64" s="214" t="s">
        <v>698</v>
      </c>
      <c r="I64" s="230"/>
      <c r="J64" s="840">
        <v>0</v>
      </c>
      <c r="K64" s="840">
        <v>0</v>
      </c>
      <c r="L64" s="841">
        <f t="shared" si="1"/>
        <v>0</v>
      </c>
      <c r="M64" s="840">
        <v>0</v>
      </c>
      <c r="N64" s="840">
        <v>0</v>
      </c>
      <c r="O64" s="161">
        <f t="shared" si="2"/>
        <v>0</v>
      </c>
      <c r="P64" s="840">
        <v>0</v>
      </c>
      <c r="Q64" s="840">
        <v>0</v>
      </c>
      <c r="R64" s="841">
        <f t="shared" si="3"/>
        <v>0</v>
      </c>
      <c r="S64" s="840">
        <v>0</v>
      </c>
      <c r="T64" s="840">
        <v>0</v>
      </c>
      <c r="U64" s="161">
        <f t="shared" si="4"/>
        <v>0</v>
      </c>
      <c r="V64" s="841"/>
      <c r="W64" s="841"/>
      <c r="X64" s="841"/>
      <c r="Y64" s="233"/>
      <c r="Z64" s="233"/>
      <c r="AA64" s="233"/>
      <c r="AB64" s="214" t="s">
        <v>698</v>
      </c>
      <c r="AD64" s="232">
        <f t="shared" si="5"/>
        <v>0</v>
      </c>
      <c r="AE64" s="232">
        <f t="shared" si="6"/>
        <v>0</v>
      </c>
      <c r="AG64" s="232">
        <f>ROUND(O64,0)</f>
        <v>0</v>
      </c>
      <c r="AH64" s="232">
        <f t="shared" si="7"/>
        <v>0</v>
      </c>
      <c r="AI64" s="232"/>
    </row>
    <row r="65" spans="1:35" ht="55.2" x14ac:dyDescent="0.3">
      <c r="A65" s="46">
        <v>15</v>
      </c>
      <c r="B65" s="46" t="s">
        <v>892</v>
      </c>
      <c r="C65" s="46" t="s">
        <v>671</v>
      </c>
      <c r="D65" s="214" t="str">
        <f t="shared" si="10"/>
        <v>Do Not Print</v>
      </c>
      <c r="E65" s="212" t="s">
        <v>672</v>
      </c>
      <c r="F65" s="214" t="s">
        <v>581</v>
      </c>
      <c r="G65" s="214" t="s">
        <v>111</v>
      </c>
      <c r="H65" s="214" t="s">
        <v>111</v>
      </c>
      <c r="I65" s="230"/>
      <c r="J65" s="840">
        <v>0</v>
      </c>
      <c r="K65" s="840">
        <v>0</v>
      </c>
      <c r="L65" s="841">
        <f t="shared" si="1"/>
        <v>0</v>
      </c>
      <c r="M65" s="840">
        <v>0</v>
      </c>
      <c r="N65" s="840">
        <v>0</v>
      </c>
      <c r="O65" s="161">
        <f t="shared" si="2"/>
        <v>0</v>
      </c>
      <c r="P65" s="840">
        <v>0</v>
      </c>
      <c r="Q65" s="840">
        <v>0</v>
      </c>
      <c r="R65" s="841">
        <f t="shared" si="3"/>
        <v>0</v>
      </c>
      <c r="S65" s="840">
        <v>0</v>
      </c>
      <c r="T65" s="840">
        <v>0</v>
      </c>
      <c r="U65" s="161">
        <f t="shared" si="4"/>
        <v>0</v>
      </c>
      <c r="V65" s="841"/>
      <c r="W65" s="841"/>
      <c r="X65" s="841"/>
      <c r="Y65" s="233"/>
      <c r="Z65" s="233"/>
      <c r="AA65" s="233"/>
      <c r="AB65" s="214" t="s">
        <v>111</v>
      </c>
      <c r="AD65" s="232">
        <f t="shared" si="5"/>
        <v>0</v>
      </c>
      <c r="AE65" s="232">
        <f t="shared" si="6"/>
        <v>0</v>
      </c>
      <c r="AG65" s="232"/>
      <c r="AH65" s="232"/>
      <c r="AI65" s="232"/>
    </row>
    <row r="66" spans="1:35" ht="41.4" x14ac:dyDescent="0.3">
      <c r="A66" s="46">
        <v>15</v>
      </c>
      <c r="B66" s="46" t="s">
        <v>892</v>
      </c>
      <c r="C66" s="46" t="s">
        <v>671</v>
      </c>
      <c r="D66" s="214" t="str">
        <f t="shared" si="10"/>
        <v>Do Not Print</v>
      </c>
      <c r="E66" s="212" t="s">
        <v>672</v>
      </c>
      <c r="F66" s="214" t="s">
        <v>581</v>
      </c>
      <c r="G66" s="214" t="s">
        <v>982</v>
      </c>
      <c r="H66" s="214" t="s">
        <v>699</v>
      </c>
      <c r="I66" s="230"/>
      <c r="J66" s="840">
        <v>0</v>
      </c>
      <c r="K66" s="840">
        <v>0</v>
      </c>
      <c r="L66" s="841">
        <f t="shared" si="1"/>
        <v>0</v>
      </c>
      <c r="M66" s="840">
        <v>0</v>
      </c>
      <c r="N66" s="840">
        <v>0</v>
      </c>
      <c r="O66" s="161">
        <f t="shared" si="2"/>
        <v>0</v>
      </c>
      <c r="P66" s="840">
        <v>0</v>
      </c>
      <c r="Q66" s="840">
        <v>0</v>
      </c>
      <c r="R66" s="841">
        <f t="shared" si="3"/>
        <v>0</v>
      </c>
      <c r="S66" s="840">
        <v>0</v>
      </c>
      <c r="T66" s="840">
        <v>0</v>
      </c>
      <c r="U66" s="161">
        <f t="shared" si="4"/>
        <v>0</v>
      </c>
      <c r="V66" s="841"/>
      <c r="W66" s="841"/>
      <c r="X66" s="841"/>
      <c r="Y66" s="233"/>
      <c r="Z66" s="233"/>
      <c r="AA66" s="233"/>
      <c r="AB66" s="214" t="s">
        <v>699</v>
      </c>
      <c r="AD66" s="232">
        <f t="shared" si="5"/>
        <v>0</v>
      </c>
      <c r="AE66" s="232">
        <f t="shared" si="6"/>
        <v>0</v>
      </c>
      <c r="AG66" s="232">
        <f>ROUND(O66,0)</f>
        <v>0</v>
      </c>
      <c r="AH66" s="232">
        <f t="shared" si="7"/>
        <v>0</v>
      </c>
      <c r="AI66" s="232"/>
    </row>
    <row r="67" spans="1:35" ht="27.6" x14ac:dyDescent="0.3">
      <c r="A67" s="46">
        <v>15</v>
      </c>
      <c r="B67" s="46" t="s">
        <v>892</v>
      </c>
      <c r="C67" s="46" t="s">
        <v>671</v>
      </c>
      <c r="D67" s="214" t="str">
        <f t="shared" si="10"/>
        <v>Do Not Print</v>
      </c>
      <c r="E67" s="212" t="s">
        <v>672</v>
      </c>
      <c r="F67" s="214" t="s">
        <v>581</v>
      </c>
      <c r="G67" s="214" t="s">
        <v>981</v>
      </c>
      <c r="H67" s="214" t="s">
        <v>1003</v>
      </c>
      <c r="I67" s="230"/>
      <c r="J67" s="840">
        <v>0</v>
      </c>
      <c r="K67" s="840">
        <v>0</v>
      </c>
      <c r="L67" s="841">
        <f t="shared" si="1"/>
        <v>0</v>
      </c>
      <c r="M67" s="840">
        <v>0</v>
      </c>
      <c r="N67" s="840">
        <v>0</v>
      </c>
      <c r="O67" s="161">
        <f t="shared" si="2"/>
        <v>0</v>
      </c>
      <c r="P67" s="840">
        <v>0</v>
      </c>
      <c r="Q67" s="840">
        <v>0</v>
      </c>
      <c r="R67" s="841">
        <f t="shared" si="3"/>
        <v>0</v>
      </c>
      <c r="S67" s="840">
        <v>0</v>
      </c>
      <c r="T67" s="840">
        <v>0</v>
      </c>
      <c r="U67" s="161">
        <f t="shared" si="4"/>
        <v>0</v>
      </c>
      <c r="V67" s="841"/>
      <c r="W67" s="841"/>
      <c r="X67" s="841"/>
      <c r="Y67" s="233"/>
      <c r="Z67" s="233"/>
      <c r="AA67" s="233"/>
      <c r="AB67" s="214" t="s">
        <v>1003</v>
      </c>
      <c r="AD67" s="232">
        <f t="shared" si="5"/>
        <v>0</v>
      </c>
      <c r="AE67" s="232">
        <f t="shared" si="6"/>
        <v>0</v>
      </c>
      <c r="AG67" s="232"/>
      <c r="AH67" s="232"/>
      <c r="AI67" s="232"/>
    </row>
    <row r="68" spans="1:35" ht="27.6" x14ac:dyDescent="0.3">
      <c r="A68" s="46">
        <v>15</v>
      </c>
      <c r="B68" s="46" t="s">
        <v>892</v>
      </c>
      <c r="C68" s="46" t="s">
        <v>671</v>
      </c>
      <c r="D68" s="214" t="str">
        <f t="shared" si="10"/>
        <v>Do Not Print</v>
      </c>
      <c r="E68" s="212" t="s">
        <v>672</v>
      </c>
      <c r="F68" s="214" t="s">
        <v>581</v>
      </c>
      <c r="G68" s="214" t="s">
        <v>977</v>
      </c>
      <c r="H68" s="214" t="s">
        <v>1004</v>
      </c>
      <c r="I68" s="230"/>
      <c r="J68" s="840">
        <v>0</v>
      </c>
      <c r="K68" s="840">
        <v>0</v>
      </c>
      <c r="L68" s="841">
        <f t="shared" si="1"/>
        <v>0</v>
      </c>
      <c r="M68" s="840">
        <v>0</v>
      </c>
      <c r="N68" s="840">
        <v>0</v>
      </c>
      <c r="O68" s="161">
        <f t="shared" si="2"/>
        <v>0</v>
      </c>
      <c r="P68" s="840">
        <v>0</v>
      </c>
      <c r="Q68" s="840">
        <v>0</v>
      </c>
      <c r="R68" s="841">
        <f t="shared" si="3"/>
        <v>0</v>
      </c>
      <c r="S68" s="840">
        <v>0</v>
      </c>
      <c r="T68" s="840">
        <v>0</v>
      </c>
      <c r="U68" s="161">
        <f t="shared" si="4"/>
        <v>0</v>
      </c>
      <c r="V68" s="841"/>
      <c r="W68" s="841"/>
      <c r="X68" s="841"/>
      <c r="Y68" s="233"/>
      <c r="Z68" s="233"/>
      <c r="AA68" s="233"/>
      <c r="AB68" s="214" t="s">
        <v>1004</v>
      </c>
      <c r="AD68" s="232">
        <f t="shared" si="5"/>
        <v>0</v>
      </c>
      <c r="AE68" s="232">
        <f t="shared" si="6"/>
        <v>0</v>
      </c>
      <c r="AG68" s="232">
        <f t="shared" ref="AG68:AG99" si="13">ROUND(O68,0)</f>
        <v>0</v>
      </c>
      <c r="AH68" s="232">
        <f t="shared" si="7"/>
        <v>0</v>
      </c>
      <c r="AI68" s="232"/>
    </row>
    <row r="69" spans="1:35" ht="41.4" x14ac:dyDescent="0.3">
      <c r="A69" s="46">
        <v>15</v>
      </c>
      <c r="B69" s="46" t="s">
        <v>892</v>
      </c>
      <c r="C69" s="46" t="s">
        <v>671</v>
      </c>
      <c r="D69" s="214" t="str">
        <f t="shared" si="10"/>
        <v>Do Not Print</v>
      </c>
      <c r="E69" s="212" t="s">
        <v>672</v>
      </c>
      <c r="F69" s="214" t="s">
        <v>581</v>
      </c>
      <c r="G69" s="214" t="s">
        <v>979</v>
      </c>
      <c r="H69" s="214" t="s">
        <v>700</v>
      </c>
      <c r="I69" s="230"/>
      <c r="J69" s="840">
        <v>0</v>
      </c>
      <c r="K69" s="840">
        <v>0</v>
      </c>
      <c r="L69" s="841">
        <f t="shared" si="1"/>
        <v>0</v>
      </c>
      <c r="M69" s="840">
        <v>0</v>
      </c>
      <c r="N69" s="840">
        <v>0</v>
      </c>
      <c r="O69" s="161">
        <f t="shared" si="2"/>
        <v>0</v>
      </c>
      <c r="P69" s="840">
        <v>0</v>
      </c>
      <c r="Q69" s="840">
        <v>0</v>
      </c>
      <c r="R69" s="841">
        <f t="shared" si="3"/>
        <v>0</v>
      </c>
      <c r="S69" s="840">
        <v>0</v>
      </c>
      <c r="T69" s="840">
        <v>0</v>
      </c>
      <c r="U69" s="161">
        <f t="shared" si="4"/>
        <v>0</v>
      </c>
      <c r="V69" s="841"/>
      <c r="W69" s="841"/>
      <c r="X69" s="841"/>
      <c r="Y69" s="233"/>
      <c r="Z69" s="233"/>
      <c r="AA69" s="233"/>
      <c r="AB69" s="214" t="s">
        <v>700</v>
      </c>
      <c r="AD69" s="232">
        <f t="shared" si="5"/>
        <v>0</v>
      </c>
      <c r="AE69" s="232">
        <f t="shared" si="6"/>
        <v>0</v>
      </c>
      <c r="AG69" s="232">
        <f t="shared" si="13"/>
        <v>0</v>
      </c>
      <c r="AH69" s="232">
        <f t="shared" si="7"/>
        <v>0</v>
      </c>
      <c r="AI69" s="232"/>
    </row>
    <row r="70" spans="1:35" ht="41.4" x14ac:dyDescent="0.3">
      <c r="A70" s="46">
        <v>15</v>
      </c>
      <c r="B70" s="46" t="s">
        <v>892</v>
      </c>
      <c r="C70" s="46" t="s">
        <v>671</v>
      </c>
      <c r="D70" s="214" t="str">
        <f t="shared" ref="D70:D93" si="14">IF(AND(O70=0,U70=0,V70=0),"Do Not Print","Print")</f>
        <v>Do Not Print</v>
      </c>
      <c r="E70" s="212" t="s">
        <v>672</v>
      </c>
      <c r="F70" s="214" t="s">
        <v>581</v>
      </c>
      <c r="G70" s="214" t="s">
        <v>980</v>
      </c>
      <c r="H70" s="214" t="s">
        <v>701</v>
      </c>
      <c r="I70" s="230"/>
      <c r="J70" s="840">
        <v>0</v>
      </c>
      <c r="K70" s="840">
        <v>0</v>
      </c>
      <c r="L70" s="841">
        <f t="shared" si="1"/>
        <v>0</v>
      </c>
      <c r="M70" s="840">
        <v>0</v>
      </c>
      <c r="N70" s="840">
        <v>0</v>
      </c>
      <c r="O70" s="161">
        <f t="shared" si="2"/>
        <v>0</v>
      </c>
      <c r="P70" s="840">
        <v>0</v>
      </c>
      <c r="Q70" s="840">
        <v>0</v>
      </c>
      <c r="R70" s="841">
        <f t="shared" si="3"/>
        <v>0</v>
      </c>
      <c r="S70" s="840">
        <v>0</v>
      </c>
      <c r="T70" s="840">
        <v>0</v>
      </c>
      <c r="U70" s="161">
        <f t="shared" si="4"/>
        <v>0</v>
      </c>
      <c r="V70" s="841"/>
      <c r="W70" s="841"/>
      <c r="X70" s="841"/>
      <c r="Y70" s="233"/>
      <c r="Z70" s="233"/>
      <c r="AA70" s="233"/>
      <c r="AB70" s="214" t="s">
        <v>701</v>
      </c>
      <c r="AD70" s="232">
        <f t="shared" si="5"/>
        <v>0</v>
      </c>
      <c r="AE70" s="232">
        <f t="shared" si="6"/>
        <v>0</v>
      </c>
      <c r="AG70" s="232">
        <f t="shared" si="13"/>
        <v>0</v>
      </c>
      <c r="AH70" s="232">
        <f t="shared" si="7"/>
        <v>0</v>
      </c>
      <c r="AI70" s="232"/>
    </row>
    <row r="71" spans="1:35" ht="41.4" x14ac:dyDescent="0.3">
      <c r="A71" s="46">
        <v>15</v>
      </c>
      <c r="B71" s="46" t="s">
        <v>892</v>
      </c>
      <c r="C71" s="46" t="s">
        <v>671</v>
      </c>
      <c r="D71" s="214" t="str">
        <f t="shared" si="14"/>
        <v>Do Not Print</v>
      </c>
      <c r="E71" s="212" t="s">
        <v>672</v>
      </c>
      <c r="F71" s="214" t="s">
        <v>581</v>
      </c>
      <c r="G71" s="214" t="s">
        <v>1093</v>
      </c>
      <c r="H71" s="214" t="s">
        <v>997</v>
      </c>
      <c r="I71" s="230"/>
      <c r="J71" s="840">
        <v>0</v>
      </c>
      <c r="K71" s="840">
        <v>0</v>
      </c>
      <c r="L71" s="841">
        <f t="shared" ref="L71:L134" si="15">SUM(J71:K71)</f>
        <v>0</v>
      </c>
      <c r="M71" s="840">
        <v>0</v>
      </c>
      <c r="N71" s="840">
        <v>0</v>
      </c>
      <c r="O71" s="161">
        <f t="shared" ref="O71:O134" si="16">SUM(M71:N71)+L71</f>
        <v>0</v>
      </c>
      <c r="P71" s="840">
        <v>0</v>
      </c>
      <c r="Q71" s="840">
        <v>0</v>
      </c>
      <c r="R71" s="841">
        <f t="shared" ref="R71:R134" si="17">SUM(P71:Q71)</f>
        <v>0</v>
      </c>
      <c r="S71" s="840">
        <v>0</v>
      </c>
      <c r="T71" s="840">
        <v>0</v>
      </c>
      <c r="U71" s="161">
        <f t="shared" ref="U71:U134" si="18">R71+SUM(S71:T71)</f>
        <v>0</v>
      </c>
      <c r="V71" s="841"/>
      <c r="W71" s="841"/>
      <c r="X71" s="841"/>
      <c r="Y71" s="233"/>
      <c r="Z71" s="233"/>
      <c r="AA71" s="233"/>
      <c r="AB71" s="214" t="s">
        <v>997</v>
      </c>
      <c r="AD71" s="232">
        <f t="shared" ref="AD71:AD134" si="19">ROUND(L71,0)</f>
        <v>0</v>
      </c>
      <c r="AE71" s="232">
        <f t="shared" ref="AE71:AE134" si="20">ROUND(R71,0)</f>
        <v>0</v>
      </c>
      <c r="AG71" s="232">
        <f t="shared" si="13"/>
        <v>0</v>
      </c>
      <c r="AH71" s="232">
        <f t="shared" si="7"/>
        <v>0</v>
      </c>
      <c r="AI71" s="232"/>
    </row>
    <row r="72" spans="1:35" ht="27.6" x14ac:dyDescent="0.3">
      <c r="A72" s="46">
        <v>16</v>
      </c>
      <c r="B72" s="46" t="s">
        <v>1080</v>
      </c>
      <c r="C72" s="46" t="s">
        <v>671</v>
      </c>
      <c r="D72" s="214" t="str">
        <f t="shared" si="14"/>
        <v>Do Not Print</v>
      </c>
      <c r="E72" s="212" t="s">
        <v>672</v>
      </c>
      <c r="F72" s="214" t="s">
        <v>1062</v>
      </c>
      <c r="G72" s="214" t="s">
        <v>436</v>
      </c>
      <c r="H72" s="214" t="s">
        <v>1063</v>
      </c>
      <c r="I72" s="230"/>
      <c r="J72" s="839">
        <f>SUM(P72:P82)+SUM(Q72:Q82)</f>
        <v>0</v>
      </c>
      <c r="K72" s="840">
        <v>0</v>
      </c>
      <c r="L72" s="841">
        <f t="shared" si="15"/>
        <v>0</v>
      </c>
      <c r="M72" s="839">
        <f>SUM(S72:S82)+SUM(T72:T82)</f>
        <v>0</v>
      </c>
      <c r="N72" s="840">
        <v>0</v>
      </c>
      <c r="O72" s="161">
        <f t="shared" si="16"/>
        <v>0</v>
      </c>
      <c r="P72" s="840">
        <v>0</v>
      </c>
      <c r="Q72" s="840">
        <v>0</v>
      </c>
      <c r="R72" s="841">
        <f t="shared" si="17"/>
        <v>0</v>
      </c>
      <c r="S72" s="840">
        <v>0</v>
      </c>
      <c r="T72" s="840">
        <v>0</v>
      </c>
      <c r="U72" s="161">
        <f t="shared" si="18"/>
        <v>0</v>
      </c>
      <c r="V72" s="841"/>
      <c r="W72" s="841"/>
      <c r="X72" s="841"/>
      <c r="Y72" s="233"/>
      <c r="Z72" s="233"/>
      <c r="AA72" s="233"/>
      <c r="AB72" s="214" t="s">
        <v>1063</v>
      </c>
      <c r="AD72" s="232">
        <f t="shared" si="19"/>
        <v>0</v>
      </c>
      <c r="AE72" s="232">
        <f t="shared" si="20"/>
        <v>0</v>
      </c>
      <c r="AG72" s="232">
        <f t="shared" si="13"/>
        <v>0</v>
      </c>
      <c r="AH72" s="232">
        <f t="shared" si="7"/>
        <v>0</v>
      </c>
      <c r="AI72" s="232"/>
    </row>
    <row r="73" spans="1:35" ht="41.4" x14ac:dyDescent="0.3">
      <c r="A73" s="46">
        <v>16</v>
      </c>
      <c r="B73" s="46" t="s">
        <v>1080</v>
      </c>
      <c r="C73" s="46" t="s">
        <v>671</v>
      </c>
      <c r="D73" s="214" t="str">
        <f t="shared" si="14"/>
        <v>Do Not Print</v>
      </c>
      <c r="E73" s="212" t="s">
        <v>672</v>
      </c>
      <c r="F73" s="214" t="s">
        <v>1062</v>
      </c>
      <c r="G73" s="213" t="s">
        <v>101</v>
      </c>
      <c r="H73" s="213" t="s">
        <v>101</v>
      </c>
      <c r="I73" s="230"/>
      <c r="J73" s="840">
        <v>0</v>
      </c>
      <c r="K73" s="840">
        <v>0</v>
      </c>
      <c r="L73" s="841">
        <f t="shared" si="15"/>
        <v>0</v>
      </c>
      <c r="M73" s="840">
        <v>0</v>
      </c>
      <c r="N73" s="840">
        <v>0</v>
      </c>
      <c r="O73" s="161">
        <f t="shared" si="16"/>
        <v>0</v>
      </c>
      <c r="P73" s="840">
        <v>0</v>
      </c>
      <c r="Q73" s="840">
        <v>0</v>
      </c>
      <c r="R73" s="841">
        <f t="shared" si="17"/>
        <v>0</v>
      </c>
      <c r="S73" s="840">
        <v>0</v>
      </c>
      <c r="T73" s="840">
        <v>0</v>
      </c>
      <c r="U73" s="161">
        <f t="shared" si="18"/>
        <v>0</v>
      </c>
      <c r="V73" s="841"/>
      <c r="W73" s="841"/>
      <c r="X73" s="841"/>
      <c r="Y73" s="233"/>
      <c r="Z73" s="233"/>
      <c r="AA73" s="233"/>
      <c r="AB73" s="213" t="s">
        <v>101</v>
      </c>
      <c r="AD73" s="232">
        <f t="shared" si="19"/>
        <v>0</v>
      </c>
      <c r="AE73" s="232">
        <f t="shared" si="20"/>
        <v>0</v>
      </c>
      <c r="AG73" s="232">
        <f t="shared" si="13"/>
        <v>0</v>
      </c>
      <c r="AH73" s="232">
        <f t="shared" si="7"/>
        <v>0</v>
      </c>
      <c r="AI73" s="232"/>
    </row>
    <row r="74" spans="1:35" ht="27.6" x14ac:dyDescent="0.3">
      <c r="A74" s="46">
        <v>16</v>
      </c>
      <c r="B74" s="46" t="s">
        <v>1080</v>
      </c>
      <c r="C74" s="46" t="s">
        <v>671</v>
      </c>
      <c r="D74" s="214" t="str">
        <f t="shared" si="14"/>
        <v>Do Not Print</v>
      </c>
      <c r="E74" s="212" t="s">
        <v>672</v>
      </c>
      <c r="F74" s="214" t="s">
        <v>1062</v>
      </c>
      <c r="G74" s="214" t="s">
        <v>973</v>
      </c>
      <c r="H74" s="214" t="s">
        <v>1064</v>
      </c>
      <c r="I74" s="230"/>
      <c r="J74" s="840">
        <v>0</v>
      </c>
      <c r="K74" s="840">
        <v>0</v>
      </c>
      <c r="L74" s="841">
        <f t="shared" si="15"/>
        <v>0</v>
      </c>
      <c r="M74" s="840">
        <v>0</v>
      </c>
      <c r="N74" s="840">
        <v>0</v>
      </c>
      <c r="O74" s="161">
        <f t="shared" si="16"/>
        <v>0</v>
      </c>
      <c r="P74" s="840">
        <v>0</v>
      </c>
      <c r="Q74" s="840">
        <v>0</v>
      </c>
      <c r="R74" s="841">
        <f t="shared" si="17"/>
        <v>0</v>
      </c>
      <c r="S74" s="840">
        <v>0</v>
      </c>
      <c r="T74" s="840">
        <v>0</v>
      </c>
      <c r="U74" s="161">
        <f t="shared" si="18"/>
        <v>0</v>
      </c>
      <c r="V74" s="841"/>
      <c r="W74" s="841"/>
      <c r="X74" s="841"/>
      <c r="Y74" s="233"/>
      <c r="Z74" s="233"/>
      <c r="AA74" s="233"/>
      <c r="AB74" s="214" t="s">
        <v>1064</v>
      </c>
      <c r="AD74" s="232">
        <f t="shared" si="19"/>
        <v>0</v>
      </c>
      <c r="AE74" s="232">
        <f t="shared" si="20"/>
        <v>0</v>
      </c>
      <c r="AG74" s="232">
        <f t="shared" si="13"/>
        <v>0</v>
      </c>
      <c r="AH74" s="232">
        <f t="shared" si="7"/>
        <v>0</v>
      </c>
      <c r="AI74" s="232"/>
    </row>
    <row r="75" spans="1:35" ht="27.6" x14ac:dyDescent="0.3">
      <c r="A75" s="46">
        <v>16</v>
      </c>
      <c r="B75" s="46" t="s">
        <v>1080</v>
      </c>
      <c r="C75" s="46" t="s">
        <v>671</v>
      </c>
      <c r="D75" s="214" t="str">
        <f t="shared" si="14"/>
        <v>Do Not Print</v>
      </c>
      <c r="E75" s="212" t="s">
        <v>672</v>
      </c>
      <c r="F75" s="214" t="s">
        <v>1062</v>
      </c>
      <c r="G75" s="214" t="s">
        <v>103</v>
      </c>
      <c r="H75" s="214" t="s">
        <v>1065</v>
      </c>
      <c r="I75" s="230"/>
      <c r="J75" s="840">
        <v>0</v>
      </c>
      <c r="K75" s="840">
        <v>0</v>
      </c>
      <c r="L75" s="841">
        <f t="shared" si="15"/>
        <v>0</v>
      </c>
      <c r="M75" s="840">
        <v>0</v>
      </c>
      <c r="N75" s="840">
        <v>0</v>
      </c>
      <c r="O75" s="161">
        <f t="shared" si="16"/>
        <v>0</v>
      </c>
      <c r="P75" s="840">
        <v>0</v>
      </c>
      <c r="Q75" s="840">
        <v>0</v>
      </c>
      <c r="R75" s="841">
        <f t="shared" si="17"/>
        <v>0</v>
      </c>
      <c r="S75" s="840">
        <v>0</v>
      </c>
      <c r="T75" s="840">
        <v>0</v>
      </c>
      <c r="U75" s="161">
        <f t="shared" si="18"/>
        <v>0</v>
      </c>
      <c r="V75" s="841"/>
      <c r="W75" s="841"/>
      <c r="X75" s="841"/>
      <c r="Y75" s="233"/>
      <c r="Z75" s="233"/>
      <c r="AA75" s="233"/>
      <c r="AB75" s="214" t="s">
        <v>1065</v>
      </c>
      <c r="AD75" s="232">
        <f t="shared" si="19"/>
        <v>0</v>
      </c>
      <c r="AE75" s="232">
        <f t="shared" si="20"/>
        <v>0</v>
      </c>
      <c r="AG75" s="232">
        <f t="shared" si="13"/>
        <v>0</v>
      </c>
      <c r="AH75" s="232">
        <f t="shared" si="7"/>
        <v>0</v>
      </c>
      <c r="AI75" s="232"/>
    </row>
    <row r="76" spans="1:35" ht="41.4" x14ac:dyDescent="0.3">
      <c r="A76" s="46">
        <v>16</v>
      </c>
      <c r="B76" s="46" t="s">
        <v>1080</v>
      </c>
      <c r="C76" s="46" t="s">
        <v>671</v>
      </c>
      <c r="D76" s="214" t="str">
        <f t="shared" si="14"/>
        <v>Do Not Print</v>
      </c>
      <c r="E76" s="212" t="s">
        <v>672</v>
      </c>
      <c r="F76" s="214" t="s">
        <v>1062</v>
      </c>
      <c r="G76" s="214" t="s">
        <v>1090</v>
      </c>
      <c r="H76" s="214" t="s">
        <v>1066</v>
      </c>
      <c r="I76" s="230"/>
      <c r="J76" s="840">
        <v>0</v>
      </c>
      <c r="K76" s="840">
        <v>0</v>
      </c>
      <c r="L76" s="841">
        <f t="shared" si="15"/>
        <v>0</v>
      </c>
      <c r="M76" s="840">
        <v>0</v>
      </c>
      <c r="N76" s="840">
        <v>0</v>
      </c>
      <c r="O76" s="161">
        <f t="shared" si="16"/>
        <v>0</v>
      </c>
      <c r="P76" s="840">
        <v>0</v>
      </c>
      <c r="Q76" s="840">
        <v>0</v>
      </c>
      <c r="R76" s="841">
        <f t="shared" si="17"/>
        <v>0</v>
      </c>
      <c r="S76" s="840">
        <v>0</v>
      </c>
      <c r="T76" s="840">
        <v>0</v>
      </c>
      <c r="U76" s="161">
        <f t="shared" si="18"/>
        <v>0</v>
      </c>
      <c r="V76" s="841"/>
      <c r="W76" s="841"/>
      <c r="X76" s="841"/>
      <c r="Y76" s="233"/>
      <c r="Z76" s="233"/>
      <c r="AA76" s="233"/>
      <c r="AB76" s="214" t="s">
        <v>1066</v>
      </c>
      <c r="AD76" s="232">
        <f t="shared" si="19"/>
        <v>0</v>
      </c>
      <c r="AE76" s="232">
        <f t="shared" si="20"/>
        <v>0</v>
      </c>
      <c r="AG76" s="232">
        <f t="shared" si="13"/>
        <v>0</v>
      </c>
      <c r="AH76" s="232">
        <f t="shared" si="7"/>
        <v>0</v>
      </c>
      <c r="AI76" s="232"/>
    </row>
    <row r="77" spans="1:35" ht="55.2" x14ac:dyDescent="0.3">
      <c r="A77" s="46">
        <v>16</v>
      </c>
      <c r="B77" s="46" t="s">
        <v>1080</v>
      </c>
      <c r="C77" s="46" t="s">
        <v>671</v>
      </c>
      <c r="D77" s="214" t="str">
        <f t="shared" si="14"/>
        <v>Do Not Print</v>
      </c>
      <c r="E77" s="212" t="s">
        <v>672</v>
      </c>
      <c r="F77" s="214" t="s">
        <v>1062</v>
      </c>
      <c r="G77" s="214" t="s">
        <v>1091</v>
      </c>
      <c r="H77" s="214" t="s">
        <v>1067</v>
      </c>
      <c r="I77" s="230"/>
      <c r="J77" s="840">
        <v>0</v>
      </c>
      <c r="K77" s="840">
        <v>0</v>
      </c>
      <c r="L77" s="841">
        <f t="shared" si="15"/>
        <v>0</v>
      </c>
      <c r="M77" s="840">
        <v>0</v>
      </c>
      <c r="N77" s="840">
        <v>0</v>
      </c>
      <c r="O77" s="161">
        <f t="shared" si="16"/>
        <v>0</v>
      </c>
      <c r="P77" s="840">
        <v>0</v>
      </c>
      <c r="Q77" s="840">
        <v>0</v>
      </c>
      <c r="R77" s="841">
        <f t="shared" si="17"/>
        <v>0</v>
      </c>
      <c r="S77" s="840">
        <v>0</v>
      </c>
      <c r="T77" s="840">
        <v>0</v>
      </c>
      <c r="U77" s="161">
        <f t="shared" si="18"/>
        <v>0</v>
      </c>
      <c r="V77" s="841"/>
      <c r="W77" s="841"/>
      <c r="X77" s="841"/>
      <c r="Y77" s="233"/>
      <c r="Z77" s="233"/>
      <c r="AA77" s="233"/>
      <c r="AB77" s="214" t="s">
        <v>1067</v>
      </c>
      <c r="AD77" s="232">
        <f t="shared" si="19"/>
        <v>0</v>
      </c>
      <c r="AE77" s="232">
        <f t="shared" si="20"/>
        <v>0</v>
      </c>
      <c r="AG77" s="232">
        <f t="shared" si="13"/>
        <v>0</v>
      </c>
      <c r="AH77" s="232">
        <f t="shared" si="7"/>
        <v>0</v>
      </c>
      <c r="AI77" s="232"/>
    </row>
    <row r="78" spans="1:35" ht="41.4" x14ac:dyDescent="0.3">
      <c r="A78" s="46">
        <v>16</v>
      </c>
      <c r="B78" s="46" t="s">
        <v>1080</v>
      </c>
      <c r="C78" s="46" t="s">
        <v>671</v>
      </c>
      <c r="D78" s="214" t="str">
        <f t="shared" si="14"/>
        <v>Do Not Print</v>
      </c>
      <c r="E78" s="212" t="s">
        <v>672</v>
      </c>
      <c r="F78" s="214" t="s">
        <v>1062</v>
      </c>
      <c r="G78" s="214" t="s">
        <v>437</v>
      </c>
      <c r="H78" s="214" t="s">
        <v>1068</v>
      </c>
      <c r="I78" s="230"/>
      <c r="J78" s="840">
        <v>0</v>
      </c>
      <c r="K78" s="840">
        <v>0</v>
      </c>
      <c r="L78" s="841">
        <f t="shared" si="15"/>
        <v>0</v>
      </c>
      <c r="M78" s="840">
        <v>0</v>
      </c>
      <c r="N78" s="840">
        <v>0</v>
      </c>
      <c r="O78" s="161">
        <f t="shared" si="16"/>
        <v>0</v>
      </c>
      <c r="P78" s="840">
        <v>0</v>
      </c>
      <c r="Q78" s="840">
        <v>0</v>
      </c>
      <c r="R78" s="841">
        <f t="shared" si="17"/>
        <v>0</v>
      </c>
      <c r="S78" s="840">
        <v>0</v>
      </c>
      <c r="T78" s="840">
        <v>0</v>
      </c>
      <c r="U78" s="161">
        <f t="shared" si="18"/>
        <v>0</v>
      </c>
      <c r="V78" s="841"/>
      <c r="W78" s="841"/>
      <c r="X78" s="841"/>
      <c r="Y78" s="233"/>
      <c r="Z78" s="233"/>
      <c r="AA78" s="233"/>
      <c r="AB78" s="214" t="s">
        <v>1068</v>
      </c>
      <c r="AD78" s="232">
        <f t="shared" si="19"/>
        <v>0</v>
      </c>
      <c r="AE78" s="232">
        <f t="shared" si="20"/>
        <v>0</v>
      </c>
      <c r="AG78" s="232">
        <f t="shared" si="13"/>
        <v>0</v>
      </c>
      <c r="AH78" s="232">
        <f t="shared" si="7"/>
        <v>0</v>
      </c>
      <c r="AI78" s="232"/>
    </row>
    <row r="79" spans="1:35" ht="27.6" x14ac:dyDescent="0.3">
      <c r="A79" s="46">
        <v>16</v>
      </c>
      <c r="B79" s="46" t="s">
        <v>1080</v>
      </c>
      <c r="C79" s="46" t="s">
        <v>671</v>
      </c>
      <c r="D79" s="214" t="str">
        <f t="shared" si="14"/>
        <v>Do Not Print</v>
      </c>
      <c r="E79" s="212" t="s">
        <v>672</v>
      </c>
      <c r="F79" s="214" t="s">
        <v>1062</v>
      </c>
      <c r="G79" s="214" t="s">
        <v>977</v>
      </c>
      <c r="H79" s="214" t="s">
        <v>1069</v>
      </c>
      <c r="I79" s="230"/>
      <c r="J79" s="842">
        <v>0</v>
      </c>
      <c r="K79" s="840">
        <v>0</v>
      </c>
      <c r="L79" s="841">
        <f t="shared" si="15"/>
        <v>0</v>
      </c>
      <c r="M79" s="842">
        <v>0</v>
      </c>
      <c r="N79" s="840">
        <v>0</v>
      </c>
      <c r="O79" s="161">
        <f t="shared" si="16"/>
        <v>0</v>
      </c>
      <c r="P79" s="842">
        <v>0</v>
      </c>
      <c r="Q79" s="840">
        <v>0</v>
      </c>
      <c r="R79" s="841">
        <f t="shared" si="17"/>
        <v>0</v>
      </c>
      <c r="S79" s="842">
        <v>0</v>
      </c>
      <c r="T79" s="840">
        <v>0</v>
      </c>
      <c r="U79" s="161">
        <f t="shared" si="18"/>
        <v>0</v>
      </c>
      <c r="V79" s="841"/>
      <c r="W79" s="841"/>
      <c r="X79" s="841"/>
      <c r="Y79" s="233"/>
      <c r="Z79" s="233"/>
      <c r="AA79" s="233"/>
      <c r="AB79" s="214" t="s">
        <v>1069</v>
      </c>
      <c r="AD79" s="232">
        <f t="shared" si="19"/>
        <v>0</v>
      </c>
      <c r="AE79" s="232">
        <f t="shared" si="20"/>
        <v>0</v>
      </c>
      <c r="AG79" s="232">
        <f t="shared" si="13"/>
        <v>0</v>
      </c>
      <c r="AH79" s="232">
        <f t="shared" si="7"/>
        <v>0</v>
      </c>
      <c r="AI79" s="232"/>
    </row>
    <row r="80" spans="1:35" ht="27.6" x14ac:dyDescent="0.3">
      <c r="A80" s="46">
        <v>16</v>
      </c>
      <c r="B80" s="46" t="s">
        <v>1080</v>
      </c>
      <c r="C80" s="46" t="s">
        <v>671</v>
      </c>
      <c r="D80" s="214" t="str">
        <f t="shared" si="14"/>
        <v>Do Not Print</v>
      </c>
      <c r="E80" s="212" t="s">
        <v>672</v>
      </c>
      <c r="F80" s="214" t="s">
        <v>1062</v>
      </c>
      <c r="G80" s="214" t="s">
        <v>979</v>
      </c>
      <c r="H80" s="214" t="s">
        <v>1070</v>
      </c>
      <c r="I80" s="230"/>
      <c r="J80" s="842">
        <v>0</v>
      </c>
      <c r="K80" s="840">
        <v>0</v>
      </c>
      <c r="L80" s="841">
        <f t="shared" si="15"/>
        <v>0</v>
      </c>
      <c r="M80" s="842">
        <v>0</v>
      </c>
      <c r="N80" s="840">
        <v>0</v>
      </c>
      <c r="O80" s="161">
        <f t="shared" si="16"/>
        <v>0</v>
      </c>
      <c r="P80" s="842">
        <v>0</v>
      </c>
      <c r="Q80" s="840">
        <v>0</v>
      </c>
      <c r="R80" s="841">
        <f t="shared" si="17"/>
        <v>0</v>
      </c>
      <c r="S80" s="842">
        <v>0</v>
      </c>
      <c r="T80" s="840">
        <v>0</v>
      </c>
      <c r="U80" s="161">
        <f t="shared" si="18"/>
        <v>0</v>
      </c>
      <c r="V80" s="841"/>
      <c r="W80" s="841"/>
      <c r="X80" s="841"/>
      <c r="Y80" s="233"/>
      <c r="Z80" s="233"/>
      <c r="AA80" s="233"/>
      <c r="AB80" s="214" t="s">
        <v>1070</v>
      </c>
      <c r="AD80" s="232">
        <f t="shared" si="19"/>
        <v>0</v>
      </c>
      <c r="AE80" s="232">
        <f t="shared" si="20"/>
        <v>0</v>
      </c>
      <c r="AG80" s="232">
        <f t="shared" si="13"/>
        <v>0</v>
      </c>
      <c r="AH80" s="232">
        <f t="shared" si="7"/>
        <v>0</v>
      </c>
      <c r="AI80" s="232"/>
    </row>
    <row r="81" spans="1:35" ht="41.4" x14ac:dyDescent="0.3">
      <c r="A81" s="46">
        <v>16</v>
      </c>
      <c r="B81" s="46" t="s">
        <v>1080</v>
      </c>
      <c r="C81" s="46" t="s">
        <v>671</v>
      </c>
      <c r="D81" s="214" t="str">
        <f t="shared" si="14"/>
        <v>Do Not Print</v>
      </c>
      <c r="E81" s="212" t="s">
        <v>672</v>
      </c>
      <c r="F81" s="214" t="s">
        <v>1062</v>
      </c>
      <c r="G81" s="214" t="s">
        <v>980</v>
      </c>
      <c r="H81" s="214" t="s">
        <v>1071</v>
      </c>
      <c r="I81" s="230"/>
      <c r="J81" s="840">
        <v>0</v>
      </c>
      <c r="K81" s="840">
        <v>0</v>
      </c>
      <c r="L81" s="841">
        <f t="shared" si="15"/>
        <v>0</v>
      </c>
      <c r="M81" s="840">
        <v>0</v>
      </c>
      <c r="N81" s="840">
        <v>0</v>
      </c>
      <c r="O81" s="161">
        <f t="shared" si="16"/>
        <v>0</v>
      </c>
      <c r="P81" s="840">
        <v>0</v>
      </c>
      <c r="Q81" s="840">
        <v>0</v>
      </c>
      <c r="R81" s="841">
        <f t="shared" si="17"/>
        <v>0</v>
      </c>
      <c r="S81" s="840">
        <v>0</v>
      </c>
      <c r="T81" s="840">
        <v>0</v>
      </c>
      <c r="U81" s="161">
        <f t="shared" si="18"/>
        <v>0</v>
      </c>
      <c r="V81" s="841"/>
      <c r="W81" s="841"/>
      <c r="X81" s="841"/>
      <c r="Y81" s="233"/>
      <c r="Z81" s="233"/>
      <c r="AA81" s="233"/>
      <c r="AB81" s="214" t="s">
        <v>1071</v>
      </c>
      <c r="AD81" s="232">
        <f t="shared" si="19"/>
        <v>0</v>
      </c>
      <c r="AE81" s="232">
        <f t="shared" si="20"/>
        <v>0</v>
      </c>
      <c r="AG81" s="232">
        <f t="shared" si="13"/>
        <v>0</v>
      </c>
      <c r="AH81" s="232">
        <f t="shared" si="7"/>
        <v>0</v>
      </c>
      <c r="AI81" s="232"/>
    </row>
    <row r="82" spans="1:35" ht="27.6" x14ac:dyDescent="0.3">
      <c r="A82" s="46">
        <v>16</v>
      </c>
      <c r="B82" s="46" t="s">
        <v>1080</v>
      </c>
      <c r="C82" s="46" t="s">
        <v>671</v>
      </c>
      <c r="D82" s="214" t="str">
        <f t="shared" si="14"/>
        <v>Do Not Print</v>
      </c>
      <c r="E82" s="212" t="s">
        <v>672</v>
      </c>
      <c r="F82" s="214" t="s">
        <v>1062</v>
      </c>
      <c r="G82" s="214" t="s">
        <v>1093</v>
      </c>
      <c r="H82" s="214" t="s">
        <v>994</v>
      </c>
      <c r="I82" s="230"/>
      <c r="J82" s="840">
        <v>0</v>
      </c>
      <c r="K82" s="840">
        <v>0</v>
      </c>
      <c r="L82" s="841">
        <f t="shared" si="15"/>
        <v>0</v>
      </c>
      <c r="M82" s="840">
        <v>0</v>
      </c>
      <c r="N82" s="840">
        <v>0</v>
      </c>
      <c r="O82" s="161">
        <f t="shared" si="16"/>
        <v>0</v>
      </c>
      <c r="P82" s="840">
        <v>0</v>
      </c>
      <c r="Q82" s="840">
        <v>0</v>
      </c>
      <c r="R82" s="841">
        <f t="shared" si="17"/>
        <v>0</v>
      </c>
      <c r="S82" s="840">
        <v>0</v>
      </c>
      <c r="T82" s="840">
        <v>0</v>
      </c>
      <c r="U82" s="161">
        <f t="shared" si="18"/>
        <v>0</v>
      </c>
      <c r="V82" s="841"/>
      <c r="W82" s="841"/>
      <c r="X82" s="841"/>
      <c r="Y82" s="233"/>
      <c r="Z82" s="233"/>
      <c r="AA82" s="233"/>
      <c r="AB82" s="214" t="s">
        <v>994</v>
      </c>
      <c r="AD82" s="232">
        <f t="shared" si="19"/>
        <v>0</v>
      </c>
      <c r="AE82" s="232">
        <f t="shared" si="20"/>
        <v>0</v>
      </c>
      <c r="AG82" s="232">
        <f t="shared" si="13"/>
        <v>0</v>
      </c>
      <c r="AH82" s="232">
        <f t="shared" si="7"/>
        <v>0</v>
      </c>
      <c r="AI82" s="232"/>
    </row>
    <row r="83" spans="1:35" ht="27.6" x14ac:dyDescent="0.3">
      <c r="A83" s="46">
        <v>16</v>
      </c>
      <c r="B83" s="46" t="s">
        <v>1080</v>
      </c>
      <c r="C83" s="46" t="s">
        <v>671</v>
      </c>
      <c r="D83" s="214" t="str">
        <f t="shared" si="14"/>
        <v>Do Not Print</v>
      </c>
      <c r="E83" s="212" t="s">
        <v>672</v>
      </c>
      <c r="F83" s="214" t="s">
        <v>1062</v>
      </c>
      <c r="G83" s="214" t="s">
        <v>438</v>
      </c>
      <c r="H83" s="214" t="s">
        <v>1072</v>
      </c>
      <c r="I83" s="230"/>
      <c r="J83" s="839">
        <f>P83+P84+P85-P86-P87-P88-P89-P90-P91+P92+P93+SUM(Q83:Q93)+P73+Q73</f>
        <v>0</v>
      </c>
      <c r="K83" s="840">
        <v>0</v>
      </c>
      <c r="L83" s="841">
        <f t="shared" si="15"/>
        <v>0</v>
      </c>
      <c r="M83" s="839">
        <f>S83+S84+S85-S86-S87-S88-S89-S90-S91+S92+S93+SUM(T83:T93)</f>
        <v>0</v>
      </c>
      <c r="N83" s="840">
        <v>0</v>
      </c>
      <c r="O83" s="161">
        <f t="shared" si="16"/>
        <v>0</v>
      </c>
      <c r="P83" s="840">
        <v>0</v>
      </c>
      <c r="Q83" s="840">
        <v>0</v>
      </c>
      <c r="R83" s="841">
        <f t="shared" si="17"/>
        <v>0</v>
      </c>
      <c r="S83" s="840">
        <v>0</v>
      </c>
      <c r="T83" s="840">
        <v>0</v>
      </c>
      <c r="U83" s="161">
        <f t="shared" si="18"/>
        <v>0</v>
      </c>
      <c r="V83" s="841"/>
      <c r="W83" s="841"/>
      <c r="X83" s="841"/>
      <c r="Y83" s="233"/>
      <c r="Z83" s="233"/>
      <c r="AA83" s="233"/>
      <c r="AB83" s="214" t="s">
        <v>1072</v>
      </c>
      <c r="AD83" s="232">
        <f t="shared" si="19"/>
        <v>0</v>
      </c>
      <c r="AE83" s="232">
        <f t="shared" si="20"/>
        <v>0</v>
      </c>
      <c r="AG83" s="232">
        <f t="shared" si="13"/>
        <v>0</v>
      </c>
      <c r="AH83" s="232">
        <f t="shared" si="7"/>
        <v>0</v>
      </c>
      <c r="AI83" s="232"/>
    </row>
    <row r="84" spans="1:35" ht="41.4" x14ac:dyDescent="0.3">
      <c r="A84" s="46">
        <v>16</v>
      </c>
      <c r="B84" s="46" t="s">
        <v>1080</v>
      </c>
      <c r="C84" s="46" t="s">
        <v>671</v>
      </c>
      <c r="D84" s="214" t="str">
        <f t="shared" si="14"/>
        <v>Do Not Print</v>
      </c>
      <c r="E84" s="212" t="s">
        <v>672</v>
      </c>
      <c r="F84" s="214" t="s">
        <v>1062</v>
      </c>
      <c r="G84" s="213" t="s">
        <v>101</v>
      </c>
      <c r="H84" s="213" t="s">
        <v>101</v>
      </c>
      <c r="I84" s="230"/>
      <c r="J84" s="840">
        <v>0</v>
      </c>
      <c r="K84" s="840">
        <v>0</v>
      </c>
      <c r="L84" s="841">
        <f t="shared" si="15"/>
        <v>0</v>
      </c>
      <c r="M84" s="840">
        <v>0</v>
      </c>
      <c r="N84" s="840">
        <v>0</v>
      </c>
      <c r="O84" s="161">
        <f t="shared" si="16"/>
        <v>0</v>
      </c>
      <c r="P84" s="840">
        <v>0</v>
      </c>
      <c r="Q84" s="840">
        <v>0</v>
      </c>
      <c r="R84" s="841">
        <f t="shared" si="17"/>
        <v>0</v>
      </c>
      <c r="S84" s="840">
        <v>0</v>
      </c>
      <c r="T84" s="840">
        <v>0</v>
      </c>
      <c r="U84" s="161">
        <f t="shared" si="18"/>
        <v>0</v>
      </c>
      <c r="V84" s="841"/>
      <c r="W84" s="841"/>
      <c r="X84" s="841"/>
      <c r="Y84" s="233"/>
      <c r="Z84" s="233"/>
      <c r="AA84" s="233"/>
      <c r="AB84" s="213" t="s">
        <v>101</v>
      </c>
      <c r="AD84" s="232">
        <f t="shared" si="19"/>
        <v>0</v>
      </c>
      <c r="AE84" s="232">
        <f t="shared" si="20"/>
        <v>0</v>
      </c>
      <c r="AG84" s="232">
        <f t="shared" si="13"/>
        <v>0</v>
      </c>
      <c r="AH84" s="232">
        <f t="shared" si="7"/>
        <v>0</v>
      </c>
      <c r="AI84" s="232"/>
    </row>
    <row r="85" spans="1:35" ht="27.6" x14ac:dyDescent="0.3">
      <c r="A85" s="46">
        <v>16</v>
      </c>
      <c r="B85" s="46" t="s">
        <v>1080</v>
      </c>
      <c r="C85" s="46" t="s">
        <v>671</v>
      </c>
      <c r="D85" s="214" t="str">
        <f t="shared" si="14"/>
        <v>Do Not Print</v>
      </c>
      <c r="E85" s="212" t="s">
        <v>672</v>
      </c>
      <c r="F85" s="214" t="s">
        <v>1062</v>
      </c>
      <c r="G85" s="214" t="s">
        <v>109</v>
      </c>
      <c r="H85" s="214" t="s">
        <v>1073</v>
      </c>
      <c r="I85" s="230"/>
      <c r="J85" s="840">
        <v>0</v>
      </c>
      <c r="K85" s="840">
        <v>0</v>
      </c>
      <c r="L85" s="841">
        <f t="shared" si="15"/>
        <v>0</v>
      </c>
      <c r="M85" s="840">
        <v>0</v>
      </c>
      <c r="N85" s="840">
        <v>0</v>
      </c>
      <c r="O85" s="161">
        <f t="shared" si="16"/>
        <v>0</v>
      </c>
      <c r="P85" s="840">
        <v>0</v>
      </c>
      <c r="Q85" s="840">
        <v>0</v>
      </c>
      <c r="R85" s="841">
        <f t="shared" si="17"/>
        <v>0</v>
      </c>
      <c r="S85" s="840">
        <v>0</v>
      </c>
      <c r="T85" s="840">
        <v>0</v>
      </c>
      <c r="U85" s="161">
        <f t="shared" si="18"/>
        <v>0</v>
      </c>
      <c r="V85" s="841"/>
      <c r="W85" s="841"/>
      <c r="X85" s="841"/>
      <c r="Y85" s="233"/>
      <c r="Z85" s="233"/>
      <c r="AA85" s="233"/>
      <c r="AB85" s="214" t="s">
        <v>1073</v>
      </c>
      <c r="AD85" s="232">
        <f t="shared" si="19"/>
        <v>0</v>
      </c>
      <c r="AE85" s="232">
        <f t="shared" si="20"/>
        <v>0</v>
      </c>
      <c r="AG85" s="232">
        <f t="shared" si="13"/>
        <v>0</v>
      </c>
      <c r="AH85" s="232">
        <f t="shared" si="7"/>
        <v>0</v>
      </c>
      <c r="AI85" s="232"/>
    </row>
    <row r="86" spans="1:35" ht="41.4" x14ac:dyDescent="0.3">
      <c r="A86" s="46">
        <v>16</v>
      </c>
      <c r="B86" s="46" t="s">
        <v>1080</v>
      </c>
      <c r="C86" s="46" t="s">
        <v>671</v>
      </c>
      <c r="D86" s="214" t="str">
        <f t="shared" si="14"/>
        <v>Do Not Print</v>
      </c>
      <c r="E86" s="212" t="s">
        <v>672</v>
      </c>
      <c r="F86" s="214" t="s">
        <v>1062</v>
      </c>
      <c r="G86" s="214" t="s">
        <v>1092</v>
      </c>
      <c r="H86" s="214" t="s">
        <v>1074</v>
      </c>
      <c r="I86" s="230"/>
      <c r="J86" s="840">
        <v>0</v>
      </c>
      <c r="K86" s="840">
        <v>0</v>
      </c>
      <c r="L86" s="841">
        <f t="shared" si="15"/>
        <v>0</v>
      </c>
      <c r="M86" s="840">
        <v>0</v>
      </c>
      <c r="N86" s="840">
        <v>0</v>
      </c>
      <c r="O86" s="161">
        <f t="shared" si="16"/>
        <v>0</v>
      </c>
      <c r="P86" s="840">
        <v>0</v>
      </c>
      <c r="Q86" s="840">
        <v>0</v>
      </c>
      <c r="R86" s="841">
        <f t="shared" si="17"/>
        <v>0</v>
      </c>
      <c r="S86" s="840">
        <v>0</v>
      </c>
      <c r="T86" s="840">
        <v>0</v>
      </c>
      <c r="U86" s="161">
        <f t="shared" si="18"/>
        <v>0</v>
      </c>
      <c r="V86" s="841"/>
      <c r="W86" s="841"/>
      <c r="X86" s="841"/>
      <c r="Y86" s="233"/>
      <c r="Z86" s="233"/>
      <c r="AA86" s="233"/>
      <c r="AB86" s="214" t="s">
        <v>1074</v>
      </c>
      <c r="AD86" s="232">
        <f t="shared" si="19"/>
        <v>0</v>
      </c>
      <c r="AE86" s="232">
        <f t="shared" si="20"/>
        <v>0</v>
      </c>
      <c r="AG86" s="232">
        <f t="shared" si="13"/>
        <v>0</v>
      </c>
      <c r="AH86" s="232">
        <f t="shared" si="7"/>
        <v>0</v>
      </c>
      <c r="AI86" s="232"/>
    </row>
    <row r="87" spans="1:35" ht="55.2" x14ac:dyDescent="0.3">
      <c r="A87" s="46">
        <v>16</v>
      </c>
      <c r="B87" s="46" t="s">
        <v>1080</v>
      </c>
      <c r="C87" s="46" t="s">
        <v>671</v>
      </c>
      <c r="D87" s="214" t="str">
        <f t="shared" si="14"/>
        <v>Do Not Print</v>
      </c>
      <c r="E87" s="212" t="s">
        <v>672</v>
      </c>
      <c r="F87" s="214" t="s">
        <v>1062</v>
      </c>
      <c r="G87" s="214" t="s">
        <v>111</v>
      </c>
      <c r="H87" s="214" t="s">
        <v>111</v>
      </c>
      <c r="I87" s="230"/>
      <c r="J87" s="840">
        <v>0</v>
      </c>
      <c r="K87" s="840">
        <v>0</v>
      </c>
      <c r="L87" s="841">
        <f t="shared" si="15"/>
        <v>0</v>
      </c>
      <c r="M87" s="840">
        <v>0</v>
      </c>
      <c r="N87" s="840">
        <v>0</v>
      </c>
      <c r="O87" s="161">
        <f t="shared" si="16"/>
        <v>0</v>
      </c>
      <c r="P87" s="840">
        <v>0</v>
      </c>
      <c r="Q87" s="840">
        <v>0</v>
      </c>
      <c r="R87" s="841">
        <f t="shared" si="17"/>
        <v>0</v>
      </c>
      <c r="S87" s="840">
        <v>0</v>
      </c>
      <c r="T87" s="840">
        <v>0</v>
      </c>
      <c r="U87" s="161">
        <f t="shared" si="18"/>
        <v>0</v>
      </c>
      <c r="V87" s="841"/>
      <c r="W87" s="841"/>
      <c r="X87" s="841"/>
      <c r="Y87" s="233"/>
      <c r="Z87" s="233"/>
      <c r="AA87" s="233"/>
      <c r="AB87" s="214" t="s">
        <v>111</v>
      </c>
      <c r="AD87" s="232">
        <f t="shared" si="19"/>
        <v>0</v>
      </c>
      <c r="AE87" s="232">
        <f t="shared" si="20"/>
        <v>0</v>
      </c>
      <c r="AG87" s="232">
        <f t="shared" si="13"/>
        <v>0</v>
      </c>
      <c r="AH87" s="232">
        <f t="shared" si="7"/>
        <v>0</v>
      </c>
      <c r="AI87" s="232"/>
    </row>
    <row r="88" spans="1:35" ht="41.4" x14ac:dyDescent="0.3">
      <c r="A88" s="46">
        <v>16</v>
      </c>
      <c r="B88" s="46" t="s">
        <v>1080</v>
      </c>
      <c r="C88" s="46" t="s">
        <v>671</v>
      </c>
      <c r="D88" s="214" t="str">
        <f t="shared" si="14"/>
        <v>Do Not Print</v>
      </c>
      <c r="E88" s="212" t="s">
        <v>672</v>
      </c>
      <c r="F88" s="214" t="s">
        <v>1062</v>
      </c>
      <c r="G88" s="214" t="s">
        <v>982</v>
      </c>
      <c r="H88" s="214" t="s">
        <v>1075</v>
      </c>
      <c r="I88" s="230"/>
      <c r="J88" s="840">
        <v>0</v>
      </c>
      <c r="K88" s="840">
        <v>0</v>
      </c>
      <c r="L88" s="841">
        <f t="shared" si="15"/>
        <v>0</v>
      </c>
      <c r="M88" s="840">
        <v>0</v>
      </c>
      <c r="N88" s="840">
        <v>0</v>
      </c>
      <c r="O88" s="161">
        <f t="shared" si="16"/>
        <v>0</v>
      </c>
      <c r="P88" s="840">
        <v>0</v>
      </c>
      <c r="Q88" s="840">
        <v>0</v>
      </c>
      <c r="R88" s="841">
        <f t="shared" si="17"/>
        <v>0</v>
      </c>
      <c r="S88" s="840">
        <v>0</v>
      </c>
      <c r="T88" s="840">
        <v>0</v>
      </c>
      <c r="U88" s="161">
        <f t="shared" si="18"/>
        <v>0</v>
      </c>
      <c r="V88" s="841"/>
      <c r="W88" s="841"/>
      <c r="X88" s="841"/>
      <c r="Y88" s="233"/>
      <c r="Z88" s="233"/>
      <c r="AA88" s="233"/>
      <c r="AB88" s="214" t="s">
        <v>1075</v>
      </c>
      <c r="AD88" s="232">
        <f t="shared" si="19"/>
        <v>0</v>
      </c>
      <c r="AE88" s="232">
        <f t="shared" si="20"/>
        <v>0</v>
      </c>
      <c r="AG88" s="232">
        <f t="shared" si="13"/>
        <v>0</v>
      </c>
      <c r="AH88" s="232">
        <f t="shared" si="7"/>
        <v>0</v>
      </c>
      <c r="AI88" s="232"/>
    </row>
    <row r="89" spans="1:35" ht="27.6" x14ac:dyDescent="0.3">
      <c r="A89" s="46">
        <v>16</v>
      </c>
      <c r="B89" s="46" t="s">
        <v>1080</v>
      </c>
      <c r="C89" s="46" t="s">
        <v>671</v>
      </c>
      <c r="D89" s="214" t="str">
        <f t="shared" si="14"/>
        <v>Do Not Print</v>
      </c>
      <c r="E89" s="212" t="s">
        <v>672</v>
      </c>
      <c r="F89" s="214" t="s">
        <v>1062</v>
      </c>
      <c r="G89" s="214" t="s">
        <v>981</v>
      </c>
      <c r="H89" s="214" t="s">
        <v>1076</v>
      </c>
      <c r="I89" s="230"/>
      <c r="J89" s="840">
        <v>0</v>
      </c>
      <c r="K89" s="840">
        <v>0</v>
      </c>
      <c r="L89" s="841">
        <f t="shared" si="15"/>
        <v>0</v>
      </c>
      <c r="M89" s="840">
        <v>0</v>
      </c>
      <c r="N89" s="840">
        <v>0</v>
      </c>
      <c r="O89" s="161">
        <f t="shared" si="16"/>
        <v>0</v>
      </c>
      <c r="P89" s="840">
        <v>0</v>
      </c>
      <c r="Q89" s="840">
        <v>0</v>
      </c>
      <c r="R89" s="841">
        <f t="shared" si="17"/>
        <v>0</v>
      </c>
      <c r="S89" s="840">
        <v>0</v>
      </c>
      <c r="T89" s="840">
        <v>0</v>
      </c>
      <c r="U89" s="161">
        <f t="shared" si="18"/>
        <v>0</v>
      </c>
      <c r="V89" s="841"/>
      <c r="W89" s="841"/>
      <c r="X89" s="841"/>
      <c r="Y89" s="233"/>
      <c r="Z89" s="233"/>
      <c r="AA89" s="233"/>
      <c r="AB89" s="214" t="s">
        <v>1076</v>
      </c>
      <c r="AD89" s="232">
        <f t="shared" si="19"/>
        <v>0</v>
      </c>
      <c r="AE89" s="232">
        <f t="shared" si="20"/>
        <v>0</v>
      </c>
      <c r="AG89" s="232">
        <f t="shared" si="13"/>
        <v>0</v>
      </c>
      <c r="AH89" s="232">
        <f t="shared" si="7"/>
        <v>0</v>
      </c>
      <c r="AI89" s="232"/>
    </row>
    <row r="90" spans="1:35" ht="27.6" x14ac:dyDescent="0.3">
      <c r="A90" s="46">
        <v>16</v>
      </c>
      <c r="B90" s="46" t="s">
        <v>1080</v>
      </c>
      <c r="C90" s="46" t="s">
        <v>671</v>
      </c>
      <c r="D90" s="214" t="str">
        <f t="shared" si="14"/>
        <v>Do Not Print</v>
      </c>
      <c r="E90" s="212" t="s">
        <v>672</v>
      </c>
      <c r="F90" s="214" t="s">
        <v>1062</v>
      </c>
      <c r="G90" s="214" t="s">
        <v>977</v>
      </c>
      <c r="H90" s="214" t="s">
        <v>1077</v>
      </c>
      <c r="I90" s="230"/>
      <c r="J90" s="840">
        <v>0</v>
      </c>
      <c r="K90" s="840">
        <v>0</v>
      </c>
      <c r="L90" s="841">
        <f t="shared" si="15"/>
        <v>0</v>
      </c>
      <c r="M90" s="840">
        <v>0</v>
      </c>
      <c r="N90" s="840">
        <v>0</v>
      </c>
      <c r="O90" s="161">
        <f t="shared" si="16"/>
        <v>0</v>
      </c>
      <c r="P90" s="840">
        <v>0</v>
      </c>
      <c r="Q90" s="840">
        <v>0</v>
      </c>
      <c r="R90" s="841">
        <f t="shared" si="17"/>
        <v>0</v>
      </c>
      <c r="S90" s="840">
        <v>0</v>
      </c>
      <c r="T90" s="840">
        <v>0</v>
      </c>
      <c r="U90" s="161">
        <f t="shared" si="18"/>
        <v>0</v>
      </c>
      <c r="V90" s="841"/>
      <c r="W90" s="841"/>
      <c r="X90" s="841"/>
      <c r="Y90" s="233"/>
      <c r="Z90" s="233"/>
      <c r="AA90" s="233"/>
      <c r="AB90" s="214" t="s">
        <v>1077</v>
      </c>
      <c r="AD90" s="232">
        <f t="shared" si="19"/>
        <v>0</v>
      </c>
      <c r="AE90" s="232">
        <f t="shared" si="20"/>
        <v>0</v>
      </c>
      <c r="AG90" s="232">
        <f t="shared" si="13"/>
        <v>0</v>
      </c>
      <c r="AH90" s="232">
        <f t="shared" si="7"/>
        <v>0</v>
      </c>
      <c r="AI90" s="232"/>
    </row>
    <row r="91" spans="1:35" ht="41.4" x14ac:dyDescent="0.3">
      <c r="A91" s="46">
        <v>16</v>
      </c>
      <c r="B91" s="46" t="s">
        <v>1080</v>
      </c>
      <c r="C91" s="46" t="s">
        <v>671</v>
      </c>
      <c r="D91" s="214" t="str">
        <f t="shared" si="14"/>
        <v>Do Not Print</v>
      </c>
      <c r="E91" s="212" t="s">
        <v>672</v>
      </c>
      <c r="F91" s="214" t="s">
        <v>1062</v>
      </c>
      <c r="G91" s="214" t="s">
        <v>979</v>
      </c>
      <c r="H91" s="214" t="s">
        <v>1078</v>
      </c>
      <c r="I91" s="230"/>
      <c r="J91" s="840">
        <v>0</v>
      </c>
      <c r="K91" s="840">
        <v>0</v>
      </c>
      <c r="L91" s="841">
        <f t="shared" si="15"/>
        <v>0</v>
      </c>
      <c r="M91" s="840">
        <v>0</v>
      </c>
      <c r="N91" s="840">
        <v>0</v>
      </c>
      <c r="O91" s="161">
        <f t="shared" si="16"/>
        <v>0</v>
      </c>
      <c r="P91" s="840">
        <v>0</v>
      </c>
      <c r="Q91" s="840">
        <v>0</v>
      </c>
      <c r="R91" s="841">
        <f t="shared" si="17"/>
        <v>0</v>
      </c>
      <c r="S91" s="840">
        <v>0</v>
      </c>
      <c r="T91" s="840">
        <v>0</v>
      </c>
      <c r="U91" s="161">
        <f t="shared" si="18"/>
        <v>0</v>
      </c>
      <c r="V91" s="841"/>
      <c r="W91" s="841"/>
      <c r="X91" s="841"/>
      <c r="Y91" s="233"/>
      <c r="Z91" s="233"/>
      <c r="AA91" s="233"/>
      <c r="AB91" s="214" t="s">
        <v>1078</v>
      </c>
      <c r="AD91" s="232">
        <f t="shared" si="19"/>
        <v>0</v>
      </c>
      <c r="AE91" s="232">
        <f t="shared" si="20"/>
        <v>0</v>
      </c>
      <c r="AG91" s="232">
        <f t="shared" si="13"/>
        <v>0</v>
      </c>
      <c r="AH91" s="232">
        <f t="shared" si="7"/>
        <v>0</v>
      </c>
      <c r="AI91" s="232"/>
    </row>
    <row r="92" spans="1:35" ht="41.4" x14ac:dyDescent="0.3">
      <c r="A92" s="46">
        <v>16</v>
      </c>
      <c r="B92" s="46" t="s">
        <v>1080</v>
      </c>
      <c r="C92" s="46" t="s">
        <v>671</v>
      </c>
      <c r="D92" s="214" t="str">
        <f t="shared" si="14"/>
        <v>Do Not Print</v>
      </c>
      <c r="E92" s="212" t="s">
        <v>672</v>
      </c>
      <c r="F92" s="214" t="s">
        <v>1062</v>
      </c>
      <c r="G92" s="214" t="s">
        <v>980</v>
      </c>
      <c r="H92" s="214" t="s">
        <v>1079</v>
      </c>
      <c r="I92" s="230"/>
      <c r="J92" s="840">
        <v>0</v>
      </c>
      <c r="K92" s="840">
        <v>0</v>
      </c>
      <c r="L92" s="841">
        <f t="shared" si="15"/>
        <v>0</v>
      </c>
      <c r="M92" s="840">
        <v>0</v>
      </c>
      <c r="N92" s="840">
        <v>0</v>
      </c>
      <c r="O92" s="161">
        <f t="shared" si="16"/>
        <v>0</v>
      </c>
      <c r="P92" s="840">
        <v>0</v>
      </c>
      <c r="Q92" s="840">
        <v>0</v>
      </c>
      <c r="R92" s="841">
        <f t="shared" si="17"/>
        <v>0</v>
      </c>
      <c r="S92" s="840">
        <v>0</v>
      </c>
      <c r="T92" s="840">
        <v>0</v>
      </c>
      <c r="U92" s="161">
        <f t="shared" si="18"/>
        <v>0</v>
      </c>
      <c r="V92" s="841"/>
      <c r="W92" s="841"/>
      <c r="X92" s="841"/>
      <c r="Y92" s="233"/>
      <c r="Z92" s="233"/>
      <c r="AA92" s="233"/>
      <c r="AB92" s="214" t="s">
        <v>1079</v>
      </c>
      <c r="AD92" s="232">
        <f t="shared" si="19"/>
        <v>0</v>
      </c>
      <c r="AE92" s="232">
        <f t="shared" si="20"/>
        <v>0</v>
      </c>
      <c r="AG92" s="232">
        <f t="shared" si="13"/>
        <v>0</v>
      </c>
      <c r="AH92" s="232">
        <f t="shared" si="7"/>
        <v>0</v>
      </c>
      <c r="AI92" s="232"/>
    </row>
    <row r="93" spans="1:35" ht="41.4" x14ac:dyDescent="0.3">
      <c r="A93" s="46">
        <v>16</v>
      </c>
      <c r="B93" s="46" t="s">
        <v>1080</v>
      </c>
      <c r="C93" s="46" t="s">
        <v>671</v>
      </c>
      <c r="D93" s="214" t="str">
        <f t="shared" si="14"/>
        <v>Do Not Print</v>
      </c>
      <c r="E93" s="212" t="s">
        <v>672</v>
      </c>
      <c r="F93" s="214" t="s">
        <v>1062</v>
      </c>
      <c r="G93" s="214" t="s">
        <v>1093</v>
      </c>
      <c r="H93" s="214" t="s">
        <v>997</v>
      </c>
      <c r="I93" s="230"/>
      <c r="J93" s="840">
        <v>0</v>
      </c>
      <c r="K93" s="840">
        <v>0</v>
      </c>
      <c r="L93" s="841">
        <f t="shared" si="15"/>
        <v>0</v>
      </c>
      <c r="M93" s="840">
        <v>0</v>
      </c>
      <c r="N93" s="840">
        <v>0</v>
      </c>
      <c r="O93" s="161">
        <f t="shared" si="16"/>
        <v>0</v>
      </c>
      <c r="P93" s="840">
        <v>0</v>
      </c>
      <c r="Q93" s="840">
        <v>0</v>
      </c>
      <c r="R93" s="841">
        <f t="shared" si="17"/>
        <v>0</v>
      </c>
      <c r="S93" s="840">
        <v>0</v>
      </c>
      <c r="T93" s="840">
        <v>0</v>
      </c>
      <c r="U93" s="161">
        <f t="shared" si="18"/>
        <v>0</v>
      </c>
      <c r="V93" s="841"/>
      <c r="W93" s="841"/>
      <c r="X93" s="841"/>
      <c r="Y93" s="233"/>
      <c r="Z93" s="233"/>
      <c r="AA93" s="233"/>
      <c r="AB93" s="214" t="s">
        <v>997</v>
      </c>
      <c r="AD93" s="232">
        <f t="shared" si="19"/>
        <v>0</v>
      </c>
      <c r="AE93" s="232">
        <f t="shared" si="20"/>
        <v>0</v>
      </c>
      <c r="AG93" s="232">
        <f t="shared" si="13"/>
        <v>0</v>
      </c>
      <c r="AH93" s="232">
        <f t="shared" si="7"/>
        <v>0</v>
      </c>
      <c r="AI93" s="232"/>
    </row>
    <row r="94" spans="1:35" ht="27.6" x14ac:dyDescent="0.3">
      <c r="A94" s="46">
        <v>17</v>
      </c>
      <c r="B94" s="46" t="s">
        <v>893</v>
      </c>
      <c r="C94" s="46" t="s">
        <v>671</v>
      </c>
      <c r="D94" s="214" t="str">
        <f>IF(AND(O94=0,U94=0,V71=0),"Do Not Print","Print")</f>
        <v>Do Not Print</v>
      </c>
      <c r="E94" s="212" t="s">
        <v>672</v>
      </c>
      <c r="F94" s="214" t="s">
        <v>97</v>
      </c>
      <c r="G94" s="214" t="s">
        <v>436</v>
      </c>
      <c r="H94" s="214" t="s">
        <v>702</v>
      </c>
      <c r="I94" s="230"/>
      <c r="J94" s="839">
        <f>SUM(P94:P104)+SUM(Q94:Q104)</f>
        <v>0</v>
      </c>
      <c r="K94" s="840">
        <v>0</v>
      </c>
      <c r="L94" s="841">
        <f t="shared" si="15"/>
        <v>0</v>
      </c>
      <c r="M94" s="839">
        <f>SUM(S94:S104)+SUM(T94:T104)</f>
        <v>0</v>
      </c>
      <c r="N94" s="840">
        <v>0</v>
      </c>
      <c r="O94" s="161">
        <f t="shared" si="16"/>
        <v>0</v>
      </c>
      <c r="P94" s="840">
        <v>0</v>
      </c>
      <c r="Q94" s="840">
        <v>0</v>
      </c>
      <c r="R94" s="841">
        <f t="shared" si="17"/>
        <v>0</v>
      </c>
      <c r="S94" s="840">
        <v>0</v>
      </c>
      <c r="T94" s="840">
        <v>0</v>
      </c>
      <c r="U94" s="161">
        <f t="shared" si="18"/>
        <v>0</v>
      </c>
      <c r="V94" s="841"/>
      <c r="W94" s="841"/>
      <c r="X94" s="841"/>
      <c r="Y94" s="233"/>
      <c r="Z94" s="233"/>
      <c r="AA94" s="233"/>
      <c r="AB94" s="214" t="s">
        <v>702</v>
      </c>
      <c r="AD94" s="232">
        <f t="shared" si="19"/>
        <v>0</v>
      </c>
      <c r="AE94" s="232">
        <f t="shared" si="20"/>
        <v>0</v>
      </c>
      <c r="AG94" s="232">
        <f t="shared" si="13"/>
        <v>0</v>
      </c>
      <c r="AH94" s="232">
        <f t="shared" si="7"/>
        <v>0</v>
      </c>
      <c r="AI94" s="232"/>
    </row>
    <row r="95" spans="1:35" ht="41.4" x14ac:dyDescent="0.3">
      <c r="A95" s="46">
        <v>17</v>
      </c>
      <c r="B95" s="46" t="s">
        <v>893</v>
      </c>
      <c r="C95" s="46" t="s">
        <v>671</v>
      </c>
      <c r="D95" s="214" t="str">
        <f>IF(AND(O95=0,U95=0,V94=0),"Do Not Print","Print")</f>
        <v>Do Not Print</v>
      </c>
      <c r="E95" s="212" t="s">
        <v>672</v>
      </c>
      <c r="F95" s="214" t="s">
        <v>97</v>
      </c>
      <c r="G95" s="213" t="s">
        <v>101</v>
      </c>
      <c r="H95" s="213" t="s">
        <v>101</v>
      </c>
      <c r="I95" s="230"/>
      <c r="J95" s="840">
        <v>0</v>
      </c>
      <c r="K95" s="840">
        <v>0</v>
      </c>
      <c r="L95" s="841">
        <f t="shared" si="15"/>
        <v>0</v>
      </c>
      <c r="M95" s="840">
        <v>0</v>
      </c>
      <c r="N95" s="840">
        <v>0</v>
      </c>
      <c r="O95" s="161">
        <f t="shared" si="16"/>
        <v>0</v>
      </c>
      <c r="P95" s="840">
        <v>0</v>
      </c>
      <c r="Q95" s="840">
        <v>0</v>
      </c>
      <c r="R95" s="841">
        <f t="shared" si="17"/>
        <v>0</v>
      </c>
      <c r="S95" s="840">
        <v>0</v>
      </c>
      <c r="T95" s="840">
        <v>0</v>
      </c>
      <c r="U95" s="161">
        <f t="shared" si="18"/>
        <v>0</v>
      </c>
      <c r="V95" s="841"/>
      <c r="W95" s="841"/>
      <c r="X95" s="841"/>
      <c r="Y95" s="233"/>
      <c r="Z95" s="233"/>
      <c r="AA95" s="233"/>
      <c r="AB95" s="213" t="s">
        <v>101</v>
      </c>
      <c r="AD95" s="232">
        <f t="shared" si="19"/>
        <v>0</v>
      </c>
      <c r="AE95" s="232">
        <f t="shared" si="20"/>
        <v>0</v>
      </c>
      <c r="AG95" s="232">
        <f t="shared" si="13"/>
        <v>0</v>
      </c>
      <c r="AH95" s="232">
        <f t="shared" si="7"/>
        <v>0</v>
      </c>
      <c r="AI95" s="232"/>
    </row>
    <row r="96" spans="1:35" ht="27.6" x14ac:dyDescent="0.3">
      <c r="A96" s="46">
        <v>17</v>
      </c>
      <c r="B96" s="46" t="s">
        <v>893</v>
      </c>
      <c r="C96" s="46" t="s">
        <v>671</v>
      </c>
      <c r="D96" s="214" t="str">
        <f t="shared" ref="D96:D127" si="21">IF(AND(O96=0,U96=0,V96=0),"Do Not Print","Print")</f>
        <v>Do Not Print</v>
      </c>
      <c r="E96" s="212" t="s">
        <v>672</v>
      </c>
      <c r="F96" s="214" t="s">
        <v>97</v>
      </c>
      <c r="G96" s="214" t="s">
        <v>973</v>
      </c>
      <c r="H96" s="214" t="s">
        <v>1005</v>
      </c>
      <c r="I96" s="230"/>
      <c r="J96" s="840">
        <v>0</v>
      </c>
      <c r="K96" s="840">
        <v>0</v>
      </c>
      <c r="L96" s="841">
        <f t="shared" si="15"/>
        <v>0</v>
      </c>
      <c r="M96" s="840">
        <v>0</v>
      </c>
      <c r="N96" s="840">
        <v>0</v>
      </c>
      <c r="O96" s="161">
        <f t="shared" si="16"/>
        <v>0</v>
      </c>
      <c r="P96" s="840">
        <v>0</v>
      </c>
      <c r="Q96" s="840">
        <v>0</v>
      </c>
      <c r="R96" s="841">
        <f t="shared" si="17"/>
        <v>0</v>
      </c>
      <c r="S96" s="840">
        <v>0</v>
      </c>
      <c r="T96" s="840">
        <v>0</v>
      </c>
      <c r="U96" s="161">
        <f t="shared" si="18"/>
        <v>0</v>
      </c>
      <c r="V96" s="841"/>
      <c r="W96" s="841"/>
      <c r="X96" s="841"/>
      <c r="Y96" s="233"/>
      <c r="Z96" s="233"/>
      <c r="AA96" s="233"/>
      <c r="AB96" s="214" t="s">
        <v>1005</v>
      </c>
      <c r="AD96" s="232">
        <f t="shared" si="19"/>
        <v>0</v>
      </c>
      <c r="AE96" s="232">
        <f t="shared" si="20"/>
        <v>0</v>
      </c>
      <c r="AG96" s="232">
        <f t="shared" si="13"/>
        <v>0</v>
      </c>
      <c r="AH96" s="232">
        <f t="shared" si="7"/>
        <v>0</v>
      </c>
      <c r="AI96" s="232"/>
    </row>
    <row r="97" spans="1:35" ht="27.6" x14ac:dyDescent="0.3">
      <c r="A97" s="46">
        <v>17</v>
      </c>
      <c r="B97" s="46" t="s">
        <v>893</v>
      </c>
      <c r="C97" s="46" t="s">
        <v>671</v>
      </c>
      <c r="D97" s="214" t="str">
        <f t="shared" si="21"/>
        <v>Do Not Print</v>
      </c>
      <c r="E97" s="212" t="s">
        <v>672</v>
      </c>
      <c r="F97" s="214" t="s">
        <v>97</v>
      </c>
      <c r="G97" s="214" t="s">
        <v>103</v>
      </c>
      <c r="H97" s="214" t="s">
        <v>1007</v>
      </c>
      <c r="I97" s="230"/>
      <c r="J97" s="840">
        <v>0</v>
      </c>
      <c r="K97" s="840">
        <v>0</v>
      </c>
      <c r="L97" s="841">
        <f t="shared" si="15"/>
        <v>0</v>
      </c>
      <c r="M97" s="840">
        <v>0</v>
      </c>
      <c r="N97" s="840">
        <v>0</v>
      </c>
      <c r="O97" s="161">
        <f t="shared" si="16"/>
        <v>0</v>
      </c>
      <c r="P97" s="840">
        <v>0</v>
      </c>
      <c r="Q97" s="840">
        <v>0</v>
      </c>
      <c r="R97" s="841">
        <f t="shared" si="17"/>
        <v>0</v>
      </c>
      <c r="S97" s="840">
        <v>0</v>
      </c>
      <c r="T97" s="840">
        <v>0</v>
      </c>
      <c r="U97" s="161">
        <f t="shared" si="18"/>
        <v>0</v>
      </c>
      <c r="V97" s="841"/>
      <c r="W97" s="841"/>
      <c r="X97" s="841"/>
      <c r="Y97" s="233"/>
      <c r="Z97" s="233"/>
      <c r="AA97" s="233"/>
      <c r="AB97" s="214" t="s">
        <v>1007</v>
      </c>
      <c r="AD97" s="232">
        <f t="shared" si="19"/>
        <v>0</v>
      </c>
      <c r="AE97" s="232">
        <f t="shared" si="20"/>
        <v>0</v>
      </c>
      <c r="AG97" s="232">
        <f t="shared" si="13"/>
        <v>0</v>
      </c>
      <c r="AH97" s="232">
        <f t="shared" si="7"/>
        <v>0</v>
      </c>
      <c r="AI97" s="232"/>
    </row>
    <row r="98" spans="1:35" ht="27.6" x14ac:dyDescent="0.3">
      <c r="A98" s="46">
        <v>17</v>
      </c>
      <c r="B98" s="46" t="s">
        <v>893</v>
      </c>
      <c r="C98" s="46" t="s">
        <v>671</v>
      </c>
      <c r="D98" s="214" t="str">
        <f t="shared" si="21"/>
        <v>Do Not Print</v>
      </c>
      <c r="E98" s="212" t="s">
        <v>672</v>
      </c>
      <c r="F98" s="214" t="s">
        <v>97</v>
      </c>
      <c r="G98" s="214" t="s">
        <v>977</v>
      </c>
      <c r="H98" s="214" t="s">
        <v>1006</v>
      </c>
      <c r="I98" s="230"/>
      <c r="J98" s="842">
        <v>0</v>
      </c>
      <c r="K98" s="840">
        <v>0</v>
      </c>
      <c r="L98" s="841">
        <f t="shared" si="15"/>
        <v>0</v>
      </c>
      <c r="M98" s="842">
        <v>0</v>
      </c>
      <c r="N98" s="840">
        <v>0</v>
      </c>
      <c r="O98" s="161">
        <f t="shared" si="16"/>
        <v>0</v>
      </c>
      <c r="P98" s="842">
        <v>0</v>
      </c>
      <c r="Q98" s="840">
        <v>0</v>
      </c>
      <c r="R98" s="841">
        <f t="shared" si="17"/>
        <v>0</v>
      </c>
      <c r="S98" s="842">
        <v>0</v>
      </c>
      <c r="T98" s="840">
        <v>0</v>
      </c>
      <c r="U98" s="161">
        <f t="shared" si="18"/>
        <v>0</v>
      </c>
      <c r="V98" s="841"/>
      <c r="W98" s="841"/>
      <c r="X98" s="841"/>
      <c r="Y98" s="233"/>
      <c r="Z98" s="233"/>
      <c r="AA98" s="233"/>
      <c r="AB98" s="214" t="s">
        <v>1006</v>
      </c>
      <c r="AD98" s="232">
        <f t="shared" si="19"/>
        <v>0</v>
      </c>
      <c r="AE98" s="232">
        <f t="shared" si="20"/>
        <v>0</v>
      </c>
      <c r="AG98" s="232">
        <f t="shared" si="13"/>
        <v>0</v>
      </c>
      <c r="AH98" s="232">
        <f t="shared" si="7"/>
        <v>0</v>
      </c>
      <c r="AI98" s="232"/>
    </row>
    <row r="99" spans="1:35" ht="55.2" x14ac:dyDescent="0.3">
      <c r="A99" s="46">
        <v>17</v>
      </c>
      <c r="B99" s="46" t="s">
        <v>893</v>
      </c>
      <c r="C99" s="46" t="s">
        <v>671</v>
      </c>
      <c r="D99" s="214" t="str">
        <f t="shared" si="21"/>
        <v>Do Not Print</v>
      </c>
      <c r="E99" s="212" t="s">
        <v>672</v>
      </c>
      <c r="F99" s="214" t="s">
        <v>97</v>
      </c>
      <c r="G99" s="214" t="s">
        <v>1090</v>
      </c>
      <c r="H99" s="214" t="s">
        <v>1008</v>
      </c>
      <c r="I99" s="230"/>
      <c r="J99" s="840">
        <v>0</v>
      </c>
      <c r="K99" s="840">
        <v>0</v>
      </c>
      <c r="L99" s="841">
        <f t="shared" si="15"/>
        <v>0</v>
      </c>
      <c r="M99" s="840">
        <v>0</v>
      </c>
      <c r="N99" s="840">
        <v>0</v>
      </c>
      <c r="O99" s="161">
        <f t="shared" si="16"/>
        <v>0</v>
      </c>
      <c r="P99" s="840">
        <v>0</v>
      </c>
      <c r="Q99" s="840">
        <v>0</v>
      </c>
      <c r="R99" s="841">
        <f t="shared" si="17"/>
        <v>0</v>
      </c>
      <c r="S99" s="840">
        <v>0</v>
      </c>
      <c r="T99" s="840">
        <v>0</v>
      </c>
      <c r="U99" s="161">
        <f t="shared" si="18"/>
        <v>0</v>
      </c>
      <c r="V99" s="841"/>
      <c r="W99" s="841"/>
      <c r="X99" s="841"/>
      <c r="Y99" s="233"/>
      <c r="Z99" s="233"/>
      <c r="AA99" s="233"/>
      <c r="AB99" s="214" t="s">
        <v>1008</v>
      </c>
      <c r="AD99" s="232">
        <f t="shared" si="19"/>
        <v>0</v>
      </c>
      <c r="AE99" s="232">
        <f t="shared" si="20"/>
        <v>0</v>
      </c>
      <c r="AG99" s="232">
        <f t="shared" si="13"/>
        <v>0</v>
      </c>
      <c r="AH99" s="232">
        <f t="shared" si="7"/>
        <v>0</v>
      </c>
      <c r="AI99" s="232"/>
    </row>
    <row r="100" spans="1:35" ht="69" x14ac:dyDescent="0.3">
      <c r="A100" s="46">
        <v>17</v>
      </c>
      <c r="B100" s="46" t="s">
        <v>893</v>
      </c>
      <c r="C100" s="46" t="s">
        <v>671</v>
      </c>
      <c r="D100" s="214" t="str">
        <f t="shared" si="21"/>
        <v>Do Not Print</v>
      </c>
      <c r="E100" s="212" t="s">
        <v>672</v>
      </c>
      <c r="F100" s="214" t="s">
        <v>97</v>
      </c>
      <c r="G100" s="214" t="s">
        <v>1091</v>
      </c>
      <c r="H100" s="214" t="s">
        <v>1009</v>
      </c>
      <c r="I100" s="230"/>
      <c r="J100" s="840">
        <v>0</v>
      </c>
      <c r="K100" s="840">
        <v>0</v>
      </c>
      <c r="L100" s="841">
        <f t="shared" si="15"/>
        <v>0</v>
      </c>
      <c r="M100" s="840">
        <v>0</v>
      </c>
      <c r="N100" s="840">
        <v>0</v>
      </c>
      <c r="O100" s="161">
        <f t="shared" si="16"/>
        <v>0</v>
      </c>
      <c r="P100" s="840">
        <v>0</v>
      </c>
      <c r="Q100" s="840">
        <v>0</v>
      </c>
      <c r="R100" s="841">
        <f t="shared" si="17"/>
        <v>0</v>
      </c>
      <c r="S100" s="840">
        <v>0</v>
      </c>
      <c r="T100" s="840">
        <v>0</v>
      </c>
      <c r="U100" s="161">
        <f t="shared" si="18"/>
        <v>0</v>
      </c>
      <c r="V100" s="841"/>
      <c r="W100" s="841"/>
      <c r="X100" s="841"/>
      <c r="Y100" s="233"/>
      <c r="Z100" s="233"/>
      <c r="AA100" s="233"/>
      <c r="AB100" s="214" t="s">
        <v>1009</v>
      </c>
      <c r="AD100" s="232">
        <f t="shared" si="19"/>
        <v>0</v>
      </c>
      <c r="AE100" s="232">
        <f t="shared" si="20"/>
        <v>0</v>
      </c>
      <c r="AG100" s="232">
        <f t="shared" ref="AG100:AG131" si="22">ROUND(O100,0)</f>
        <v>0</v>
      </c>
      <c r="AH100" s="232">
        <f t="shared" si="7"/>
        <v>0</v>
      </c>
      <c r="AI100" s="232"/>
    </row>
    <row r="101" spans="1:35" ht="55.2" x14ac:dyDescent="0.3">
      <c r="A101" s="46">
        <v>17</v>
      </c>
      <c r="B101" s="46" t="s">
        <v>893</v>
      </c>
      <c r="C101" s="46" t="s">
        <v>671</v>
      </c>
      <c r="D101" s="214" t="str">
        <f t="shared" si="21"/>
        <v>Do Not Print</v>
      </c>
      <c r="E101" s="212" t="s">
        <v>672</v>
      </c>
      <c r="F101" s="214" t="s">
        <v>97</v>
      </c>
      <c r="G101" s="214" t="s">
        <v>437</v>
      </c>
      <c r="H101" s="214" t="s">
        <v>1010</v>
      </c>
      <c r="I101" s="230"/>
      <c r="J101" s="840">
        <v>0</v>
      </c>
      <c r="K101" s="840">
        <v>0</v>
      </c>
      <c r="L101" s="841">
        <f t="shared" si="15"/>
        <v>0</v>
      </c>
      <c r="M101" s="840">
        <v>0</v>
      </c>
      <c r="N101" s="840">
        <v>0</v>
      </c>
      <c r="O101" s="161">
        <f t="shared" si="16"/>
        <v>0</v>
      </c>
      <c r="P101" s="840">
        <v>0</v>
      </c>
      <c r="Q101" s="840">
        <v>0</v>
      </c>
      <c r="R101" s="841">
        <f t="shared" si="17"/>
        <v>0</v>
      </c>
      <c r="S101" s="840">
        <v>0</v>
      </c>
      <c r="T101" s="840">
        <v>0</v>
      </c>
      <c r="U101" s="161">
        <f t="shared" si="18"/>
        <v>0</v>
      </c>
      <c r="V101" s="841"/>
      <c r="W101" s="841"/>
      <c r="X101" s="841"/>
      <c r="Y101" s="233"/>
      <c r="Z101" s="233"/>
      <c r="AA101" s="233"/>
      <c r="AB101" s="214" t="s">
        <v>1010</v>
      </c>
      <c r="AD101" s="232">
        <f t="shared" si="19"/>
        <v>0</v>
      </c>
      <c r="AE101" s="232">
        <f t="shared" si="20"/>
        <v>0</v>
      </c>
      <c r="AG101" s="232">
        <f t="shared" si="22"/>
        <v>0</v>
      </c>
      <c r="AH101" s="232">
        <f t="shared" si="7"/>
        <v>0</v>
      </c>
      <c r="AI101" s="232"/>
    </row>
    <row r="102" spans="1:35" ht="41.4" x14ac:dyDescent="0.3">
      <c r="A102" s="46">
        <v>17</v>
      </c>
      <c r="B102" s="46" t="s">
        <v>893</v>
      </c>
      <c r="C102" s="46" t="s">
        <v>671</v>
      </c>
      <c r="D102" s="214" t="str">
        <f t="shared" si="21"/>
        <v>Do Not Print</v>
      </c>
      <c r="E102" s="212" t="s">
        <v>672</v>
      </c>
      <c r="F102" s="214" t="s">
        <v>97</v>
      </c>
      <c r="G102" s="214" t="s">
        <v>979</v>
      </c>
      <c r="H102" s="214" t="s">
        <v>719</v>
      </c>
      <c r="I102" s="230"/>
      <c r="J102" s="842">
        <v>0</v>
      </c>
      <c r="K102" s="840">
        <v>0</v>
      </c>
      <c r="L102" s="841">
        <f t="shared" si="15"/>
        <v>0</v>
      </c>
      <c r="M102" s="842">
        <v>0</v>
      </c>
      <c r="N102" s="840">
        <v>0</v>
      </c>
      <c r="O102" s="161">
        <f t="shared" si="16"/>
        <v>0</v>
      </c>
      <c r="P102" s="842">
        <v>0</v>
      </c>
      <c r="Q102" s="840">
        <v>0</v>
      </c>
      <c r="R102" s="841">
        <f t="shared" si="17"/>
        <v>0</v>
      </c>
      <c r="S102" s="842">
        <v>0</v>
      </c>
      <c r="T102" s="840">
        <v>0</v>
      </c>
      <c r="U102" s="161">
        <f t="shared" si="18"/>
        <v>0</v>
      </c>
      <c r="V102" s="841"/>
      <c r="W102" s="841"/>
      <c r="X102" s="841"/>
      <c r="Y102" s="233"/>
      <c r="Z102" s="233"/>
      <c r="AA102" s="233"/>
      <c r="AB102" s="214" t="s">
        <v>719</v>
      </c>
      <c r="AD102" s="232">
        <f t="shared" si="19"/>
        <v>0</v>
      </c>
      <c r="AE102" s="232">
        <f t="shared" si="20"/>
        <v>0</v>
      </c>
      <c r="AG102" s="232">
        <f t="shared" si="22"/>
        <v>0</v>
      </c>
      <c r="AH102" s="232">
        <f t="shared" si="7"/>
        <v>0</v>
      </c>
      <c r="AI102" s="232"/>
    </row>
    <row r="103" spans="1:35" ht="41.4" x14ac:dyDescent="0.3">
      <c r="A103" s="46">
        <v>17</v>
      </c>
      <c r="B103" s="46" t="s">
        <v>893</v>
      </c>
      <c r="C103" s="46" t="s">
        <v>671</v>
      </c>
      <c r="D103" s="214" t="str">
        <f t="shared" si="21"/>
        <v>Do Not Print</v>
      </c>
      <c r="E103" s="212" t="s">
        <v>672</v>
      </c>
      <c r="F103" s="214" t="s">
        <v>97</v>
      </c>
      <c r="G103" s="214" t="s">
        <v>980</v>
      </c>
      <c r="H103" s="214" t="s">
        <v>720</v>
      </c>
      <c r="I103" s="230"/>
      <c r="J103" s="840">
        <v>0</v>
      </c>
      <c r="K103" s="840">
        <v>0</v>
      </c>
      <c r="L103" s="841">
        <f t="shared" si="15"/>
        <v>0</v>
      </c>
      <c r="M103" s="840">
        <v>0</v>
      </c>
      <c r="N103" s="840">
        <v>0</v>
      </c>
      <c r="O103" s="161">
        <f t="shared" si="16"/>
        <v>0</v>
      </c>
      <c r="P103" s="840">
        <v>0</v>
      </c>
      <c r="Q103" s="840">
        <v>0</v>
      </c>
      <c r="R103" s="841">
        <f t="shared" si="17"/>
        <v>0</v>
      </c>
      <c r="S103" s="840">
        <v>0</v>
      </c>
      <c r="T103" s="840">
        <v>0</v>
      </c>
      <c r="U103" s="161">
        <f t="shared" si="18"/>
        <v>0</v>
      </c>
      <c r="V103" s="841"/>
      <c r="W103" s="841"/>
      <c r="X103" s="841"/>
      <c r="Y103" s="233"/>
      <c r="Z103" s="233"/>
      <c r="AA103" s="233"/>
      <c r="AB103" s="214" t="s">
        <v>720</v>
      </c>
      <c r="AD103" s="232">
        <f t="shared" si="19"/>
        <v>0</v>
      </c>
      <c r="AE103" s="232">
        <f t="shared" si="20"/>
        <v>0</v>
      </c>
      <c r="AG103" s="232">
        <f t="shared" si="22"/>
        <v>0</v>
      </c>
      <c r="AH103" s="232">
        <f t="shared" si="7"/>
        <v>0</v>
      </c>
      <c r="AI103" s="232"/>
    </row>
    <row r="104" spans="1:35" ht="27.6" x14ac:dyDescent="0.3">
      <c r="A104" s="46">
        <v>17</v>
      </c>
      <c r="B104" s="46" t="s">
        <v>893</v>
      </c>
      <c r="C104" s="46" t="s">
        <v>671</v>
      </c>
      <c r="D104" s="214" t="str">
        <f t="shared" si="21"/>
        <v>Do Not Print</v>
      </c>
      <c r="E104" s="212" t="s">
        <v>672</v>
      </c>
      <c r="F104" s="214" t="s">
        <v>97</v>
      </c>
      <c r="G104" s="214" t="s">
        <v>1093</v>
      </c>
      <c r="H104" s="214" t="s">
        <v>994</v>
      </c>
      <c r="I104" s="230"/>
      <c r="J104" s="160">
        <v>0</v>
      </c>
      <c r="K104" s="840">
        <v>0</v>
      </c>
      <c r="L104" s="841">
        <f t="shared" si="15"/>
        <v>0</v>
      </c>
      <c r="M104" s="840">
        <v>0</v>
      </c>
      <c r="N104" s="840">
        <v>0</v>
      </c>
      <c r="O104" s="161">
        <f t="shared" si="16"/>
        <v>0</v>
      </c>
      <c r="P104" s="840">
        <v>0</v>
      </c>
      <c r="Q104" s="840">
        <v>0</v>
      </c>
      <c r="R104" s="841">
        <f t="shared" si="17"/>
        <v>0</v>
      </c>
      <c r="S104" s="840">
        <v>0</v>
      </c>
      <c r="T104" s="840">
        <v>0</v>
      </c>
      <c r="U104" s="161">
        <f t="shared" si="18"/>
        <v>0</v>
      </c>
      <c r="V104" s="841"/>
      <c r="W104" s="841"/>
      <c r="X104" s="841"/>
      <c r="Y104" s="233"/>
      <c r="Z104" s="233"/>
      <c r="AA104" s="233"/>
      <c r="AB104" s="214" t="s">
        <v>994</v>
      </c>
      <c r="AD104" s="232">
        <f t="shared" si="19"/>
        <v>0</v>
      </c>
      <c r="AE104" s="232">
        <f t="shared" si="20"/>
        <v>0</v>
      </c>
      <c r="AG104" s="232">
        <f t="shared" si="22"/>
        <v>0</v>
      </c>
      <c r="AH104" s="232">
        <f>ROUND(U104,0)</f>
        <v>0</v>
      </c>
      <c r="AI104" s="232"/>
    </row>
    <row r="105" spans="1:35" ht="41.4" x14ac:dyDescent="0.3">
      <c r="A105" s="46">
        <v>17</v>
      </c>
      <c r="B105" s="46" t="s">
        <v>893</v>
      </c>
      <c r="C105" s="46" t="s">
        <v>671</v>
      </c>
      <c r="D105" s="214" t="str">
        <f t="shared" si="21"/>
        <v>Do Not Print</v>
      </c>
      <c r="E105" s="212" t="s">
        <v>672</v>
      </c>
      <c r="F105" s="214" t="s">
        <v>97</v>
      </c>
      <c r="G105" s="214" t="s">
        <v>438</v>
      </c>
      <c r="H105" s="214" t="s">
        <v>721</v>
      </c>
      <c r="I105" s="230"/>
      <c r="J105" s="839">
        <f>P105+P106+P107-P108-P109-P110-P111-P112-P113+P114+P115+SUM(Q105:Q115)+P95+Q95</f>
        <v>0</v>
      </c>
      <c r="K105" s="840"/>
      <c r="L105" s="841">
        <f t="shared" si="15"/>
        <v>0</v>
      </c>
      <c r="M105" s="839">
        <f>S105+S106+S107-S108-S109-S110-S111-S112-S113+S114+S115+SUM(T105:T115)</f>
        <v>0</v>
      </c>
      <c r="N105" s="840">
        <v>0</v>
      </c>
      <c r="O105" s="161">
        <f t="shared" si="16"/>
        <v>0</v>
      </c>
      <c r="P105" s="840">
        <v>0</v>
      </c>
      <c r="Q105" s="840">
        <v>0</v>
      </c>
      <c r="R105" s="841">
        <f t="shared" si="17"/>
        <v>0</v>
      </c>
      <c r="S105" s="840">
        <v>0</v>
      </c>
      <c r="T105" s="840">
        <v>0</v>
      </c>
      <c r="U105" s="161">
        <f t="shared" si="18"/>
        <v>0</v>
      </c>
      <c r="V105" s="841"/>
      <c r="W105" s="841"/>
      <c r="X105" s="841"/>
      <c r="Y105" s="233"/>
      <c r="Z105" s="233"/>
      <c r="AA105" s="233"/>
      <c r="AB105" s="214" t="s">
        <v>721</v>
      </c>
      <c r="AD105" s="232">
        <f t="shared" si="19"/>
        <v>0</v>
      </c>
      <c r="AE105" s="232">
        <f t="shared" si="20"/>
        <v>0</v>
      </c>
      <c r="AG105" s="232">
        <f t="shared" si="22"/>
        <v>0</v>
      </c>
      <c r="AH105" s="232">
        <f t="shared" si="7"/>
        <v>0</v>
      </c>
      <c r="AI105" s="232"/>
    </row>
    <row r="106" spans="1:35" ht="41.4" x14ac:dyDescent="0.3">
      <c r="A106" s="46">
        <v>17</v>
      </c>
      <c r="B106" s="46" t="s">
        <v>893</v>
      </c>
      <c r="C106" s="46" t="s">
        <v>671</v>
      </c>
      <c r="D106" s="214" t="str">
        <f t="shared" si="21"/>
        <v>Do Not Print</v>
      </c>
      <c r="E106" s="212" t="s">
        <v>672</v>
      </c>
      <c r="F106" s="214" t="s">
        <v>97</v>
      </c>
      <c r="G106" s="213" t="s">
        <v>101</v>
      </c>
      <c r="H106" s="213" t="s">
        <v>101</v>
      </c>
      <c r="I106" s="230"/>
      <c r="J106" s="840">
        <v>0</v>
      </c>
      <c r="K106" s="840">
        <v>0</v>
      </c>
      <c r="L106" s="841">
        <f t="shared" si="15"/>
        <v>0</v>
      </c>
      <c r="M106" s="840">
        <v>0</v>
      </c>
      <c r="N106" s="840">
        <v>0</v>
      </c>
      <c r="O106" s="161">
        <f t="shared" si="16"/>
        <v>0</v>
      </c>
      <c r="P106" s="840">
        <v>0</v>
      </c>
      <c r="Q106" s="840">
        <v>0</v>
      </c>
      <c r="R106" s="841">
        <f t="shared" si="17"/>
        <v>0</v>
      </c>
      <c r="S106" s="840">
        <v>0</v>
      </c>
      <c r="T106" s="840">
        <v>0</v>
      </c>
      <c r="U106" s="161">
        <f t="shared" si="18"/>
        <v>0</v>
      </c>
      <c r="V106" s="841"/>
      <c r="W106" s="841"/>
      <c r="X106" s="841"/>
      <c r="Y106" s="233"/>
      <c r="Z106" s="233"/>
      <c r="AA106" s="233"/>
      <c r="AB106" s="213" t="s">
        <v>101</v>
      </c>
      <c r="AD106" s="232">
        <f t="shared" si="19"/>
        <v>0</v>
      </c>
      <c r="AE106" s="232">
        <f t="shared" si="20"/>
        <v>0</v>
      </c>
      <c r="AG106" s="232">
        <f t="shared" si="22"/>
        <v>0</v>
      </c>
      <c r="AH106" s="232">
        <f>ROUND(U106,0)</f>
        <v>0</v>
      </c>
      <c r="AI106" s="232"/>
    </row>
    <row r="107" spans="1:35" ht="27.6" x14ac:dyDescent="0.3">
      <c r="A107" s="46">
        <v>17</v>
      </c>
      <c r="B107" s="46" t="s">
        <v>893</v>
      </c>
      <c r="C107" s="46" t="s">
        <v>671</v>
      </c>
      <c r="D107" s="214" t="str">
        <f t="shared" si="21"/>
        <v>Do Not Print</v>
      </c>
      <c r="E107" s="212" t="s">
        <v>672</v>
      </c>
      <c r="F107" s="214" t="s">
        <v>97</v>
      </c>
      <c r="G107" s="214" t="s">
        <v>109</v>
      </c>
      <c r="H107" s="214" t="s">
        <v>722</v>
      </c>
      <c r="I107" s="230"/>
      <c r="J107" s="840">
        <v>0</v>
      </c>
      <c r="K107" s="840">
        <v>0</v>
      </c>
      <c r="L107" s="841">
        <f t="shared" si="15"/>
        <v>0</v>
      </c>
      <c r="M107" s="840">
        <v>0</v>
      </c>
      <c r="N107" s="840">
        <v>0</v>
      </c>
      <c r="O107" s="161">
        <f t="shared" si="16"/>
        <v>0</v>
      </c>
      <c r="P107" s="840">
        <v>0</v>
      </c>
      <c r="Q107" s="840">
        <v>0</v>
      </c>
      <c r="R107" s="841">
        <f t="shared" si="17"/>
        <v>0</v>
      </c>
      <c r="S107" s="840">
        <v>0</v>
      </c>
      <c r="T107" s="840">
        <v>0</v>
      </c>
      <c r="U107" s="161">
        <f t="shared" si="18"/>
        <v>0</v>
      </c>
      <c r="V107" s="841"/>
      <c r="W107" s="841"/>
      <c r="X107" s="841"/>
      <c r="Y107" s="233"/>
      <c r="Z107" s="233"/>
      <c r="AA107" s="233"/>
      <c r="AB107" s="214" t="s">
        <v>722</v>
      </c>
      <c r="AD107" s="232">
        <f t="shared" si="19"/>
        <v>0</v>
      </c>
      <c r="AE107" s="232">
        <f t="shared" si="20"/>
        <v>0</v>
      </c>
      <c r="AG107" s="232">
        <f t="shared" si="22"/>
        <v>0</v>
      </c>
      <c r="AH107" s="232">
        <f t="shared" si="7"/>
        <v>0</v>
      </c>
      <c r="AI107" s="232"/>
    </row>
    <row r="108" spans="1:35" ht="41.4" x14ac:dyDescent="0.3">
      <c r="A108" s="46">
        <v>17</v>
      </c>
      <c r="B108" s="46" t="s">
        <v>893</v>
      </c>
      <c r="C108" s="46" t="s">
        <v>671</v>
      </c>
      <c r="D108" s="214" t="str">
        <f t="shared" si="21"/>
        <v>Do Not Print</v>
      </c>
      <c r="E108" s="212" t="s">
        <v>672</v>
      </c>
      <c r="F108" s="214" t="s">
        <v>97</v>
      </c>
      <c r="G108" s="214" t="s">
        <v>1092</v>
      </c>
      <c r="H108" s="214" t="s">
        <v>1011</v>
      </c>
      <c r="I108" s="230"/>
      <c r="J108" s="840">
        <v>0</v>
      </c>
      <c r="K108" s="840">
        <v>0</v>
      </c>
      <c r="L108" s="841">
        <f t="shared" si="15"/>
        <v>0</v>
      </c>
      <c r="M108" s="840">
        <v>0</v>
      </c>
      <c r="N108" s="840">
        <v>0</v>
      </c>
      <c r="O108" s="161">
        <f t="shared" si="16"/>
        <v>0</v>
      </c>
      <c r="P108" s="840">
        <v>0</v>
      </c>
      <c r="Q108" s="840">
        <v>0</v>
      </c>
      <c r="R108" s="841">
        <f t="shared" si="17"/>
        <v>0</v>
      </c>
      <c r="S108" s="840">
        <v>0</v>
      </c>
      <c r="T108" s="840">
        <v>0</v>
      </c>
      <c r="U108" s="161">
        <f t="shared" si="18"/>
        <v>0</v>
      </c>
      <c r="V108" s="841"/>
      <c r="W108" s="841"/>
      <c r="X108" s="841"/>
      <c r="Y108" s="233"/>
      <c r="Z108" s="233"/>
      <c r="AA108" s="233"/>
      <c r="AB108" s="214" t="s">
        <v>1011</v>
      </c>
      <c r="AD108" s="232">
        <f t="shared" si="19"/>
        <v>0</v>
      </c>
      <c r="AE108" s="232">
        <f t="shared" si="20"/>
        <v>0</v>
      </c>
      <c r="AG108" s="232">
        <f t="shared" si="22"/>
        <v>0</v>
      </c>
      <c r="AH108" s="232">
        <f t="shared" si="7"/>
        <v>0</v>
      </c>
      <c r="AI108" s="232"/>
    </row>
    <row r="109" spans="1:35" ht="55.2" x14ac:dyDescent="0.3">
      <c r="A109" s="46">
        <v>17</v>
      </c>
      <c r="B109" s="46" t="s">
        <v>893</v>
      </c>
      <c r="C109" s="46" t="s">
        <v>671</v>
      </c>
      <c r="D109" s="214" t="str">
        <f t="shared" si="21"/>
        <v>Do Not Print</v>
      </c>
      <c r="E109" s="212" t="s">
        <v>672</v>
      </c>
      <c r="F109" s="214" t="s">
        <v>97</v>
      </c>
      <c r="G109" s="214" t="s">
        <v>111</v>
      </c>
      <c r="H109" s="214" t="s">
        <v>111</v>
      </c>
      <c r="I109" s="230"/>
      <c r="J109" s="840">
        <v>0</v>
      </c>
      <c r="K109" s="840">
        <v>0</v>
      </c>
      <c r="L109" s="841">
        <f t="shared" si="15"/>
        <v>0</v>
      </c>
      <c r="M109" s="840">
        <v>0</v>
      </c>
      <c r="N109" s="840">
        <v>0</v>
      </c>
      <c r="O109" s="161">
        <f t="shared" si="16"/>
        <v>0</v>
      </c>
      <c r="P109" s="840">
        <v>0</v>
      </c>
      <c r="Q109" s="840">
        <v>0</v>
      </c>
      <c r="R109" s="841">
        <f t="shared" si="17"/>
        <v>0</v>
      </c>
      <c r="S109" s="840">
        <v>0</v>
      </c>
      <c r="T109" s="840">
        <v>0</v>
      </c>
      <c r="U109" s="161">
        <f t="shared" si="18"/>
        <v>0</v>
      </c>
      <c r="V109" s="841"/>
      <c r="W109" s="841"/>
      <c r="X109" s="841"/>
      <c r="Y109" s="233"/>
      <c r="Z109" s="233"/>
      <c r="AA109" s="233"/>
      <c r="AB109" s="214" t="s">
        <v>111</v>
      </c>
      <c r="AD109" s="232">
        <f t="shared" si="19"/>
        <v>0</v>
      </c>
      <c r="AE109" s="232">
        <f t="shared" si="20"/>
        <v>0</v>
      </c>
      <c r="AG109" s="232">
        <f t="shared" si="22"/>
        <v>0</v>
      </c>
      <c r="AH109" s="232">
        <f t="shared" si="7"/>
        <v>0</v>
      </c>
      <c r="AI109" s="232"/>
    </row>
    <row r="110" spans="1:35" ht="55.2" x14ac:dyDescent="0.3">
      <c r="A110" s="46">
        <v>17</v>
      </c>
      <c r="B110" s="46" t="s">
        <v>893</v>
      </c>
      <c r="C110" s="46" t="s">
        <v>671</v>
      </c>
      <c r="D110" s="214" t="str">
        <f t="shared" si="21"/>
        <v>Do Not Print</v>
      </c>
      <c r="E110" s="212" t="s">
        <v>672</v>
      </c>
      <c r="F110" s="214" t="s">
        <v>97</v>
      </c>
      <c r="G110" s="214" t="s">
        <v>982</v>
      </c>
      <c r="H110" s="214" t="s">
        <v>1013</v>
      </c>
      <c r="I110" s="230"/>
      <c r="J110" s="840">
        <v>0</v>
      </c>
      <c r="K110" s="840">
        <v>0</v>
      </c>
      <c r="L110" s="841">
        <f t="shared" si="15"/>
        <v>0</v>
      </c>
      <c r="M110" s="840">
        <v>0</v>
      </c>
      <c r="N110" s="840">
        <v>0</v>
      </c>
      <c r="O110" s="161">
        <f t="shared" si="16"/>
        <v>0</v>
      </c>
      <c r="P110" s="840">
        <v>0</v>
      </c>
      <c r="Q110" s="840">
        <v>0</v>
      </c>
      <c r="R110" s="841">
        <f t="shared" si="17"/>
        <v>0</v>
      </c>
      <c r="S110" s="840">
        <v>0</v>
      </c>
      <c r="T110" s="840">
        <v>0</v>
      </c>
      <c r="U110" s="161">
        <f t="shared" si="18"/>
        <v>0</v>
      </c>
      <c r="V110" s="841"/>
      <c r="W110" s="841"/>
      <c r="X110" s="841"/>
      <c r="Y110" s="233"/>
      <c r="Z110" s="233"/>
      <c r="AA110" s="233"/>
      <c r="AB110" s="214" t="s">
        <v>1013</v>
      </c>
      <c r="AD110" s="232">
        <f t="shared" si="19"/>
        <v>0</v>
      </c>
      <c r="AE110" s="232">
        <f t="shared" si="20"/>
        <v>0</v>
      </c>
      <c r="AG110" s="232">
        <f t="shared" si="22"/>
        <v>0</v>
      </c>
      <c r="AH110" s="232">
        <f t="shared" si="7"/>
        <v>0</v>
      </c>
      <c r="AI110" s="232"/>
    </row>
    <row r="111" spans="1:35" ht="41.4" x14ac:dyDescent="0.3">
      <c r="A111" s="46">
        <v>17</v>
      </c>
      <c r="B111" s="46" t="s">
        <v>893</v>
      </c>
      <c r="C111" s="46" t="s">
        <v>671</v>
      </c>
      <c r="D111" s="214" t="str">
        <f t="shared" si="21"/>
        <v>Do Not Print</v>
      </c>
      <c r="E111" s="212" t="s">
        <v>672</v>
      </c>
      <c r="F111" s="214" t="s">
        <v>97</v>
      </c>
      <c r="G111" s="214" t="s">
        <v>981</v>
      </c>
      <c r="H111" s="214" t="s">
        <v>1012</v>
      </c>
      <c r="I111" s="230"/>
      <c r="J111" s="840">
        <v>0</v>
      </c>
      <c r="K111" s="840">
        <v>0</v>
      </c>
      <c r="L111" s="841">
        <f t="shared" si="15"/>
        <v>0</v>
      </c>
      <c r="M111" s="840">
        <v>0</v>
      </c>
      <c r="N111" s="840">
        <v>0</v>
      </c>
      <c r="O111" s="161">
        <f t="shared" si="16"/>
        <v>0</v>
      </c>
      <c r="P111" s="840">
        <v>0</v>
      </c>
      <c r="Q111" s="840">
        <v>0</v>
      </c>
      <c r="R111" s="841">
        <f t="shared" si="17"/>
        <v>0</v>
      </c>
      <c r="S111" s="840">
        <v>0</v>
      </c>
      <c r="T111" s="840">
        <v>0</v>
      </c>
      <c r="U111" s="161">
        <f t="shared" si="18"/>
        <v>0</v>
      </c>
      <c r="V111" s="841"/>
      <c r="W111" s="841"/>
      <c r="X111" s="841"/>
      <c r="Y111" s="233"/>
      <c r="Z111" s="233"/>
      <c r="AA111" s="233"/>
      <c r="AB111" s="214" t="s">
        <v>1012</v>
      </c>
      <c r="AD111" s="232">
        <f t="shared" si="19"/>
        <v>0</v>
      </c>
      <c r="AE111" s="232">
        <f t="shared" si="20"/>
        <v>0</v>
      </c>
      <c r="AG111" s="232">
        <f t="shared" si="22"/>
        <v>0</v>
      </c>
      <c r="AH111" s="232">
        <f t="shared" si="7"/>
        <v>0</v>
      </c>
      <c r="AI111" s="232"/>
    </row>
    <row r="112" spans="1:35" ht="41.4" x14ac:dyDescent="0.3">
      <c r="A112" s="46">
        <v>17</v>
      </c>
      <c r="B112" s="46" t="s">
        <v>893</v>
      </c>
      <c r="C112" s="46" t="s">
        <v>671</v>
      </c>
      <c r="D112" s="214" t="str">
        <f t="shared" si="21"/>
        <v>Do Not Print</v>
      </c>
      <c r="E112" s="212" t="s">
        <v>672</v>
      </c>
      <c r="F112" s="214" t="s">
        <v>97</v>
      </c>
      <c r="G112" s="214" t="s">
        <v>977</v>
      </c>
      <c r="H112" s="214" t="s">
        <v>1014</v>
      </c>
      <c r="I112" s="230"/>
      <c r="J112" s="840">
        <v>0</v>
      </c>
      <c r="K112" s="840">
        <v>0</v>
      </c>
      <c r="L112" s="841">
        <f t="shared" si="15"/>
        <v>0</v>
      </c>
      <c r="M112" s="840">
        <v>0</v>
      </c>
      <c r="N112" s="840">
        <v>0</v>
      </c>
      <c r="O112" s="161">
        <f t="shared" si="16"/>
        <v>0</v>
      </c>
      <c r="P112" s="840">
        <v>0</v>
      </c>
      <c r="Q112" s="840">
        <v>0</v>
      </c>
      <c r="R112" s="841">
        <f t="shared" si="17"/>
        <v>0</v>
      </c>
      <c r="S112" s="840">
        <v>0</v>
      </c>
      <c r="T112" s="840">
        <v>0</v>
      </c>
      <c r="U112" s="161">
        <f t="shared" si="18"/>
        <v>0</v>
      </c>
      <c r="V112" s="841"/>
      <c r="W112" s="841"/>
      <c r="X112" s="841"/>
      <c r="Y112" s="233"/>
      <c r="Z112" s="233"/>
      <c r="AA112" s="233"/>
      <c r="AB112" s="214" t="s">
        <v>1014</v>
      </c>
      <c r="AD112" s="232">
        <f t="shared" si="19"/>
        <v>0</v>
      </c>
      <c r="AE112" s="232">
        <f t="shared" si="20"/>
        <v>0</v>
      </c>
      <c r="AG112" s="232">
        <f t="shared" si="22"/>
        <v>0</v>
      </c>
      <c r="AH112" s="232">
        <f t="shared" si="7"/>
        <v>0</v>
      </c>
      <c r="AI112" s="232"/>
    </row>
    <row r="113" spans="1:35" ht="55.2" x14ac:dyDescent="0.3">
      <c r="A113" s="46">
        <v>17</v>
      </c>
      <c r="B113" s="46" t="s">
        <v>893</v>
      </c>
      <c r="C113" s="46" t="s">
        <v>671</v>
      </c>
      <c r="D113" s="214" t="str">
        <f t="shared" si="21"/>
        <v>Do Not Print</v>
      </c>
      <c r="E113" s="212" t="s">
        <v>672</v>
      </c>
      <c r="F113" s="214" t="s">
        <v>97</v>
      </c>
      <c r="G113" s="214" t="s">
        <v>979</v>
      </c>
      <c r="H113" s="214" t="s">
        <v>723</v>
      </c>
      <c r="I113" s="230"/>
      <c r="J113" s="840">
        <v>0</v>
      </c>
      <c r="K113" s="840">
        <v>0</v>
      </c>
      <c r="L113" s="841">
        <f t="shared" si="15"/>
        <v>0</v>
      </c>
      <c r="M113" s="840">
        <v>0</v>
      </c>
      <c r="N113" s="840">
        <v>0</v>
      </c>
      <c r="O113" s="161">
        <f t="shared" si="16"/>
        <v>0</v>
      </c>
      <c r="P113" s="840">
        <v>0</v>
      </c>
      <c r="Q113" s="840">
        <v>0</v>
      </c>
      <c r="R113" s="841">
        <f t="shared" si="17"/>
        <v>0</v>
      </c>
      <c r="S113" s="840">
        <v>0</v>
      </c>
      <c r="T113" s="840">
        <v>0</v>
      </c>
      <c r="U113" s="161">
        <f t="shared" si="18"/>
        <v>0</v>
      </c>
      <c r="V113" s="841"/>
      <c r="W113" s="841"/>
      <c r="X113" s="841"/>
      <c r="Y113" s="233"/>
      <c r="Z113" s="233"/>
      <c r="AA113" s="233"/>
      <c r="AB113" s="214" t="s">
        <v>723</v>
      </c>
      <c r="AD113" s="232">
        <f t="shared" si="19"/>
        <v>0</v>
      </c>
      <c r="AE113" s="232">
        <f t="shared" si="20"/>
        <v>0</v>
      </c>
      <c r="AG113" s="232">
        <f t="shared" si="22"/>
        <v>0</v>
      </c>
      <c r="AH113" s="232">
        <f t="shared" si="7"/>
        <v>0</v>
      </c>
      <c r="AI113" s="232"/>
    </row>
    <row r="114" spans="1:35" ht="41.4" x14ac:dyDescent="0.3">
      <c r="A114" s="46">
        <v>17</v>
      </c>
      <c r="B114" s="46" t="s">
        <v>893</v>
      </c>
      <c r="C114" s="46" t="s">
        <v>671</v>
      </c>
      <c r="D114" s="214" t="str">
        <f t="shared" si="21"/>
        <v>Do Not Print</v>
      </c>
      <c r="E114" s="212" t="s">
        <v>672</v>
      </c>
      <c r="F114" s="214" t="s">
        <v>97</v>
      </c>
      <c r="G114" s="214" t="s">
        <v>980</v>
      </c>
      <c r="H114" s="214" t="s">
        <v>724</v>
      </c>
      <c r="I114" s="230"/>
      <c r="J114" s="840">
        <v>0</v>
      </c>
      <c r="K114" s="840">
        <v>0</v>
      </c>
      <c r="L114" s="841">
        <f t="shared" si="15"/>
        <v>0</v>
      </c>
      <c r="M114" s="840">
        <v>0</v>
      </c>
      <c r="N114" s="840">
        <v>0</v>
      </c>
      <c r="O114" s="161">
        <f t="shared" si="16"/>
        <v>0</v>
      </c>
      <c r="P114" s="840">
        <v>0</v>
      </c>
      <c r="Q114" s="840">
        <v>0</v>
      </c>
      <c r="R114" s="841">
        <f t="shared" si="17"/>
        <v>0</v>
      </c>
      <c r="S114" s="840">
        <v>0</v>
      </c>
      <c r="T114" s="840">
        <v>0</v>
      </c>
      <c r="U114" s="161">
        <f t="shared" si="18"/>
        <v>0</v>
      </c>
      <c r="V114" s="841"/>
      <c r="W114" s="841"/>
      <c r="X114" s="841"/>
      <c r="Y114" s="233"/>
      <c r="Z114" s="233"/>
      <c r="AA114" s="233"/>
      <c r="AB114" s="214" t="s">
        <v>724</v>
      </c>
      <c r="AD114" s="232">
        <f t="shared" si="19"/>
        <v>0</v>
      </c>
      <c r="AE114" s="232">
        <f t="shared" si="20"/>
        <v>0</v>
      </c>
      <c r="AG114" s="232">
        <f t="shared" si="22"/>
        <v>0</v>
      </c>
      <c r="AH114" s="232">
        <f t="shared" si="7"/>
        <v>0</v>
      </c>
      <c r="AI114" s="232"/>
    </row>
    <row r="115" spans="1:35" ht="41.4" x14ac:dyDescent="0.3">
      <c r="A115" s="46">
        <v>17</v>
      </c>
      <c r="B115" s="46" t="s">
        <v>893</v>
      </c>
      <c r="C115" s="46" t="s">
        <v>671</v>
      </c>
      <c r="D115" s="214" t="str">
        <f t="shared" si="21"/>
        <v>Do Not Print</v>
      </c>
      <c r="E115" s="212" t="s">
        <v>672</v>
      </c>
      <c r="F115" s="214" t="s">
        <v>97</v>
      </c>
      <c r="G115" s="214" t="s">
        <v>1093</v>
      </c>
      <c r="H115" s="214" t="s">
        <v>997</v>
      </c>
      <c r="I115" s="230"/>
      <c r="J115" s="160">
        <v>0</v>
      </c>
      <c r="K115" s="840">
        <v>0</v>
      </c>
      <c r="L115" s="841">
        <f t="shared" si="15"/>
        <v>0</v>
      </c>
      <c r="M115" s="840">
        <v>0</v>
      </c>
      <c r="N115" s="840">
        <v>0</v>
      </c>
      <c r="O115" s="161">
        <f t="shared" si="16"/>
        <v>0</v>
      </c>
      <c r="P115" s="840">
        <v>0</v>
      </c>
      <c r="Q115" s="840">
        <v>0</v>
      </c>
      <c r="R115" s="841">
        <f t="shared" si="17"/>
        <v>0</v>
      </c>
      <c r="S115" s="840">
        <v>0</v>
      </c>
      <c r="T115" s="840">
        <v>0</v>
      </c>
      <c r="U115" s="161">
        <f t="shared" si="18"/>
        <v>0</v>
      </c>
      <c r="V115" s="841"/>
      <c r="W115" s="841"/>
      <c r="X115" s="841"/>
      <c r="Y115" s="233"/>
      <c r="Z115" s="233"/>
      <c r="AA115" s="233"/>
      <c r="AB115" s="214" t="s">
        <v>997</v>
      </c>
      <c r="AD115" s="232">
        <f t="shared" si="19"/>
        <v>0</v>
      </c>
      <c r="AE115" s="232">
        <f t="shared" si="20"/>
        <v>0</v>
      </c>
      <c r="AG115" s="232">
        <f t="shared" si="22"/>
        <v>0</v>
      </c>
      <c r="AH115" s="232">
        <f>ROUND(U115,0)</f>
        <v>0</v>
      </c>
      <c r="AI115" s="232"/>
    </row>
    <row r="116" spans="1:35" ht="27.6" x14ac:dyDescent="0.3">
      <c r="A116" s="46">
        <v>18</v>
      </c>
      <c r="B116" s="46" t="s">
        <v>894</v>
      </c>
      <c r="C116" s="46" t="s">
        <v>671</v>
      </c>
      <c r="D116" s="214" t="str">
        <f t="shared" si="21"/>
        <v>Do Not Print</v>
      </c>
      <c r="E116" s="212" t="s">
        <v>672</v>
      </c>
      <c r="F116" s="214" t="s">
        <v>725</v>
      </c>
      <c r="G116" s="214" t="s">
        <v>436</v>
      </c>
      <c r="H116" s="214" t="s">
        <v>726</v>
      </c>
      <c r="I116" s="230"/>
      <c r="J116" s="839">
        <f>SUM(P116:P126)+SUM(Q116:Q126)</f>
        <v>0</v>
      </c>
      <c r="K116" s="840">
        <v>0</v>
      </c>
      <c r="L116" s="841">
        <f t="shared" si="15"/>
        <v>0</v>
      </c>
      <c r="M116" s="839">
        <f>SUM(S116:S126)+SUM(T116:T126)</f>
        <v>0</v>
      </c>
      <c r="N116" s="840">
        <v>0</v>
      </c>
      <c r="O116" s="161">
        <f t="shared" si="16"/>
        <v>0</v>
      </c>
      <c r="P116" s="840">
        <v>0</v>
      </c>
      <c r="Q116" s="840">
        <v>0</v>
      </c>
      <c r="R116" s="841">
        <f t="shared" si="17"/>
        <v>0</v>
      </c>
      <c r="S116" s="840">
        <v>0</v>
      </c>
      <c r="T116" s="840">
        <v>0</v>
      </c>
      <c r="U116" s="161">
        <f t="shared" si="18"/>
        <v>0</v>
      </c>
      <c r="V116" s="841"/>
      <c r="W116" s="841"/>
      <c r="X116" s="841"/>
      <c r="Y116" s="233"/>
      <c r="Z116" s="233"/>
      <c r="AA116" s="233"/>
      <c r="AB116" s="214" t="s">
        <v>726</v>
      </c>
      <c r="AD116" s="232">
        <f t="shared" si="19"/>
        <v>0</v>
      </c>
      <c r="AE116" s="232">
        <f t="shared" si="20"/>
        <v>0</v>
      </c>
      <c r="AG116" s="232">
        <f t="shared" si="22"/>
        <v>0</v>
      </c>
      <c r="AH116" s="232">
        <f t="shared" si="7"/>
        <v>0</v>
      </c>
      <c r="AI116" s="232"/>
    </row>
    <row r="117" spans="1:35" ht="41.4" x14ac:dyDescent="0.3">
      <c r="A117" s="46">
        <v>18</v>
      </c>
      <c r="B117" s="46" t="s">
        <v>894</v>
      </c>
      <c r="C117" s="46" t="s">
        <v>671</v>
      </c>
      <c r="D117" s="214" t="str">
        <f t="shared" si="21"/>
        <v>Do Not Print</v>
      </c>
      <c r="E117" s="212" t="s">
        <v>672</v>
      </c>
      <c r="F117" s="214" t="s">
        <v>725</v>
      </c>
      <c r="G117" s="213" t="s">
        <v>101</v>
      </c>
      <c r="H117" s="213" t="s">
        <v>101</v>
      </c>
      <c r="I117" s="230"/>
      <c r="J117" s="840">
        <v>0</v>
      </c>
      <c r="K117" s="840">
        <v>0</v>
      </c>
      <c r="L117" s="841">
        <f t="shared" si="15"/>
        <v>0</v>
      </c>
      <c r="M117" s="840">
        <v>0</v>
      </c>
      <c r="N117" s="840">
        <v>0</v>
      </c>
      <c r="O117" s="161">
        <f t="shared" si="16"/>
        <v>0</v>
      </c>
      <c r="P117" s="840">
        <v>0</v>
      </c>
      <c r="Q117" s="840">
        <v>0</v>
      </c>
      <c r="R117" s="841">
        <f t="shared" si="17"/>
        <v>0</v>
      </c>
      <c r="S117" s="840">
        <v>0</v>
      </c>
      <c r="T117" s="840">
        <v>0</v>
      </c>
      <c r="U117" s="161">
        <f t="shared" si="18"/>
        <v>0</v>
      </c>
      <c r="V117" s="841"/>
      <c r="W117" s="841"/>
      <c r="X117" s="841"/>
      <c r="Y117" s="233"/>
      <c r="Z117" s="233"/>
      <c r="AA117" s="233"/>
      <c r="AB117" s="213" t="s">
        <v>101</v>
      </c>
      <c r="AD117" s="232">
        <f t="shared" si="19"/>
        <v>0</v>
      </c>
      <c r="AE117" s="232">
        <f t="shared" si="20"/>
        <v>0</v>
      </c>
      <c r="AG117" s="232">
        <f t="shared" si="22"/>
        <v>0</v>
      </c>
      <c r="AH117" s="232">
        <f t="shared" si="7"/>
        <v>0</v>
      </c>
      <c r="AI117" s="232"/>
    </row>
    <row r="118" spans="1:35" ht="27.6" x14ac:dyDescent="0.3">
      <c r="A118" s="46">
        <v>18</v>
      </c>
      <c r="B118" s="46" t="s">
        <v>894</v>
      </c>
      <c r="C118" s="46" t="s">
        <v>671</v>
      </c>
      <c r="D118" s="214" t="str">
        <f t="shared" si="21"/>
        <v>Do Not Print</v>
      </c>
      <c r="E118" s="212" t="s">
        <v>672</v>
      </c>
      <c r="F118" s="214" t="s">
        <v>725</v>
      </c>
      <c r="G118" s="214" t="s">
        <v>973</v>
      </c>
      <c r="H118" s="214" t="s">
        <v>1015</v>
      </c>
      <c r="I118" s="230"/>
      <c r="J118" s="840">
        <v>0</v>
      </c>
      <c r="K118" s="840">
        <v>0</v>
      </c>
      <c r="L118" s="841">
        <f t="shared" si="15"/>
        <v>0</v>
      </c>
      <c r="M118" s="840">
        <v>0</v>
      </c>
      <c r="N118" s="840">
        <v>0</v>
      </c>
      <c r="O118" s="161">
        <f t="shared" si="16"/>
        <v>0</v>
      </c>
      <c r="P118" s="840">
        <v>0</v>
      </c>
      <c r="Q118" s="840">
        <v>0</v>
      </c>
      <c r="R118" s="841">
        <f t="shared" si="17"/>
        <v>0</v>
      </c>
      <c r="S118" s="840">
        <v>0</v>
      </c>
      <c r="T118" s="840">
        <v>0</v>
      </c>
      <c r="U118" s="161">
        <f t="shared" si="18"/>
        <v>0</v>
      </c>
      <c r="V118" s="841"/>
      <c r="W118" s="841"/>
      <c r="X118" s="841"/>
      <c r="Y118" s="233"/>
      <c r="Z118" s="233"/>
      <c r="AA118" s="233"/>
      <c r="AB118" s="214" t="s">
        <v>1015</v>
      </c>
      <c r="AD118" s="232">
        <f t="shared" si="19"/>
        <v>0</v>
      </c>
      <c r="AE118" s="232">
        <f t="shared" si="20"/>
        <v>0</v>
      </c>
      <c r="AG118" s="232">
        <f t="shared" si="22"/>
        <v>0</v>
      </c>
      <c r="AH118" s="232">
        <f t="shared" si="7"/>
        <v>0</v>
      </c>
      <c r="AI118" s="232"/>
    </row>
    <row r="119" spans="1:35" ht="27.6" x14ac:dyDescent="0.3">
      <c r="A119" s="46">
        <v>18</v>
      </c>
      <c r="B119" s="46" t="s">
        <v>894</v>
      </c>
      <c r="C119" s="46" t="s">
        <v>671</v>
      </c>
      <c r="D119" s="214" t="str">
        <f t="shared" si="21"/>
        <v>Do Not Print</v>
      </c>
      <c r="E119" s="212" t="s">
        <v>672</v>
      </c>
      <c r="F119" s="214" t="s">
        <v>725</v>
      </c>
      <c r="G119" s="214" t="s">
        <v>103</v>
      </c>
      <c r="H119" s="214" t="s">
        <v>1016</v>
      </c>
      <c r="I119" s="230"/>
      <c r="J119" s="840">
        <v>0</v>
      </c>
      <c r="K119" s="840">
        <v>0</v>
      </c>
      <c r="L119" s="841">
        <f t="shared" si="15"/>
        <v>0</v>
      </c>
      <c r="M119" s="840">
        <v>0</v>
      </c>
      <c r="N119" s="840">
        <v>0</v>
      </c>
      <c r="O119" s="161">
        <f t="shared" si="16"/>
        <v>0</v>
      </c>
      <c r="P119" s="840">
        <v>0</v>
      </c>
      <c r="Q119" s="840">
        <v>0</v>
      </c>
      <c r="R119" s="841">
        <f t="shared" si="17"/>
        <v>0</v>
      </c>
      <c r="S119" s="840">
        <v>0</v>
      </c>
      <c r="T119" s="840">
        <v>0</v>
      </c>
      <c r="U119" s="161">
        <f t="shared" si="18"/>
        <v>0</v>
      </c>
      <c r="V119" s="841"/>
      <c r="W119" s="841"/>
      <c r="X119" s="841"/>
      <c r="Y119" s="233"/>
      <c r="Z119" s="233"/>
      <c r="AA119" s="233"/>
      <c r="AB119" s="214" t="s">
        <v>1016</v>
      </c>
      <c r="AD119" s="232">
        <f t="shared" si="19"/>
        <v>0</v>
      </c>
      <c r="AE119" s="232">
        <f t="shared" si="20"/>
        <v>0</v>
      </c>
      <c r="AG119" s="232">
        <f t="shared" si="22"/>
        <v>0</v>
      </c>
      <c r="AH119" s="232">
        <f>ROUND(U119,0)</f>
        <v>0</v>
      </c>
      <c r="AI119" s="232"/>
    </row>
    <row r="120" spans="1:35" ht="55.2" x14ac:dyDescent="0.3">
      <c r="A120" s="46">
        <v>18</v>
      </c>
      <c r="B120" s="46" t="s">
        <v>894</v>
      </c>
      <c r="C120" s="46" t="s">
        <v>671</v>
      </c>
      <c r="D120" s="214" t="str">
        <f t="shared" si="21"/>
        <v>Do Not Print</v>
      </c>
      <c r="E120" s="212" t="s">
        <v>672</v>
      </c>
      <c r="F120" s="214" t="s">
        <v>725</v>
      </c>
      <c r="G120" s="214" t="s">
        <v>1090</v>
      </c>
      <c r="H120" s="214" t="s">
        <v>1017</v>
      </c>
      <c r="I120" s="230"/>
      <c r="J120" s="840">
        <v>0</v>
      </c>
      <c r="K120" s="840">
        <v>0</v>
      </c>
      <c r="L120" s="841">
        <f t="shared" si="15"/>
        <v>0</v>
      </c>
      <c r="M120" s="840">
        <v>0</v>
      </c>
      <c r="N120" s="840">
        <v>0</v>
      </c>
      <c r="O120" s="161">
        <f t="shared" si="16"/>
        <v>0</v>
      </c>
      <c r="P120" s="840">
        <v>0</v>
      </c>
      <c r="Q120" s="840">
        <v>0</v>
      </c>
      <c r="R120" s="841">
        <f t="shared" si="17"/>
        <v>0</v>
      </c>
      <c r="S120" s="840">
        <v>0</v>
      </c>
      <c r="T120" s="840">
        <v>0</v>
      </c>
      <c r="U120" s="161">
        <f t="shared" si="18"/>
        <v>0</v>
      </c>
      <c r="V120" s="841"/>
      <c r="W120" s="841"/>
      <c r="X120" s="841"/>
      <c r="Y120" s="233"/>
      <c r="Z120" s="233"/>
      <c r="AA120" s="233"/>
      <c r="AB120" s="214" t="s">
        <v>1017</v>
      </c>
      <c r="AD120" s="232">
        <f t="shared" si="19"/>
        <v>0</v>
      </c>
      <c r="AE120" s="232">
        <f t="shared" si="20"/>
        <v>0</v>
      </c>
      <c r="AG120" s="232">
        <f t="shared" si="22"/>
        <v>0</v>
      </c>
      <c r="AH120" s="232">
        <f t="shared" si="7"/>
        <v>0</v>
      </c>
      <c r="AI120" s="232"/>
    </row>
    <row r="121" spans="1:35" ht="69" x14ac:dyDescent="0.3">
      <c r="A121" s="46">
        <v>18</v>
      </c>
      <c r="B121" s="46" t="s">
        <v>894</v>
      </c>
      <c r="C121" s="46" t="s">
        <v>671</v>
      </c>
      <c r="D121" s="214" t="str">
        <f t="shared" si="21"/>
        <v>Do Not Print</v>
      </c>
      <c r="E121" s="212" t="s">
        <v>672</v>
      </c>
      <c r="F121" s="214" t="s">
        <v>725</v>
      </c>
      <c r="G121" s="214" t="s">
        <v>1091</v>
      </c>
      <c r="H121" s="214" t="s">
        <v>1018</v>
      </c>
      <c r="I121" s="230"/>
      <c r="J121" s="840">
        <v>0</v>
      </c>
      <c r="K121" s="840">
        <v>0</v>
      </c>
      <c r="L121" s="841">
        <f t="shared" si="15"/>
        <v>0</v>
      </c>
      <c r="M121" s="840">
        <v>0</v>
      </c>
      <c r="N121" s="840">
        <v>0</v>
      </c>
      <c r="O121" s="161">
        <f t="shared" si="16"/>
        <v>0</v>
      </c>
      <c r="P121" s="840">
        <v>0</v>
      </c>
      <c r="Q121" s="840">
        <v>0</v>
      </c>
      <c r="R121" s="841">
        <f t="shared" si="17"/>
        <v>0</v>
      </c>
      <c r="S121" s="840">
        <v>0</v>
      </c>
      <c r="T121" s="840">
        <v>0</v>
      </c>
      <c r="U121" s="161">
        <f t="shared" si="18"/>
        <v>0</v>
      </c>
      <c r="V121" s="841"/>
      <c r="W121" s="841"/>
      <c r="X121" s="841"/>
      <c r="Y121" s="233"/>
      <c r="Z121" s="233"/>
      <c r="AA121" s="233"/>
      <c r="AB121" s="214" t="s">
        <v>1018</v>
      </c>
      <c r="AD121" s="232">
        <f t="shared" si="19"/>
        <v>0</v>
      </c>
      <c r="AE121" s="232">
        <f t="shared" si="20"/>
        <v>0</v>
      </c>
      <c r="AG121" s="232">
        <f t="shared" si="22"/>
        <v>0</v>
      </c>
      <c r="AH121" s="232">
        <f>ROUND(U121,0)</f>
        <v>0</v>
      </c>
      <c r="AI121" s="232"/>
    </row>
    <row r="122" spans="1:35" ht="41.4" x14ac:dyDescent="0.3">
      <c r="A122" s="46">
        <v>18</v>
      </c>
      <c r="B122" s="46" t="s">
        <v>894</v>
      </c>
      <c r="C122" s="46" t="s">
        <v>671</v>
      </c>
      <c r="D122" s="214" t="str">
        <f t="shared" si="21"/>
        <v>Do Not Print</v>
      </c>
      <c r="E122" s="212" t="s">
        <v>672</v>
      </c>
      <c r="F122" s="214" t="s">
        <v>725</v>
      </c>
      <c r="G122" s="214" t="s">
        <v>437</v>
      </c>
      <c r="H122" s="214" t="s">
        <v>727</v>
      </c>
      <c r="I122" s="230"/>
      <c r="J122" s="840">
        <v>0</v>
      </c>
      <c r="K122" s="840">
        <v>0</v>
      </c>
      <c r="L122" s="841">
        <f t="shared" si="15"/>
        <v>0</v>
      </c>
      <c r="M122" s="840">
        <v>0</v>
      </c>
      <c r="N122" s="840">
        <v>0</v>
      </c>
      <c r="O122" s="161">
        <f t="shared" si="16"/>
        <v>0</v>
      </c>
      <c r="P122" s="840">
        <v>0</v>
      </c>
      <c r="Q122" s="840">
        <v>0</v>
      </c>
      <c r="R122" s="841">
        <f t="shared" si="17"/>
        <v>0</v>
      </c>
      <c r="S122" s="840">
        <v>0</v>
      </c>
      <c r="T122" s="840">
        <v>0</v>
      </c>
      <c r="U122" s="161">
        <f t="shared" si="18"/>
        <v>0</v>
      </c>
      <c r="V122" s="841"/>
      <c r="W122" s="841"/>
      <c r="X122" s="841"/>
      <c r="Y122" s="233"/>
      <c r="Z122" s="233"/>
      <c r="AA122" s="233"/>
      <c r="AB122" s="214" t="s">
        <v>727</v>
      </c>
      <c r="AD122" s="232">
        <f t="shared" si="19"/>
        <v>0</v>
      </c>
      <c r="AE122" s="232">
        <f t="shared" si="20"/>
        <v>0</v>
      </c>
      <c r="AG122" s="232">
        <f t="shared" si="22"/>
        <v>0</v>
      </c>
      <c r="AH122" s="232">
        <f t="shared" si="7"/>
        <v>0</v>
      </c>
      <c r="AI122" s="232"/>
    </row>
    <row r="123" spans="1:35" ht="27.6" x14ac:dyDescent="0.3">
      <c r="A123" s="46">
        <v>18</v>
      </c>
      <c r="B123" s="46" t="s">
        <v>894</v>
      </c>
      <c r="C123" s="46" t="s">
        <v>671</v>
      </c>
      <c r="D123" s="214" t="str">
        <f t="shared" si="21"/>
        <v>Do Not Print</v>
      </c>
      <c r="E123" s="212" t="s">
        <v>672</v>
      </c>
      <c r="F123" s="214" t="s">
        <v>725</v>
      </c>
      <c r="G123" s="214" t="s">
        <v>977</v>
      </c>
      <c r="H123" s="214" t="s">
        <v>1019</v>
      </c>
      <c r="I123" s="230"/>
      <c r="J123" s="842">
        <v>0</v>
      </c>
      <c r="K123" s="840">
        <v>0</v>
      </c>
      <c r="L123" s="841">
        <f t="shared" si="15"/>
        <v>0</v>
      </c>
      <c r="M123" s="842">
        <v>0</v>
      </c>
      <c r="N123" s="840">
        <v>0</v>
      </c>
      <c r="O123" s="161">
        <f t="shared" si="16"/>
        <v>0</v>
      </c>
      <c r="P123" s="842">
        <v>0</v>
      </c>
      <c r="Q123" s="840">
        <v>0</v>
      </c>
      <c r="R123" s="841">
        <f t="shared" si="17"/>
        <v>0</v>
      </c>
      <c r="S123" s="842">
        <v>0</v>
      </c>
      <c r="T123" s="840">
        <v>0</v>
      </c>
      <c r="U123" s="161">
        <f t="shared" si="18"/>
        <v>0</v>
      </c>
      <c r="V123" s="841"/>
      <c r="W123" s="841"/>
      <c r="X123" s="841"/>
      <c r="Y123" s="233"/>
      <c r="Z123" s="233"/>
      <c r="AA123" s="233"/>
      <c r="AB123" s="214" t="s">
        <v>1019</v>
      </c>
      <c r="AD123" s="232">
        <f t="shared" si="19"/>
        <v>0</v>
      </c>
      <c r="AE123" s="232">
        <f t="shared" si="20"/>
        <v>0</v>
      </c>
      <c r="AG123" s="232">
        <f t="shared" si="22"/>
        <v>0</v>
      </c>
      <c r="AH123" s="232">
        <f t="shared" si="7"/>
        <v>0</v>
      </c>
      <c r="AI123" s="232"/>
    </row>
    <row r="124" spans="1:35" ht="27.6" x14ac:dyDescent="0.3">
      <c r="A124" s="46">
        <v>18</v>
      </c>
      <c r="B124" s="46" t="s">
        <v>894</v>
      </c>
      <c r="C124" s="46" t="s">
        <v>671</v>
      </c>
      <c r="D124" s="214" t="str">
        <f t="shared" si="21"/>
        <v>Do Not Print</v>
      </c>
      <c r="E124" s="212" t="s">
        <v>672</v>
      </c>
      <c r="F124" s="214" t="s">
        <v>725</v>
      </c>
      <c r="G124" s="214" t="s">
        <v>979</v>
      </c>
      <c r="H124" s="214" t="s">
        <v>728</v>
      </c>
      <c r="I124" s="230"/>
      <c r="J124" s="842">
        <v>0</v>
      </c>
      <c r="K124" s="840">
        <v>0</v>
      </c>
      <c r="L124" s="841">
        <f t="shared" si="15"/>
        <v>0</v>
      </c>
      <c r="M124" s="842">
        <v>0</v>
      </c>
      <c r="N124" s="840">
        <v>0</v>
      </c>
      <c r="O124" s="161">
        <f t="shared" si="16"/>
        <v>0</v>
      </c>
      <c r="P124" s="842">
        <v>0</v>
      </c>
      <c r="Q124" s="840">
        <v>0</v>
      </c>
      <c r="R124" s="841">
        <f t="shared" si="17"/>
        <v>0</v>
      </c>
      <c r="S124" s="842">
        <v>0</v>
      </c>
      <c r="T124" s="840">
        <v>0</v>
      </c>
      <c r="U124" s="161">
        <f t="shared" si="18"/>
        <v>0</v>
      </c>
      <c r="V124" s="841"/>
      <c r="W124" s="841"/>
      <c r="X124" s="841"/>
      <c r="Y124" s="233"/>
      <c r="Z124" s="233"/>
      <c r="AA124" s="233"/>
      <c r="AB124" s="214" t="s">
        <v>728</v>
      </c>
      <c r="AD124" s="232">
        <f t="shared" si="19"/>
        <v>0</v>
      </c>
      <c r="AE124" s="232">
        <f t="shared" si="20"/>
        <v>0</v>
      </c>
      <c r="AG124" s="232">
        <f t="shared" si="22"/>
        <v>0</v>
      </c>
      <c r="AH124" s="232">
        <f t="shared" si="7"/>
        <v>0</v>
      </c>
      <c r="AI124" s="232"/>
    </row>
    <row r="125" spans="1:35" ht="41.4" x14ac:dyDescent="0.3">
      <c r="A125" s="46">
        <v>18</v>
      </c>
      <c r="B125" s="46" t="s">
        <v>894</v>
      </c>
      <c r="C125" s="46" t="s">
        <v>671</v>
      </c>
      <c r="D125" s="214" t="str">
        <f t="shared" si="21"/>
        <v>Do Not Print</v>
      </c>
      <c r="E125" s="212" t="s">
        <v>672</v>
      </c>
      <c r="F125" s="214" t="s">
        <v>725</v>
      </c>
      <c r="G125" s="214" t="s">
        <v>980</v>
      </c>
      <c r="H125" s="214" t="s">
        <v>729</v>
      </c>
      <c r="I125" s="230"/>
      <c r="J125" s="840">
        <v>0</v>
      </c>
      <c r="K125" s="840">
        <v>0</v>
      </c>
      <c r="L125" s="841">
        <f t="shared" si="15"/>
        <v>0</v>
      </c>
      <c r="M125" s="840">
        <v>0</v>
      </c>
      <c r="N125" s="840">
        <v>0</v>
      </c>
      <c r="O125" s="161">
        <f t="shared" si="16"/>
        <v>0</v>
      </c>
      <c r="P125" s="840">
        <v>0</v>
      </c>
      <c r="Q125" s="840">
        <v>0</v>
      </c>
      <c r="R125" s="841">
        <f t="shared" si="17"/>
        <v>0</v>
      </c>
      <c r="S125" s="840">
        <v>0</v>
      </c>
      <c r="T125" s="840">
        <v>0</v>
      </c>
      <c r="U125" s="161">
        <f t="shared" si="18"/>
        <v>0</v>
      </c>
      <c r="V125" s="841"/>
      <c r="W125" s="841"/>
      <c r="X125" s="841"/>
      <c r="Y125" s="233"/>
      <c r="Z125" s="233"/>
      <c r="AA125" s="233"/>
      <c r="AB125" s="214" t="s">
        <v>729</v>
      </c>
      <c r="AD125" s="232">
        <f t="shared" si="19"/>
        <v>0</v>
      </c>
      <c r="AE125" s="232">
        <f t="shared" si="20"/>
        <v>0</v>
      </c>
      <c r="AG125" s="232">
        <f t="shared" si="22"/>
        <v>0</v>
      </c>
      <c r="AH125" s="232">
        <f>ROUND(U125,0)</f>
        <v>0</v>
      </c>
      <c r="AI125" s="232"/>
    </row>
    <row r="126" spans="1:35" ht="27.6" x14ac:dyDescent="0.3">
      <c r="A126" s="46">
        <v>18</v>
      </c>
      <c r="B126" s="46" t="s">
        <v>894</v>
      </c>
      <c r="C126" s="46" t="s">
        <v>671</v>
      </c>
      <c r="D126" s="214" t="str">
        <f t="shared" si="21"/>
        <v>Do Not Print</v>
      </c>
      <c r="E126" s="212" t="s">
        <v>672</v>
      </c>
      <c r="F126" s="214" t="s">
        <v>725</v>
      </c>
      <c r="G126" s="214" t="s">
        <v>1093</v>
      </c>
      <c r="H126" s="214" t="s">
        <v>994</v>
      </c>
      <c r="I126" s="230"/>
      <c r="J126" s="840">
        <v>0</v>
      </c>
      <c r="K126" s="840">
        <v>0</v>
      </c>
      <c r="L126" s="841">
        <f t="shared" si="15"/>
        <v>0</v>
      </c>
      <c r="M126" s="840">
        <v>0</v>
      </c>
      <c r="N126" s="840">
        <v>0</v>
      </c>
      <c r="O126" s="161">
        <f t="shared" si="16"/>
        <v>0</v>
      </c>
      <c r="P126" s="840">
        <v>0</v>
      </c>
      <c r="Q126" s="840">
        <v>0</v>
      </c>
      <c r="R126" s="841">
        <f t="shared" si="17"/>
        <v>0</v>
      </c>
      <c r="S126" s="840">
        <v>0</v>
      </c>
      <c r="T126" s="840">
        <v>0</v>
      </c>
      <c r="U126" s="161">
        <f t="shared" si="18"/>
        <v>0</v>
      </c>
      <c r="V126" s="841"/>
      <c r="W126" s="841"/>
      <c r="X126" s="841"/>
      <c r="Y126" s="233"/>
      <c r="Z126" s="233"/>
      <c r="AA126" s="233"/>
      <c r="AB126" s="214" t="s">
        <v>994</v>
      </c>
      <c r="AD126" s="232">
        <f t="shared" si="19"/>
        <v>0</v>
      </c>
      <c r="AE126" s="232">
        <f t="shared" si="20"/>
        <v>0</v>
      </c>
      <c r="AG126" s="232">
        <f t="shared" si="22"/>
        <v>0</v>
      </c>
      <c r="AH126" s="232">
        <f t="shared" ref="AH126:AH141" si="23">ROUND(U126,0)</f>
        <v>0</v>
      </c>
      <c r="AI126" s="232"/>
    </row>
    <row r="127" spans="1:35" ht="27.6" x14ac:dyDescent="0.3">
      <c r="A127" s="46">
        <v>18</v>
      </c>
      <c r="B127" s="46" t="s">
        <v>894</v>
      </c>
      <c r="C127" s="46" t="s">
        <v>671</v>
      </c>
      <c r="D127" s="214" t="str">
        <f t="shared" si="21"/>
        <v>Do Not Print</v>
      </c>
      <c r="E127" s="212" t="s">
        <v>672</v>
      </c>
      <c r="F127" s="214" t="s">
        <v>725</v>
      </c>
      <c r="G127" s="214" t="s">
        <v>438</v>
      </c>
      <c r="H127" s="214" t="s">
        <v>1020</v>
      </c>
      <c r="I127" s="230"/>
      <c r="J127" s="839">
        <f>P127+P128+P129-P130-P131-P132-P133-P134-P135+P136+P137+SUM(Q127:Q137)+P117+Q117</f>
        <v>0</v>
      </c>
      <c r="K127" s="840">
        <v>0</v>
      </c>
      <c r="L127" s="841">
        <f t="shared" si="15"/>
        <v>0</v>
      </c>
      <c r="M127" s="839">
        <f>S127+S128+S129-S130-S131-S132-S133-S134-S135+S136+S137+SUM(T127:T137)</f>
        <v>0</v>
      </c>
      <c r="N127" s="840">
        <v>0</v>
      </c>
      <c r="O127" s="161">
        <f t="shared" si="16"/>
        <v>0</v>
      </c>
      <c r="P127" s="840">
        <v>0</v>
      </c>
      <c r="Q127" s="840">
        <v>0</v>
      </c>
      <c r="R127" s="841">
        <f t="shared" si="17"/>
        <v>0</v>
      </c>
      <c r="S127" s="840">
        <v>0</v>
      </c>
      <c r="T127" s="840">
        <v>0</v>
      </c>
      <c r="U127" s="161">
        <f t="shared" si="18"/>
        <v>0</v>
      </c>
      <c r="V127" s="841"/>
      <c r="W127" s="841"/>
      <c r="X127" s="841"/>
      <c r="Y127" s="233"/>
      <c r="Z127" s="233"/>
      <c r="AA127" s="233"/>
      <c r="AB127" s="214" t="s">
        <v>1020</v>
      </c>
      <c r="AD127" s="232">
        <f t="shared" si="19"/>
        <v>0</v>
      </c>
      <c r="AE127" s="232">
        <f t="shared" si="20"/>
        <v>0</v>
      </c>
      <c r="AG127" s="232">
        <f t="shared" si="22"/>
        <v>0</v>
      </c>
      <c r="AH127" s="232">
        <f t="shared" si="23"/>
        <v>0</v>
      </c>
      <c r="AI127" s="232"/>
    </row>
    <row r="128" spans="1:35" ht="41.4" x14ac:dyDescent="0.3">
      <c r="A128" s="46">
        <v>18</v>
      </c>
      <c r="B128" s="46" t="s">
        <v>894</v>
      </c>
      <c r="C128" s="46" t="s">
        <v>671</v>
      </c>
      <c r="D128" s="214" t="str">
        <f t="shared" ref="D128:D159" si="24">IF(AND(O128=0,U128=0,V128=0),"Do Not Print","Print")</f>
        <v>Do Not Print</v>
      </c>
      <c r="E128" s="212" t="s">
        <v>672</v>
      </c>
      <c r="F128" s="214" t="s">
        <v>725</v>
      </c>
      <c r="G128" s="213" t="s">
        <v>101</v>
      </c>
      <c r="H128" s="213" t="s">
        <v>101</v>
      </c>
      <c r="I128" s="230"/>
      <c r="J128" s="840">
        <v>0</v>
      </c>
      <c r="K128" s="840">
        <v>0</v>
      </c>
      <c r="L128" s="841">
        <f t="shared" si="15"/>
        <v>0</v>
      </c>
      <c r="M128" s="840">
        <v>0</v>
      </c>
      <c r="N128" s="840">
        <v>0</v>
      </c>
      <c r="O128" s="161">
        <f t="shared" si="16"/>
        <v>0</v>
      </c>
      <c r="P128" s="840">
        <v>0</v>
      </c>
      <c r="Q128" s="840">
        <v>0</v>
      </c>
      <c r="R128" s="841">
        <f t="shared" si="17"/>
        <v>0</v>
      </c>
      <c r="S128" s="840">
        <v>0</v>
      </c>
      <c r="T128" s="840">
        <v>0</v>
      </c>
      <c r="U128" s="161">
        <f t="shared" si="18"/>
        <v>0</v>
      </c>
      <c r="V128" s="841"/>
      <c r="W128" s="841"/>
      <c r="X128" s="841"/>
      <c r="Y128" s="233"/>
      <c r="Z128" s="233"/>
      <c r="AA128" s="233"/>
      <c r="AB128" s="213" t="s">
        <v>101</v>
      </c>
      <c r="AD128" s="232">
        <f t="shared" si="19"/>
        <v>0</v>
      </c>
      <c r="AE128" s="232">
        <f t="shared" si="20"/>
        <v>0</v>
      </c>
      <c r="AG128" s="232">
        <f t="shared" si="22"/>
        <v>0</v>
      </c>
      <c r="AH128" s="232">
        <f t="shared" si="23"/>
        <v>0</v>
      </c>
      <c r="AI128" s="232"/>
    </row>
    <row r="129" spans="1:35" ht="27.6" x14ac:dyDescent="0.3">
      <c r="A129" s="46">
        <v>18</v>
      </c>
      <c r="B129" s="46" t="s">
        <v>894</v>
      </c>
      <c r="C129" s="46" t="s">
        <v>671</v>
      </c>
      <c r="D129" s="214" t="str">
        <f t="shared" si="24"/>
        <v>Do Not Print</v>
      </c>
      <c r="E129" s="212" t="s">
        <v>672</v>
      </c>
      <c r="F129" s="214" t="s">
        <v>725</v>
      </c>
      <c r="G129" s="214" t="s">
        <v>109</v>
      </c>
      <c r="H129" s="214" t="s">
        <v>1021</v>
      </c>
      <c r="I129" s="230"/>
      <c r="J129" s="840">
        <v>0</v>
      </c>
      <c r="K129" s="840">
        <v>0</v>
      </c>
      <c r="L129" s="841">
        <f t="shared" si="15"/>
        <v>0</v>
      </c>
      <c r="M129" s="840">
        <v>0</v>
      </c>
      <c r="N129" s="840">
        <v>0</v>
      </c>
      <c r="O129" s="161">
        <f t="shared" si="16"/>
        <v>0</v>
      </c>
      <c r="P129" s="840">
        <v>0</v>
      </c>
      <c r="Q129" s="840">
        <v>0</v>
      </c>
      <c r="R129" s="841">
        <f t="shared" si="17"/>
        <v>0</v>
      </c>
      <c r="S129" s="840">
        <v>0</v>
      </c>
      <c r="T129" s="840">
        <v>0</v>
      </c>
      <c r="U129" s="161">
        <f t="shared" si="18"/>
        <v>0</v>
      </c>
      <c r="V129" s="841"/>
      <c r="W129" s="841"/>
      <c r="X129" s="841"/>
      <c r="Y129" s="233"/>
      <c r="Z129" s="233"/>
      <c r="AA129" s="233"/>
      <c r="AB129" s="214" t="s">
        <v>1021</v>
      </c>
      <c r="AD129" s="232">
        <f t="shared" si="19"/>
        <v>0</v>
      </c>
      <c r="AE129" s="232">
        <f t="shared" si="20"/>
        <v>0</v>
      </c>
      <c r="AG129" s="232">
        <f t="shared" si="22"/>
        <v>0</v>
      </c>
      <c r="AH129" s="232">
        <f t="shared" si="23"/>
        <v>0</v>
      </c>
      <c r="AI129" s="232"/>
    </row>
    <row r="130" spans="1:35" ht="41.4" x14ac:dyDescent="0.3">
      <c r="A130" s="46">
        <v>18</v>
      </c>
      <c r="B130" s="46" t="s">
        <v>894</v>
      </c>
      <c r="C130" s="46" t="s">
        <v>671</v>
      </c>
      <c r="D130" s="214" t="str">
        <f t="shared" si="24"/>
        <v>Do Not Print</v>
      </c>
      <c r="E130" s="212" t="s">
        <v>672</v>
      </c>
      <c r="F130" s="214" t="s">
        <v>725</v>
      </c>
      <c r="G130" s="214" t="s">
        <v>1092</v>
      </c>
      <c r="H130" s="214" t="s">
        <v>1022</v>
      </c>
      <c r="I130" s="230"/>
      <c r="J130" s="840">
        <v>0</v>
      </c>
      <c r="K130" s="840">
        <v>0</v>
      </c>
      <c r="L130" s="841">
        <f t="shared" si="15"/>
        <v>0</v>
      </c>
      <c r="M130" s="840">
        <v>0</v>
      </c>
      <c r="N130" s="840">
        <v>0</v>
      </c>
      <c r="O130" s="161">
        <f t="shared" si="16"/>
        <v>0</v>
      </c>
      <c r="P130" s="840">
        <v>0</v>
      </c>
      <c r="Q130" s="840">
        <v>0</v>
      </c>
      <c r="R130" s="841">
        <f t="shared" si="17"/>
        <v>0</v>
      </c>
      <c r="S130" s="840">
        <v>0</v>
      </c>
      <c r="T130" s="840">
        <v>0</v>
      </c>
      <c r="U130" s="161">
        <f t="shared" si="18"/>
        <v>0</v>
      </c>
      <c r="V130" s="841"/>
      <c r="W130" s="841"/>
      <c r="X130" s="841"/>
      <c r="Y130" s="233"/>
      <c r="Z130" s="233"/>
      <c r="AA130" s="233"/>
      <c r="AB130" s="214" t="s">
        <v>1022</v>
      </c>
      <c r="AD130" s="232">
        <f t="shared" si="19"/>
        <v>0</v>
      </c>
      <c r="AE130" s="232">
        <f t="shared" si="20"/>
        <v>0</v>
      </c>
      <c r="AG130" s="232">
        <f t="shared" si="22"/>
        <v>0</v>
      </c>
      <c r="AH130" s="232">
        <f t="shared" si="23"/>
        <v>0</v>
      </c>
      <c r="AI130" s="232"/>
    </row>
    <row r="131" spans="1:35" ht="55.2" x14ac:dyDescent="0.3">
      <c r="A131" s="46">
        <v>18</v>
      </c>
      <c r="B131" s="46" t="s">
        <v>894</v>
      </c>
      <c r="C131" s="46" t="s">
        <v>671</v>
      </c>
      <c r="D131" s="214" t="str">
        <f t="shared" si="24"/>
        <v>Do Not Print</v>
      </c>
      <c r="E131" s="212" t="s">
        <v>672</v>
      </c>
      <c r="F131" s="214" t="s">
        <v>725</v>
      </c>
      <c r="G131" s="214" t="s">
        <v>111</v>
      </c>
      <c r="H131" s="214" t="s">
        <v>111</v>
      </c>
      <c r="I131" s="230"/>
      <c r="J131" s="840">
        <v>0</v>
      </c>
      <c r="K131" s="840">
        <v>0</v>
      </c>
      <c r="L131" s="841">
        <f t="shared" si="15"/>
        <v>0</v>
      </c>
      <c r="M131" s="840">
        <v>0</v>
      </c>
      <c r="N131" s="840">
        <v>0</v>
      </c>
      <c r="O131" s="161">
        <f t="shared" si="16"/>
        <v>0</v>
      </c>
      <c r="P131" s="840">
        <v>0</v>
      </c>
      <c r="Q131" s="840">
        <v>0</v>
      </c>
      <c r="R131" s="841">
        <f t="shared" si="17"/>
        <v>0</v>
      </c>
      <c r="S131" s="840">
        <v>0</v>
      </c>
      <c r="T131" s="840">
        <v>0</v>
      </c>
      <c r="U131" s="161">
        <f t="shared" si="18"/>
        <v>0</v>
      </c>
      <c r="V131" s="841"/>
      <c r="W131" s="841"/>
      <c r="X131" s="841"/>
      <c r="Y131" s="233"/>
      <c r="Z131" s="233"/>
      <c r="AA131" s="233"/>
      <c r="AB131" s="214" t="s">
        <v>111</v>
      </c>
      <c r="AD131" s="232">
        <f t="shared" si="19"/>
        <v>0</v>
      </c>
      <c r="AE131" s="232">
        <f t="shared" si="20"/>
        <v>0</v>
      </c>
      <c r="AG131" s="232">
        <f t="shared" si="22"/>
        <v>0</v>
      </c>
      <c r="AH131" s="232">
        <f t="shared" si="23"/>
        <v>0</v>
      </c>
      <c r="AI131" s="232"/>
    </row>
    <row r="132" spans="1:35" ht="41.4" x14ac:dyDescent="0.3">
      <c r="A132" s="46">
        <v>18</v>
      </c>
      <c r="B132" s="46" t="s">
        <v>894</v>
      </c>
      <c r="C132" s="46" t="s">
        <v>671</v>
      </c>
      <c r="D132" s="214" t="str">
        <f t="shared" si="24"/>
        <v>Do Not Print</v>
      </c>
      <c r="E132" s="212" t="s">
        <v>672</v>
      </c>
      <c r="F132" s="214" t="s">
        <v>725</v>
      </c>
      <c r="G132" s="214" t="s">
        <v>982</v>
      </c>
      <c r="H132" s="214" t="s">
        <v>1023</v>
      </c>
      <c r="I132" s="230"/>
      <c r="J132" s="840">
        <v>0</v>
      </c>
      <c r="K132" s="840">
        <v>0</v>
      </c>
      <c r="L132" s="841">
        <f t="shared" si="15"/>
        <v>0</v>
      </c>
      <c r="M132" s="840">
        <v>0</v>
      </c>
      <c r="N132" s="840">
        <v>0</v>
      </c>
      <c r="O132" s="161">
        <f t="shared" si="16"/>
        <v>0</v>
      </c>
      <c r="P132" s="840">
        <v>0</v>
      </c>
      <c r="Q132" s="840">
        <v>0</v>
      </c>
      <c r="R132" s="841">
        <f t="shared" si="17"/>
        <v>0</v>
      </c>
      <c r="S132" s="840">
        <v>0</v>
      </c>
      <c r="T132" s="840">
        <v>0</v>
      </c>
      <c r="U132" s="161">
        <f t="shared" si="18"/>
        <v>0</v>
      </c>
      <c r="V132" s="841"/>
      <c r="W132" s="841"/>
      <c r="X132" s="841"/>
      <c r="Y132" s="233"/>
      <c r="Z132" s="233"/>
      <c r="AA132" s="233"/>
      <c r="AB132" s="214" t="s">
        <v>1023</v>
      </c>
      <c r="AD132" s="232">
        <f t="shared" si="19"/>
        <v>0</v>
      </c>
      <c r="AE132" s="232">
        <f t="shared" si="20"/>
        <v>0</v>
      </c>
      <c r="AG132" s="232">
        <f t="shared" ref="AG132:AG163" si="25">ROUND(O132,0)</f>
        <v>0</v>
      </c>
      <c r="AH132" s="232">
        <f t="shared" si="23"/>
        <v>0</v>
      </c>
      <c r="AI132" s="232"/>
    </row>
    <row r="133" spans="1:35" ht="41.4" x14ac:dyDescent="0.3">
      <c r="A133" s="46">
        <v>18</v>
      </c>
      <c r="B133" s="46" t="s">
        <v>894</v>
      </c>
      <c r="C133" s="46" t="s">
        <v>671</v>
      </c>
      <c r="D133" s="214" t="str">
        <f t="shared" si="24"/>
        <v>Do Not Print</v>
      </c>
      <c r="E133" s="212" t="s">
        <v>672</v>
      </c>
      <c r="F133" s="214" t="s">
        <v>725</v>
      </c>
      <c r="G133" s="214" t="s">
        <v>981</v>
      </c>
      <c r="H133" s="214" t="s">
        <v>1024</v>
      </c>
      <c r="I133" s="230"/>
      <c r="J133" s="840">
        <v>0</v>
      </c>
      <c r="K133" s="840">
        <v>0</v>
      </c>
      <c r="L133" s="841">
        <f t="shared" si="15"/>
        <v>0</v>
      </c>
      <c r="M133" s="840">
        <v>0</v>
      </c>
      <c r="N133" s="840">
        <v>0</v>
      </c>
      <c r="O133" s="161">
        <f t="shared" si="16"/>
        <v>0</v>
      </c>
      <c r="P133" s="840">
        <v>0</v>
      </c>
      <c r="Q133" s="840">
        <v>0</v>
      </c>
      <c r="R133" s="841">
        <f t="shared" si="17"/>
        <v>0</v>
      </c>
      <c r="S133" s="840">
        <v>0</v>
      </c>
      <c r="T133" s="840">
        <v>0</v>
      </c>
      <c r="U133" s="161">
        <f t="shared" si="18"/>
        <v>0</v>
      </c>
      <c r="V133" s="841"/>
      <c r="W133" s="841"/>
      <c r="X133" s="841"/>
      <c r="Y133" s="233"/>
      <c r="Z133" s="233"/>
      <c r="AA133" s="233"/>
      <c r="AB133" s="214" t="s">
        <v>1024</v>
      </c>
      <c r="AD133" s="232">
        <f t="shared" si="19"/>
        <v>0</v>
      </c>
      <c r="AE133" s="232">
        <f t="shared" si="20"/>
        <v>0</v>
      </c>
      <c r="AG133" s="232">
        <f t="shared" si="25"/>
        <v>0</v>
      </c>
      <c r="AH133" s="232">
        <f t="shared" si="23"/>
        <v>0</v>
      </c>
      <c r="AI133" s="232"/>
    </row>
    <row r="134" spans="1:35" ht="27.6" x14ac:dyDescent="0.3">
      <c r="A134" s="46">
        <v>18</v>
      </c>
      <c r="B134" s="46" t="s">
        <v>894</v>
      </c>
      <c r="C134" s="46" t="s">
        <v>671</v>
      </c>
      <c r="D134" s="214" t="str">
        <f t="shared" si="24"/>
        <v>Do Not Print</v>
      </c>
      <c r="E134" s="212" t="s">
        <v>672</v>
      </c>
      <c r="F134" s="214" t="s">
        <v>725</v>
      </c>
      <c r="G134" s="214" t="s">
        <v>977</v>
      </c>
      <c r="H134" s="214" t="s">
        <v>1025</v>
      </c>
      <c r="I134" s="230"/>
      <c r="J134" s="840">
        <v>0</v>
      </c>
      <c r="K134" s="840">
        <v>0</v>
      </c>
      <c r="L134" s="841">
        <f t="shared" si="15"/>
        <v>0</v>
      </c>
      <c r="M134" s="840">
        <v>0</v>
      </c>
      <c r="N134" s="840">
        <v>0</v>
      </c>
      <c r="O134" s="161">
        <f t="shared" si="16"/>
        <v>0</v>
      </c>
      <c r="P134" s="840">
        <v>0</v>
      </c>
      <c r="Q134" s="840">
        <v>0</v>
      </c>
      <c r="R134" s="841">
        <f t="shared" si="17"/>
        <v>0</v>
      </c>
      <c r="S134" s="840">
        <v>0</v>
      </c>
      <c r="T134" s="840">
        <v>0</v>
      </c>
      <c r="U134" s="161">
        <f t="shared" si="18"/>
        <v>0</v>
      </c>
      <c r="V134" s="841"/>
      <c r="W134" s="841"/>
      <c r="X134" s="841"/>
      <c r="Y134" s="233"/>
      <c r="Z134" s="233"/>
      <c r="AA134" s="233"/>
      <c r="AB134" s="214" t="s">
        <v>1025</v>
      </c>
      <c r="AD134" s="232">
        <f t="shared" si="19"/>
        <v>0</v>
      </c>
      <c r="AE134" s="232">
        <f t="shared" si="20"/>
        <v>0</v>
      </c>
      <c r="AG134" s="232">
        <f t="shared" si="25"/>
        <v>0</v>
      </c>
      <c r="AH134" s="232">
        <f t="shared" si="23"/>
        <v>0</v>
      </c>
      <c r="AI134" s="232"/>
    </row>
    <row r="135" spans="1:35" ht="41.4" x14ac:dyDescent="0.3">
      <c r="A135" s="46">
        <v>18</v>
      </c>
      <c r="B135" s="46" t="s">
        <v>894</v>
      </c>
      <c r="C135" s="46" t="s">
        <v>671</v>
      </c>
      <c r="D135" s="214" t="str">
        <f t="shared" si="24"/>
        <v>Do Not Print</v>
      </c>
      <c r="E135" s="212" t="s">
        <v>672</v>
      </c>
      <c r="F135" s="214" t="s">
        <v>725</v>
      </c>
      <c r="G135" s="214" t="s">
        <v>979</v>
      </c>
      <c r="H135" s="214" t="s">
        <v>1026</v>
      </c>
      <c r="I135" s="230"/>
      <c r="J135" s="840">
        <v>0</v>
      </c>
      <c r="K135" s="840">
        <v>0</v>
      </c>
      <c r="L135" s="841">
        <f t="shared" ref="L135:L198" si="26">SUM(J135:K135)</f>
        <v>0</v>
      </c>
      <c r="M135" s="840">
        <v>0</v>
      </c>
      <c r="N135" s="840">
        <v>0</v>
      </c>
      <c r="O135" s="161">
        <f t="shared" ref="O135:O198" si="27">SUM(M135:N135)+L135</f>
        <v>0</v>
      </c>
      <c r="P135" s="840">
        <v>0</v>
      </c>
      <c r="Q135" s="840">
        <v>0</v>
      </c>
      <c r="R135" s="841">
        <f t="shared" ref="R135:R198" si="28">SUM(P135:Q135)</f>
        <v>0</v>
      </c>
      <c r="S135" s="840">
        <v>0</v>
      </c>
      <c r="T135" s="840">
        <v>0</v>
      </c>
      <c r="U135" s="161">
        <f t="shared" ref="U135:U198" si="29">R135+SUM(S135:T135)</f>
        <v>0</v>
      </c>
      <c r="V135" s="841"/>
      <c r="W135" s="841"/>
      <c r="X135" s="841"/>
      <c r="Y135" s="233"/>
      <c r="Z135" s="233"/>
      <c r="AA135" s="233"/>
      <c r="AB135" s="214" t="s">
        <v>1026</v>
      </c>
      <c r="AD135" s="232">
        <f t="shared" ref="AD135:AD198" si="30">ROUND(L135,0)</f>
        <v>0</v>
      </c>
      <c r="AE135" s="232">
        <f t="shared" ref="AE135:AE198" si="31">ROUND(R135,0)</f>
        <v>0</v>
      </c>
      <c r="AG135" s="232">
        <f t="shared" si="25"/>
        <v>0</v>
      </c>
      <c r="AH135" s="232">
        <f t="shared" si="23"/>
        <v>0</v>
      </c>
      <c r="AI135" s="232"/>
    </row>
    <row r="136" spans="1:35" ht="41.4" x14ac:dyDescent="0.3">
      <c r="A136" s="46">
        <v>18</v>
      </c>
      <c r="B136" s="46" t="s">
        <v>894</v>
      </c>
      <c r="C136" s="46" t="s">
        <v>671</v>
      </c>
      <c r="D136" s="214" t="str">
        <f t="shared" si="24"/>
        <v>Do Not Print</v>
      </c>
      <c r="E136" s="212" t="s">
        <v>672</v>
      </c>
      <c r="F136" s="214" t="s">
        <v>725</v>
      </c>
      <c r="G136" s="214" t="s">
        <v>980</v>
      </c>
      <c r="H136" s="214" t="s">
        <v>1027</v>
      </c>
      <c r="I136" s="230"/>
      <c r="J136" s="840">
        <v>0</v>
      </c>
      <c r="K136" s="840">
        <v>0</v>
      </c>
      <c r="L136" s="841">
        <f t="shared" si="26"/>
        <v>0</v>
      </c>
      <c r="M136" s="840">
        <v>0</v>
      </c>
      <c r="N136" s="840">
        <v>0</v>
      </c>
      <c r="O136" s="161">
        <f t="shared" si="27"/>
        <v>0</v>
      </c>
      <c r="P136" s="840">
        <v>0</v>
      </c>
      <c r="Q136" s="840">
        <v>0</v>
      </c>
      <c r="R136" s="841">
        <f t="shared" si="28"/>
        <v>0</v>
      </c>
      <c r="S136" s="840">
        <v>0</v>
      </c>
      <c r="T136" s="840">
        <v>0</v>
      </c>
      <c r="U136" s="161">
        <f t="shared" si="29"/>
        <v>0</v>
      </c>
      <c r="V136" s="841"/>
      <c r="W136" s="841"/>
      <c r="X136" s="841"/>
      <c r="Y136" s="233"/>
      <c r="Z136" s="233"/>
      <c r="AA136" s="233"/>
      <c r="AB136" s="214" t="s">
        <v>1027</v>
      </c>
      <c r="AD136" s="232">
        <f t="shared" si="30"/>
        <v>0</v>
      </c>
      <c r="AE136" s="232">
        <f t="shared" si="31"/>
        <v>0</v>
      </c>
      <c r="AG136" s="232">
        <f t="shared" si="25"/>
        <v>0</v>
      </c>
      <c r="AH136" s="232">
        <f t="shared" si="23"/>
        <v>0</v>
      </c>
      <c r="AI136" s="232"/>
    </row>
    <row r="137" spans="1:35" ht="41.4" x14ac:dyDescent="0.3">
      <c r="A137" s="46">
        <v>18</v>
      </c>
      <c r="B137" s="46" t="s">
        <v>894</v>
      </c>
      <c r="C137" s="46" t="s">
        <v>671</v>
      </c>
      <c r="D137" s="214" t="str">
        <f t="shared" si="24"/>
        <v>Do Not Print</v>
      </c>
      <c r="E137" s="212" t="s">
        <v>672</v>
      </c>
      <c r="F137" s="214" t="s">
        <v>725</v>
      </c>
      <c r="G137" s="214" t="s">
        <v>1093</v>
      </c>
      <c r="H137" s="214" t="s">
        <v>997</v>
      </c>
      <c r="I137" s="230"/>
      <c r="J137" s="840">
        <v>0</v>
      </c>
      <c r="K137" s="840">
        <v>0</v>
      </c>
      <c r="L137" s="841">
        <f t="shared" si="26"/>
        <v>0</v>
      </c>
      <c r="M137" s="840">
        <v>0</v>
      </c>
      <c r="N137" s="840">
        <v>0</v>
      </c>
      <c r="O137" s="161">
        <f t="shared" si="27"/>
        <v>0</v>
      </c>
      <c r="P137" s="840">
        <v>0</v>
      </c>
      <c r="Q137" s="840">
        <v>0</v>
      </c>
      <c r="R137" s="841">
        <f t="shared" si="28"/>
        <v>0</v>
      </c>
      <c r="S137" s="840">
        <v>0</v>
      </c>
      <c r="T137" s="840">
        <v>0</v>
      </c>
      <c r="U137" s="161">
        <f t="shared" si="29"/>
        <v>0</v>
      </c>
      <c r="V137" s="841"/>
      <c r="W137" s="841"/>
      <c r="X137" s="841"/>
      <c r="Y137" s="233"/>
      <c r="Z137" s="233"/>
      <c r="AA137" s="233"/>
      <c r="AB137" s="214" t="s">
        <v>997</v>
      </c>
      <c r="AD137" s="232">
        <f t="shared" si="30"/>
        <v>0</v>
      </c>
      <c r="AE137" s="232">
        <f t="shared" si="31"/>
        <v>0</v>
      </c>
      <c r="AG137" s="232">
        <f t="shared" si="25"/>
        <v>0</v>
      </c>
      <c r="AH137" s="232">
        <f t="shared" si="23"/>
        <v>0</v>
      </c>
      <c r="AI137" s="232"/>
    </row>
    <row r="138" spans="1:35" ht="27.6" x14ac:dyDescent="0.3">
      <c r="A138" s="46">
        <v>19</v>
      </c>
      <c r="B138" s="46" t="s">
        <v>895</v>
      </c>
      <c r="C138" s="46" t="s">
        <v>671</v>
      </c>
      <c r="D138" s="214" t="str">
        <f t="shared" si="24"/>
        <v>Do Not Print</v>
      </c>
      <c r="E138" s="212" t="s">
        <v>672</v>
      </c>
      <c r="F138" s="214" t="s">
        <v>98</v>
      </c>
      <c r="G138" s="214" t="s">
        <v>436</v>
      </c>
      <c r="H138" s="214" t="s">
        <v>730</v>
      </c>
      <c r="I138" s="230"/>
      <c r="J138" s="839">
        <f>SUM(P138:P148)+SUM(Q138:Q148)</f>
        <v>0</v>
      </c>
      <c r="K138" s="840">
        <v>0</v>
      </c>
      <c r="L138" s="841">
        <f t="shared" si="26"/>
        <v>0</v>
      </c>
      <c r="M138" s="839">
        <f>SUM(S138:S148)+SUM(T138:T148)</f>
        <v>0</v>
      </c>
      <c r="N138" s="840">
        <v>0</v>
      </c>
      <c r="O138" s="161">
        <f t="shared" si="27"/>
        <v>0</v>
      </c>
      <c r="P138" s="840">
        <v>0</v>
      </c>
      <c r="Q138" s="840">
        <v>0</v>
      </c>
      <c r="R138" s="841">
        <f t="shared" si="28"/>
        <v>0</v>
      </c>
      <c r="S138" s="840">
        <v>0</v>
      </c>
      <c r="T138" s="840">
        <v>0</v>
      </c>
      <c r="U138" s="161">
        <f t="shared" si="29"/>
        <v>0</v>
      </c>
      <c r="V138" s="841"/>
      <c r="W138" s="841"/>
      <c r="X138" s="841"/>
      <c r="Y138" s="233"/>
      <c r="Z138" s="233"/>
      <c r="AA138" s="233"/>
      <c r="AB138" s="214" t="s">
        <v>730</v>
      </c>
      <c r="AD138" s="232">
        <f t="shared" si="30"/>
        <v>0</v>
      </c>
      <c r="AE138" s="232">
        <f t="shared" si="31"/>
        <v>0</v>
      </c>
      <c r="AG138" s="232">
        <f t="shared" si="25"/>
        <v>0</v>
      </c>
      <c r="AH138" s="232">
        <f t="shared" si="23"/>
        <v>0</v>
      </c>
      <c r="AI138" s="232"/>
    </row>
    <row r="139" spans="1:35" ht="41.4" x14ac:dyDescent="0.3">
      <c r="A139" s="46">
        <v>19</v>
      </c>
      <c r="B139" s="46" t="s">
        <v>895</v>
      </c>
      <c r="C139" s="46" t="s">
        <v>671</v>
      </c>
      <c r="D139" s="214" t="str">
        <f t="shared" si="24"/>
        <v>Do Not Print</v>
      </c>
      <c r="E139" s="212" t="s">
        <v>672</v>
      </c>
      <c r="F139" s="214" t="s">
        <v>98</v>
      </c>
      <c r="G139" s="213" t="s">
        <v>101</v>
      </c>
      <c r="H139" s="213" t="s">
        <v>101</v>
      </c>
      <c r="I139" s="230"/>
      <c r="J139" s="840">
        <v>0</v>
      </c>
      <c r="K139" s="840">
        <v>0</v>
      </c>
      <c r="L139" s="841">
        <f t="shared" si="26"/>
        <v>0</v>
      </c>
      <c r="M139" s="840">
        <v>0</v>
      </c>
      <c r="N139" s="840">
        <v>0</v>
      </c>
      <c r="O139" s="161">
        <f t="shared" si="27"/>
        <v>0</v>
      </c>
      <c r="P139" s="840">
        <v>0</v>
      </c>
      <c r="Q139" s="840">
        <v>0</v>
      </c>
      <c r="R139" s="841">
        <f t="shared" si="28"/>
        <v>0</v>
      </c>
      <c r="S139" s="840">
        <v>0</v>
      </c>
      <c r="T139" s="840">
        <v>0</v>
      </c>
      <c r="U139" s="161">
        <f t="shared" si="29"/>
        <v>0</v>
      </c>
      <c r="V139" s="841"/>
      <c r="W139" s="841"/>
      <c r="X139" s="841"/>
      <c r="Y139" s="233"/>
      <c r="Z139" s="233"/>
      <c r="AA139" s="233"/>
      <c r="AB139" s="213" t="s">
        <v>101</v>
      </c>
      <c r="AD139" s="232">
        <f t="shared" si="30"/>
        <v>0</v>
      </c>
      <c r="AE139" s="232">
        <f t="shared" si="31"/>
        <v>0</v>
      </c>
      <c r="AG139" s="232">
        <f t="shared" si="25"/>
        <v>0</v>
      </c>
      <c r="AH139" s="232">
        <f t="shared" si="23"/>
        <v>0</v>
      </c>
      <c r="AI139" s="232"/>
    </row>
    <row r="140" spans="1:35" ht="27.6" x14ac:dyDescent="0.3">
      <c r="A140" s="46">
        <v>19</v>
      </c>
      <c r="B140" s="46" t="s">
        <v>895</v>
      </c>
      <c r="C140" s="46" t="s">
        <v>671</v>
      </c>
      <c r="D140" s="214" t="str">
        <f t="shared" si="24"/>
        <v>Do Not Print</v>
      </c>
      <c r="E140" s="212" t="s">
        <v>672</v>
      </c>
      <c r="F140" s="214" t="s">
        <v>98</v>
      </c>
      <c r="G140" s="214" t="s">
        <v>973</v>
      </c>
      <c r="H140" s="214" t="s">
        <v>731</v>
      </c>
      <c r="I140" s="230"/>
      <c r="J140" s="840">
        <v>0</v>
      </c>
      <c r="K140" s="840">
        <v>0</v>
      </c>
      <c r="L140" s="841">
        <f t="shared" si="26"/>
        <v>0</v>
      </c>
      <c r="M140" s="840">
        <v>0</v>
      </c>
      <c r="N140" s="840">
        <v>0</v>
      </c>
      <c r="O140" s="161">
        <f t="shared" si="27"/>
        <v>0</v>
      </c>
      <c r="P140" s="840">
        <v>0</v>
      </c>
      <c r="Q140" s="840">
        <v>0</v>
      </c>
      <c r="R140" s="841">
        <f t="shared" si="28"/>
        <v>0</v>
      </c>
      <c r="S140" s="840">
        <v>0</v>
      </c>
      <c r="T140" s="840">
        <v>0</v>
      </c>
      <c r="U140" s="161">
        <f t="shared" si="29"/>
        <v>0</v>
      </c>
      <c r="V140" s="841"/>
      <c r="W140" s="841"/>
      <c r="X140" s="841"/>
      <c r="Y140" s="233"/>
      <c r="Z140" s="233"/>
      <c r="AA140" s="233"/>
      <c r="AB140" s="214" t="s">
        <v>731</v>
      </c>
      <c r="AD140" s="232">
        <f t="shared" si="30"/>
        <v>0</v>
      </c>
      <c r="AE140" s="232">
        <f t="shared" si="31"/>
        <v>0</v>
      </c>
      <c r="AG140" s="232">
        <f t="shared" si="25"/>
        <v>0</v>
      </c>
      <c r="AH140" s="232">
        <f t="shared" si="23"/>
        <v>0</v>
      </c>
      <c r="AI140" s="232"/>
    </row>
    <row r="141" spans="1:35" ht="27.6" x14ac:dyDescent="0.3">
      <c r="A141" s="46">
        <v>19</v>
      </c>
      <c r="B141" s="46" t="s">
        <v>895</v>
      </c>
      <c r="C141" s="46" t="s">
        <v>671</v>
      </c>
      <c r="D141" s="214" t="str">
        <f t="shared" si="24"/>
        <v>Do Not Print</v>
      </c>
      <c r="E141" s="212" t="s">
        <v>672</v>
      </c>
      <c r="F141" s="214" t="s">
        <v>98</v>
      </c>
      <c r="G141" s="214" t="s">
        <v>103</v>
      </c>
      <c r="H141" s="214" t="s">
        <v>1028</v>
      </c>
      <c r="I141" s="230"/>
      <c r="J141" s="840">
        <v>0</v>
      </c>
      <c r="K141" s="840">
        <v>0</v>
      </c>
      <c r="L141" s="841">
        <f t="shared" si="26"/>
        <v>0</v>
      </c>
      <c r="M141" s="840">
        <v>0</v>
      </c>
      <c r="N141" s="840">
        <v>0</v>
      </c>
      <c r="O141" s="161">
        <f t="shared" si="27"/>
        <v>0</v>
      </c>
      <c r="P141" s="840">
        <v>0</v>
      </c>
      <c r="Q141" s="840">
        <v>0</v>
      </c>
      <c r="R141" s="841">
        <f t="shared" si="28"/>
        <v>0</v>
      </c>
      <c r="S141" s="840">
        <v>0</v>
      </c>
      <c r="T141" s="840">
        <v>0</v>
      </c>
      <c r="U141" s="161">
        <f t="shared" si="29"/>
        <v>0</v>
      </c>
      <c r="V141" s="841"/>
      <c r="W141" s="841"/>
      <c r="X141" s="841"/>
      <c r="Y141" s="233"/>
      <c r="Z141" s="233"/>
      <c r="AA141" s="233"/>
      <c r="AB141" s="214" t="s">
        <v>1028</v>
      </c>
      <c r="AD141" s="232">
        <f t="shared" si="30"/>
        <v>0</v>
      </c>
      <c r="AE141" s="232">
        <f t="shared" si="31"/>
        <v>0</v>
      </c>
      <c r="AG141" s="232">
        <f t="shared" si="25"/>
        <v>0</v>
      </c>
      <c r="AH141" s="232">
        <f t="shared" si="23"/>
        <v>0</v>
      </c>
      <c r="AI141" s="232"/>
    </row>
    <row r="142" spans="1:35" ht="55.2" x14ac:dyDescent="0.3">
      <c r="A142" s="46">
        <v>19</v>
      </c>
      <c r="B142" s="46" t="s">
        <v>895</v>
      </c>
      <c r="C142" s="46" t="s">
        <v>671</v>
      </c>
      <c r="D142" s="214" t="str">
        <f t="shared" si="24"/>
        <v>Do Not Print</v>
      </c>
      <c r="E142" s="212" t="s">
        <v>672</v>
      </c>
      <c r="F142" s="214" t="s">
        <v>98</v>
      </c>
      <c r="G142" s="214" t="s">
        <v>1090</v>
      </c>
      <c r="H142" s="214" t="s">
        <v>1029</v>
      </c>
      <c r="I142" s="230"/>
      <c r="J142" s="840">
        <v>0</v>
      </c>
      <c r="K142" s="840">
        <v>0</v>
      </c>
      <c r="L142" s="841">
        <f t="shared" si="26"/>
        <v>0</v>
      </c>
      <c r="M142" s="840">
        <v>0</v>
      </c>
      <c r="N142" s="840">
        <v>0</v>
      </c>
      <c r="O142" s="161">
        <f t="shared" si="27"/>
        <v>0</v>
      </c>
      <c r="P142" s="840">
        <v>0</v>
      </c>
      <c r="Q142" s="840">
        <v>0</v>
      </c>
      <c r="R142" s="841">
        <f t="shared" si="28"/>
        <v>0</v>
      </c>
      <c r="S142" s="840">
        <v>0</v>
      </c>
      <c r="T142" s="840">
        <v>0</v>
      </c>
      <c r="U142" s="161">
        <f t="shared" si="29"/>
        <v>0</v>
      </c>
      <c r="V142" s="841"/>
      <c r="W142" s="841"/>
      <c r="X142" s="841"/>
      <c r="Y142" s="233"/>
      <c r="Z142" s="233"/>
      <c r="AA142" s="233"/>
      <c r="AB142" s="214" t="s">
        <v>1029</v>
      </c>
      <c r="AD142" s="232">
        <f t="shared" si="30"/>
        <v>0</v>
      </c>
      <c r="AE142" s="232">
        <f t="shared" si="31"/>
        <v>0</v>
      </c>
      <c r="AG142" s="232">
        <f t="shared" si="25"/>
        <v>0</v>
      </c>
      <c r="AH142" s="232">
        <f t="shared" ref="AH142:AH157" si="32">ROUND(U142,0)</f>
        <v>0</v>
      </c>
      <c r="AI142" s="232"/>
    </row>
    <row r="143" spans="1:35" ht="69" x14ac:dyDescent="0.3">
      <c r="A143" s="46">
        <v>19</v>
      </c>
      <c r="B143" s="46" t="s">
        <v>895</v>
      </c>
      <c r="C143" s="46" t="s">
        <v>671</v>
      </c>
      <c r="D143" s="214" t="str">
        <f t="shared" si="24"/>
        <v>Do Not Print</v>
      </c>
      <c r="E143" s="212" t="s">
        <v>672</v>
      </c>
      <c r="F143" s="214" t="s">
        <v>98</v>
      </c>
      <c r="G143" s="214" t="s">
        <v>1091</v>
      </c>
      <c r="H143" s="214" t="s">
        <v>1030</v>
      </c>
      <c r="I143" s="230"/>
      <c r="J143" s="840">
        <v>0</v>
      </c>
      <c r="K143" s="840">
        <v>0</v>
      </c>
      <c r="L143" s="841">
        <f t="shared" si="26"/>
        <v>0</v>
      </c>
      <c r="M143" s="840">
        <v>0</v>
      </c>
      <c r="N143" s="840">
        <v>0</v>
      </c>
      <c r="O143" s="161">
        <f t="shared" si="27"/>
        <v>0</v>
      </c>
      <c r="P143" s="840">
        <v>0</v>
      </c>
      <c r="Q143" s="840">
        <v>0</v>
      </c>
      <c r="R143" s="841">
        <f t="shared" si="28"/>
        <v>0</v>
      </c>
      <c r="S143" s="840">
        <v>0</v>
      </c>
      <c r="T143" s="840">
        <v>0</v>
      </c>
      <c r="U143" s="161">
        <f t="shared" si="29"/>
        <v>0</v>
      </c>
      <c r="V143" s="841"/>
      <c r="W143" s="841"/>
      <c r="X143" s="841"/>
      <c r="Y143" s="233"/>
      <c r="Z143" s="233"/>
      <c r="AA143" s="233"/>
      <c r="AB143" s="214" t="s">
        <v>1030</v>
      </c>
      <c r="AD143" s="232">
        <f t="shared" si="30"/>
        <v>0</v>
      </c>
      <c r="AE143" s="232">
        <f t="shared" si="31"/>
        <v>0</v>
      </c>
      <c r="AG143" s="232">
        <f t="shared" si="25"/>
        <v>0</v>
      </c>
      <c r="AH143" s="232">
        <f t="shared" si="32"/>
        <v>0</v>
      </c>
      <c r="AI143" s="232"/>
    </row>
    <row r="144" spans="1:35" ht="41.4" x14ac:dyDescent="0.3">
      <c r="A144" s="46">
        <v>19</v>
      </c>
      <c r="B144" s="46" t="s">
        <v>895</v>
      </c>
      <c r="C144" s="46" t="s">
        <v>671</v>
      </c>
      <c r="D144" s="214" t="str">
        <f t="shared" si="24"/>
        <v>Do Not Print</v>
      </c>
      <c r="E144" s="212" t="s">
        <v>672</v>
      </c>
      <c r="F144" s="214" t="s">
        <v>98</v>
      </c>
      <c r="G144" s="214" t="s">
        <v>437</v>
      </c>
      <c r="H144" s="214" t="s">
        <v>732</v>
      </c>
      <c r="I144" s="230"/>
      <c r="J144" s="840">
        <v>0</v>
      </c>
      <c r="K144" s="840">
        <v>0</v>
      </c>
      <c r="L144" s="841">
        <f t="shared" si="26"/>
        <v>0</v>
      </c>
      <c r="M144" s="840">
        <v>0</v>
      </c>
      <c r="N144" s="840">
        <v>0</v>
      </c>
      <c r="O144" s="161">
        <f t="shared" si="27"/>
        <v>0</v>
      </c>
      <c r="P144" s="840">
        <v>0</v>
      </c>
      <c r="Q144" s="840">
        <v>0</v>
      </c>
      <c r="R144" s="841">
        <f t="shared" si="28"/>
        <v>0</v>
      </c>
      <c r="S144" s="840">
        <v>0</v>
      </c>
      <c r="T144" s="840">
        <v>0</v>
      </c>
      <c r="U144" s="161">
        <f t="shared" si="29"/>
        <v>0</v>
      </c>
      <c r="V144" s="841"/>
      <c r="W144" s="841"/>
      <c r="X144" s="841"/>
      <c r="Y144" s="233"/>
      <c r="Z144" s="233"/>
      <c r="AA144" s="233"/>
      <c r="AB144" s="214" t="s">
        <v>732</v>
      </c>
      <c r="AD144" s="232">
        <f t="shared" si="30"/>
        <v>0</v>
      </c>
      <c r="AE144" s="232">
        <f t="shared" si="31"/>
        <v>0</v>
      </c>
      <c r="AG144" s="232">
        <f t="shared" si="25"/>
        <v>0</v>
      </c>
      <c r="AH144" s="232">
        <f t="shared" si="32"/>
        <v>0</v>
      </c>
      <c r="AI144" s="232"/>
    </row>
    <row r="145" spans="1:35" ht="27.6" x14ac:dyDescent="0.3">
      <c r="A145" s="46">
        <v>19</v>
      </c>
      <c r="B145" s="46" t="s">
        <v>895</v>
      </c>
      <c r="C145" s="46" t="s">
        <v>671</v>
      </c>
      <c r="D145" s="214" t="str">
        <f t="shared" si="24"/>
        <v>Do Not Print</v>
      </c>
      <c r="E145" s="212" t="s">
        <v>672</v>
      </c>
      <c r="F145" s="214" t="s">
        <v>98</v>
      </c>
      <c r="G145" s="214" t="s">
        <v>977</v>
      </c>
      <c r="H145" s="214" t="s">
        <v>1031</v>
      </c>
      <c r="I145" s="230"/>
      <c r="J145" s="842">
        <v>0</v>
      </c>
      <c r="K145" s="840">
        <v>0</v>
      </c>
      <c r="L145" s="841">
        <f t="shared" si="26"/>
        <v>0</v>
      </c>
      <c r="M145" s="842">
        <v>0</v>
      </c>
      <c r="N145" s="840">
        <v>0</v>
      </c>
      <c r="O145" s="161">
        <f t="shared" si="27"/>
        <v>0</v>
      </c>
      <c r="P145" s="842">
        <v>0</v>
      </c>
      <c r="Q145" s="840">
        <v>0</v>
      </c>
      <c r="R145" s="841">
        <f t="shared" si="28"/>
        <v>0</v>
      </c>
      <c r="S145" s="842">
        <v>0</v>
      </c>
      <c r="T145" s="840">
        <v>0</v>
      </c>
      <c r="U145" s="161">
        <f t="shared" si="29"/>
        <v>0</v>
      </c>
      <c r="V145" s="841"/>
      <c r="W145" s="841"/>
      <c r="X145" s="841"/>
      <c r="Y145" s="233"/>
      <c r="Z145" s="233"/>
      <c r="AA145" s="233"/>
      <c r="AB145" s="214" t="s">
        <v>1031</v>
      </c>
      <c r="AD145" s="232">
        <f t="shared" si="30"/>
        <v>0</v>
      </c>
      <c r="AE145" s="232">
        <f t="shared" si="31"/>
        <v>0</v>
      </c>
      <c r="AG145" s="232">
        <f t="shared" si="25"/>
        <v>0</v>
      </c>
      <c r="AH145" s="232">
        <f t="shared" si="32"/>
        <v>0</v>
      </c>
      <c r="AI145" s="232"/>
    </row>
    <row r="146" spans="1:35" ht="41.4" x14ac:dyDescent="0.3">
      <c r="A146" s="46">
        <v>19</v>
      </c>
      <c r="B146" s="46" t="s">
        <v>895</v>
      </c>
      <c r="C146" s="46" t="s">
        <v>671</v>
      </c>
      <c r="D146" s="214" t="str">
        <f t="shared" si="24"/>
        <v>Do Not Print</v>
      </c>
      <c r="E146" s="212" t="s">
        <v>672</v>
      </c>
      <c r="F146" s="214" t="s">
        <v>98</v>
      </c>
      <c r="G146" s="214" t="s">
        <v>979</v>
      </c>
      <c r="H146" s="214" t="s">
        <v>733</v>
      </c>
      <c r="I146" s="230"/>
      <c r="J146" s="842">
        <v>0</v>
      </c>
      <c r="K146" s="840">
        <v>0</v>
      </c>
      <c r="L146" s="841">
        <f t="shared" si="26"/>
        <v>0</v>
      </c>
      <c r="M146" s="842">
        <v>0</v>
      </c>
      <c r="N146" s="840">
        <v>0</v>
      </c>
      <c r="O146" s="161">
        <f t="shared" si="27"/>
        <v>0</v>
      </c>
      <c r="P146" s="842">
        <v>0</v>
      </c>
      <c r="Q146" s="840">
        <v>0</v>
      </c>
      <c r="R146" s="841">
        <f t="shared" si="28"/>
        <v>0</v>
      </c>
      <c r="S146" s="842">
        <v>0</v>
      </c>
      <c r="T146" s="840">
        <v>0</v>
      </c>
      <c r="U146" s="161">
        <f t="shared" si="29"/>
        <v>0</v>
      </c>
      <c r="V146" s="841"/>
      <c r="W146" s="841"/>
      <c r="X146" s="841"/>
      <c r="Y146" s="233"/>
      <c r="Z146" s="233"/>
      <c r="AA146" s="233"/>
      <c r="AB146" s="214" t="s">
        <v>733</v>
      </c>
      <c r="AD146" s="232">
        <f t="shared" si="30"/>
        <v>0</v>
      </c>
      <c r="AE146" s="232">
        <f t="shared" si="31"/>
        <v>0</v>
      </c>
      <c r="AG146" s="232">
        <f t="shared" si="25"/>
        <v>0</v>
      </c>
      <c r="AH146" s="232">
        <f t="shared" si="32"/>
        <v>0</v>
      </c>
      <c r="AI146" s="232"/>
    </row>
    <row r="147" spans="1:35" ht="41.4" x14ac:dyDescent="0.3">
      <c r="A147" s="46">
        <v>19</v>
      </c>
      <c r="B147" s="46" t="s">
        <v>895</v>
      </c>
      <c r="C147" s="46" t="s">
        <v>671</v>
      </c>
      <c r="D147" s="214" t="str">
        <f t="shared" si="24"/>
        <v>Do Not Print</v>
      </c>
      <c r="E147" s="212" t="s">
        <v>672</v>
      </c>
      <c r="F147" s="214" t="s">
        <v>98</v>
      </c>
      <c r="G147" s="214" t="s">
        <v>980</v>
      </c>
      <c r="H147" s="214" t="s">
        <v>734</v>
      </c>
      <c r="I147" s="230"/>
      <c r="J147" s="842">
        <v>0</v>
      </c>
      <c r="K147" s="840">
        <v>0</v>
      </c>
      <c r="L147" s="841">
        <f t="shared" si="26"/>
        <v>0</v>
      </c>
      <c r="M147" s="842">
        <v>0</v>
      </c>
      <c r="N147" s="840">
        <v>0</v>
      </c>
      <c r="O147" s="161">
        <f t="shared" si="27"/>
        <v>0</v>
      </c>
      <c r="P147" s="842">
        <v>0</v>
      </c>
      <c r="Q147" s="840">
        <v>0</v>
      </c>
      <c r="R147" s="841">
        <f t="shared" si="28"/>
        <v>0</v>
      </c>
      <c r="S147" s="842">
        <v>0</v>
      </c>
      <c r="T147" s="840">
        <v>0</v>
      </c>
      <c r="U147" s="161">
        <f t="shared" si="29"/>
        <v>0</v>
      </c>
      <c r="V147" s="841"/>
      <c r="W147" s="841"/>
      <c r="X147" s="841"/>
      <c r="Y147" s="233"/>
      <c r="Z147" s="233"/>
      <c r="AA147" s="233"/>
      <c r="AB147" s="214" t="s">
        <v>734</v>
      </c>
      <c r="AD147" s="232">
        <f t="shared" si="30"/>
        <v>0</v>
      </c>
      <c r="AE147" s="232">
        <f t="shared" si="31"/>
        <v>0</v>
      </c>
      <c r="AG147" s="232">
        <f t="shared" si="25"/>
        <v>0</v>
      </c>
      <c r="AH147" s="232">
        <f t="shared" si="32"/>
        <v>0</v>
      </c>
      <c r="AI147" s="232"/>
    </row>
    <row r="148" spans="1:35" ht="27.6" x14ac:dyDescent="0.3">
      <c r="A148" s="46">
        <v>19</v>
      </c>
      <c r="B148" s="46" t="s">
        <v>895</v>
      </c>
      <c r="C148" s="46" t="s">
        <v>671</v>
      </c>
      <c r="D148" s="214" t="str">
        <f t="shared" si="24"/>
        <v>Do Not Print</v>
      </c>
      <c r="E148" s="212" t="s">
        <v>672</v>
      </c>
      <c r="F148" s="214" t="s">
        <v>98</v>
      </c>
      <c r="G148" s="214" t="s">
        <v>1093</v>
      </c>
      <c r="H148" s="214" t="s">
        <v>994</v>
      </c>
      <c r="I148" s="230"/>
      <c r="J148" s="840">
        <v>0</v>
      </c>
      <c r="K148" s="840">
        <v>0</v>
      </c>
      <c r="L148" s="841">
        <f t="shared" si="26"/>
        <v>0</v>
      </c>
      <c r="M148" s="840">
        <v>0</v>
      </c>
      <c r="N148" s="840">
        <v>0</v>
      </c>
      <c r="O148" s="161">
        <f t="shared" si="27"/>
        <v>0</v>
      </c>
      <c r="P148" s="840">
        <v>0</v>
      </c>
      <c r="Q148" s="840">
        <v>0</v>
      </c>
      <c r="R148" s="841">
        <f t="shared" si="28"/>
        <v>0</v>
      </c>
      <c r="S148" s="840">
        <v>0</v>
      </c>
      <c r="T148" s="840">
        <v>0</v>
      </c>
      <c r="U148" s="161">
        <f t="shared" si="29"/>
        <v>0</v>
      </c>
      <c r="V148" s="841"/>
      <c r="W148" s="841"/>
      <c r="X148" s="841"/>
      <c r="Y148" s="233"/>
      <c r="Z148" s="233"/>
      <c r="AA148" s="233"/>
      <c r="AB148" s="214" t="s">
        <v>994</v>
      </c>
      <c r="AD148" s="232">
        <f t="shared" si="30"/>
        <v>0</v>
      </c>
      <c r="AE148" s="232">
        <f t="shared" si="31"/>
        <v>0</v>
      </c>
      <c r="AG148" s="232">
        <f t="shared" si="25"/>
        <v>0</v>
      </c>
      <c r="AH148" s="232">
        <f t="shared" si="32"/>
        <v>0</v>
      </c>
      <c r="AI148" s="232"/>
    </row>
    <row r="149" spans="1:35" ht="27.6" x14ac:dyDescent="0.3">
      <c r="A149" s="46">
        <v>19</v>
      </c>
      <c r="B149" s="46" t="s">
        <v>895</v>
      </c>
      <c r="C149" s="46" t="s">
        <v>671</v>
      </c>
      <c r="D149" s="214" t="str">
        <f t="shared" si="24"/>
        <v>Do Not Print</v>
      </c>
      <c r="E149" s="212" t="s">
        <v>672</v>
      </c>
      <c r="F149" s="214" t="s">
        <v>98</v>
      </c>
      <c r="G149" s="214" t="s">
        <v>438</v>
      </c>
      <c r="H149" s="214" t="s">
        <v>1032</v>
      </c>
      <c r="I149" s="230"/>
      <c r="J149" s="839">
        <f>P149+P150+P151-P152-P153-P154-P155-P156-P157+P158+P159+SUM(Q149:Q159)+P139+Q139</f>
        <v>0</v>
      </c>
      <c r="K149" s="840">
        <v>0</v>
      </c>
      <c r="L149" s="841">
        <f t="shared" si="26"/>
        <v>0</v>
      </c>
      <c r="M149" s="839">
        <f>S149+S150+S151-S152-S153-S154-S155-S156-S157+S158+S159+SUM(T149:T159)</f>
        <v>0</v>
      </c>
      <c r="N149" s="840">
        <v>0</v>
      </c>
      <c r="O149" s="161">
        <f t="shared" si="27"/>
        <v>0</v>
      </c>
      <c r="P149" s="840">
        <v>0</v>
      </c>
      <c r="Q149" s="840">
        <v>0</v>
      </c>
      <c r="R149" s="841">
        <f t="shared" si="28"/>
        <v>0</v>
      </c>
      <c r="S149" s="840">
        <v>0</v>
      </c>
      <c r="T149" s="840">
        <v>0</v>
      </c>
      <c r="U149" s="161">
        <f t="shared" si="29"/>
        <v>0</v>
      </c>
      <c r="V149" s="841"/>
      <c r="W149" s="841"/>
      <c r="X149" s="841"/>
      <c r="Y149" s="233"/>
      <c r="Z149" s="233"/>
      <c r="AA149" s="233"/>
      <c r="AB149" s="214" t="s">
        <v>1032</v>
      </c>
      <c r="AD149" s="232">
        <f t="shared" si="30"/>
        <v>0</v>
      </c>
      <c r="AE149" s="232">
        <f t="shared" si="31"/>
        <v>0</v>
      </c>
      <c r="AG149" s="232">
        <f t="shared" si="25"/>
        <v>0</v>
      </c>
      <c r="AH149" s="232">
        <f t="shared" si="32"/>
        <v>0</v>
      </c>
      <c r="AI149" s="232"/>
    </row>
    <row r="150" spans="1:35" ht="41.4" x14ac:dyDescent="0.3">
      <c r="A150" s="46">
        <v>19</v>
      </c>
      <c r="B150" s="46" t="s">
        <v>895</v>
      </c>
      <c r="C150" s="46" t="s">
        <v>671</v>
      </c>
      <c r="D150" s="214" t="str">
        <f t="shared" si="24"/>
        <v>Do Not Print</v>
      </c>
      <c r="E150" s="212" t="s">
        <v>672</v>
      </c>
      <c r="F150" s="214" t="s">
        <v>98</v>
      </c>
      <c r="G150" s="213" t="s">
        <v>101</v>
      </c>
      <c r="H150" s="213" t="s">
        <v>101</v>
      </c>
      <c r="I150" s="230"/>
      <c r="J150" s="840">
        <v>0</v>
      </c>
      <c r="K150" s="840">
        <v>0</v>
      </c>
      <c r="L150" s="841">
        <f t="shared" si="26"/>
        <v>0</v>
      </c>
      <c r="M150" s="840">
        <v>0</v>
      </c>
      <c r="N150" s="840">
        <v>0</v>
      </c>
      <c r="O150" s="161">
        <f t="shared" si="27"/>
        <v>0</v>
      </c>
      <c r="P150" s="840">
        <v>0</v>
      </c>
      <c r="Q150" s="840">
        <v>0</v>
      </c>
      <c r="R150" s="841">
        <f t="shared" si="28"/>
        <v>0</v>
      </c>
      <c r="S150" s="840">
        <v>0</v>
      </c>
      <c r="T150" s="840">
        <v>0</v>
      </c>
      <c r="U150" s="161">
        <f t="shared" si="29"/>
        <v>0</v>
      </c>
      <c r="V150" s="841"/>
      <c r="W150" s="841"/>
      <c r="X150" s="841"/>
      <c r="Y150" s="233"/>
      <c r="Z150" s="233"/>
      <c r="AA150" s="233"/>
      <c r="AB150" s="213" t="s">
        <v>101</v>
      </c>
      <c r="AD150" s="232">
        <f t="shared" si="30"/>
        <v>0</v>
      </c>
      <c r="AE150" s="232">
        <f t="shared" si="31"/>
        <v>0</v>
      </c>
      <c r="AG150" s="232">
        <f t="shared" si="25"/>
        <v>0</v>
      </c>
      <c r="AH150" s="232">
        <f t="shared" si="32"/>
        <v>0</v>
      </c>
      <c r="AI150" s="232"/>
    </row>
    <row r="151" spans="1:35" ht="27.6" x14ac:dyDescent="0.3">
      <c r="A151" s="46">
        <v>19</v>
      </c>
      <c r="B151" s="46" t="s">
        <v>895</v>
      </c>
      <c r="C151" s="46" t="s">
        <v>671</v>
      </c>
      <c r="D151" s="214" t="str">
        <f t="shared" si="24"/>
        <v>Do Not Print</v>
      </c>
      <c r="E151" s="212" t="s">
        <v>672</v>
      </c>
      <c r="F151" s="214" t="s">
        <v>98</v>
      </c>
      <c r="G151" s="214" t="s">
        <v>109</v>
      </c>
      <c r="H151" s="214" t="s">
        <v>1033</v>
      </c>
      <c r="I151" s="230"/>
      <c r="J151" s="840">
        <v>0</v>
      </c>
      <c r="K151" s="840">
        <v>0</v>
      </c>
      <c r="L151" s="841">
        <f t="shared" si="26"/>
        <v>0</v>
      </c>
      <c r="M151" s="840">
        <v>0</v>
      </c>
      <c r="N151" s="840">
        <v>0</v>
      </c>
      <c r="O151" s="161">
        <f t="shared" si="27"/>
        <v>0</v>
      </c>
      <c r="P151" s="840">
        <v>0</v>
      </c>
      <c r="Q151" s="840">
        <v>0</v>
      </c>
      <c r="R151" s="841">
        <f t="shared" si="28"/>
        <v>0</v>
      </c>
      <c r="S151" s="840">
        <v>0</v>
      </c>
      <c r="T151" s="840">
        <v>0</v>
      </c>
      <c r="U151" s="161">
        <f t="shared" si="29"/>
        <v>0</v>
      </c>
      <c r="V151" s="841"/>
      <c r="W151" s="841"/>
      <c r="X151" s="841"/>
      <c r="Y151" s="233"/>
      <c r="Z151" s="233"/>
      <c r="AA151" s="233"/>
      <c r="AB151" s="214" t="s">
        <v>1033</v>
      </c>
      <c r="AD151" s="232">
        <f t="shared" si="30"/>
        <v>0</v>
      </c>
      <c r="AE151" s="232">
        <f t="shared" si="31"/>
        <v>0</v>
      </c>
      <c r="AG151" s="232">
        <f t="shared" si="25"/>
        <v>0</v>
      </c>
      <c r="AH151" s="232">
        <f t="shared" si="32"/>
        <v>0</v>
      </c>
      <c r="AI151" s="232"/>
    </row>
    <row r="152" spans="1:35" ht="41.4" x14ac:dyDescent="0.3">
      <c r="A152" s="46">
        <v>19</v>
      </c>
      <c r="B152" s="46" t="s">
        <v>895</v>
      </c>
      <c r="C152" s="46" t="s">
        <v>671</v>
      </c>
      <c r="D152" s="214" t="str">
        <f t="shared" si="24"/>
        <v>Do Not Print</v>
      </c>
      <c r="E152" s="212" t="s">
        <v>672</v>
      </c>
      <c r="F152" s="214" t="s">
        <v>98</v>
      </c>
      <c r="G152" s="214" t="s">
        <v>1092</v>
      </c>
      <c r="H152" s="214" t="s">
        <v>1034</v>
      </c>
      <c r="I152" s="230"/>
      <c r="J152" s="840">
        <v>0</v>
      </c>
      <c r="K152" s="840">
        <v>0</v>
      </c>
      <c r="L152" s="841">
        <f t="shared" si="26"/>
        <v>0</v>
      </c>
      <c r="M152" s="840">
        <v>0</v>
      </c>
      <c r="N152" s="840">
        <v>0</v>
      </c>
      <c r="O152" s="161">
        <f t="shared" si="27"/>
        <v>0</v>
      </c>
      <c r="P152" s="840">
        <v>0</v>
      </c>
      <c r="Q152" s="840">
        <v>0</v>
      </c>
      <c r="R152" s="841">
        <f t="shared" si="28"/>
        <v>0</v>
      </c>
      <c r="S152" s="840">
        <v>0</v>
      </c>
      <c r="T152" s="840">
        <v>0</v>
      </c>
      <c r="U152" s="161">
        <f t="shared" si="29"/>
        <v>0</v>
      </c>
      <c r="V152" s="841"/>
      <c r="W152" s="841"/>
      <c r="X152" s="841"/>
      <c r="Y152" s="233"/>
      <c r="Z152" s="233"/>
      <c r="AA152" s="233"/>
      <c r="AB152" s="214" t="s">
        <v>1034</v>
      </c>
      <c r="AD152" s="232">
        <f t="shared" si="30"/>
        <v>0</v>
      </c>
      <c r="AE152" s="232">
        <f t="shared" si="31"/>
        <v>0</v>
      </c>
      <c r="AG152" s="232">
        <f t="shared" si="25"/>
        <v>0</v>
      </c>
      <c r="AH152" s="232">
        <f t="shared" si="32"/>
        <v>0</v>
      </c>
      <c r="AI152" s="232"/>
    </row>
    <row r="153" spans="1:35" ht="55.2" x14ac:dyDescent="0.3">
      <c r="A153" s="46">
        <v>19</v>
      </c>
      <c r="B153" s="46" t="s">
        <v>895</v>
      </c>
      <c r="C153" s="46" t="s">
        <v>671</v>
      </c>
      <c r="D153" s="214" t="str">
        <f t="shared" si="24"/>
        <v>Do Not Print</v>
      </c>
      <c r="E153" s="212" t="s">
        <v>672</v>
      </c>
      <c r="F153" s="214" t="s">
        <v>98</v>
      </c>
      <c r="G153" s="214" t="s">
        <v>111</v>
      </c>
      <c r="H153" s="214" t="s">
        <v>111</v>
      </c>
      <c r="I153" s="230"/>
      <c r="J153" s="840">
        <v>0</v>
      </c>
      <c r="K153" s="840">
        <v>0</v>
      </c>
      <c r="L153" s="841">
        <f t="shared" si="26"/>
        <v>0</v>
      </c>
      <c r="M153" s="840">
        <v>0</v>
      </c>
      <c r="N153" s="840">
        <v>0</v>
      </c>
      <c r="O153" s="161">
        <f t="shared" si="27"/>
        <v>0</v>
      </c>
      <c r="P153" s="840">
        <v>0</v>
      </c>
      <c r="Q153" s="840">
        <v>0</v>
      </c>
      <c r="R153" s="841">
        <f t="shared" si="28"/>
        <v>0</v>
      </c>
      <c r="S153" s="840">
        <v>0</v>
      </c>
      <c r="T153" s="840">
        <v>0</v>
      </c>
      <c r="U153" s="161">
        <f t="shared" si="29"/>
        <v>0</v>
      </c>
      <c r="V153" s="841"/>
      <c r="W153" s="841"/>
      <c r="X153" s="841"/>
      <c r="Y153" s="233"/>
      <c r="Z153" s="233"/>
      <c r="AA153" s="233"/>
      <c r="AB153" s="214" t="s">
        <v>111</v>
      </c>
      <c r="AD153" s="232">
        <f t="shared" si="30"/>
        <v>0</v>
      </c>
      <c r="AE153" s="232">
        <f t="shared" si="31"/>
        <v>0</v>
      </c>
      <c r="AG153" s="232">
        <f t="shared" si="25"/>
        <v>0</v>
      </c>
      <c r="AH153" s="232">
        <f t="shared" si="32"/>
        <v>0</v>
      </c>
      <c r="AI153" s="232"/>
    </row>
    <row r="154" spans="1:35" ht="41.4" x14ac:dyDescent="0.3">
      <c r="A154" s="46">
        <v>19</v>
      </c>
      <c r="B154" s="46" t="s">
        <v>895</v>
      </c>
      <c r="C154" s="46" t="s">
        <v>671</v>
      </c>
      <c r="D154" s="214" t="str">
        <f t="shared" si="24"/>
        <v>Do Not Print</v>
      </c>
      <c r="E154" s="212" t="s">
        <v>672</v>
      </c>
      <c r="F154" s="214" t="s">
        <v>98</v>
      </c>
      <c r="G154" s="214" t="s">
        <v>982</v>
      </c>
      <c r="H154" s="214" t="s">
        <v>1035</v>
      </c>
      <c r="I154" s="230"/>
      <c r="J154" s="840">
        <v>0</v>
      </c>
      <c r="K154" s="840">
        <v>0</v>
      </c>
      <c r="L154" s="841">
        <f t="shared" si="26"/>
        <v>0</v>
      </c>
      <c r="M154" s="840">
        <v>0</v>
      </c>
      <c r="N154" s="840">
        <v>0</v>
      </c>
      <c r="O154" s="161">
        <f t="shared" si="27"/>
        <v>0</v>
      </c>
      <c r="P154" s="840">
        <v>0</v>
      </c>
      <c r="Q154" s="840">
        <v>0</v>
      </c>
      <c r="R154" s="841">
        <f t="shared" si="28"/>
        <v>0</v>
      </c>
      <c r="S154" s="840">
        <v>0</v>
      </c>
      <c r="T154" s="840">
        <v>0</v>
      </c>
      <c r="U154" s="161">
        <f t="shared" si="29"/>
        <v>0</v>
      </c>
      <c r="V154" s="841"/>
      <c r="W154" s="841"/>
      <c r="X154" s="841"/>
      <c r="Y154" s="233"/>
      <c r="Z154" s="233"/>
      <c r="AA154" s="233"/>
      <c r="AB154" s="214" t="s">
        <v>1035</v>
      </c>
      <c r="AD154" s="232">
        <f t="shared" si="30"/>
        <v>0</v>
      </c>
      <c r="AE154" s="232">
        <f t="shared" si="31"/>
        <v>0</v>
      </c>
      <c r="AG154" s="232">
        <f t="shared" si="25"/>
        <v>0</v>
      </c>
      <c r="AH154" s="232">
        <f t="shared" si="32"/>
        <v>0</v>
      </c>
      <c r="AI154" s="232"/>
    </row>
    <row r="155" spans="1:35" ht="41.4" x14ac:dyDescent="0.3">
      <c r="A155" s="46">
        <v>19</v>
      </c>
      <c r="B155" s="46" t="s">
        <v>895</v>
      </c>
      <c r="C155" s="46" t="s">
        <v>671</v>
      </c>
      <c r="D155" s="214" t="str">
        <f t="shared" si="24"/>
        <v>Do Not Print</v>
      </c>
      <c r="E155" s="212" t="s">
        <v>672</v>
      </c>
      <c r="F155" s="214" t="s">
        <v>98</v>
      </c>
      <c r="G155" s="214" t="s">
        <v>981</v>
      </c>
      <c r="H155" s="214" t="s">
        <v>1036</v>
      </c>
      <c r="I155" s="230"/>
      <c r="J155" s="840">
        <v>0</v>
      </c>
      <c r="K155" s="840">
        <v>0</v>
      </c>
      <c r="L155" s="841">
        <f t="shared" si="26"/>
        <v>0</v>
      </c>
      <c r="M155" s="840">
        <v>0</v>
      </c>
      <c r="N155" s="840">
        <v>0</v>
      </c>
      <c r="O155" s="161">
        <f t="shared" si="27"/>
        <v>0</v>
      </c>
      <c r="P155" s="840">
        <v>0</v>
      </c>
      <c r="Q155" s="840">
        <v>0</v>
      </c>
      <c r="R155" s="841">
        <f t="shared" si="28"/>
        <v>0</v>
      </c>
      <c r="S155" s="840">
        <v>0</v>
      </c>
      <c r="T155" s="840">
        <v>0</v>
      </c>
      <c r="U155" s="161">
        <f t="shared" si="29"/>
        <v>0</v>
      </c>
      <c r="V155" s="841"/>
      <c r="W155" s="841"/>
      <c r="X155" s="841"/>
      <c r="Y155" s="233"/>
      <c r="Z155" s="233"/>
      <c r="AA155" s="233"/>
      <c r="AB155" s="214" t="s">
        <v>1036</v>
      </c>
      <c r="AD155" s="232">
        <f t="shared" si="30"/>
        <v>0</v>
      </c>
      <c r="AE155" s="232">
        <f t="shared" si="31"/>
        <v>0</v>
      </c>
      <c r="AG155" s="232">
        <f t="shared" si="25"/>
        <v>0</v>
      </c>
      <c r="AH155" s="232">
        <f t="shared" si="32"/>
        <v>0</v>
      </c>
      <c r="AI155" s="232"/>
    </row>
    <row r="156" spans="1:35" ht="27.6" x14ac:dyDescent="0.3">
      <c r="A156" s="46">
        <v>19</v>
      </c>
      <c r="B156" s="46" t="s">
        <v>895</v>
      </c>
      <c r="C156" s="46" t="s">
        <v>671</v>
      </c>
      <c r="D156" s="214" t="str">
        <f t="shared" si="24"/>
        <v>Do Not Print</v>
      </c>
      <c r="E156" s="212" t="s">
        <v>672</v>
      </c>
      <c r="F156" s="214" t="s">
        <v>98</v>
      </c>
      <c r="G156" s="214" t="s">
        <v>977</v>
      </c>
      <c r="H156" s="214" t="s">
        <v>1037</v>
      </c>
      <c r="I156" s="230"/>
      <c r="J156" s="840">
        <v>0</v>
      </c>
      <c r="K156" s="840">
        <v>0</v>
      </c>
      <c r="L156" s="841">
        <f t="shared" si="26"/>
        <v>0</v>
      </c>
      <c r="M156" s="840">
        <v>0</v>
      </c>
      <c r="N156" s="840">
        <v>0</v>
      </c>
      <c r="O156" s="161">
        <f t="shared" si="27"/>
        <v>0</v>
      </c>
      <c r="P156" s="840">
        <v>0</v>
      </c>
      <c r="Q156" s="840">
        <v>0</v>
      </c>
      <c r="R156" s="841">
        <f t="shared" si="28"/>
        <v>0</v>
      </c>
      <c r="S156" s="840">
        <v>0</v>
      </c>
      <c r="T156" s="840">
        <v>0</v>
      </c>
      <c r="U156" s="161">
        <f t="shared" si="29"/>
        <v>0</v>
      </c>
      <c r="V156" s="841"/>
      <c r="W156" s="841"/>
      <c r="X156" s="841"/>
      <c r="Y156" s="233"/>
      <c r="Z156" s="233"/>
      <c r="AA156" s="233"/>
      <c r="AB156" s="214" t="s">
        <v>1037</v>
      </c>
      <c r="AD156" s="232">
        <f t="shared" si="30"/>
        <v>0</v>
      </c>
      <c r="AE156" s="232">
        <f t="shared" si="31"/>
        <v>0</v>
      </c>
      <c r="AG156" s="232">
        <f t="shared" si="25"/>
        <v>0</v>
      </c>
      <c r="AH156" s="232">
        <f t="shared" si="32"/>
        <v>0</v>
      </c>
      <c r="AI156" s="232"/>
    </row>
    <row r="157" spans="1:35" ht="41.4" x14ac:dyDescent="0.3">
      <c r="A157" s="46">
        <v>19</v>
      </c>
      <c r="B157" s="46" t="s">
        <v>895</v>
      </c>
      <c r="C157" s="46" t="s">
        <v>671</v>
      </c>
      <c r="D157" s="214" t="str">
        <f t="shared" si="24"/>
        <v>Do Not Print</v>
      </c>
      <c r="E157" s="212" t="s">
        <v>672</v>
      </c>
      <c r="F157" s="214" t="s">
        <v>98</v>
      </c>
      <c r="G157" s="214" t="s">
        <v>979</v>
      </c>
      <c r="H157" s="214" t="s">
        <v>1038</v>
      </c>
      <c r="I157" s="230"/>
      <c r="J157" s="840">
        <v>0</v>
      </c>
      <c r="K157" s="840">
        <v>0</v>
      </c>
      <c r="L157" s="841">
        <f t="shared" si="26"/>
        <v>0</v>
      </c>
      <c r="M157" s="840">
        <v>0</v>
      </c>
      <c r="N157" s="840">
        <v>0</v>
      </c>
      <c r="O157" s="161">
        <f t="shared" si="27"/>
        <v>0</v>
      </c>
      <c r="P157" s="840">
        <v>0</v>
      </c>
      <c r="Q157" s="840">
        <v>0</v>
      </c>
      <c r="R157" s="841">
        <f t="shared" si="28"/>
        <v>0</v>
      </c>
      <c r="S157" s="840">
        <v>0</v>
      </c>
      <c r="T157" s="840">
        <v>0</v>
      </c>
      <c r="U157" s="161">
        <f t="shared" si="29"/>
        <v>0</v>
      </c>
      <c r="V157" s="841"/>
      <c r="W157" s="841"/>
      <c r="X157" s="841"/>
      <c r="Y157" s="233"/>
      <c r="Z157" s="233"/>
      <c r="AA157" s="233"/>
      <c r="AB157" s="214" t="s">
        <v>1038</v>
      </c>
      <c r="AD157" s="232">
        <f t="shared" si="30"/>
        <v>0</v>
      </c>
      <c r="AE157" s="232">
        <f t="shared" si="31"/>
        <v>0</v>
      </c>
      <c r="AG157" s="232">
        <f t="shared" si="25"/>
        <v>0</v>
      </c>
      <c r="AH157" s="232">
        <f t="shared" si="32"/>
        <v>0</v>
      </c>
      <c r="AI157" s="232"/>
    </row>
    <row r="158" spans="1:35" ht="41.4" x14ac:dyDescent="0.3">
      <c r="A158" s="46">
        <v>19</v>
      </c>
      <c r="B158" s="46" t="s">
        <v>895</v>
      </c>
      <c r="C158" s="46" t="s">
        <v>671</v>
      </c>
      <c r="D158" s="214" t="str">
        <f t="shared" si="24"/>
        <v>Do Not Print</v>
      </c>
      <c r="E158" s="212" t="s">
        <v>672</v>
      </c>
      <c r="F158" s="214" t="s">
        <v>98</v>
      </c>
      <c r="G158" s="214" t="s">
        <v>980</v>
      </c>
      <c r="H158" s="214" t="s">
        <v>1039</v>
      </c>
      <c r="I158" s="230"/>
      <c r="J158" s="840">
        <v>0</v>
      </c>
      <c r="K158" s="840">
        <v>0</v>
      </c>
      <c r="L158" s="841">
        <f t="shared" si="26"/>
        <v>0</v>
      </c>
      <c r="M158" s="840">
        <v>0</v>
      </c>
      <c r="N158" s="840">
        <v>0</v>
      </c>
      <c r="O158" s="161">
        <f t="shared" si="27"/>
        <v>0</v>
      </c>
      <c r="P158" s="840">
        <v>0</v>
      </c>
      <c r="Q158" s="840">
        <v>0</v>
      </c>
      <c r="R158" s="841">
        <f t="shared" si="28"/>
        <v>0</v>
      </c>
      <c r="S158" s="840">
        <v>0</v>
      </c>
      <c r="T158" s="840">
        <v>0</v>
      </c>
      <c r="U158" s="161">
        <f t="shared" si="29"/>
        <v>0</v>
      </c>
      <c r="V158" s="841"/>
      <c r="W158" s="841"/>
      <c r="X158" s="841"/>
      <c r="Y158" s="233"/>
      <c r="Z158" s="233"/>
      <c r="AA158" s="233"/>
      <c r="AB158" s="214" t="s">
        <v>1039</v>
      </c>
      <c r="AD158" s="232">
        <f t="shared" si="30"/>
        <v>0</v>
      </c>
      <c r="AE158" s="232">
        <f t="shared" si="31"/>
        <v>0</v>
      </c>
      <c r="AG158" s="232">
        <f t="shared" si="25"/>
        <v>0</v>
      </c>
      <c r="AH158" s="232">
        <f t="shared" ref="AH158:AH228" si="33">ROUND(U158,0)</f>
        <v>0</v>
      </c>
      <c r="AI158" s="232"/>
    </row>
    <row r="159" spans="1:35" ht="41.4" x14ac:dyDescent="0.3">
      <c r="A159" s="46">
        <v>19</v>
      </c>
      <c r="B159" s="46" t="s">
        <v>895</v>
      </c>
      <c r="C159" s="46" t="s">
        <v>671</v>
      </c>
      <c r="D159" s="214" t="str">
        <f t="shared" si="24"/>
        <v>Do Not Print</v>
      </c>
      <c r="E159" s="212" t="s">
        <v>672</v>
      </c>
      <c r="F159" s="214" t="s">
        <v>98</v>
      </c>
      <c r="G159" s="214" t="s">
        <v>1093</v>
      </c>
      <c r="H159" s="214" t="s">
        <v>997</v>
      </c>
      <c r="I159" s="230"/>
      <c r="J159" s="840">
        <v>0</v>
      </c>
      <c r="K159" s="840">
        <v>0</v>
      </c>
      <c r="L159" s="841">
        <f t="shared" si="26"/>
        <v>0</v>
      </c>
      <c r="M159" s="840">
        <v>0</v>
      </c>
      <c r="N159" s="840">
        <v>0</v>
      </c>
      <c r="O159" s="161">
        <f t="shared" si="27"/>
        <v>0</v>
      </c>
      <c r="P159" s="840">
        <v>0</v>
      </c>
      <c r="Q159" s="840">
        <v>0</v>
      </c>
      <c r="R159" s="841">
        <f t="shared" si="28"/>
        <v>0</v>
      </c>
      <c r="S159" s="840">
        <v>0</v>
      </c>
      <c r="T159" s="840">
        <v>0</v>
      </c>
      <c r="U159" s="161">
        <f t="shared" si="29"/>
        <v>0</v>
      </c>
      <c r="V159" s="841"/>
      <c r="W159" s="841"/>
      <c r="X159" s="841"/>
      <c r="Y159" s="233"/>
      <c r="Z159" s="233"/>
      <c r="AA159" s="233"/>
      <c r="AB159" s="214" t="s">
        <v>997</v>
      </c>
      <c r="AD159" s="232">
        <f t="shared" si="30"/>
        <v>0</v>
      </c>
      <c r="AE159" s="232">
        <f t="shared" si="31"/>
        <v>0</v>
      </c>
      <c r="AG159" s="232">
        <f t="shared" si="25"/>
        <v>0</v>
      </c>
      <c r="AH159" s="232">
        <f t="shared" si="33"/>
        <v>0</v>
      </c>
      <c r="AI159" s="232"/>
    </row>
    <row r="160" spans="1:35" ht="27.6" x14ac:dyDescent="0.3">
      <c r="A160" s="46">
        <v>20</v>
      </c>
      <c r="B160" s="46" t="s">
        <v>900</v>
      </c>
      <c r="C160" s="46" t="s">
        <v>671</v>
      </c>
      <c r="D160" s="214" t="e">
        <f>IF(AND(#REF!=0,U160=0,V160=0),"Do Not Print","Print")</f>
        <v>#REF!</v>
      </c>
      <c r="E160" s="212" t="s">
        <v>672</v>
      </c>
      <c r="F160" s="214" t="s">
        <v>92</v>
      </c>
      <c r="G160" s="214" t="s">
        <v>436</v>
      </c>
      <c r="H160" s="214" t="s">
        <v>735</v>
      </c>
      <c r="I160" s="230"/>
      <c r="J160" s="839">
        <f>SUM(P160:P170)+SUM(Q160:Q170)</f>
        <v>0</v>
      </c>
      <c r="K160" s="840">
        <v>0</v>
      </c>
      <c r="L160" s="841">
        <f t="shared" si="26"/>
        <v>0</v>
      </c>
      <c r="M160" s="839">
        <f>SUM(S160:S170)+SUM(T160:T170)</f>
        <v>0</v>
      </c>
      <c r="N160" s="840">
        <v>0</v>
      </c>
      <c r="O160" s="161">
        <f t="shared" si="27"/>
        <v>0</v>
      </c>
      <c r="P160" s="840">
        <v>0</v>
      </c>
      <c r="Q160" s="840">
        <v>0</v>
      </c>
      <c r="R160" s="841">
        <f t="shared" si="28"/>
        <v>0</v>
      </c>
      <c r="S160" s="840">
        <v>0</v>
      </c>
      <c r="T160" s="840">
        <v>0</v>
      </c>
      <c r="U160" s="161">
        <f t="shared" si="29"/>
        <v>0</v>
      </c>
      <c r="V160" s="841"/>
      <c r="W160" s="841"/>
      <c r="X160" s="841"/>
      <c r="Y160" s="233"/>
      <c r="Z160" s="233"/>
      <c r="AA160" s="233"/>
      <c r="AB160" s="214" t="s">
        <v>735</v>
      </c>
      <c r="AD160" s="232">
        <f t="shared" si="30"/>
        <v>0</v>
      </c>
      <c r="AE160" s="232">
        <f t="shared" si="31"/>
        <v>0</v>
      </c>
      <c r="AG160" s="232">
        <f t="shared" si="25"/>
        <v>0</v>
      </c>
      <c r="AH160" s="232">
        <f t="shared" si="33"/>
        <v>0</v>
      </c>
      <c r="AI160" s="232"/>
    </row>
    <row r="161" spans="1:35" ht="41.4" x14ac:dyDescent="0.3">
      <c r="A161" s="46">
        <v>20</v>
      </c>
      <c r="B161" s="46" t="s">
        <v>900</v>
      </c>
      <c r="C161" s="46" t="s">
        <v>671</v>
      </c>
      <c r="D161" s="214" t="str">
        <f>IF(AND(O160=0,U161=0,V161=0),"Do Not Print","Print")</f>
        <v>Do Not Print</v>
      </c>
      <c r="E161" s="212" t="s">
        <v>672</v>
      </c>
      <c r="F161" s="214" t="s">
        <v>92</v>
      </c>
      <c r="G161" s="213" t="s">
        <v>101</v>
      </c>
      <c r="H161" s="213" t="s">
        <v>101</v>
      </c>
      <c r="I161" s="230"/>
      <c r="J161" s="840">
        <v>0</v>
      </c>
      <c r="K161" s="840">
        <v>0</v>
      </c>
      <c r="L161" s="841">
        <f t="shared" si="26"/>
        <v>0</v>
      </c>
      <c r="M161" s="840">
        <v>0</v>
      </c>
      <c r="N161" s="840">
        <v>0</v>
      </c>
      <c r="O161" s="161">
        <f t="shared" si="27"/>
        <v>0</v>
      </c>
      <c r="P161" s="840">
        <v>0</v>
      </c>
      <c r="Q161" s="840">
        <v>0</v>
      </c>
      <c r="R161" s="841">
        <f t="shared" si="28"/>
        <v>0</v>
      </c>
      <c r="S161" s="840">
        <v>0</v>
      </c>
      <c r="T161" s="840">
        <v>0</v>
      </c>
      <c r="U161" s="161">
        <f t="shared" si="29"/>
        <v>0</v>
      </c>
      <c r="V161" s="841"/>
      <c r="W161" s="841"/>
      <c r="X161" s="841"/>
      <c r="Y161" s="233"/>
      <c r="Z161" s="233"/>
      <c r="AA161" s="233"/>
      <c r="AB161" s="213" t="s">
        <v>101</v>
      </c>
      <c r="AD161" s="232">
        <f t="shared" si="30"/>
        <v>0</v>
      </c>
      <c r="AE161" s="232">
        <f t="shared" si="31"/>
        <v>0</v>
      </c>
      <c r="AG161" s="232">
        <f t="shared" si="25"/>
        <v>0</v>
      </c>
      <c r="AH161" s="232">
        <f t="shared" si="33"/>
        <v>0</v>
      </c>
      <c r="AI161" s="232"/>
    </row>
    <row r="162" spans="1:35" ht="27.6" x14ac:dyDescent="0.3">
      <c r="A162" s="46">
        <v>20</v>
      </c>
      <c r="B162" s="46" t="s">
        <v>900</v>
      </c>
      <c r="C162" s="46" t="s">
        <v>671</v>
      </c>
      <c r="D162" s="214" t="str">
        <f t="shared" ref="D162:D193" si="34">IF(AND(O162=0,U162=0,V162=0),"Do Not Print","Print")</f>
        <v>Do Not Print</v>
      </c>
      <c r="E162" s="212" t="s">
        <v>672</v>
      </c>
      <c r="F162" s="214" t="s">
        <v>92</v>
      </c>
      <c r="G162" s="214" t="s">
        <v>973</v>
      </c>
      <c r="H162" s="214" t="s">
        <v>1040</v>
      </c>
      <c r="I162" s="230"/>
      <c r="J162" s="160">
        <v>0</v>
      </c>
      <c r="K162" s="840">
        <v>0</v>
      </c>
      <c r="L162" s="841">
        <f t="shared" si="26"/>
        <v>0</v>
      </c>
      <c r="M162" s="840">
        <v>0</v>
      </c>
      <c r="N162" s="840">
        <v>0</v>
      </c>
      <c r="O162" s="161">
        <f t="shared" si="27"/>
        <v>0</v>
      </c>
      <c r="P162" s="840">
        <v>0</v>
      </c>
      <c r="Q162" s="840">
        <v>0</v>
      </c>
      <c r="R162" s="841">
        <f t="shared" si="28"/>
        <v>0</v>
      </c>
      <c r="S162" s="840">
        <v>0</v>
      </c>
      <c r="T162" s="840">
        <v>0</v>
      </c>
      <c r="U162" s="161">
        <f t="shared" si="29"/>
        <v>0</v>
      </c>
      <c r="V162" s="841"/>
      <c r="W162" s="841"/>
      <c r="X162" s="841"/>
      <c r="Y162" s="233"/>
      <c r="Z162" s="233"/>
      <c r="AA162" s="233"/>
      <c r="AB162" s="214" t="s">
        <v>1040</v>
      </c>
      <c r="AD162" s="232">
        <f t="shared" si="30"/>
        <v>0</v>
      </c>
      <c r="AE162" s="232">
        <f t="shared" si="31"/>
        <v>0</v>
      </c>
      <c r="AG162" s="232">
        <f t="shared" si="25"/>
        <v>0</v>
      </c>
      <c r="AH162" s="232">
        <f t="shared" si="33"/>
        <v>0</v>
      </c>
      <c r="AI162" s="232"/>
    </row>
    <row r="163" spans="1:35" ht="27.6" x14ac:dyDescent="0.3">
      <c r="A163" s="46">
        <v>20</v>
      </c>
      <c r="B163" s="46" t="s">
        <v>900</v>
      </c>
      <c r="C163" s="46" t="s">
        <v>671</v>
      </c>
      <c r="D163" s="214" t="str">
        <f t="shared" si="34"/>
        <v>Do Not Print</v>
      </c>
      <c r="E163" s="212" t="s">
        <v>672</v>
      </c>
      <c r="F163" s="214" t="s">
        <v>92</v>
      </c>
      <c r="G163" s="213" t="s">
        <v>103</v>
      </c>
      <c r="H163" s="214" t="s">
        <v>1095</v>
      </c>
      <c r="I163" s="230"/>
      <c r="J163" s="840">
        <v>0</v>
      </c>
      <c r="K163" s="840">
        <v>0</v>
      </c>
      <c r="L163" s="841">
        <f t="shared" si="26"/>
        <v>0</v>
      </c>
      <c r="M163" s="840">
        <v>0</v>
      </c>
      <c r="N163" s="840">
        <v>0</v>
      </c>
      <c r="O163" s="161">
        <f t="shared" si="27"/>
        <v>0</v>
      </c>
      <c r="P163" s="840">
        <v>0</v>
      </c>
      <c r="Q163" s="840">
        <v>0</v>
      </c>
      <c r="R163" s="841">
        <f t="shared" si="28"/>
        <v>0</v>
      </c>
      <c r="S163" s="840">
        <v>0</v>
      </c>
      <c r="T163" s="840">
        <v>0</v>
      </c>
      <c r="U163" s="161">
        <f t="shared" si="29"/>
        <v>0</v>
      </c>
      <c r="V163" s="841"/>
      <c r="W163" s="841"/>
      <c r="X163" s="841"/>
      <c r="Y163" s="233"/>
      <c r="Z163" s="233"/>
      <c r="AA163" s="233"/>
      <c r="AB163" s="214" t="s">
        <v>1095</v>
      </c>
      <c r="AD163" s="232">
        <f t="shared" si="30"/>
        <v>0</v>
      </c>
      <c r="AE163" s="232">
        <f t="shared" si="31"/>
        <v>0</v>
      </c>
      <c r="AG163" s="232">
        <f t="shared" si="25"/>
        <v>0</v>
      </c>
      <c r="AH163" s="232">
        <f t="shared" si="33"/>
        <v>0</v>
      </c>
      <c r="AI163" s="232"/>
    </row>
    <row r="164" spans="1:35" ht="41.4" x14ac:dyDescent="0.3">
      <c r="A164" s="46">
        <v>20</v>
      </c>
      <c r="B164" s="46" t="s">
        <v>900</v>
      </c>
      <c r="C164" s="46" t="s">
        <v>671</v>
      </c>
      <c r="D164" s="214" t="str">
        <f t="shared" si="34"/>
        <v>Do Not Print</v>
      </c>
      <c r="E164" s="212" t="s">
        <v>672</v>
      </c>
      <c r="F164" s="214" t="s">
        <v>92</v>
      </c>
      <c r="G164" s="214" t="s">
        <v>1090</v>
      </c>
      <c r="H164" s="214" t="s">
        <v>736</v>
      </c>
      <c r="I164" s="230"/>
      <c r="J164" s="840">
        <v>0</v>
      </c>
      <c r="K164" s="840">
        <v>0</v>
      </c>
      <c r="L164" s="841">
        <f t="shared" si="26"/>
        <v>0</v>
      </c>
      <c r="M164" s="840">
        <v>0</v>
      </c>
      <c r="N164" s="840">
        <v>0</v>
      </c>
      <c r="O164" s="161">
        <f t="shared" si="27"/>
        <v>0</v>
      </c>
      <c r="P164" s="840">
        <v>0</v>
      </c>
      <c r="Q164" s="840">
        <v>0</v>
      </c>
      <c r="R164" s="841">
        <f t="shared" si="28"/>
        <v>0</v>
      </c>
      <c r="S164" s="840">
        <v>0</v>
      </c>
      <c r="T164" s="840">
        <v>0</v>
      </c>
      <c r="U164" s="161">
        <f t="shared" si="29"/>
        <v>0</v>
      </c>
      <c r="V164" s="841"/>
      <c r="W164" s="841"/>
      <c r="X164" s="841"/>
      <c r="Y164" s="233"/>
      <c r="Z164" s="233"/>
      <c r="AA164" s="233"/>
      <c r="AB164" s="214" t="s">
        <v>736</v>
      </c>
      <c r="AD164" s="232">
        <f t="shared" si="30"/>
        <v>0</v>
      </c>
      <c r="AE164" s="232">
        <f t="shared" si="31"/>
        <v>0</v>
      </c>
      <c r="AG164" s="232">
        <f t="shared" ref="AG164:AG192" si="35">ROUND(O164,0)</f>
        <v>0</v>
      </c>
      <c r="AH164" s="232">
        <f t="shared" si="33"/>
        <v>0</v>
      </c>
      <c r="AI164" s="232"/>
    </row>
    <row r="165" spans="1:35" ht="55.2" x14ac:dyDescent="0.3">
      <c r="A165" s="46">
        <v>20</v>
      </c>
      <c r="B165" s="46" t="s">
        <v>900</v>
      </c>
      <c r="C165" s="46" t="s">
        <v>671</v>
      </c>
      <c r="D165" s="214" t="str">
        <f t="shared" si="34"/>
        <v>Do Not Print</v>
      </c>
      <c r="E165" s="212" t="s">
        <v>672</v>
      </c>
      <c r="F165" s="214" t="s">
        <v>92</v>
      </c>
      <c r="G165" s="214" t="s">
        <v>1091</v>
      </c>
      <c r="H165" s="214" t="s">
        <v>1099</v>
      </c>
      <c r="I165" s="230"/>
      <c r="J165" s="840">
        <v>0</v>
      </c>
      <c r="K165" s="840">
        <v>0</v>
      </c>
      <c r="L165" s="841">
        <f t="shared" si="26"/>
        <v>0</v>
      </c>
      <c r="M165" s="840">
        <v>0</v>
      </c>
      <c r="N165" s="840">
        <v>0</v>
      </c>
      <c r="O165" s="161">
        <f t="shared" si="27"/>
        <v>0</v>
      </c>
      <c r="P165" s="840">
        <v>0</v>
      </c>
      <c r="Q165" s="840">
        <v>0</v>
      </c>
      <c r="R165" s="841">
        <f t="shared" si="28"/>
        <v>0</v>
      </c>
      <c r="S165" s="840">
        <v>0</v>
      </c>
      <c r="T165" s="840">
        <v>0</v>
      </c>
      <c r="U165" s="161">
        <f t="shared" si="29"/>
        <v>0</v>
      </c>
      <c r="V165" s="841"/>
      <c r="W165" s="841"/>
      <c r="X165" s="841"/>
      <c r="Y165" s="233"/>
      <c r="Z165" s="233"/>
      <c r="AA165" s="233"/>
      <c r="AB165" s="214" t="s">
        <v>1099</v>
      </c>
      <c r="AD165" s="232">
        <f t="shared" si="30"/>
        <v>0</v>
      </c>
      <c r="AE165" s="232">
        <f t="shared" si="31"/>
        <v>0</v>
      </c>
      <c r="AG165" s="232">
        <f t="shared" si="35"/>
        <v>0</v>
      </c>
      <c r="AH165" s="232">
        <f t="shared" si="33"/>
        <v>0</v>
      </c>
      <c r="AI165" s="232"/>
    </row>
    <row r="166" spans="1:35" ht="41.4" x14ac:dyDescent="0.3">
      <c r="A166" s="46">
        <v>20</v>
      </c>
      <c r="B166" s="46" t="s">
        <v>900</v>
      </c>
      <c r="C166" s="46" t="s">
        <v>671</v>
      </c>
      <c r="D166" s="214" t="str">
        <f t="shared" si="34"/>
        <v>Do Not Print</v>
      </c>
      <c r="E166" s="212" t="s">
        <v>672</v>
      </c>
      <c r="F166" s="214" t="s">
        <v>92</v>
      </c>
      <c r="G166" s="214" t="s">
        <v>437</v>
      </c>
      <c r="H166" s="214" t="s">
        <v>737</v>
      </c>
      <c r="I166" s="230"/>
      <c r="J166" s="840">
        <v>0</v>
      </c>
      <c r="K166" s="840">
        <v>0</v>
      </c>
      <c r="L166" s="841">
        <f t="shared" si="26"/>
        <v>0</v>
      </c>
      <c r="M166" s="840">
        <v>0</v>
      </c>
      <c r="N166" s="840">
        <v>0</v>
      </c>
      <c r="O166" s="161">
        <f t="shared" si="27"/>
        <v>0</v>
      </c>
      <c r="P166" s="840">
        <v>0</v>
      </c>
      <c r="Q166" s="840">
        <v>0</v>
      </c>
      <c r="R166" s="841">
        <f t="shared" si="28"/>
        <v>0</v>
      </c>
      <c r="S166" s="840">
        <v>0</v>
      </c>
      <c r="T166" s="840">
        <v>0</v>
      </c>
      <c r="U166" s="161">
        <f t="shared" si="29"/>
        <v>0</v>
      </c>
      <c r="V166" s="841"/>
      <c r="W166" s="841"/>
      <c r="X166" s="841"/>
      <c r="Y166" s="233"/>
      <c r="Z166" s="233"/>
      <c r="AA166" s="233"/>
      <c r="AB166" s="214" t="s">
        <v>737</v>
      </c>
      <c r="AD166" s="232">
        <f t="shared" si="30"/>
        <v>0</v>
      </c>
      <c r="AE166" s="232">
        <f t="shared" si="31"/>
        <v>0</v>
      </c>
      <c r="AG166" s="232">
        <f t="shared" si="35"/>
        <v>0</v>
      </c>
      <c r="AH166" s="232">
        <f t="shared" si="33"/>
        <v>0</v>
      </c>
      <c r="AI166" s="232"/>
    </row>
    <row r="167" spans="1:35" ht="27.6" x14ac:dyDescent="0.3">
      <c r="A167" s="46">
        <v>20</v>
      </c>
      <c r="B167" s="46" t="s">
        <v>900</v>
      </c>
      <c r="C167" s="46" t="s">
        <v>671</v>
      </c>
      <c r="D167" s="214" t="str">
        <f t="shared" si="34"/>
        <v>Do Not Print</v>
      </c>
      <c r="E167" s="212" t="s">
        <v>672</v>
      </c>
      <c r="F167" s="214" t="s">
        <v>92</v>
      </c>
      <c r="G167" s="214" t="s">
        <v>977</v>
      </c>
      <c r="H167" s="214" t="s">
        <v>738</v>
      </c>
      <c r="I167" s="230"/>
      <c r="J167" s="842">
        <v>0</v>
      </c>
      <c r="K167" s="840">
        <v>0</v>
      </c>
      <c r="L167" s="841">
        <f t="shared" si="26"/>
        <v>0</v>
      </c>
      <c r="M167" s="842">
        <v>0</v>
      </c>
      <c r="N167" s="840">
        <v>0</v>
      </c>
      <c r="O167" s="161">
        <f t="shared" si="27"/>
        <v>0</v>
      </c>
      <c r="P167" s="842">
        <v>0</v>
      </c>
      <c r="Q167" s="840">
        <v>0</v>
      </c>
      <c r="R167" s="841">
        <f t="shared" si="28"/>
        <v>0</v>
      </c>
      <c r="S167" s="842">
        <v>0</v>
      </c>
      <c r="T167" s="840">
        <v>0</v>
      </c>
      <c r="U167" s="161">
        <f t="shared" si="29"/>
        <v>0</v>
      </c>
      <c r="V167" s="841"/>
      <c r="W167" s="841"/>
      <c r="X167" s="841"/>
      <c r="Y167" s="233"/>
      <c r="Z167" s="233"/>
      <c r="AA167" s="233"/>
      <c r="AB167" s="214" t="s">
        <v>738</v>
      </c>
      <c r="AD167" s="232">
        <f t="shared" si="30"/>
        <v>0</v>
      </c>
      <c r="AE167" s="232">
        <f t="shared" si="31"/>
        <v>0</v>
      </c>
      <c r="AG167" s="232">
        <f t="shared" si="35"/>
        <v>0</v>
      </c>
      <c r="AH167" s="232">
        <f t="shared" si="33"/>
        <v>0</v>
      </c>
      <c r="AI167" s="232"/>
    </row>
    <row r="168" spans="1:35" ht="27.6" x14ac:dyDescent="0.3">
      <c r="A168" s="46">
        <v>20</v>
      </c>
      <c r="B168" s="46" t="s">
        <v>900</v>
      </c>
      <c r="C168" s="46" t="s">
        <v>671</v>
      </c>
      <c r="D168" s="214" t="str">
        <f t="shared" si="34"/>
        <v>Do Not Print</v>
      </c>
      <c r="E168" s="212" t="s">
        <v>672</v>
      </c>
      <c r="F168" s="214" t="s">
        <v>92</v>
      </c>
      <c r="G168" s="214" t="s">
        <v>979</v>
      </c>
      <c r="H168" s="214" t="s">
        <v>739</v>
      </c>
      <c r="I168" s="230"/>
      <c r="J168" s="842">
        <v>0</v>
      </c>
      <c r="K168" s="840">
        <v>0</v>
      </c>
      <c r="L168" s="841">
        <f t="shared" si="26"/>
        <v>0</v>
      </c>
      <c r="M168" s="842">
        <v>0</v>
      </c>
      <c r="N168" s="840">
        <v>0</v>
      </c>
      <c r="O168" s="161">
        <f t="shared" si="27"/>
        <v>0</v>
      </c>
      <c r="P168" s="842">
        <v>0</v>
      </c>
      <c r="Q168" s="840">
        <v>0</v>
      </c>
      <c r="R168" s="841">
        <f t="shared" si="28"/>
        <v>0</v>
      </c>
      <c r="S168" s="842">
        <v>0</v>
      </c>
      <c r="T168" s="840">
        <v>0</v>
      </c>
      <c r="U168" s="161">
        <f t="shared" si="29"/>
        <v>0</v>
      </c>
      <c r="V168" s="841"/>
      <c r="W168" s="841"/>
      <c r="X168" s="841"/>
      <c r="Y168" s="233"/>
      <c r="Z168" s="233"/>
      <c r="AA168" s="233"/>
      <c r="AB168" s="214" t="s">
        <v>739</v>
      </c>
      <c r="AD168" s="232">
        <f t="shared" si="30"/>
        <v>0</v>
      </c>
      <c r="AE168" s="232">
        <f t="shared" si="31"/>
        <v>0</v>
      </c>
      <c r="AG168" s="232">
        <f t="shared" si="35"/>
        <v>0</v>
      </c>
      <c r="AH168" s="232">
        <f t="shared" si="33"/>
        <v>0</v>
      </c>
      <c r="AI168" s="232"/>
    </row>
    <row r="169" spans="1:35" ht="41.4" x14ac:dyDescent="0.3">
      <c r="A169" s="46">
        <v>20</v>
      </c>
      <c r="B169" s="46" t="s">
        <v>900</v>
      </c>
      <c r="C169" s="46" t="s">
        <v>671</v>
      </c>
      <c r="D169" s="214" t="str">
        <f t="shared" si="34"/>
        <v>Do Not Print</v>
      </c>
      <c r="E169" s="212" t="s">
        <v>672</v>
      </c>
      <c r="F169" s="214" t="s">
        <v>92</v>
      </c>
      <c r="G169" s="214" t="s">
        <v>980</v>
      </c>
      <c r="H169" s="214" t="s">
        <v>740</v>
      </c>
      <c r="I169" s="230"/>
      <c r="J169" s="840">
        <v>0</v>
      </c>
      <c r="K169" s="840">
        <v>0</v>
      </c>
      <c r="L169" s="841">
        <f t="shared" si="26"/>
        <v>0</v>
      </c>
      <c r="M169" s="840">
        <v>0</v>
      </c>
      <c r="N169" s="840">
        <v>0</v>
      </c>
      <c r="O169" s="161">
        <f t="shared" si="27"/>
        <v>0</v>
      </c>
      <c r="P169" s="840">
        <v>0</v>
      </c>
      <c r="Q169" s="840">
        <v>0</v>
      </c>
      <c r="R169" s="841">
        <f t="shared" si="28"/>
        <v>0</v>
      </c>
      <c r="S169" s="840">
        <v>0</v>
      </c>
      <c r="T169" s="840">
        <v>0</v>
      </c>
      <c r="U169" s="161">
        <f t="shared" si="29"/>
        <v>0</v>
      </c>
      <c r="V169" s="841"/>
      <c r="W169" s="841"/>
      <c r="X169" s="841"/>
      <c r="Y169" s="233"/>
      <c r="Z169" s="233"/>
      <c r="AA169" s="233"/>
      <c r="AB169" s="214" t="s">
        <v>740</v>
      </c>
      <c r="AD169" s="232">
        <f t="shared" si="30"/>
        <v>0</v>
      </c>
      <c r="AE169" s="232">
        <f t="shared" si="31"/>
        <v>0</v>
      </c>
      <c r="AG169" s="232">
        <f t="shared" si="35"/>
        <v>0</v>
      </c>
      <c r="AH169" s="232">
        <f t="shared" si="33"/>
        <v>0</v>
      </c>
      <c r="AI169" s="232"/>
    </row>
    <row r="170" spans="1:35" ht="27.6" x14ac:dyDescent="0.3">
      <c r="A170" s="46">
        <v>20</v>
      </c>
      <c r="B170" s="46" t="s">
        <v>900</v>
      </c>
      <c r="C170" s="46" t="s">
        <v>671</v>
      </c>
      <c r="D170" s="214" t="str">
        <f t="shared" si="34"/>
        <v>Do Not Print</v>
      </c>
      <c r="E170" s="212" t="s">
        <v>672</v>
      </c>
      <c r="F170" s="214" t="s">
        <v>92</v>
      </c>
      <c r="G170" s="214" t="s">
        <v>1093</v>
      </c>
      <c r="H170" s="214" t="s">
        <v>994</v>
      </c>
      <c r="I170" s="230"/>
      <c r="J170" s="840">
        <v>0</v>
      </c>
      <c r="K170" s="840">
        <v>0</v>
      </c>
      <c r="L170" s="841">
        <f t="shared" si="26"/>
        <v>0</v>
      </c>
      <c r="M170" s="840">
        <v>0</v>
      </c>
      <c r="N170" s="840">
        <v>0</v>
      </c>
      <c r="O170" s="161">
        <f t="shared" si="27"/>
        <v>0</v>
      </c>
      <c r="P170" s="840">
        <v>0</v>
      </c>
      <c r="Q170" s="840">
        <v>0</v>
      </c>
      <c r="R170" s="841">
        <f t="shared" si="28"/>
        <v>0</v>
      </c>
      <c r="S170" s="840">
        <v>0</v>
      </c>
      <c r="T170" s="840">
        <v>0</v>
      </c>
      <c r="U170" s="161">
        <f t="shared" si="29"/>
        <v>0</v>
      </c>
      <c r="V170" s="841"/>
      <c r="W170" s="841"/>
      <c r="X170" s="841"/>
      <c r="Y170" s="233"/>
      <c r="Z170" s="233"/>
      <c r="AA170" s="233"/>
      <c r="AB170" s="214" t="s">
        <v>994</v>
      </c>
      <c r="AD170" s="232">
        <f t="shared" si="30"/>
        <v>0</v>
      </c>
      <c r="AE170" s="232">
        <f t="shared" si="31"/>
        <v>0</v>
      </c>
      <c r="AG170" s="232">
        <f t="shared" si="35"/>
        <v>0</v>
      </c>
      <c r="AH170" s="232">
        <f t="shared" si="33"/>
        <v>0</v>
      </c>
      <c r="AI170" s="232"/>
    </row>
    <row r="171" spans="1:35" ht="27.6" x14ac:dyDescent="0.3">
      <c r="A171" s="46">
        <v>20</v>
      </c>
      <c r="B171" s="46" t="s">
        <v>900</v>
      </c>
      <c r="C171" s="46" t="s">
        <v>671</v>
      </c>
      <c r="D171" s="214" t="str">
        <f t="shared" si="34"/>
        <v>Do Not Print</v>
      </c>
      <c r="E171" s="212" t="s">
        <v>672</v>
      </c>
      <c r="F171" s="214" t="s">
        <v>92</v>
      </c>
      <c r="G171" s="214" t="s">
        <v>438</v>
      </c>
      <c r="H171" s="214" t="s">
        <v>1041</v>
      </c>
      <c r="I171" s="230"/>
      <c r="J171" s="839">
        <f>P171+P172+P173-P174-P175-P176-P177-P178-P179+P180+P181+SUM(Q171:Q181)+P161+Q161</f>
        <v>0</v>
      </c>
      <c r="K171" s="840">
        <v>0</v>
      </c>
      <c r="L171" s="841">
        <f t="shared" si="26"/>
        <v>0</v>
      </c>
      <c r="M171" s="839">
        <f>S171+S172+S173-S174-S175-S176-S177-S178-S179+S180+S181+SUM(T171:T181)</f>
        <v>0</v>
      </c>
      <c r="N171" s="840">
        <v>0</v>
      </c>
      <c r="O171" s="161">
        <f t="shared" si="27"/>
        <v>0</v>
      </c>
      <c r="P171" s="840">
        <v>0</v>
      </c>
      <c r="Q171" s="840">
        <v>0</v>
      </c>
      <c r="R171" s="841">
        <f t="shared" si="28"/>
        <v>0</v>
      </c>
      <c r="S171" s="840">
        <v>0</v>
      </c>
      <c r="T171" s="840">
        <v>0</v>
      </c>
      <c r="U171" s="161">
        <f t="shared" si="29"/>
        <v>0</v>
      </c>
      <c r="V171" s="841"/>
      <c r="W171" s="841"/>
      <c r="X171" s="841"/>
      <c r="Y171" s="233"/>
      <c r="Z171" s="233"/>
      <c r="AA171" s="233"/>
      <c r="AB171" s="214" t="s">
        <v>1041</v>
      </c>
      <c r="AD171" s="232">
        <f t="shared" si="30"/>
        <v>0</v>
      </c>
      <c r="AE171" s="232">
        <f t="shared" si="31"/>
        <v>0</v>
      </c>
      <c r="AG171" s="232">
        <f t="shared" si="35"/>
        <v>0</v>
      </c>
      <c r="AH171" s="232">
        <f t="shared" si="33"/>
        <v>0</v>
      </c>
      <c r="AI171" s="232"/>
    </row>
    <row r="172" spans="1:35" ht="41.4" x14ac:dyDescent="0.3">
      <c r="A172" s="46">
        <v>20</v>
      </c>
      <c r="B172" s="46" t="s">
        <v>900</v>
      </c>
      <c r="C172" s="46" t="s">
        <v>671</v>
      </c>
      <c r="D172" s="214" t="str">
        <f t="shared" si="34"/>
        <v>Do Not Print</v>
      </c>
      <c r="E172" s="212" t="s">
        <v>672</v>
      </c>
      <c r="F172" s="214" t="s">
        <v>92</v>
      </c>
      <c r="G172" s="213" t="s">
        <v>101</v>
      </c>
      <c r="H172" s="213" t="s">
        <v>101</v>
      </c>
      <c r="I172" s="230"/>
      <c r="J172" s="840">
        <v>0</v>
      </c>
      <c r="K172" s="840">
        <v>0</v>
      </c>
      <c r="L172" s="841">
        <f t="shared" si="26"/>
        <v>0</v>
      </c>
      <c r="M172" s="840">
        <v>0</v>
      </c>
      <c r="N172" s="840">
        <v>0</v>
      </c>
      <c r="O172" s="161">
        <f t="shared" si="27"/>
        <v>0</v>
      </c>
      <c r="P172" s="840">
        <v>0</v>
      </c>
      <c r="Q172" s="840">
        <v>0</v>
      </c>
      <c r="R172" s="841">
        <f t="shared" si="28"/>
        <v>0</v>
      </c>
      <c r="S172" s="840">
        <v>0</v>
      </c>
      <c r="T172" s="840">
        <v>0</v>
      </c>
      <c r="U172" s="161">
        <f t="shared" si="29"/>
        <v>0</v>
      </c>
      <c r="V172" s="841"/>
      <c r="W172" s="841"/>
      <c r="X172" s="841"/>
      <c r="Y172" s="233"/>
      <c r="Z172" s="233"/>
      <c r="AA172" s="233"/>
      <c r="AB172" s="213" t="s">
        <v>101</v>
      </c>
      <c r="AD172" s="232">
        <f t="shared" si="30"/>
        <v>0</v>
      </c>
      <c r="AE172" s="232">
        <f t="shared" si="31"/>
        <v>0</v>
      </c>
      <c r="AG172" s="232">
        <f t="shared" si="35"/>
        <v>0</v>
      </c>
      <c r="AH172" s="232">
        <f t="shared" si="33"/>
        <v>0</v>
      </c>
      <c r="AI172" s="232"/>
    </row>
    <row r="173" spans="1:35" ht="27.6" x14ac:dyDescent="0.3">
      <c r="A173" s="46">
        <v>20</v>
      </c>
      <c r="B173" s="46" t="s">
        <v>900</v>
      </c>
      <c r="C173" s="46" t="s">
        <v>671</v>
      </c>
      <c r="D173" s="214" t="str">
        <f t="shared" si="34"/>
        <v>Do Not Print</v>
      </c>
      <c r="E173" s="212" t="s">
        <v>672</v>
      </c>
      <c r="F173" s="214" t="s">
        <v>92</v>
      </c>
      <c r="G173" s="214" t="s">
        <v>109</v>
      </c>
      <c r="H173" s="214" t="s">
        <v>1042</v>
      </c>
      <c r="I173" s="230"/>
      <c r="J173" s="840">
        <v>0</v>
      </c>
      <c r="K173" s="840">
        <v>0</v>
      </c>
      <c r="L173" s="841">
        <f t="shared" si="26"/>
        <v>0</v>
      </c>
      <c r="M173" s="840">
        <v>0</v>
      </c>
      <c r="N173" s="840">
        <v>0</v>
      </c>
      <c r="O173" s="161">
        <f t="shared" si="27"/>
        <v>0</v>
      </c>
      <c r="P173" s="840">
        <v>0</v>
      </c>
      <c r="Q173" s="840">
        <v>0</v>
      </c>
      <c r="R173" s="841">
        <f t="shared" si="28"/>
        <v>0</v>
      </c>
      <c r="S173" s="840">
        <v>0</v>
      </c>
      <c r="T173" s="840">
        <v>0</v>
      </c>
      <c r="U173" s="161">
        <f t="shared" si="29"/>
        <v>0</v>
      </c>
      <c r="V173" s="841"/>
      <c r="W173" s="841"/>
      <c r="X173" s="841"/>
      <c r="Y173" s="233"/>
      <c r="Z173" s="233"/>
      <c r="AA173" s="233"/>
      <c r="AB173" s="214" t="s">
        <v>1042</v>
      </c>
      <c r="AD173" s="232">
        <f t="shared" si="30"/>
        <v>0</v>
      </c>
      <c r="AE173" s="232">
        <f t="shared" si="31"/>
        <v>0</v>
      </c>
      <c r="AG173" s="232">
        <f t="shared" si="35"/>
        <v>0</v>
      </c>
      <c r="AH173" s="232">
        <f t="shared" si="33"/>
        <v>0</v>
      </c>
      <c r="AI173" s="232"/>
    </row>
    <row r="174" spans="1:35" ht="41.4" x14ac:dyDescent="0.3">
      <c r="A174" s="46">
        <v>20</v>
      </c>
      <c r="B174" s="46" t="s">
        <v>900</v>
      </c>
      <c r="C174" s="46" t="s">
        <v>671</v>
      </c>
      <c r="D174" s="214" t="str">
        <f t="shared" si="34"/>
        <v>Do Not Print</v>
      </c>
      <c r="E174" s="212" t="s">
        <v>672</v>
      </c>
      <c r="F174" s="214" t="s">
        <v>92</v>
      </c>
      <c r="G174" s="214" t="s">
        <v>1092</v>
      </c>
      <c r="H174" s="214" t="s">
        <v>1043</v>
      </c>
      <c r="I174" s="230"/>
      <c r="J174" s="840">
        <v>0</v>
      </c>
      <c r="K174" s="840">
        <v>0</v>
      </c>
      <c r="L174" s="841">
        <f t="shared" si="26"/>
        <v>0</v>
      </c>
      <c r="M174" s="840">
        <v>0</v>
      </c>
      <c r="N174" s="840">
        <v>0</v>
      </c>
      <c r="O174" s="161">
        <f t="shared" si="27"/>
        <v>0</v>
      </c>
      <c r="P174" s="840">
        <v>0</v>
      </c>
      <c r="Q174" s="840">
        <v>0</v>
      </c>
      <c r="R174" s="841">
        <f t="shared" si="28"/>
        <v>0</v>
      </c>
      <c r="S174" s="840">
        <v>0</v>
      </c>
      <c r="T174" s="840">
        <v>0</v>
      </c>
      <c r="U174" s="161">
        <f t="shared" si="29"/>
        <v>0</v>
      </c>
      <c r="V174" s="841"/>
      <c r="W174" s="841"/>
      <c r="X174" s="841"/>
      <c r="Y174" s="233"/>
      <c r="Z174" s="233"/>
      <c r="AA174" s="233"/>
      <c r="AB174" s="214" t="s">
        <v>1043</v>
      </c>
      <c r="AD174" s="232">
        <f t="shared" si="30"/>
        <v>0</v>
      </c>
      <c r="AE174" s="232">
        <f t="shared" si="31"/>
        <v>0</v>
      </c>
      <c r="AG174" s="232">
        <f t="shared" si="35"/>
        <v>0</v>
      </c>
      <c r="AH174" s="232">
        <f t="shared" si="33"/>
        <v>0</v>
      </c>
      <c r="AI174" s="232"/>
    </row>
    <row r="175" spans="1:35" ht="55.2" x14ac:dyDescent="0.3">
      <c r="A175" s="46">
        <v>20</v>
      </c>
      <c r="B175" s="46" t="s">
        <v>900</v>
      </c>
      <c r="C175" s="46" t="s">
        <v>671</v>
      </c>
      <c r="D175" s="214" t="str">
        <f t="shared" si="34"/>
        <v>Do Not Print</v>
      </c>
      <c r="E175" s="212" t="s">
        <v>672</v>
      </c>
      <c r="F175" s="214" t="s">
        <v>92</v>
      </c>
      <c r="G175" s="214" t="s">
        <v>111</v>
      </c>
      <c r="H175" s="214" t="s">
        <v>111</v>
      </c>
      <c r="I175" s="230"/>
      <c r="J175" s="840">
        <v>0</v>
      </c>
      <c r="K175" s="840">
        <v>0</v>
      </c>
      <c r="L175" s="841">
        <f t="shared" si="26"/>
        <v>0</v>
      </c>
      <c r="M175" s="840">
        <v>0</v>
      </c>
      <c r="N175" s="840">
        <v>0</v>
      </c>
      <c r="O175" s="161">
        <f t="shared" si="27"/>
        <v>0</v>
      </c>
      <c r="P175" s="840">
        <v>0</v>
      </c>
      <c r="Q175" s="840">
        <v>0</v>
      </c>
      <c r="R175" s="841">
        <f t="shared" si="28"/>
        <v>0</v>
      </c>
      <c r="S175" s="840">
        <v>0</v>
      </c>
      <c r="T175" s="840">
        <v>0</v>
      </c>
      <c r="U175" s="161">
        <f t="shared" si="29"/>
        <v>0</v>
      </c>
      <c r="V175" s="841"/>
      <c r="W175" s="841"/>
      <c r="X175" s="841"/>
      <c r="Y175" s="233"/>
      <c r="Z175" s="233"/>
      <c r="AA175" s="233"/>
      <c r="AB175" s="214" t="s">
        <v>111</v>
      </c>
      <c r="AD175" s="232">
        <f t="shared" si="30"/>
        <v>0</v>
      </c>
      <c r="AE175" s="232">
        <f t="shared" si="31"/>
        <v>0</v>
      </c>
      <c r="AG175" s="232">
        <f t="shared" si="35"/>
        <v>0</v>
      </c>
      <c r="AH175" s="232">
        <f t="shared" si="33"/>
        <v>0</v>
      </c>
      <c r="AI175" s="232"/>
    </row>
    <row r="176" spans="1:35" ht="41.4" x14ac:dyDescent="0.3">
      <c r="A176" s="46">
        <v>20</v>
      </c>
      <c r="B176" s="46" t="s">
        <v>900</v>
      </c>
      <c r="C176" s="46" t="s">
        <v>671</v>
      </c>
      <c r="D176" s="214" t="str">
        <f t="shared" si="34"/>
        <v>Do Not Print</v>
      </c>
      <c r="E176" s="212" t="s">
        <v>672</v>
      </c>
      <c r="F176" s="214" t="s">
        <v>92</v>
      </c>
      <c r="G176" s="214" t="s">
        <v>982</v>
      </c>
      <c r="H176" s="214" t="s">
        <v>1044</v>
      </c>
      <c r="I176" s="230"/>
      <c r="J176" s="840">
        <v>0</v>
      </c>
      <c r="K176" s="840">
        <v>0</v>
      </c>
      <c r="L176" s="841">
        <f t="shared" si="26"/>
        <v>0</v>
      </c>
      <c r="M176" s="840">
        <v>0</v>
      </c>
      <c r="N176" s="840">
        <v>0</v>
      </c>
      <c r="O176" s="161">
        <f t="shared" si="27"/>
        <v>0</v>
      </c>
      <c r="P176" s="840">
        <v>0</v>
      </c>
      <c r="Q176" s="840">
        <v>0</v>
      </c>
      <c r="R176" s="841">
        <f t="shared" si="28"/>
        <v>0</v>
      </c>
      <c r="S176" s="840">
        <v>0</v>
      </c>
      <c r="T176" s="840">
        <v>0</v>
      </c>
      <c r="U176" s="161">
        <f t="shared" si="29"/>
        <v>0</v>
      </c>
      <c r="V176" s="841"/>
      <c r="W176" s="841"/>
      <c r="X176" s="841"/>
      <c r="Y176" s="233"/>
      <c r="Z176" s="233"/>
      <c r="AA176" s="233"/>
      <c r="AB176" s="214" t="s">
        <v>1044</v>
      </c>
      <c r="AD176" s="232">
        <f t="shared" si="30"/>
        <v>0</v>
      </c>
      <c r="AE176" s="232">
        <f t="shared" si="31"/>
        <v>0</v>
      </c>
      <c r="AG176" s="232">
        <f t="shared" si="35"/>
        <v>0</v>
      </c>
      <c r="AH176" s="232">
        <f t="shared" si="33"/>
        <v>0</v>
      </c>
      <c r="AI176" s="232"/>
    </row>
    <row r="177" spans="1:35" ht="27.6" x14ac:dyDescent="0.3">
      <c r="A177" s="46">
        <v>20</v>
      </c>
      <c r="B177" s="46" t="s">
        <v>900</v>
      </c>
      <c r="C177" s="46" t="s">
        <v>671</v>
      </c>
      <c r="D177" s="214" t="str">
        <f t="shared" si="34"/>
        <v>Do Not Print</v>
      </c>
      <c r="E177" s="212" t="s">
        <v>672</v>
      </c>
      <c r="F177" s="214" t="s">
        <v>92</v>
      </c>
      <c r="G177" s="214" t="s">
        <v>981</v>
      </c>
      <c r="H177" s="214" t="s">
        <v>1045</v>
      </c>
      <c r="I177" s="230"/>
      <c r="J177" s="840">
        <v>0</v>
      </c>
      <c r="K177" s="840">
        <v>0</v>
      </c>
      <c r="L177" s="841">
        <f t="shared" si="26"/>
        <v>0</v>
      </c>
      <c r="M177" s="840">
        <v>0</v>
      </c>
      <c r="N177" s="840">
        <v>0</v>
      </c>
      <c r="O177" s="161">
        <f t="shared" si="27"/>
        <v>0</v>
      </c>
      <c r="P177" s="840">
        <v>0</v>
      </c>
      <c r="Q177" s="840">
        <v>0</v>
      </c>
      <c r="R177" s="841">
        <f t="shared" si="28"/>
        <v>0</v>
      </c>
      <c r="S177" s="840">
        <v>0</v>
      </c>
      <c r="T177" s="840">
        <v>0</v>
      </c>
      <c r="U177" s="161">
        <f t="shared" si="29"/>
        <v>0</v>
      </c>
      <c r="V177" s="841"/>
      <c r="W177" s="841"/>
      <c r="X177" s="841"/>
      <c r="Y177" s="233"/>
      <c r="Z177" s="233"/>
      <c r="AA177" s="233"/>
      <c r="AB177" s="214" t="s">
        <v>1045</v>
      </c>
      <c r="AD177" s="232">
        <f t="shared" si="30"/>
        <v>0</v>
      </c>
      <c r="AE177" s="232">
        <f t="shared" si="31"/>
        <v>0</v>
      </c>
      <c r="AG177" s="232">
        <f t="shared" si="35"/>
        <v>0</v>
      </c>
      <c r="AH177" s="232">
        <f t="shared" si="33"/>
        <v>0</v>
      </c>
      <c r="AI177" s="232"/>
    </row>
    <row r="178" spans="1:35" ht="27.6" x14ac:dyDescent="0.3">
      <c r="A178" s="46">
        <v>20</v>
      </c>
      <c r="B178" s="46" t="s">
        <v>900</v>
      </c>
      <c r="C178" s="46" t="s">
        <v>671</v>
      </c>
      <c r="D178" s="214" t="str">
        <f t="shared" si="34"/>
        <v>Do Not Print</v>
      </c>
      <c r="E178" s="212" t="s">
        <v>672</v>
      </c>
      <c r="F178" s="214" t="s">
        <v>92</v>
      </c>
      <c r="G178" s="214" t="s">
        <v>977</v>
      </c>
      <c r="H178" s="214" t="s">
        <v>1046</v>
      </c>
      <c r="I178" s="230"/>
      <c r="J178" s="840">
        <v>0</v>
      </c>
      <c r="K178" s="840">
        <v>0</v>
      </c>
      <c r="L178" s="841">
        <f t="shared" si="26"/>
        <v>0</v>
      </c>
      <c r="M178" s="840">
        <v>0</v>
      </c>
      <c r="N178" s="840">
        <v>0</v>
      </c>
      <c r="O178" s="161">
        <f t="shared" si="27"/>
        <v>0</v>
      </c>
      <c r="P178" s="840">
        <v>0</v>
      </c>
      <c r="Q178" s="840">
        <v>0</v>
      </c>
      <c r="R178" s="841">
        <f t="shared" si="28"/>
        <v>0</v>
      </c>
      <c r="S178" s="840">
        <v>0</v>
      </c>
      <c r="T178" s="840">
        <v>0</v>
      </c>
      <c r="U178" s="161">
        <f t="shared" si="29"/>
        <v>0</v>
      </c>
      <c r="V178" s="841"/>
      <c r="W178" s="841"/>
      <c r="X178" s="841"/>
      <c r="Y178" s="233"/>
      <c r="Z178" s="233"/>
      <c r="AA178" s="233"/>
      <c r="AB178" s="214" t="s">
        <v>1046</v>
      </c>
      <c r="AD178" s="232">
        <f t="shared" si="30"/>
        <v>0</v>
      </c>
      <c r="AE178" s="232">
        <f t="shared" si="31"/>
        <v>0</v>
      </c>
      <c r="AG178" s="232">
        <f t="shared" si="35"/>
        <v>0</v>
      </c>
      <c r="AH178" s="232">
        <f t="shared" si="33"/>
        <v>0</v>
      </c>
      <c r="AI178" s="232"/>
    </row>
    <row r="179" spans="1:35" ht="41.4" x14ac:dyDescent="0.3">
      <c r="A179" s="46">
        <v>20</v>
      </c>
      <c r="B179" s="46" t="s">
        <v>900</v>
      </c>
      <c r="C179" s="46" t="s">
        <v>671</v>
      </c>
      <c r="D179" s="214" t="str">
        <f t="shared" si="34"/>
        <v>Do Not Print</v>
      </c>
      <c r="E179" s="212" t="s">
        <v>672</v>
      </c>
      <c r="F179" s="214" t="s">
        <v>92</v>
      </c>
      <c r="G179" s="214" t="s">
        <v>979</v>
      </c>
      <c r="H179" s="214" t="s">
        <v>1047</v>
      </c>
      <c r="I179" s="230"/>
      <c r="J179" s="840">
        <v>0</v>
      </c>
      <c r="K179" s="840">
        <v>0</v>
      </c>
      <c r="L179" s="841">
        <f t="shared" si="26"/>
        <v>0</v>
      </c>
      <c r="M179" s="840">
        <v>0</v>
      </c>
      <c r="N179" s="840">
        <v>0</v>
      </c>
      <c r="O179" s="161">
        <f t="shared" si="27"/>
        <v>0</v>
      </c>
      <c r="P179" s="840">
        <v>0</v>
      </c>
      <c r="Q179" s="840">
        <v>0</v>
      </c>
      <c r="R179" s="841">
        <f t="shared" si="28"/>
        <v>0</v>
      </c>
      <c r="S179" s="840">
        <v>0</v>
      </c>
      <c r="T179" s="840">
        <v>0</v>
      </c>
      <c r="U179" s="161">
        <f t="shared" si="29"/>
        <v>0</v>
      </c>
      <c r="V179" s="841"/>
      <c r="W179" s="841"/>
      <c r="X179" s="841"/>
      <c r="Y179" s="233"/>
      <c r="Z179" s="233"/>
      <c r="AA179" s="233"/>
      <c r="AB179" s="214" t="s">
        <v>1047</v>
      </c>
      <c r="AD179" s="232">
        <f t="shared" si="30"/>
        <v>0</v>
      </c>
      <c r="AE179" s="232">
        <f t="shared" si="31"/>
        <v>0</v>
      </c>
      <c r="AG179" s="232">
        <f t="shared" si="35"/>
        <v>0</v>
      </c>
      <c r="AH179" s="232">
        <f t="shared" si="33"/>
        <v>0</v>
      </c>
      <c r="AI179" s="232"/>
    </row>
    <row r="180" spans="1:35" ht="41.4" x14ac:dyDescent="0.3">
      <c r="A180" s="46">
        <v>20</v>
      </c>
      <c r="B180" s="46" t="s">
        <v>900</v>
      </c>
      <c r="C180" s="46" t="s">
        <v>671</v>
      </c>
      <c r="D180" s="214" t="str">
        <f t="shared" si="34"/>
        <v>Do Not Print</v>
      </c>
      <c r="E180" s="212" t="s">
        <v>672</v>
      </c>
      <c r="F180" s="214" t="s">
        <v>92</v>
      </c>
      <c r="G180" s="214" t="s">
        <v>980</v>
      </c>
      <c r="H180" s="214" t="s">
        <v>1048</v>
      </c>
      <c r="I180" s="230"/>
      <c r="J180" s="840">
        <v>0</v>
      </c>
      <c r="K180" s="840">
        <v>0</v>
      </c>
      <c r="L180" s="841">
        <f t="shared" si="26"/>
        <v>0</v>
      </c>
      <c r="M180" s="840">
        <v>0</v>
      </c>
      <c r="N180" s="840">
        <v>0</v>
      </c>
      <c r="O180" s="161">
        <f t="shared" si="27"/>
        <v>0</v>
      </c>
      <c r="P180" s="840">
        <v>0</v>
      </c>
      <c r="Q180" s="840">
        <v>0</v>
      </c>
      <c r="R180" s="841">
        <f t="shared" si="28"/>
        <v>0</v>
      </c>
      <c r="S180" s="840">
        <v>0</v>
      </c>
      <c r="T180" s="840">
        <v>0</v>
      </c>
      <c r="U180" s="161">
        <f t="shared" si="29"/>
        <v>0</v>
      </c>
      <c r="V180" s="841"/>
      <c r="W180" s="841"/>
      <c r="X180" s="841"/>
      <c r="Y180" s="233"/>
      <c r="Z180" s="233"/>
      <c r="AA180" s="233"/>
      <c r="AB180" s="214" t="s">
        <v>1048</v>
      </c>
      <c r="AD180" s="232">
        <f t="shared" si="30"/>
        <v>0</v>
      </c>
      <c r="AE180" s="232">
        <f t="shared" si="31"/>
        <v>0</v>
      </c>
      <c r="AG180" s="232">
        <f t="shared" si="35"/>
        <v>0</v>
      </c>
      <c r="AH180" s="232">
        <f t="shared" si="33"/>
        <v>0</v>
      </c>
      <c r="AI180" s="232"/>
    </row>
    <row r="181" spans="1:35" ht="41.4" x14ac:dyDescent="0.3">
      <c r="A181" s="46">
        <v>20</v>
      </c>
      <c r="B181" s="46" t="s">
        <v>900</v>
      </c>
      <c r="C181" s="46" t="s">
        <v>671</v>
      </c>
      <c r="D181" s="214" t="str">
        <f t="shared" si="34"/>
        <v>Do Not Print</v>
      </c>
      <c r="E181" s="212" t="s">
        <v>672</v>
      </c>
      <c r="F181" s="214" t="s">
        <v>92</v>
      </c>
      <c r="G181" s="214" t="s">
        <v>1093</v>
      </c>
      <c r="H181" s="214" t="s">
        <v>997</v>
      </c>
      <c r="I181" s="230"/>
      <c r="J181" s="840">
        <v>0</v>
      </c>
      <c r="K181" s="840">
        <v>0</v>
      </c>
      <c r="L181" s="841">
        <f t="shared" si="26"/>
        <v>0</v>
      </c>
      <c r="M181" s="840">
        <v>0</v>
      </c>
      <c r="N181" s="840">
        <v>0</v>
      </c>
      <c r="O181" s="161">
        <f t="shared" si="27"/>
        <v>0</v>
      </c>
      <c r="P181" s="840">
        <v>0</v>
      </c>
      <c r="Q181" s="840">
        <v>0</v>
      </c>
      <c r="R181" s="841">
        <f t="shared" si="28"/>
        <v>0</v>
      </c>
      <c r="S181" s="840">
        <v>0</v>
      </c>
      <c r="T181" s="840">
        <v>0</v>
      </c>
      <c r="U181" s="161">
        <f t="shared" si="29"/>
        <v>0</v>
      </c>
      <c r="V181" s="841"/>
      <c r="W181" s="841"/>
      <c r="X181" s="841"/>
      <c r="Y181" s="233"/>
      <c r="Z181" s="233"/>
      <c r="AA181" s="233"/>
      <c r="AB181" s="214" t="s">
        <v>997</v>
      </c>
      <c r="AD181" s="232">
        <f t="shared" si="30"/>
        <v>0</v>
      </c>
      <c r="AE181" s="232">
        <f t="shared" si="31"/>
        <v>0</v>
      </c>
      <c r="AG181" s="232">
        <f t="shared" si="35"/>
        <v>0</v>
      </c>
      <c r="AH181" s="232">
        <f t="shared" si="33"/>
        <v>0</v>
      </c>
      <c r="AI181" s="232"/>
    </row>
    <row r="182" spans="1:35" ht="27.6" x14ac:dyDescent="0.3">
      <c r="A182" s="46">
        <v>21</v>
      </c>
      <c r="B182" s="46" t="s">
        <v>897</v>
      </c>
      <c r="C182" s="46" t="s">
        <v>671</v>
      </c>
      <c r="D182" s="214" t="str">
        <f t="shared" si="34"/>
        <v>Do Not Print</v>
      </c>
      <c r="E182" s="212" t="s">
        <v>672</v>
      </c>
      <c r="F182" s="214" t="s">
        <v>741</v>
      </c>
      <c r="G182" s="214" t="s">
        <v>436</v>
      </c>
      <c r="H182" s="214" t="s">
        <v>742</v>
      </c>
      <c r="I182" s="230"/>
      <c r="J182" s="839">
        <f>SUM(P182:P192)+SUM(Q182:Q192)</f>
        <v>0</v>
      </c>
      <c r="K182" s="840">
        <v>0</v>
      </c>
      <c r="L182" s="841">
        <f t="shared" si="26"/>
        <v>0</v>
      </c>
      <c r="M182" s="839">
        <f>SUM(S182:S192)+SUM(T182:T192)</f>
        <v>0</v>
      </c>
      <c r="N182" s="840">
        <v>0</v>
      </c>
      <c r="O182" s="161">
        <f t="shared" si="27"/>
        <v>0</v>
      </c>
      <c r="P182" s="840">
        <v>0</v>
      </c>
      <c r="Q182" s="840">
        <v>0</v>
      </c>
      <c r="R182" s="841">
        <f t="shared" si="28"/>
        <v>0</v>
      </c>
      <c r="S182" s="840">
        <v>0</v>
      </c>
      <c r="T182" s="840">
        <v>0</v>
      </c>
      <c r="U182" s="161">
        <f t="shared" si="29"/>
        <v>0</v>
      </c>
      <c r="V182" s="841"/>
      <c r="W182" s="841"/>
      <c r="X182" s="841"/>
      <c r="Y182" s="233"/>
      <c r="Z182" s="233"/>
      <c r="AA182" s="233"/>
      <c r="AB182" s="214" t="s">
        <v>742</v>
      </c>
      <c r="AD182" s="232">
        <f t="shared" si="30"/>
        <v>0</v>
      </c>
      <c r="AE182" s="232">
        <f t="shared" si="31"/>
        <v>0</v>
      </c>
      <c r="AG182" s="232">
        <f t="shared" si="35"/>
        <v>0</v>
      </c>
      <c r="AH182" s="232">
        <f t="shared" si="33"/>
        <v>0</v>
      </c>
      <c r="AI182" s="232"/>
    </row>
    <row r="183" spans="1:35" ht="41.4" x14ac:dyDescent="0.3">
      <c r="A183" s="46">
        <v>21</v>
      </c>
      <c r="B183" s="46" t="s">
        <v>897</v>
      </c>
      <c r="C183" s="46" t="s">
        <v>671</v>
      </c>
      <c r="D183" s="214" t="str">
        <f t="shared" si="34"/>
        <v>Do Not Print</v>
      </c>
      <c r="E183" s="212" t="s">
        <v>672</v>
      </c>
      <c r="F183" s="214" t="s">
        <v>741</v>
      </c>
      <c r="G183" s="213" t="s">
        <v>101</v>
      </c>
      <c r="H183" s="213" t="s">
        <v>101</v>
      </c>
      <c r="I183" s="230"/>
      <c r="J183" s="840">
        <v>0</v>
      </c>
      <c r="K183" s="840">
        <v>0</v>
      </c>
      <c r="L183" s="841">
        <f t="shared" si="26"/>
        <v>0</v>
      </c>
      <c r="M183" s="840">
        <v>0</v>
      </c>
      <c r="N183" s="840">
        <v>0</v>
      </c>
      <c r="O183" s="161">
        <f t="shared" si="27"/>
        <v>0</v>
      </c>
      <c r="P183" s="840">
        <v>0</v>
      </c>
      <c r="Q183" s="840">
        <v>0</v>
      </c>
      <c r="R183" s="841">
        <f t="shared" si="28"/>
        <v>0</v>
      </c>
      <c r="S183" s="840">
        <v>0</v>
      </c>
      <c r="T183" s="840">
        <v>0</v>
      </c>
      <c r="U183" s="161">
        <f t="shared" si="29"/>
        <v>0</v>
      </c>
      <c r="V183" s="841"/>
      <c r="W183" s="841"/>
      <c r="X183" s="841"/>
      <c r="Y183" s="233"/>
      <c r="Z183" s="233"/>
      <c r="AA183" s="233"/>
      <c r="AB183" s="213" t="s">
        <v>101</v>
      </c>
      <c r="AD183" s="232">
        <f t="shared" si="30"/>
        <v>0</v>
      </c>
      <c r="AE183" s="232">
        <f t="shared" si="31"/>
        <v>0</v>
      </c>
      <c r="AG183" s="232">
        <f t="shared" si="35"/>
        <v>0</v>
      </c>
      <c r="AH183" s="232">
        <f t="shared" si="33"/>
        <v>0</v>
      </c>
      <c r="AI183" s="232"/>
    </row>
    <row r="184" spans="1:35" ht="27.6" x14ac:dyDescent="0.3">
      <c r="A184" s="46">
        <v>21</v>
      </c>
      <c r="B184" s="46" t="s">
        <v>897</v>
      </c>
      <c r="C184" s="46" t="s">
        <v>671</v>
      </c>
      <c r="D184" s="214" t="str">
        <f t="shared" si="34"/>
        <v>Do Not Print</v>
      </c>
      <c r="E184" s="212" t="s">
        <v>672</v>
      </c>
      <c r="F184" s="214" t="s">
        <v>741</v>
      </c>
      <c r="G184" s="214" t="s">
        <v>973</v>
      </c>
      <c r="H184" s="214" t="s">
        <v>1049</v>
      </c>
      <c r="I184" s="230"/>
      <c r="J184" s="840">
        <v>0</v>
      </c>
      <c r="K184" s="840">
        <v>0</v>
      </c>
      <c r="L184" s="841">
        <f t="shared" si="26"/>
        <v>0</v>
      </c>
      <c r="M184" s="840">
        <v>0</v>
      </c>
      <c r="N184" s="840">
        <v>0</v>
      </c>
      <c r="O184" s="161">
        <f t="shared" si="27"/>
        <v>0</v>
      </c>
      <c r="P184" s="840">
        <v>0</v>
      </c>
      <c r="Q184" s="840">
        <v>0</v>
      </c>
      <c r="R184" s="841">
        <f t="shared" si="28"/>
        <v>0</v>
      </c>
      <c r="S184" s="840">
        <v>0</v>
      </c>
      <c r="T184" s="840">
        <v>0</v>
      </c>
      <c r="U184" s="161">
        <f t="shared" si="29"/>
        <v>0</v>
      </c>
      <c r="V184" s="841"/>
      <c r="W184" s="841"/>
      <c r="X184" s="841"/>
      <c r="Y184" s="233"/>
      <c r="Z184" s="233"/>
      <c r="AA184" s="233"/>
      <c r="AB184" s="214" t="s">
        <v>1049</v>
      </c>
      <c r="AD184" s="232">
        <f t="shared" si="30"/>
        <v>0</v>
      </c>
      <c r="AE184" s="232">
        <f t="shared" si="31"/>
        <v>0</v>
      </c>
      <c r="AG184" s="232">
        <f t="shared" si="35"/>
        <v>0</v>
      </c>
      <c r="AH184" s="232">
        <f t="shared" si="33"/>
        <v>0</v>
      </c>
      <c r="AI184" s="232"/>
    </row>
    <row r="185" spans="1:35" ht="27.6" x14ac:dyDescent="0.3">
      <c r="A185" s="46">
        <v>21</v>
      </c>
      <c r="B185" s="46" t="s">
        <v>897</v>
      </c>
      <c r="C185" s="46" t="s">
        <v>671</v>
      </c>
      <c r="D185" s="214" t="str">
        <f t="shared" si="34"/>
        <v>Do Not Print</v>
      </c>
      <c r="E185" s="212" t="s">
        <v>672</v>
      </c>
      <c r="F185" s="214" t="s">
        <v>741</v>
      </c>
      <c r="G185" s="214" t="s">
        <v>103</v>
      </c>
      <c r="H185" s="214" t="s">
        <v>1050</v>
      </c>
      <c r="I185" s="230"/>
      <c r="J185" s="840">
        <v>0</v>
      </c>
      <c r="K185" s="840">
        <v>0</v>
      </c>
      <c r="L185" s="841">
        <f t="shared" si="26"/>
        <v>0</v>
      </c>
      <c r="M185" s="840">
        <v>0</v>
      </c>
      <c r="N185" s="840">
        <v>0</v>
      </c>
      <c r="O185" s="161">
        <f t="shared" si="27"/>
        <v>0</v>
      </c>
      <c r="P185" s="840">
        <v>0</v>
      </c>
      <c r="Q185" s="840">
        <v>0</v>
      </c>
      <c r="R185" s="841">
        <f t="shared" si="28"/>
        <v>0</v>
      </c>
      <c r="S185" s="840">
        <v>0</v>
      </c>
      <c r="T185" s="840">
        <v>0</v>
      </c>
      <c r="U185" s="161">
        <f t="shared" si="29"/>
        <v>0</v>
      </c>
      <c r="V185" s="841"/>
      <c r="W185" s="841"/>
      <c r="X185" s="841"/>
      <c r="Y185" s="233"/>
      <c r="Z185" s="233"/>
      <c r="AA185" s="233"/>
      <c r="AB185" s="214" t="s">
        <v>1050</v>
      </c>
      <c r="AD185" s="232">
        <f t="shared" si="30"/>
        <v>0</v>
      </c>
      <c r="AE185" s="232">
        <f t="shared" si="31"/>
        <v>0</v>
      </c>
      <c r="AG185" s="232">
        <f t="shared" si="35"/>
        <v>0</v>
      </c>
      <c r="AH185" s="232">
        <f t="shared" si="33"/>
        <v>0</v>
      </c>
      <c r="AI185" s="232"/>
    </row>
    <row r="186" spans="1:35" ht="55.2" x14ac:dyDescent="0.3">
      <c r="A186" s="46">
        <v>21</v>
      </c>
      <c r="B186" s="46" t="s">
        <v>897</v>
      </c>
      <c r="C186" s="46" t="s">
        <v>671</v>
      </c>
      <c r="D186" s="214" t="str">
        <f t="shared" si="34"/>
        <v>Do Not Print</v>
      </c>
      <c r="E186" s="212" t="s">
        <v>672</v>
      </c>
      <c r="F186" s="214" t="s">
        <v>741</v>
      </c>
      <c r="G186" s="214" t="s">
        <v>1090</v>
      </c>
      <c r="H186" s="214" t="s">
        <v>1051</v>
      </c>
      <c r="I186" s="230"/>
      <c r="J186" s="840">
        <v>0</v>
      </c>
      <c r="K186" s="840">
        <v>0</v>
      </c>
      <c r="L186" s="841">
        <f t="shared" si="26"/>
        <v>0</v>
      </c>
      <c r="M186" s="840">
        <v>0</v>
      </c>
      <c r="N186" s="840">
        <v>0</v>
      </c>
      <c r="O186" s="161">
        <f t="shared" si="27"/>
        <v>0</v>
      </c>
      <c r="P186" s="840">
        <v>0</v>
      </c>
      <c r="Q186" s="840">
        <v>0</v>
      </c>
      <c r="R186" s="841">
        <f t="shared" si="28"/>
        <v>0</v>
      </c>
      <c r="S186" s="840">
        <v>0</v>
      </c>
      <c r="T186" s="840">
        <v>0</v>
      </c>
      <c r="U186" s="161">
        <f t="shared" si="29"/>
        <v>0</v>
      </c>
      <c r="V186" s="841"/>
      <c r="W186" s="841"/>
      <c r="X186" s="841"/>
      <c r="Y186" s="233"/>
      <c r="Z186" s="233"/>
      <c r="AA186" s="233"/>
      <c r="AB186" s="214" t="s">
        <v>1051</v>
      </c>
      <c r="AD186" s="232">
        <f t="shared" si="30"/>
        <v>0</v>
      </c>
      <c r="AE186" s="232">
        <f t="shared" si="31"/>
        <v>0</v>
      </c>
      <c r="AG186" s="232">
        <f t="shared" si="35"/>
        <v>0</v>
      </c>
      <c r="AH186" s="232">
        <f t="shared" si="33"/>
        <v>0</v>
      </c>
      <c r="AI186" s="232"/>
    </row>
    <row r="187" spans="1:35" ht="69" x14ac:dyDescent="0.3">
      <c r="A187" s="46">
        <v>21</v>
      </c>
      <c r="B187" s="46" t="s">
        <v>897</v>
      </c>
      <c r="C187" s="46" t="s">
        <v>671</v>
      </c>
      <c r="D187" s="214" t="str">
        <f t="shared" si="34"/>
        <v>Do Not Print</v>
      </c>
      <c r="E187" s="212" t="s">
        <v>672</v>
      </c>
      <c r="F187" s="214" t="s">
        <v>741</v>
      </c>
      <c r="G187" s="214" t="s">
        <v>1091</v>
      </c>
      <c r="H187" s="214" t="s">
        <v>1052</v>
      </c>
      <c r="I187" s="230"/>
      <c r="J187" s="840">
        <v>0</v>
      </c>
      <c r="K187" s="840">
        <v>0</v>
      </c>
      <c r="L187" s="841">
        <f t="shared" si="26"/>
        <v>0</v>
      </c>
      <c r="M187" s="840">
        <v>0</v>
      </c>
      <c r="N187" s="840">
        <v>0</v>
      </c>
      <c r="O187" s="161">
        <f t="shared" si="27"/>
        <v>0</v>
      </c>
      <c r="P187" s="840">
        <v>0</v>
      </c>
      <c r="Q187" s="840">
        <v>0</v>
      </c>
      <c r="R187" s="841">
        <f t="shared" si="28"/>
        <v>0</v>
      </c>
      <c r="S187" s="840">
        <v>0</v>
      </c>
      <c r="T187" s="840">
        <v>0</v>
      </c>
      <c r="U187" s="161">
        <f t="shared" si="29"/>
        <v>0</v>
      </c>
      <c r="V187" s="841"/>
      <c r="W187" s="841"/>
      <c r="X187" s="841"/>
      <c r="Y187" s="233"/>
      <c r="Z187" s="233"/>
      <c r="AA187" s="233"/>
      <c r="AB187" s="214" t="s">
        <v>1052</v>
      </c>
      <c r="AD187" s="232">
        <f t="shared" si="30"/>
        <v>0</v>
      </c>
      <c r="AE187" s="232">
        <f t="shared" si="31"/>
        <v>0</v>
      </c>
      <c r="AG187" s="232">
        <f t="shared" si="35"/>
        <v>0</v>
      </c>
      <c r="AH187" s="232">
        <f t="shared" si="33"/>
        <v>0</v>
      </c>
      <c r="AI187" s="232"/>
    </row>
    <row r="188" spans="1:35" ht="41.4" x14ac:dyDescent="0.3">
      <c r="A188" s="46">
        <v>21</v>
      </c>
      <c r="B188" s="46" t="s">
        <v>897</v>
      </c>
      <c r="C188" s="46" t="s">
        <v>671</v>
      </c>
      <c r="D188" s="214" t="str">
        <f t="shared" si="34"/>
        <v>Do Not Print</v>
      </c>
      <c r="E188" s="212" t="s">
        <v>672</v>
      </c>
      <c r="F188" s="214" t="s">
        <v>741</v>
      </c>
      <c r="G188" s="214" t="s">
        <v>437</v>
      </c>
      <c r="H188" s="214" t="s">
        <v>743</v>
      </c>
      <c r="I188" s="230"/>
      <c r="J188" s="840">
        <v>0</v>
      </c>
      <c r="K188" s="840">
        <v>0</v>
      </c>
      <c r="L188" s="841">
        <f t="shared" si="26"/>
        <v>0</v>
      </c>
      <c r="M188" s="840">
        <v>0</v>
      </c>
      <c r="N188" s="840">
        <v>0</v>
      </c>
      <c r="O188" s="161">
        <f t="shared" si="27"/>
        <v>0</v>
      </c>
      <c r="P188" s="840">
        <v>0</v>
      </c>
      <c r="Q188" s="840">
        <v>0</v>
      </c>
      <c r="R188" s="841">
        <f t="shared" si="28"/>
        <v>0</v>
      </c>
      <c r="S188" s="840">
        <v>0</v>
      </c>
      <c r="T188" s="840">
        <v>0</v>
      </c>
      <c r="U188" s="161">
        <f t="shared" si="29"/>
        <v>0</v>
      </c>
      <c r="V188" s="841"/>
      <c r="W188" s="841"/>
      <c r="X188" s="841"/>
      <c r="Y188" s="233"/>
      <c r="Z188" s="233"/>
      <c r="AA188" s="233"/>
      <c r="AB188" s="214" t="s">
        <v>743</v>
      </c>
      <c r="AD188" s="232">
        <f t="shared" si="30"/>
        <v>0</v>
      </c>
      <c r="AE188" s="232">
        <f t="shared" si="31"/>
        <v>0</v>
      </c>
      <c r="AG188" s="232">
        <f t="shared" si="35"/>
        <v>0</v>
      </c>
      <c r="AH188" s="232">
        <f t="shared" si="33"/>
        <v>0</v>
      </c>
      <c r="AI188" s="232"/>
    </row>
    <row r="189" spans="1:35" ht="27.6" x14ac:dyDescent="0.3">
      <c r="A189" s="46">
        <v>21</v>
      </c>
      <c r="B189" s="46" t="s">
        <v>897</v>
      </c>
      <c r="C189" s="46" t="s">
        <v>671</v>
      </c>
      <c r="D189" s="214" t="str">
        <f t="shared" si="34"/>
        <v>Do Not Print</v>
      </c>
      <c r="E189" s="212" t="s">
        <v>672</v>
      </c>
      <c r="F189" s="214" t="s">
        <v>741</v>
      </c>
      <c r="G189" s="214" t="s">
        <v>977</v>
      </c>
      <c r="H189" s="214" t="s">
        <v>1053</v>
      </c>
      <c r="I189" s="230"/>
      <c r="J189" s="842">
        <v>0</v>
      </c>
      <c r="K189" s="840">
        <v>0</v>
      </c>
      <c r="L189" s="841">
        <f t="shared" si="26"/>
        <v>0</v>
      </c>
      <c r="M189" s="842">
        <v>0</v>
      </c>
      <c r="N189" s="840">
        <v>0</v>
      </c>
      <c r="O189" s="161">
        <f t="shared" si="27"/>
        <v>0</v>
      </c>
      <c r="P189" s="842">
        <v>0</v>
      </c>
      <c r="Q189" s="840">
        <v>0</v>
      </c>
      <c r="R189" s="841">
        <f t="shared" si="28"/>
        <v>0</v>
      </c>
      <c r="S189" s="842"/>
      <c r="T189" s="840">
        <v>0</v>
      </c>
      <c r="U189" s="161">
        <f t="shared" si="29"/>
        <v>0</v>
      </c>
      <c r="V189" s="841"/>
      <c r="W189" s="841"/>
      <c r="X189" s="841"/>
      <c r="Y189" s="233"/>
      <c r="Z189" s="233"/>
      <c r="AA189" s="233"/>
      <c r="AB189" s="214" t="s">
        <v>1053</v>
      </c>
      <c r="AD189" s="232">
        <f t="shared" si="30"/>
        <v>0</v>
      </c>
      <c r="AE189" s="232">
        <f t="shared" si="31"/>
        <v>0</v>
      </c>
      <c r="AG189" s="232">
        <f t="shared" si="35"/>
        <v>0</v>
      </c>
      <c r="AH189" s="232">
        <f t="shared" si="33"/>
        <v>0</v>
      </c>
      <c r="AI189" s="232"/>
    </row>
    <row r="190" spans="1:35" ht="27.6" x14ac:dyDescent="0.3">
      <c r="A190" s="46">
        <v>21</v>
      </c>
      <c r="B190" s="46" t="s">
        <v>897</v>
      </c>
      <c r="C190" s="46" t="s">
        <v>671</v>
      </c>
      <c r="D190" s="214" t="str">
        <f t="shared" si="34"/>
        <v>Do Not Print</v>
      </c>
      <c r="E190" s="212" t="s">
        <v>672</v>
      </c>
      <c r="F190" s="214" t="s">
        <v>741</v>
      </c>
      <c r="G190" s="214" t="s">
        <v>979</v>
      </c>
      <c r="H190" s="214" t="s">
        <v>349</v>
      </c>
      <c r="I190" s="230"/>
      <c r="J190" s="842">
        <v>0</v>
      </c>
      <c r="K190" s="840">
        <v>0</v>
      </c>
      <c r="L190" s="841">
        <f t="shared" si="26"/>
        <v>0</v>
      </c>
      <c r="M190" s="842">
        <v>0</v>
      </c>
      <c r="N190" s="840">
        <v>0</v>
      </c>
      <c r="O190" s="161">
        <f t="shared" si="27"/>
        <v>0</v>
      </c>
      <c r="P190" s="842">
        <v>0</v>
      </c>
      <c r="Q190" s="840">
        <v>0</v>
      </c>
      <c r="R190" s="841">
        <f t="shared" si="28"/>
        <v>0</v>
      </c>
      <c r="S190" s="842"/>
      <c r="T190" s="840">
        <v>0</v>
      </c>
      <c r="U190" s="161">
        <f t="shared" si="29"/>
        <v>0</v>
      </c>
      <c r="V190" s="841"/>
      <c r="W190" s="841"/>
      <c r="X190" s="841"/>
      <c r="Y190" s="233"/>
      <c r="Z190" s="233"/>
      <c r="AA190" s="233"/>
      <c r="AB190" s="214" t="s">
        <v>349</v>
      </c>
      <c r="AD190" s="232">
        <f t="shared" si="30"/>
        <v>0</v>
      </c>
      <c r="AE190" s="232">
        <f t="shared" si="31"/>
        <v>0</v>
      </c>
      <c r="AG190" s="232">
        <f t="shared" si="35"/>
        <v>0</v>
      </c>
      <c r="AH190" s="232">
        <f t="shared" si="33"/>
        <v>0</v>
      </c>
      <c r="AI190" s="232"/>
    </row>
    <row r="191" spans="1:35" ht="41.4" x14ac:dyDescent="0.3">
      <c r="A191" s="46">
        <v>21</v>
      </c>
      <c r="B191" s="46" t="s">
        <v>897</v>
      </c>
      <c r="C191" s="46" t="s">
        <v>671</v>
      </c>
      <c r="D191" s="214" t="str">
        <f t="shared" si="34"/>
        <v>Do Not Print</v>
      </c>
      <c r="E191" s="212" t="s">
        <v>672</v>
      </c>
      <c r="F191" s="214" t="s">
        <v>741</v>
      </c>
      <c r="G191" s="214" t="s">
        <v>980</v>
      </c>
      <c r="H191" s="214" t="s">
        <v>350</v>
      </c>
      <c r="I191" s="230"/>
      <c r="J191" s="840">
        <v>0</v>
      </c>
      <c r="K191" s="840">
        <v>0</v>
      </c>
      <c r="L191" s="841">
        <f t="shared" si="26"/>
        <v>0</v>
      </c>
      <c r="M191" s="840">
        <v>0</v>
      </c>
      <c r="N191" s="840">
        <v>0</v>
      </c>
      <c r="O191" s="161">
        <f t="shared" si="27"/>
        <v>0</v>
      </c>
      <c r="P191" s="840">
        <v>0</v>
      </c>
      <c r="Q191" s="840">
        <v>0</v>
      </c>
      <c r="R191" s="841">
        <f t="shared" si="28"/>
        <v>0</v>
      </c>
      <c r="S191" s="840">
        <v>0</v>
      </c>
      <c r="T191" s="840">
        <v>0</v>
      </c>
      <c r="U191" s="161">
        <f t="shared" si="29"/>
        <v>0</v>
      </c>
      <c r="V191" s="841"/>
      <c r="W191" s="841"/>
      <c r="X191" s="841"/>
      <c r="Y191" s="233"/>
      <c r="Z191" s="233"/>
      <c r="AA191" s="233"/>
      <c r="AB191" s="214" t="s">
        <v>350</v>
      </c>
      <c r="AD191" s="232">
        <f t="shared" si="30"/>
        <v>0</v>
      </c>
      <c r="AE191" s="232">
        <f t="shared" si="31"/>
        <v>0</v>
      </c>
      <c r="AG191" s="232">
        <f t="shared" si="35"/>
        <v>0</v>
      </c>
      <c r="AH191" s="232">
        <f t="shared" si="33"/>
        <v>0</v>
      </c>
      <c r="AI191" s="232"/>
    </row>
    <row r="192" spans="1:35" ht="27.6" x14ac:dyDescent="0.3">
      <c r="A192" s="46">
        <v>21</v>
      </c>
      <c r="B192" s="46" t="s">
        <v>897</v>
      </c>
      <c r="C192" s="46" t="s">
        <v>671</v>
      </c>
      <c r="D192" s="214" t="str">
        <f t="shared" si="34"/>
        <v>Do Not Print</v>
      </c>
      <c r="E192" s="212" t="s">
        <v>672</v>
      </c>
      <c r="F192" s="214" t="s">
        <v>741</v>
      </c>
      <c r="G192" s="214" t="s">
        <v>1093</v>
      </c>
      <c r="H192" s="214" t="s">
        <v>994</v>
      </c>
      <c r="I192" s="230"/>
      <c r="J192" s="840">
        <v>0</v>
      </c>
      <c r="K192" s="840">
        <v>0</v>
      </c>
      <c r="L192" s="841">
        <f t="shared" si="26"/>
        <v>0</v>
      </c>
      <c r="M192" s="840">
        <v>0</v>
      </c>
      <c r="N192" s="840">
        <v>0</v>
      </c>
      <c r="O192" s="161">
        <f t="shared" si="27"/>
        <v>0</v>
      </c>
      <c r="P192" s="840">
        <v>0</v>
      </c>
      <c r="Q192" s="840">
        <v>0</v>
      </c>
      <c r="R192" s="841">
        <f t="shared" si="28"/>
        <v>0</v>
      </c>
      <c r="S192" s="840">
        <v>0</v>
      </c>
      <c r="T192" s="840">
        <v>0</v>
      </c>
      <c r="U192" s="161">
        <f t="shared" si="29"/>
        <v>0</v>
      </c>
      <c r="V192" s="841"/>
      <c r="W192" s="841"/>
      <c r="X192" s="841"/>
      <c r="Y192" s="233"/>
      <c r="Z192" s="233"/>
      <c r="AA192" s="233"/>
      <c r="AB192" s="214" t="s">
        <v>994</v>
      </c>
      <c r="AD192" s="232">
        <f t="shared" si="30"/>
        <v>0</v>
      </c>
      <c r="AE192" s="232">
        <f t="shared" si="31"/>
        <v>0</v>
      </c>
      <c r="AG192" s="232">
        <f t="shared" si="35"/>
        <v>0</v>
      </c>
      <c r="AH192" s="232">
        <f t="shared" si="33"/>
        <v>0</v>
      </c>
      <c r="AI192" s="232"/>
    </row>
    <row r="193" spans="1:35" ht="27.6" x14ac:dyDescent="0.3">
      <c r="A193" s="46">
        <v>21</v>
      </c>
      <c r="B193" s="46" t="s">
        <v>897</v>
      </c>
      <c r="C193" s="46" t="s">
        <v>671</v>
      </c>
      <c r="D193" s="214" t="str">
        <f t="shared" si="34"/>
        <v>Do Not Print</v>
      </c>
      <c r="E193" s="212" t="s">
        <v>672</v>
      </c>
      <c r="F193" s="213" t="s">
        <v>741</v>
      </c>
      <c r="G193" s="214" t="s">
        <v>438</v>
      </c>
      <c r="H193" s="213" t="s">
        <v>1116</v>
      </c>
      <c r="I193" s="230"/>
      <c r="J193" s="839">
        <f>P193+P194+P195-P196-P197-P198-P199-P200-P201+P202+P203+SUM(Q193:Q203)+P183+Q183</f>
        <v>0</v>
      </c>
      <c r="K193" s="840">
        <v>0</v>
      </c>
      <c r="L193" s="841">
        <f t="shared" si="26"/>
        <v>0</v>
      </c>
      <c r="M193" s="839">
        <f>S193+S194+S195-S196-S197-S198-S199-S200-S201+S202+S203+SUM(T193:T203)</f>
        <v>0</v>
      </c>
      <c r="N193" s="840">
        <v>0</v>
      </c>
      <c r="O193" s="161">
        <f t="shared" si="27"/>
        <v>0</v>
      </c>
      <c r="P193" s="840">
        <v>0</v>
      </c>
      <c r="Q193" s="840">
        <v>0</v>
      </c>
      <c r="R193" s="841">
        <f t="shared" si="28"/>
        <v>0</v>
      </c>
      <c r="S193" s="840">
        <v>0</v>
      </c>
      <c r="T193" s="840">
        <v>0</v>
      </c>
      <c r="U193" s="161">
        <f t="shared" si="29"/>
        <v>0</v>
      </c>
      <c r="V193" s="841"/>
      <c r="W193" s="841"/>
      <c r="X193" s="841"/>
      <c r="Y193" s="233"/>
      <c r="Z193" s="233"/>
      <c r="AA193" s="233"/>
      <c r="AB193" s="213" t="s">
        <v>1116</v>
      </c>
      <c r="AD193" s="232">
        <f t="shared" si="30"/>
        <v>0</v>
      </c>
      <c r="AE193" s="232">
        <f t="shared" si="31"/>
        <v>0</v>
      </c>
      <c r="AG193" s="232">
        <f t="shared" ref="AG193:AG203" si="36">ROUND(O193,0)</f>
        <v>0</v>
      </c>
      <c r="AH193" s="232">
        <f t="shared" ref="AH193:AH203" si="37">ROUND(U193,0)</f>
        <v>0</v>
      </c>
      <c r="AI193" s="232"/>
    </row>
    <row r="194" spans="1:35" ht="41.4" x14ac:dyDescent="0.3">
      <c r="A194" s="46">
        <v>21</v>
      </c>
      <c r="B194" s="46" t="s">
        <v>897</v>
      </c>
      <c r="C194" s="46" t="s">
        <v>671</v>
      </c>
      <c r="D194" s="214" t="str">
        <f t="shared" ref="D194:D210" si="38">IF(AND(O194=0,U194=0,V194=0),"Do Not Print","Print")</f>
        <v>Do Not Print</v>
      </c>
      <c r="E194" s="212" t="s">
        <v>672</v>
      </c>
      <c r="F194" s="214" t="s">
        <v>741</v>
      </c>
      <c r="G194" s="213" t="s">
        <v>101</v>
      </c>
      <c r="H194" s="213" t="s">
        <v>101</v>
      </c>
      <c r="I194" s="230"/>
      <c r="J194" s="840">
        <v>0</v>
      </c>
      <c r="K194" s="840">
        <v>0</v>
      </c>
      <c r="L194" s="841">
        <f t="shared" si="26"/>
        <v>0</v>
      </c>
      <c r="M194" s="840">
        <v>0</v>
      </c>
      <c r="N194" s="840">
        <v>0</v>
      </c>
      <c r="O194" s="161">
        <f t="shared" si="27"/>
        <v>0</v>
      </c>
      <c r="P194" s="840">
        <v>0</v>
      </c>
      <c r="Q194" s="840">
        <v>0</v>
      </c>
      <c r="R194" s="841">
        <f t="shared" si="28"/>
        <v>0</v>
      </c>
      <c r="S194" s="840">
        <v>0</v>
      </c>
      <c r="T194" s="840">
        <v>0</v>
      </c>
      <c r="U194" s="161">
        <f t="shared" si="29"/>
        <v>0</v>
      </c>
      <c r="V194" s="841"/>
      <c r="W194" s="841"/>
      <c r="X194" s="841"/>
      <c r="Y194" s="233"/>
      <c r="Z194" s="233"/>
      <c r="AA194" s="233"/>
      <c r="AB194" s="213" t="s">
        <v>101</v>
      </c>
      <c r="AD194" s="232">
        <f t="shared" si="30"/>
        <v>0</v>
      </c>
      <c r="AE194" s="232">
        <f t="shared" si="31"/>
        <v>0</v>
      </c>
      <c r="AG194" s="232">
        <f t="shared" si="36"/>
        <v>0</v>
      </c>
      <c r="AH194" s="232">
        <f t="shared" si="37"/>
        <v>0</v>
      </c>
      <c r="AI194" s="232"/>
    </row>
    <row r="195" spans="1:35" ht="27.6" x14ac:dyDescent="0.3">
      <c r="A195" s="46">
        <v>21</v>
      </c>
      <c r="B195" s="46" t="s">
        <v>897</v>
      </c>
      <c r="C195" s="46" t="s">
        <v>671</v>
      </c>
      <c r="D195" s="214" t="str">
        <f t="shared" si="38"/>
        <v>Do Not Print</v>
      </c>
      <c r="E195" s="212" t="s">
        <v>672</v>
      </c>
      <c r="F195" s="214" t="s">
        <v>741</v>
      </c>
      <c r="G195" s="214" t="s">
        <v>109</v>
      </c>
      <c r="H195" s="213" t="s">
        <v>1117</v>
      </c>
      <c r="I195" s="230"/>
      <c r="J195" s="840">
        <v>0</v>
      </c>
      <c r="K195" s="840">
        <v>0</v>
      </c>
      <c r="L195" s="841">
        <f t="shared" si="26"/>
        <v>0</v>
      </c>
      <c r="M195" s="840">
        <v>0</v>
      </c>
      <c r="N195" s="840">
        <v>0</v>
      </c>
      <c r="O195" s="161">
        <f t="shared" si="27"/>
        <v>0</v>
      </c>
      <c r="P195" s="840">
        <v>0</v>
      </c>
      <c r="Q195" s="840">
        <v>0</v>
      </c>
      <c r="R195" s="841">
        <f t="shared" si="28"/>
        <v>0</v>
      </c>
      <c r="S195" s="840">
        <v>0</v>
      </c>
      <c r="T195" s="840">
        <v>0</v>
      </c>
      <c r="U195" s="161">
        <f t="shared" si="29"/>
        <v>0</v>
      </c>
      <c r="V195" s="841"/>
      <c r="W195" s="841"/>
      <c r="X195" s="841"/>
      <c r="Y195" s="233"/>
      <c r="Z195" s="233"/>
      <c r="AA195" s="233"/>
      <c r="AB195" s="213" t="s">
        <v>1117</v>
      </c>
      <c r="AD195" s="232">
        <f t="shared" si="30"/>
        <v>0</v>
      </c>
      <c r="AE195" s="232">
        <f t="shared" si="31"/>
        <v>0</v>
      </c>
      <c r="AG195" s="232">
        <f t="shared" si="36"/>
        <v>0</v>
      </c>
      <c r="AH195" s="232">
        <f t="shared" si="37"/>
        <v>0</v>
      </c>
      <c r="AI195" s="232"/>
    </row>
    <row r="196" spans="1:35" ht="41.4" x14ac:dyDescent="0.3">
      <c r="A196" s="46">
        <v>21</v>
      </c>
      <c r="B196" s="46" t="s">
        <v>897</v>
      </c>
      <c r="C196" s="46" t="s">
        <v>671</v>
      </c>
      <c r="D196" s="214" t="str">
        <f t="shared" si="38"/>
        <v>Do Not Print</v>
      </c>
      <c r="E196" s="212" t="s">
        <v>672</v>
      </c>
      <c r="F196" s="214" t="s">
        <v>741</v>
      </c>
      <c r="G196" s="214" t="s">
        <v>1092</v>
      </c>
      <c r="H196" s="213" t="s">
        <v>1118</v>
      </c>
      <c r="I196" s="230"/>
      <c r="J196" s="840">
        <v>0</v>
      </c>
      <c r="K196" s="840">
        <v>0</v>
      </c>
      <c r="L196" s="841">
        <f t="shared" si="26"/>
        <v>0</v>
      </c>
      <c r="M196" s="840">
        <v>0</v>
      </c>
      <c r="N196" s="840">
        <v>0</v>
      </c>
      <c r="O196" s="161">
        <f t="shared" si="27"/>
        <v>0</v>
      </c>
      <c r="P196" s="840">
        <v>0</v>
      </c>
      <c r="Q196" s="840">
        <v>0</v>
      </c>
      <c r="R196" s="841">
        <f t="shared" si="28"/>
        <v>0</v>
      </c>
      <c r="S196" s="840">
        <v>0</v>
      </c>
      <c r="T196" s="840">
        <v>0</v>
      </c>
      <c r="U196" s="161">
        <f t="shared" si="29"/>
        <v>0</v>
      </c>
      <c r="V196" s="841"/>
      <c r="W196" s="841"/>
      <c r="X196" s="841"/>
      <c r="Y196" s="233"/>
      <c r="Z196" s="233"/>
      <c r="AA196" s="233"/>
      <c r="AB196" s="213" t="s">
        <v>1118</v>
      </c>
      <c r="AD196" s="232">
        <f t="shared" si="30"/>
        <v>0</v>
      </c>
      <c r="AE196" s="232">
        <f t="shared" si="31"/>
        <v>0</v>
      </c>
      <c r="AG196" s="232">
        <f t="shared" si="36"/>
        <v>0</v>
      </c>
      <c r="AH196" s="232">
        <f t="shared" si="37"/>
        <v>0</v>
      </c>
      <c r="AI196" s="232"/>
    </row>
    <row r="197" spans="1:35" ht="55.2" x14ac:dyDescent="0.3">
      <c r="A197" s="46">
        <v>21</v>
      </c>
      <c r="B197" s="46" t="s">
        <v>897</v>
      </c>
      <c r="C197" s="46" t="s">
        <v>671</v>
      </c>
      <c r="D197" s="214" t="str">
        <f t="shared" si="38"/>
        <v>Do Not Print</v>
      </c>
      <c r="E197" s="212" t="s">
        <v>672</v>
      </c>
      <c r="F197" s="214" t="s">
        <v>741</v>
      </c>
      <c r="G197" s="214" t="s">
        <v>111</v>
      </c>
      <c r="H197" s="214" t="s">
        <v>111</v>
      </c>
      <c r="I197" s="230"/>
      <c r="J197" s="840">
        <v>0</v>
      </c>
      <c r="K197" s="840">
        <v>0</v>
      </c>
      <c r="L197" s="841">
        <f t="shared" si="26"/>
        <v>0</v>
      </c>
      <c r="M197" s="840">
        <v>0</v>
      </c>
      <c r="N197" s="840">
        <v>0</v>
      </c>
      <c r="O197" s="161">
        <f t="shared" si="27"/>
        <v>0</v>
      </c>
      <c r="P197" s="840">
        <v>0</v>
      </c>
      <c r="Q197" s="840">
        <v>0</v>
      </c>
      <c r="R197" s="841">
        <f t="shared" si="28"/>
        <v>0</v>
      </c>
      <c r="S197" s="840">
        <v>0</v>
      </c>
      <c r="T197" s="840">
        <v>0</v>
      </c>
      <c r="U197" s="161">
        <f t="shared" si="29"/>
        <v>0</v>
      </c>
      <c r="V197" s="841"/>
      <c r="W197" s="841"/>
      <c r="X197" s="841"/>
      <c r="Y197" s="233"/>
      <c r="Z197" s="233"/>
      <c r="AA197" s="233"/>
      <c r="AB197" s="214" t="s">
        <v>111</v>
      </c>
      <c r="AD197" s="232">
        <f t="shared" si="30"/>
        <v>0</v>
      </c>
      <c r="AE197" s="232">
        <f t="shared" si="31"/>
        <v>0</v>
      </c>
      <c r="AG197" s="232">
        <f t="shared" si="36"/>
        <v>0</v>
      </c>
      <c r="AH197" s="232">
        <f t="shared" si="37"/>
        <v>0</v>
      </c>
      <c r="AI197" s="232"/>
    </row>
    <row r="198" spans="1:35" ht="41.4" x14ac:dyDescent="0.3">
      <c r="A198" s="46">
        <v>21</v>
      </c>
      <c r="B198" s="46" t="s">
        <v>897</v>
      </c>
      <c r="C198" s="46" t="s">
        <v>671</v>
      </c>
      <c r="D198" s="214" t="str">
        <f t="shared" si="38"/>
        <v>Do Not Print</v>
      </c>
      <c r="E198" s="212" t="s">
        <v>672</v>
      </c>
      <c r="F198" s="214" t="s">
        <v>741</v>
      </c>
      <c r="G198" s="214" t="s">
        <v>982</v>
      </c>
      <c r="H198" s="213" t="s">
        <v>1119</v>
      </c>
      <c r="I198" s="230"/>
      <c r="J198" s="840">
        <v>0</v>
      </c>
      <c r="K198" s="840">
        <v>0</v>
      </c>
      <c r="L198" s="841">
        <f t="shared" si="26"/>
        <v>0</v>
      </c>
      <c r="M198" s="840">
        <v>0</v>
      </c>
      <c r="N198" s="840">
        <v>0</v>
      </c>
      <c r="O198" s="161">
        <f t="shared" si="27"/>
        <v>0</v>
      </c>
      <c r="P198" s="840">
        <v>0</v>
      </c>
      <c r="Q198" s="840">
        <v>0</v>
      </c>
      <c r="R198" s="841">
        <f t="shared" si="28"/>
        <v>0</v>
      </c>
      <c r="S198" s="840">
        <v>0</v>
      </c>
      <c r="T198" s="840">
        <v>0</v>
      </c>
      <c r="U198" s="161">
        <f t="shared" si="29"/>
        <v>0</v>
      </c>
      <c r="V198" s="841"/>
      <c r="W198" s="841"/>
      <c r="X198" s="841"/>
      <c r="Y198" s="233"/>
      <c r="Z198" s="233"/>
      <c r="AA198" s="233"/>
      <c r="AB198" s="213" t="s">
        <v>1119</v>
      </c>
      <c r="AD198" s="232">
        <f t="shared" si="30"/>
        <v>0</v>
      </c>
      <c r="AE198" s="232">
        <f t="shared" si="31"/>
        <v>0</v>
      </c>
      <c r="AG198" s="232">
        <f t="shared" si="36"/>
        <v>0</v>
      </c>
      <c r="AH198" s="232">
        <f t="shared" si="37"/>
        <v>0</v>
      </c>
      <c r="AI198" s="232"/>
    </row>
    <row r="199" spans="1:35" ht="41.4" x14ac:dyDescent="0.3">
      <c r="A199" s="46">
        <v>21</v>
      </c>
      <c r="B199" s="46" t="s">
        <v>897</v>
      </c>
      <c r="C199" s="46" t="s">
        <v>671</v>
      </c>
      <c r="D199" s="214" t="str">
        <f t="shared" si="38"/>
        <v>Do Not Print</v>
      </c>
      <c r="E199" s="212" t="s">
        <v>672</v>
      </c>
      <c r="F199" s="214" t="s">
        <v>741</v>
      </c>
      <c r="G199" s="214" t="s">
        <v>981</v>
      </c>
      <c r="H199" s="213" t="s">
        <v>1120</v>
      </c>
      <c r="I199" s="230"/>
      <c r="J199" s="840">
        <v>0</v>
      </c>
      <c r="K199" s="840">
        <v>0</v>
      </c>
      <c r="L199" s="841">
        <f t="shared" ref="L199:L247" si="39">SUM(J199:K199)</f>
        <v>0</v>
      </c>
      <c r="M199" s="840">
        <v>0</v>
      </c>
      <c r="N199" s="840">
        <v>0</v>
      </c>
      <c r="O199" s="161">
        <f t="shared" ref="O199:O247" si="40">SUM(M199:N199)+L199</f>
        <v>0</v>
      </c>
      <c r="P199" s="840">
        <v>0</v>
      </c>
      <c r="Q199" s="840">
        <v>0</v>
      </c>
      <c r="R199" s="841">
        <f t="shared" ref="R199:R247" si="41">SUM(P199:Q199)</f>
        <v>0</v>
      </c>
      <c r="S199" s="840">
        <v>0</v>
      </c>
      <c r="T199" s="840">
        <v>0</v>
      </c>
      <c r="U199" s="161">
        <f t="shared" ref="U199:U247" si="42">R199+SUM(S199:T199)</f>
        <v>0</v>
      </c>
      <c r="V199" s="841"/>
      <c r="W199" s="841"/>
      <c r="X199" s="841"/>
      <c r="Y199" s="233"/>
      <c r="Z199" s="233"/>
      <c r="AA199" s="233"/>
      <c r="AB199" s="213" t="s">
        <v>1120</v>
      </c>
      <c r="AD199" s="232">
        <f t="shared" ref="AD199:AD247" si="43">ROUND(L199,0)</f>
        <v>0</v>
      </c>
      <c r="AE199" s="232">
        <f t="shared" ref="AE199:AE247" si="44">ROUND(R199,0)</f>
        <v>0</v>
      </c>
      <c r="AG199" s="232">
        <f t="shared" si="36"/>
        <v>0</v>
      </c>
      <c r="AH199" s="232">
        <f t="shared" si="37"/>
        <v>0</v>
      </c>
      <c r="AI199" s="232"/>
    </row>
    <row r="200" spans="1:35" ht="27.6" x14ac:dyDescent="0.3">
      <c r="A200" s="46">
        <v>21</v>
      </c>
      <c r="B200" s="46" t="s">
        <v>897</v>
      </c>
      <c r="C200" s="46" t="s">
        <v>671</v>
      </c>
      <c r="D200" s="214" t="str">
        <f t="shared" si="38"/>
        <v>Do Not Print</v>
      </c>
      <c r="E200" s="212" t="s">
        <v>672</v>
      </c>
      <c r="F200" s="214" t="s">
        <v>741</v>
      </c>
      <c r="G200" s="214" t="s">
        <v>977</v>
      </c>
      <c r="H200" s="213" t="s">
        <v>1121</v>
      </c>
      <c r="I200" s="230"/>
      <c r="J200" s="840">
        <v>0</v>
      </c>
      <c r="K200" s="840">
        <v>0</v>
      </c>
      <c r="L200" s="841">
        <f t="shared" si="39"/>
        <v>0</v>
      </c>
      <c r="M200" s="840">
        <v>0</v>
      </c>
      <c r="N200" s="840">
        <v>0</v>
      </c>
      <c r="O200" s="161">
        <f t="shared" si="40"/>
        <v>0</v>
      </c>
      <c r="P200" s="840">
        <v>0</v>
      </c>
      <c r="Q200" s="840">
        <v>0</v>
      </c>
      <c r="R200" s="841">
        <f t="shared" si="41"/>
        <v>0</v>
      </c>
      <c r="S200" s="840">
        <v>0</v>
      </c>
      <c r="T200" s="840">
        <v>0</v>
      </c>
      <c r="U200" s="161">
        <f t="shared" si="42"/>
        <v>0</v>
      </c>
      <c r="V200" s="841"/>
      <c r="W200" s="841"/>
      <c r="X200" s="841"/>
      <c r="Y200" s="233"/>
      <c r="Z200" s="233"/>
      <c r="AA200" s="233"/>
      <c r="AB200" s="213" t="s">
        <v>1121</v>
      </c>
      <c r="AD200" s="232">
        <f t="shared" si="43"/>
        <v>0</v>
      </c>
      <c r="AE200" s="232">
        <f t="shared" si="44"/>
        <v>0</v>
      </c>
      <c r="AG200" s="232">
        <f t="shared" si="36"/>
        <v>0</v>
      </c>
      <c r="AH200" s="232">
        <f t="shared" si="37"/>
        <v>0</v>
      </c>
      <c r="AI200" s="232"/>
    </row>
    <row r="201" spans="1:35" ht="41.4" x14ac:dyDescent="0.3">
      <c r="A201" s="46">
        <v>21</v>
      </c>
      <c r="B201" s="46" t="s">
        <v>897</v>
      </c>
      <c r="C201" s="46" t="s">
        <v>671</v>
      </c>
      <c r="D201" s="214" t="str">
        <f t="shared" si="38"/>
        <v>Do Not Print</v>
      </c>
      <c r="E201" s="212" t="s">
        <v>672</v>
      </c>
      <c r="F201" s="214" t="s">
        <v>741</v>
      </c>
      <c r="G201" s="214" t="s">
        <v>979</v>
      </c>
      <c r="H201" s="213" t="s">
        <v>1122</v>
      </c>
      <c r="I201" s="230"/>
      <c r="J201" s="840">
        <v>0</v>
      </c>
      <c r="K201" s="840">
        <v>0</v>
      </c>
      <c r="L201" s="841">
        <f t="shared" si="39"/>
        <v>0</v>
      </c>
      <c r="M201" s="840">
        <v>0</v>
      </c>
      <c r="N201" s="840">
        <v>0</v>
      </c>
      <c r="O201" s="161">
        <f t="shared" si="40"/>
        <v>0</v>
      </c>
      <c r="P201" s="840">
        <v>0</v>
      </c>
      <c r="Q201" s="840">
        <v>0</v>
      </c>
      <c r="R201" s="841">
        <f t="shared" si="41"/>
        <v>0</v>
      </c>
      <c r="S201" s="840">
        <v>0</v>
      </c>
      <c r="T201" s="840">
        <v>0</v>
      </c>
      <c r="U201" s="161">
        <f t="shared" si="42"/>
        <v>0</v>
      </c>
      <c r="V201" s="841"/>
      <c r="W201" s="841"/>
      <c r="X201" s="841"/>
      <c r="Y201" s="233"/>
      <c r="Z201" s="233"/>
      <c r="AA201" s="233"/>
      <c r="AB201" s="213" t="s">
        <v>1122</v>
      </c>
      <c r="AD201" s="232">
        <f t="shared" si="43"/>
        <v>0</v>
      </c>
      <c r="AE201" s="232">
        <f t="shared" si="44"/>
        <v>0</v>
      </c>
      <c r="AG201" s="232">
        <f t="shared" si="36"/>
        <v>0</v>
      </c>
      <c r="AH201" s="232">
        <f t="shared" si="37"/>
        <v>0</v>
      </c>
      <c r="AI201" s="232"/>
    </row>
    <row r="202" spans="1:35" ht="41.4" x14ac:dyDescent="0.3">
      <c r="A202" s="46">
        <v>21</v>
      </c>
      <c r="B202" s="46" t="s">
        <v>897</v>
      </c>
      <c r="C202" s="46" t="s">
        <v>671</v>
      </c>
      <c r="D202" s="214" t="str">
        <f t="shared" si="38"/>
        <v>Do Not Print</v>
      </c>
      <c r="E202" s="212" t="s">
        <v>672</v>
      </c>
      <c r="F202" s="214" t="s">
        <v>741</v>
      </c>
      <c r="G202" s="214" t="s">
        <v>980</v>
      </c>
      <c r="H202" s="213" t="s">
        <v>1123</v>
      </c>
      <c r="I202" s="230"/>
      <c r="J202" s="840">
        <v>0</v>
      </c>
      <c r="K202" s="840">
        <v>0</v>
      </c>
      <c r="L202" s="841">
        <f t="shared" si="39"/>
        <v>0</v>
      </c>
      <c r="M202" s="840">
        <v>0</v>
      </c>
      <c r="N202" s="840">
        <v>0</v>
      </c>
      <c r="O202" s="161">
        <f t="shared" si="40"/>
        <v>0</v>
      </c>
      <c r="P202" s="840">
        <v>0</v>
      </c>
      <c r="Q202" s="840">
        <v>0</v>
      </c>
      <c r="R202" s="841">
        <f t="shared" si="41"/>
        <v>0</v>
      </c>
      <c r="S202" s="840">
        <v>0</v>
      </c>
      <c r="T202" s="840">
        <v>0</v>
      </c>
      <c r="U202" s="161">
        <f t="shared" si="42"/>
        <v>0</v>
      </c>
      <c r="V202" s="841"/>
      <c r="W202" s="841"/>
      <c r="X202" s="841"/>
      <c r="Y202" s="233"/>
      <c r="Z202" s="233"/>
      <c r="AA202" s="233"/>
      <c r="AB202" s="213" t="s">
        <v>1123</v>
      </c>
      <c r="AD202" s="232">
        <f t="shared" si="43"/>
        <v>0</v>
      </c>
      <c r="AE202" s="232">
        <f t="shared" si="44"/>
        <v>0</v>
      </c>
      <c r="AG202" s="232">
        <f t="shared" si="36"/>
        <v>0</v>
      </c>
      <c r="AH202" s="232">
        <f t="shared" si="37"/>
        <v>0</v>
      </c>
      <c r="AI202" s="232"/>
    </row>
    <row r="203" spans="1:35" ht="41.4" x14ac:dyDescent="0.3">
      <c r="A203" s="46">
        <v>21</v>
      </c>
      <c r="B203" s="46" t="s">
        <v>897</v>
      </c>
      <c r="C203" s="46" t="s">
        <v>671</v>
      </c>
      <c r="D203" s="214" t="str">
        <f t="shared" si="38"/>
        <v>Do Not Print</v>
      </c>
      <c r="E203" s="212" t="s">
        <v>672</v>
      </c>
      <c r="F203" s="214" t="s">
        <v>741</v>
      </c>
      <c r="G203" s="214" t="s">
        <v>1093</v>
      </c>
      <c r="H203" s="214" t="s">
        <v>997</v>
      </c>
      <c r="I203" s="230"/>
      <c r="J203" s="840">
        <v>0</v>
      </c>
      <c r="K203" s="840">
        <v>0</v>
      </c>
      <c r="L203" s="841">
        <f t="shared" si="39"/>
        <v>0</v>
      </c>
      <c r="M203" s="840">
        <v>0</v>
      </c>
      <c r="N203" s="840">
        <v>0</v>
      </c>
      <c r="O203" s="161">
        <f t="shared" si="40"/>
        <v>0</v>
      </c>
      <c r="P203" s="840">
        <v>0</v>
      </c>
      <c r="Q203" s="840">
        <v>0</v>
      </c>
      <c r="R203" s="841">
        <f t="shared" si="41"/>
        <v>0</v>
      </c>
      <c r="S203" s="840">
        <v>0</v>
      </c>
      <c r="T203" s="840">
        <v>0</v>
      </c>
      <c r="U203" s="161">
        <f t="shared" si="42"/>
        <v>0</v>
      </c>
      <c r="V203" s="841"/>
      <c r="W203" s="841"/>
      <c r="X203" s="841"/>
      <c r="Y203" s="233"/>
      <c r="Z203" s="233"/>
      <c r="AA203" s="233"/>
      <c r="AB203" s="214" t="s">
        <v>997</v>
      </c>
      <c r="AD203" s="232">
        <f t="shared" si="43"/>
        <v>0</v>
      </c>
      <c r="AE203" s="232">
        <f t="shared" si="44"/>
        <v>0</v>
      </c>
      <c r="AG203" s="232">
        <f t="shared" si="36"/>
        <v>0</v>
      </c>
      <c r="AH203" s="232">
        <f t="shared" si="37"/>
        <v>0</v>
      </c>
      <c r="AI203" s="232"/>
    </row>
    <row r="204" spans="1:35" ht="27.6" x14ac:dyDescent="0.3">
      <c r="A204" s="46">
        <v>22</v>
      </c>
      <c r="B204" s="46" t="s">
        <v>898</v>
      </c>
      <c r="C204" s="46" t="s">
        <v>671</v>
      </c>
      <c r="D204" s="214" t="str">
        <f t="shared" si="38"/>
        <v>Do Not Print</v>
      </c>
      <c r="E204" s="212" t="s">
        <v>672</v>
      </c>
      <c r="F204" s="214" t="s">
        <v>902</v>
      </c>
      <c r="G204" s="214" t="s">
        <v>436</v>
      </c>
      <c r="H204" s="214" t="s">
        <v>351</v>
      </c>
      <c r="I204" s="230"/>
      <c r="J204" s="839">
        <f>SUM(P204:P210)+SUM(Q204:Q210)</f>
        <v>0</v>
      </c>
      <c r="K204" s="840">
        <v>0</v>
      </c>
      <c r="L204" s="841">
        <f t="shared" si="39"/>
        <v>0</v>
      </c>
      <c r="M204" s="839">
        <f>SUM(S204:S210)+SUM(T204:T210)</f>
        <v>0</v>
      </c>
      <c r="N204" s="840">
        <v>0</v>
      </c>
      <c r="O204" s="161">
        <f t="shared" si="40"/>
        <v>0</v>
      </c>
      <c r="P204" s="840">
        <v>0</v>
      </c>
      <c r="Q204" s="840">
        <v>0</v>
      </c>
      <c r="R204" s="841">
        <f t="shared" si="41"/>
        <v>0</v>
      </c>
      <c r="S204" s="840">
        <v>0</v>
      </c>
      <c r="T204" s="840">
        <v>0</v>
      </c>
      <c r="U204" s="161">
        <f t="shared" si="42"/>
        <v>0</v>
      </c>
      <c r="V204" s="841"/>
      <c r="W204" s="841"/>
      <c r="X204" s="841"/>
      <c r="Y204" s="233"/>
      <c r="Z204" s="233"/>
      <c r="AA204" s="233"/>
      <c r="AB204" s="214" t="s">
        <v>351</v>
      </c>
      <c r="AD204" s="232">
        <f t="shared" si="43"/>
        <v>0</v>
      </c>
      <c r="AE204" s="232">
        <f t="shared" si="44"/>
        <v>0</v>
      </c>
      <c r="AG204" s="232">
        <f t="shared" ref="AG204:AG210" si="45">ROUND(O204,0)</f>
        <v>0</v>
      </c>
      <c r="AH204" s="232">
        <f t="shared" si="33"/>
        <v>0</v>
      </c>
      <c r="AI204" s="232"/>
    </row>
    <row r="205" spans="1:35" ht="27.6" x14ac:dyDescent="0.3">
      <c r="A205" s="46">
        <v>22</v>
      </c>
      <c r="B205" s="46" t="s">
        <v>898</v>
      </c>
      <c r="C205" s="46" t="s">
        <v>671</v>
      </c>
      <c r="D205" s="214" t="str">
        <f t="shared" si="38"/>
        <v>Do Not Print</v>
      </c>
      <c r="E205" s="212" t="s">
        <v>672</v>
      </c>
      <c r="F205" s="214" t="s">
        <v>902</v>
      </c>
      <c r="G205" s="214" t="s">
        <v>973</v>
      </c>
      <c r="H205" s="214" t="s">
        <v>1054</v>
      </c>
      <c r="I205" s="230"/>
      <c r="J205" s="840">
        <v>0</v>
      </c>
      <c r="K205" s="840">
        <v>0</v>
      </c>
      <c r="L205" s="841">
        <f t="shared" si="39"/>
        <v>0</v>
      </c>
      <c r="M205" s="840">
        <v>0</v>
      </c>
      <c r="N205" s="840">
        <v>0</v>
      </c>
      <c r="O205" s="161">
        <f t="shared" si="40"/>
        <v>0</v>
      </c>
      <c r="P205" s="840">
        <v>0</v>
      </c>
      <c r="Q205" s="840">
        <v>0</v>
      </c>
      <c r="R205" s="841">
        <f t="shared" si="41"/>
        <v>0</v>
      </c>
      <c r="S205" s="840">
        <v>0</v>
      </c>
      <c r="T205" s="840">
        <v>0</v>
      </c>
      <c r="U205" s="161">
        <f t="shared" si="42"/>
        <v>0</v>
      </c>
      <c r="V205" s="841"/>
      <c r="W205" s="841"/>
      <c r="X205" s="841"/>
      <c r="Y205" s="233"/>
      <c r="Z205" s="233"/>
      <c r="AA205" s="233"/>
      <c r="AB205" s="214" t="s">
        <v>1054</v>
      </c>
      <c r="AD205" s="232">
        <f t="shared" si="43"/>
        <v>0</v>
      </c>
      <c r="AE205" s="232">
        <f t="shared" si="44"/>
        <v>0</v>
      </c>
      <c r="AG205" s="232">
        <f t="shared" si="45"/>
        <v>0</v>
      </c>
      <c r="AH205" s="232">
        <f t="shared" si="33"/>
        <v>0</v>
      </c>
      <c r="AI205" s="232"/>
    </row>
    <row r="206" spans="1:35" ht="27.6" x14ac:dyDescent="0.3">
      <c r="A206" s="46">
        <v>22</v>
      </c>
      <c r="B206" s="46" t="s">
        <v>898</v>
      </c>
      <c r="C206" s="46" t="s">
        <v>671</v>
      </c>
      <c r="D206" s="214" t="str">
        <f t="shared" si="38"/>
        <v>Do Not Print</v>
      </c>
      <c r="E206" s="212" t="s">
        <v>672</v>
      </c>
      <c r="F206" s="214" t="s">
        <v>902</v>
      </c>
      <c r="G206" s="214" t="s">
        <v>977</v>
      </c>
      <c r="H206" s="214" t="s">
        <v>1056</v>
      </c>
      <c r="I206" s="230"/>
      <c r="J206" s="842">
        <v>0</v>
      </c>
      <c r="K206" s="840">
        <v>0</v>
      </c>
      <c r="L206" s="841">
        <f t="shared" si="39"/>
        <v>0</v>
      </c>
      <c r="M206" s="842">
        <v>0</v>
      </c>
      <c r="N206" s="840">
        <v>0</v>
      </c>
      <c r="O206" s="161">
        <f t="shared" si="40"/>
        <v>0</v>
      </c>
      <c r="P206" s="842">
        <v>0</v>
      </c>
      <c r="Q206" s="840">
        <v>0</v>
      </c>
      <c r="R206" s="841">
        <f t="shared" si="41"/>
        <v>0</v>
      </c>
      <c r="S206" s="842">
        <v>0</v>
      </c>
      <c r="T206" s="840">
        <v>0</v>
      </c>
      <c r="U206" s="161">
        <f t="shared" si="42"/>
        <v>0</v>
      </c>
      <c r="V206" s="841"/>
      <c r="W206" s="841"/>
      <c r="X206" s="841"/>
      <c r="Y206" s="233"/>
      <c r="Z206" s="233"/>
      <c r="AA206" s="233"/>
      <c r="AB206" s="214" t="s">
        <v>1055</v>
      </c>
      <c r="AD206" s="232">
        <f t="shared" si="43"/>
        <v>0</v>
      </c>
      <c r="AE206" s="232">
        <f t="shared" si="44"/>
        <v>0</v>
      </c>
      <c r="AG206" s="232">
        <f t="shared" si="45"/>
        <v>0</v>
      </c>
      <c r="AH206" s="232">
        <f t="shared" si="33"/>
        <v>0</v>
      </c>
      <c r="AI206" s="232"/>
    </row>
    <row r="207" spans="1:35" ht="41.4" x14ac:dyDescent="0.3">
      <c r="A207" s="46">
        <v>22</v>
      </c>
      <c r="B207" s="46" t="s">
        <v>898</v>
      </c>
      <c r="C207" s="46" t="s">
        <v>671</v>
      </c>
      <c r="D207" s="214" t="str">
        <f t="shared" si="38"/>
        <v>Do Not Print</v>
      </c>
      <c r="E207" s="212" t="s">
        <v>672</v>
      </c>
      <c r="F207" s="214" t="s">
        <v>902</v>
      </c>
      <c r="G207" s="214" t="s">
        <v>2672</v>
      </c>
      <c r="H207" s="213" t="s">
        <v>2673</v>
      </c>
      <c r="I207" s="230"/>
      <c r="J207" s="840">
        <v>0</v>
      </c>
      <c r="K207" s="840">
        <v>0</v>
      </c>
      <c r="L207" s="841">
        <f t="shared" si="39"/>
        <v>0</v>
      </c>
      <c r="M207" s="840">
        <v>0</v>
      </c>
      <c r="N207" s="840">
        <v>0</v>
      </c>
      <c r="O207" s="161">
        <f t="shared" si="40"/>
        <v>0</v>
      </c>
      <c r="P207" s="840">
        <v>0</v>
      </c>
      <c r="Q207" s="840">
        <v>0</v>
      </c>
      <c r="R207" s="841">
        <f t="shared" si="41"/>
        <v>0</v>
      </c>
      <c r="S207" s="840">
        <v>0</v>
      </c>
      <c r="T207" s="840">
        <v>0</v>
      </c>
      <c r="U207" s="161">
        <f t="shared" si="42"/>
        <v>0</v>
      </c>
      <c r="V207" s="841"/>
      <c r="W207" s="841"/>
      <c r="X207" s="841"/>
      <c r="Y207" s="233"/>
      <c r="Z207" s="233"/>
      <c r="AA207" s="233"/>
      <c r="AB207" s="213" t="s">
        <v>1097</v>
      </c>
      <c r="AD207" s="232">
        <f t="shared" si="43"/>
        <v>0</v>
      </c>
      <c r="AE207" s="232">
        <f t="shared" si="44"/>
        <v>0</v>
      </c>
      <c r="AG207" s="232">
        <f t="shared" si="45"/>
        <v>0</v>
      </c>
      <c r="AH207" s="232">
        <f t="shared" si="33"/>
        <v>0</v>
      </c>
      <c r="AI207" s="232"/>
    </row>
    <row r="208" spans="1:35" ht="41.4" x14ac:dyDescent="0.3">
      <c r="A208" s="46">
        <v>22</v>
      </c>
      <c r="B208" s="46" t="s">
        <v>898</v>
      </c>
      <c r="C208" s="46" t="s">
        <v>671</v>
      </c>
      <c r="D208" s="214" t="str">
        <f t="shared" si="38"/>
        <v>Do Not Print</v>
      </c>
      <c r="E208" s="212" t="s">
        <v>672</v>
      </c>
      <c r="F208" s="214" t="s">
        <v>902</v>
      </c>
      <c r="G208" s="214" t="s">
        <v>2969</v>
      </c>
      <c r="H208" s="213" t="s">
        <v>2970</v>
      </c>
      <c r="I208" s="230"/>
      <c r="J208" s="840">
        <v>0</v>
      </c>
      <c r="K208" s="840">
        <v>0</v>
      </c>
      <c r="L208" s="841">
        <f t="shared" si="39"/>
        <v>0</v>
      </c>
      <c r="M208" s="840">
        <v>0</v>
      </c>
      <c r="N208" s="840">
        <v>0</v>
      </c>
      <c r="O208" s="161">
        <f t="shared" si="40"/>
        <v>0</v>
      </c>
      <c r="P208" s="840">
        <v>0</v>
      </c>
      <c r="Q208" s="840">
        <v>0</v>
      </c>
      <c r="R208" s="841">
        <f t="shared" si="41"/>
        <v>0</v>
      </c>
      <c r="S208" s="840">
        <v>0</v>
      </c>
      <c r="T208" s="840">
        <v>0</v>
      </c>
      <c r="U208" s="161">
        <f t="shared" si="42"/>
        <v>0</v>
      </c>
      <c r="V208" s="841"/>
      <c r="W208" s="841"/>
      <c r="X208" s="841"/>
      <c r="Y208" s="233"/>
      <c r="Z208" s="233"/>
      <c r="AA208" s="233"/>
      <c r="AB208" s="213" t="s">
        <v>1098</v>
      </c>
      <c r="AD208" s="232">
        <f t="shared" si="43"/>
        <v>0</v>
      </c>
      <c r="AE208" s="232">
        <f t="shared" si="44"/>
        <v>0</v>
      </c>
      <c r="AG208" s="232">
        <f t="shared" si="45"/>
        <v>0</v>
      </c>
      <c r="AH208" s="232">
        <f t="shared" si="33"/>
        <v>0</v>
      </c>
      <c r="AI208" s="232"/>
    </row>
    <row r="209" spans="1:35" ht="55.2" x14ac:dyDescent="0.3">
      <c r="A209" s="46">
        <v>22</v>
      </c>
      <c r="B209" s="46" t="s">
        <v>898</v>
      </c>
      <c r="C209" s="46" t="s">
        <v>671</v>
      </c>
      <c r="D209" s="214" t="str">
        <f t="shared" si="38"/>
        <v>Do Not Print</v>
      </c>
      <c r="E209" s="212" t="s">
        <v>672</v>
      </c>
      <c r="F209" s="214" t="s">
        <v>902</v>
      </c>
      <c r="G209" s="214" t="s">
        <v>2674</v>
      </c>
      <c r="H209" s="214" t="s">
        <v>2998</v>
      </c>
      <c r="I209" s="230"/>
      <c r="J209" s="840">
        <v>0</v>
      </c>
      <c r="K209" s="840">
        <v>0</v>
      </c>
      <c r="L209" s="841">
        <f t="shared" si="39"/>
        <v>0</v>
      </c>
      <c r="M209" s="840">
        <v>0</v>
      </c>
      <c r="N209" s="840">
        <v>0</v>
      </c>
      <c r="O209" s="161">
        <f t="shared" si="40"/>
        <v>0</v>
      </c>
      <c r="P209" s="840">
        <v>0</v>
      </c>
      <c r="Q209" s="840">
        <v>0</v>
      </c>
      <c r="R209" s="841">
        <f t="shared" si="41"/>
        <v>0</v>
      </c>
      <c r="S209" s="840">
        <v>0</v>
      </c>
      <c r="T209" s="840">
        <v>0</v>
      </c>
      <c r="U209" s="161">
        <f t="shared" si="42"/>
        <v>0</v>
      </c>
      <c r="V209" s="841"/>
      <c r="W209" s="841"/>
      <c r="X209" s="841"/>
      <c r="Y209" s="233"/>
      <c r="Z209" s="233"/>
      <c r="AA209" s="233"/>
      <c r="AB209" s="214" t="s">
        <v>352</v>
      </c>
      <c r="AD209" s="232">
        <f t="shared" si="43"/>
        <v>0</v>
      </c>
      <c r="AE209" s="232">
        <f t="shared" si="44"/>
        <v>0</v>
      </c>
      <c r="AG209" s="232">
        <f t="shared" si="45"/>
        <v>0</v>
      </c>
      <c r="AH209" s="232">
        <f t="shared" si="33"/>
        <v>0</v>
      </c>
      <c r="AI209" s="232"/>
    </row>
    <row r="210" spans="1:35" ht="27.6" x14ac:dyDescent="0.3">
      <c r="A210" s="46">
        <v>22</v>
      </c>
      <c r="B210" s="46" t="s">
        <v>898</v>
      </c>
      <c r="C210" s="46" t="s">
        <v>671</v>
      </c>
      <c r="D210" s="214" t="str">
        <f t="shared" si="38"/>
        <v>Do Not Print</v>
      </c>
      <c r="E210" s="212" t="s">
        <v>672</v>
      </c>
      <c r="F210" s="214" t="s">
        <v>902</v>
      </c>
      <c r="G210" s="214" t="s">
        <v>2426</v>
      </c>
      <c r="H210" s="214" t="s">
        <v>2675</v>
      </c>
      <c r="I210" s="230"/>
      <c r="J210" s="840">
        <v>0</v>
      </c>
      <c r="K210" s="840">
        <v>0</v>
      </c>
      <c r="L210" s="841">
        <f t="shared" si="39"/>
        <v>0</v>
      </c>
      <c r="M210" s="840">
        <v>0</v>
      </c>
      <c r="N210" s="840">
        <v>0</v>
      </c>
      <c r="O210" s="161">
        <f t="shared" si="40"/>
        <v>0</v>
      </c>
      <c r="P210" s="840">
        <v>0</v>
      </c>
      <c r="Q210" s="840">
        <v>0</v>
      </c>
      <c r="R210" s="841">
        <f t="shared" si="41"/>
        <v>0</v>
      </c>
      <c r="S210" s="840">
        <v>0</v>
      </c>
      <c r="T210" s="840">
        <v>0</v>
      </c>
      <c r="U210" s="161">
        <f t="shared" si="42"/>
        <v>0</v>
      </c>
      <c r="V210" s="841"/>
      <c r="W210" s="841"/>
      <c r="X210" s="841"/>
      <c r="Y210" s="233"/>
      <c r="Z210" s="233"/>
      <c r="AA210" s="233"/>
      <c r="AB210" s="214" t="s">
        <v>353</v>
      </c>
      <c r="AD210" s="232">
        <f t="shared" si="43"/>
        <v>0</v>
      </c>
      <c r="AE210" s="232">
        <f t="shared" si="44"/>
        <v>0</v>
      </c>
      <c r="AG210" s="232">
        <f t="shared" si="45"/>
        <v>0</v>
      </c>
      <c r="AH210" s="232">
        <f t="shared" si="33"/>
        <v>0</v>
      </c>
      <c r="AI210" s="232"/>
    </row>
    <row r="211" spans="1:35" ht="27.6" x14ac:dyDescent="0.3">
      <c r="A211" s="46">
        <v>23</v>
      </c>
      <c r="B211" s="46" t="s">
        <v>899</v>
      </c>
      <c r="C211" s="46" t="s">
        <v>671</v>
      </c>
      <c r="D211" s="214" t="str">
        <f t="shared" ref="D211:D242" si="46">IF(AND(O211=0,U211=0,V211=0),"Do Not Print","Print")</f>
        <v>Do Not Print</v>
      </c>
      <c r="E211" s="212" t="s">
        <v>672</v>
      </c>
      <c r="F211" s="214" t="s">
        <v>354</v>
      </c>
      <c r="G211" s="214" t="s">
        <v>436</v>
      </c>
      <c r="H211" s="214" t="s">
        <v>355</v>
      </c>
      <c r="I211" s="230"/>
      <c r="J211" s="839">
        <f>SUM(P211:P221)+SUM(Q211:Q221)</f>
        <v>0</v>
      </c>
      <c r="K211" s="840">
        <v>0</v>
      </c>
      <c r="L211" s="841">
        <f t="shared" si="39"/>
        <v>0</v>
      </c>
      <c r="M211" s="839">
        <f>SUM(S211:S221)+SUM(T211:T221)</f>
        <v>0</v>
      </c>
      <c r="N211" s="840">
        <v>0</v>
      </c>
      <c r="O211" s="161">
        <f t="shared" si="40"/>
        <v>0</v>
      </c>
      <c r="P211" s="840">
        <v>0</v>
      </c>
      <c r="Q211" s="840">
        <v>0</v>
      </c>
      <c r="R211" s="841">
        <f t="shared" si="41"/>
        <v>0</v>
      </c>
      <c r="S211" s="840">
        <v>0</v>
      </c>
      <c r="T211" s="840">
        <v>0</v>
      </c>
      <c r="U211" s="161">
        <f t="shared" si="42"/>
        <v>0</v>
      </c>
      <c r="V211" s="841"/>
      <c r="W211" s="841"/>
      <c r="X211" s="841"/>
      <c r="Y211" s="233"/>
      <c r="Z211" s="233"/>
      <c r="AA211" s="233"/>
      <c r="AB211" s="214" t="s">
        <v>355</v>
      </c>
      <c r="AD211" s="232">
        <f t="shared" si="43"/>
        <v>0</v>
      </c>
      <c r="AE211" s="232">
        <f t="shared" si="44"/>
        <v>0</v>
      </c>
      <c r="AG211" s="232">
        <f t="shared" ref="AG211:AG243" si="47">ROUND(O211,0)</f>
        <v>0</v>
      </c>
      <c r="AH211" s="232">
        <f t="shared" si="33"/>
        <v>0</v>
      </c>
      <c r="AI211" s="232"/>
    </row>
    <row r="212" spans="1:35" ht="41.4" x14ac:dyDescent="0.3">
      <c r="A212" s="46">
        <v>23</v>
      </c>
      <c r="B212" s="46" t="s">
        <v>899</v>
      </c>
      <c r="C212" s="46" t="s">
        <v>671</v>
      </c>
      <c r="D212" s="214" t="str">
        <f t="shared" si="46"/>
        <v>Do Not Print</v>
      </c>
      <c r="E212" s="212" t="s">
        <v>672</v>
      </c>
      <c r="F212" s="214" t="s">
        <v>354</v>
      </c>
      <c r="G212" s="213" t="s">
        <v>101</v>
      </c>
      <c r="H212" s="213" t="s">
        <v>101</v>
      </c>
      <c r="I212" s="230"/>
      <c r="J212" s="840">
        <v>0</v>
      </c>
      <c r="K212" s="840">
        <v>0</v>
      </c>
      <c r="L212" s="841">
        <f t="shared" si="39"/>
        <v>0</v>
      </c>
      <c r="M212" s="840">
        <v>0</v>
      </c>
      <c r="N212" s="840">
        <v>0</v>
      </c>
      <c r="O212" s="161">
        <f t="shared" si="40"/>
        <v>0</v>
      </c>
      <c r="P212" s="840">
        <v>0</v>
      </c>
      <c r="Q212" s="840">
        <v>0</v>
      </c>
      <c r="R212" s="841">
        <f t="shared" si="41"/>
        <v>0</v>
      </c>
      <c r="S212" s="840">
        <v>0</v>
      </c>
      <c r="T212" s="840">
        <v>0</v>
      </c>
      <c r="U212" s="161">
        <f t="shared" si="42"/>
        <v>0</v>
      </c>
      <c r="V212" s="841"/>
      <c r="W212" s="841"/>
      <c r="X212" s="841"/>
      <c r="Y212" s="233"/>
      <c r="Z212" s="233"/>
      <c r="AA212" s="233"/>
      <c r="AB212" s="213" t="s">
        <v>101</v>
      </c>
      <c r="AD212" s="232">
        <f t="shared" si="43"/>
        <v>0</v>
      </c>
      <c r="AE212" s="232">
        <f t="shared" si="44"/>
        <v>0</v>
      </c>
      <c r="AG212" s="232">
        <f t="shared" si="47"/>
        <v>0</v>
      </c>
      <c r="AH212" s="232">
        <f t="shared" si="33"/>
        <v>0</v>
      </c>
      <c r="AI212" s="232"/>
    </row>
    <row r="213" spans="1:35" ht="27.6" x14ac:dyDescent="0.3">
      <c r="A213" s="46">
        <v>23</v>
      </c>
      <c r="B213" s="46" t="s">
        <v>899</v>
      </c>
      <c r="C213" s="46" t="s">
        <v>671</v>
      </c>
      <c r="D213" s="214" t="str">
        <f t="shared" si="46"/>
        <v>Do Not Print</v>
      </c>
      <c r="E213" s="212" t="s">
        <v>672</v>
      </c>
      <c r="F213" s="214" t="s">
        <v>354</v>
      </c>
      <c r="G213" s="214" t="s">
        <v>973</v>
      </c>
      <c r="H213" s="214" t="s">
        <v>356</v>
      </c>
      <c r="I213" s="230"/>
      <c r="J213" s="840">
        <v>0</v>
      </c>
      <c r="K213" s="840">
        <v>0</v>
      </c>
      <c r="L213" s="841">
        <f t="shared" si="39"/>
        <v>0</v>
      </c>
      <c r="M213" s="840">
        <v>0</v>
      </c>
      <c r="N213" s="840">
        <v>0</v>
      </c>
      <c r="O213" s="161">
        <f t="shared" si="40"/>
        <v>0</v>
      </c>
      <c r="P213" s="840">
        <v>0</v>
      </c>
      <c r="Q213" s="840">
        <v>0</v>
      </c>
      <c r="R213" s="841">
        <f t="shared" si="41"/>
        <v>0</v>
      </c>
      <c r="S213" s="840">
        <v>0</v>
      </c>
      <c r="T213" s="840">
        <v>0</v>
      </c>
      <c r="U213" s="161">
        <f t="shared" si="42"/>
        <v>0</v>
      </c>
      <c r="V213" s="841"/>
      <c r="W213" s="841"/>
      <c r="X213" s="841"/>
      <c r="Y213" s="233"/>
      <c r="Z213" s="233"/>
      <c r="AA213" s="233"/>
      <c r="AB213" s="214" t="s">
        <v>356</v>
      </c>
      <c r="AD213" s="232">
        <f t="shared" si="43"/>
        <v>0</v>
      </c>
      <c r="AE213" s="232">
        <f t="shared" si="44"/>
        <v>0</v>
      </c>
      <c r="AG213" s="232">
        <f t="shared" si="47"/>
        <v>0</v>
      </c>
      <c r="AH213" s="232">
        <f t="shared" si="33"/>
        <v>0</v>
      </c>
      <c r="AI213" s="232"/>
    </row>
    <row r="214" spans="1:35" ht="27.6" x14ac:dyDescent="0.3">
      <c r="A214" s="46">
        <v>23</v>
      </c>
      <c r="B214" s="46" t="s">
        <v>899</v>
      </c>
      <c r="C214" s="46" t="s">
        <v>671</v>
      </c>
      <c r="D214" s="214" t="str">
        <f t="shared" si="46"/>
        <v>Do Not Print</v>
      </c>
      <c r="E214" s="212" t="s">
        <v>672</v>
      </c>
      <c r="F214" s="214" t="s">
        <v>354</v>
      </c>
      <c r="G214" s="214" t="s">
        <v>103</v>
      </c>
      <c r="H214" s="214" t="s">
        <v>1057</v>
      </c>
      <c r="I214" s="230"/>
      <c r="J214" s="840">
        <v>0</v>
      </c>
      <c r="K214" s="840">
        <v>0</v>
      </c>
      <c r="L214" s="841">
        <f t="shared" si="39"/>
        <v>0</v>
      </c>
      <c r="M214" s="840">
        <v>0</v>
      </c>
      <c r="N214" s="840">
        <v>0</v>
      </c>
      <c r="O214" s="161">
        <f t="shared" si="40"/>
        <v>0</v>
      </c>
      <c r="P214" s="840">
        <v>0</v>
      </c>
      <c r="Q214" s="840">
        <v>0</v>
      </c>
      <c r="R214" s="841">
        <f t="shared" si="41"/>
        <v>0</v>
      </c>
      <c r="S214" s="840">
        <v>0</v>
      </c>
      <c r="T214" s="840">
        <v>0</v>
      </c>
      <c r="U214" s="161">
        <f t="shared" si="42"/>
        <v>0</v>
      </c>
      <c r="V214" s="841"/>
      <c r="W214" s="841"/>
      <c r="X214" s="841"/>
      <c r="Y214" s="233"/>
      <c r="Z214" s="233"/>
      <c r="AA214" s="233"/>
      <c r="AB214" s="214" t="s">
        <v>1057</v>
      </c>
      <c r="AD214" s="232">
        <f t="shared" si="43"/>
        <v>0</v>
      </c>
      <c r="AE214" s="232">
        <f t="shared" si="44"/>
        <v>0</v>
      </c>
      <c r="AG214" s="232">
        <f t="shared" si="47"/>
        <v>0</v>
      </c>
      <c r="AH214" s="232">
        <f t="shared" si="33"/>
        <v>0</v>
      </c>
      <c r="AI214" s="232"/>
    </row>
    <row r="215" spans="1:35" ht="55.2" x14ac:dyDescent="0.3">
      <c r="A215" s="46">
        <v>23</v>
      </c>
      <c r="B215" s="46" t="s">
        <v>899</v>
      </c>
      <c r="C215" s="46" t="s">
        <v>671</v>
      </c>
      <c r="D215" s="214" t="str">
        <f t="shared" si="46"/>
        <v>Do Not Print</v>
      </c>
      <c r="E215" s="212" t="s">
        <v>672</v>
      </c>
      <c r="F215" s="214" t="s">
        <v>354</v>
      </c>
      <c r="G215" s="214" t="s">
        <v>1090</v>
      </c>
      <c r="H215" s="214" t="s">
        <v>1058</v>
      </c>
      <c r="I215" s="230"/>
      <c r="J215" s="840">
        <v>0</v>
      </c>
      <c r="K215" s="840">
        <v>0</v>
      </c>
      <c r="L215" s="841">
        <f t="shared" si="39"/>
        <v>0</v>
      </c>
      <c r="M215" s="840">
        <v>0</v>
      </c>
      <c r="N215" s="840">
        <v>0</v>
      </c>
      <c r="O215" s="161">
        <f t="shared" si="40"/>
        <v>0</v>
      </c>
      <c r="P215" s="840">
        <v>0</v>
      </c>
      <c r="Q215" s="840">
        <v>0</v>
      </c>
      <c r="R215" s="841">
        <f t="shared" si="41"/>
        <v>0</v>
      </c>
      <c r="S215" s="840">
        <v>0</v>
      </c>
      <c r="T215" s="840">
        <v>0</v>
      </c>
      <c r="U215" s="161">
        <f t="shared" si="42"/>
        <v>0</v>
      </c>
      <c r="V215" s="841"/>
      <c r="W215" s="841"/>
      <c r="X215" s="841"/>
      <c r="Y215" s="233"/>
      <c r="Z215" s="233"/>
      <c r="AA215" s="233"/>
      <c r="AB215" s="214" t="s">
        <v>1058</v>
      </c>
      <c r="AD215" s="232">
        <f t="shared" si="43"/>
        <v>0</v>
      </c>
      <c r="AE215" s="232">
        <f t="shared" si="44"/>
        <v>0</v>
      </c>
      <c r="AG215" s="232">
        <f t="shared" si="47"/>
        <v>0</v>
      </c>
      <c r="AH215" s="232">
        <f t="shared" si="33"/>
        <v>0</v>
      </c>
      <c r="AI215" s="232"/>
    </row>
    <row r="216" spans="1:35" ht="69" x14ac:dyDescent="0.3">
      <c r="A216" s="46">
        <v>23</v>
      </c>
      <c r="B216" s="46" t="s">
        <v>899</v>
      </c>
      <c r="C216" s="46" t="s">
        <v>671</v>
      </c>
      <c r="D216" s="214" t="str">
        <f t="shared" si="46"/>
        <v>Do Not Print</v>
      </c>
      <c r="E216" s="212" t="s">
        <v>672</v>
      </c>
      <c r="F216" s="214" t="s">
        <v>354</v>
      </c>
      <c r="G216" s="214" t="s">
        <v>1091</v>
      </c>
      <c r="H216" s="214" t="s">
        <v>1059</v>
      </c>
      <c r="I216" s="230"/>
      <c r="J216" s="840">
        <v>0</v>
      </c>
      <c r="K216" s="840">
        <v>0</v>
      </c>
      <c r="L216" s="841">
        <f t="shared" si="39"/>
        <v>0</v>
      </c>
      <c r="M216" s="840">
        <v>0</v>
      </c>
      <c r="N216" s="840">
        <v>0</v>
      </c>
      <c r="O216" s="161">
        <f t="shared" si="40"/>
        <v>0</v>
      </c>
      <c r="P216" s="840">
        <v>0</v>
      </c>
      <c r="Q216" s="840">
        <v>0</v>
      </c>
      <c r="R216" s="841">
        <f t="shared" si="41"/>
        <v>0</v>
      </c>
      <c r="S216" s="840">
        <v>0</v>
      </c>
      <c r="T216" s="840">
        <v>0</v>
      </c>
      <c r="U216" s="161">
        <f t="shared" si="42"/>
        <v>0</v>
      </c>
      <c r="V216" s="841"/>
      <c r="W216" s="841"/>
      <c r="X216" s="841"/>
      <c r="Y216" s="233"/>
      <c r="Z216" s="233"/>
      <c r="AA216" s="233"/>
      <c r="AB216" s="214" t="s">
        <v>1059</v>
      </c>
      <c r="AD216" s="232">
        <f t="shared" si="43"/>
        <v>0</v>
      </c>
      <c r="AE216" s="232">
        <f t="shared" si="44"/>
        <v>0</v>
      </c>
      <c r="AG216" s="232">
        <f t="shared" si="47"/>
        <v>0</v>
      </c>
      <c r="AH216" s="232">
        <f t="shared" si="33"/>
        <v>0</v>
      </c>
      <c r="AI216" s="232"/>
    </row>
    <row r="217" spans="1:35" ht="41.4" x14ac:dyDescent="0.3">
      <c r="A217" s="46">
        <v>23</v>
      </c>
      <c r="B217" s="46" t="s">
        <v>899</v>
      </c>
      <c r="C217" s="46" t="s">
        <v>671</v>
      </c>
      <c r="D217" s="214" t="str">
        <f t="shared" si="46"/>
        <v>Do Not Print</v>
      </c>
      <c r="E217" s="212" t="s">
        <v>672</v>
      </c>
      <c r="F217" s="214" t="s">
        <v>354</v>
      </c>
      <c r="G217" s="214" t="s">
        <v>437</v>
      </c>
      <c r="H217" s="214" t="s">
        <v>357</v>
      </c>
      <c r="I217" s="230"/>
      <c r="J217" s="840">
        <v>0</v>
      </c>
      <c r="K217" s="840">
        <v>0</v>
      </c>
      <c r="L217" s="841">
        <f t="shared" si="39"/>
        <v>0</v>
      </c>
      <c r="M217" s="840">
        <v>0</v>
      </c>
      <c r="N217" s="840">
        <v>0</v>
      </c>
      <c r="O217" s="161">
        <f t="shared" si="40"/>
        <v>0</v>
      </c>
      <c r="P217" s="840">
        <v>0</v>
      </c>
      <c r="Q217" s="840">
        <v>0</v>
      </c>
      <c r="R217" s="841">
        <f t="shared" si="41"/>
        <v>0</v>
      </c>
      <c r="S217" s="840">
        <v>0</v>
      </c>
      <c r="T217" s="840">
        <v>0</v>
      </c>
      <c r="U217" s="161">
        <f t="shared" si="42"/>
        <v>0</v>
      </c>
      <c r="V217" s="841"/>
      <c r="W217" s="841"/>
      <c r="X217" s="841"/>
      <c r="Y217" s="233"/>
      <c r="Z217" s="233"/>
      <c r="AA217" s="233"/>
      <c r="AB217" s="214" t="s">
        <v>357</v>
      </c>
      <c r="AD217" s="232">
        <f t="shared" si="43"/>
        <v>0</v>
      </c>
      <c r="AE217" s="232">
        <f t="shared" si="44"/>
        <v>0</v>
      </c>
      <c r="AG217" s="232">
        <f t="shared" si="47"/>
        <v>0</v>
      </c>
      <c r="AH217" s="232">
        <f t="shared" si="33"/>
        <v>0</v>
      </c>
      <c r="AI217" s="232"/>
    </row>
    <row r="218" spans="1:35" ht="27.6" x14ac:dyDescent="0.3">
      <c r="A218" s="46">
        <v>23</v>
      </c>
      <c r="B218" s="46" t="s">
        <v>899</v>
      </c>
      <c r="C218" s="46" t="s">
        <v>671</v>
      </c>
      <c r="D218" s="214" t="str">
        <f t="shared" si="46"/>
        <v>Do Not Print</v>
      </c>
      <c r="E218" s="212" t="s">
        <v>672</v>
      </c>
      <c r="F218" s="214" t="s">
        <v>354</v>
      </c>
      <c r="G218" s="214" t="s">
        <v>977</v>
      </c>
      <c r="H218" s="214" t="s">
        <v>1060</v>
      </c>
      <c r="I218" s="230"/>
      <c r="J218" s="842">
        <v>0</v>
      </c>
      <c r="K218" s="840">
        <v>0</v>
      </c>
      <c r="L218" s="841">
        <f t="shared" si="39"/>
        <v>0</v>
      </c>
      <c r="M218" s="842">
        <v>0</v>
      </c>
      <c r="N218" s="840">
        <v>0</v>
      </c>
      <c r="O218" s="161">
        <f t="shared" si="40"/>
        <v>0</v>
      </c>
      <c r="P218" s="842">
        <v>0</v>
      </c>
      <c r="Q218" s="840">
        <v>0</v>
      </c>
      <c r="R218" s="841">
        <f t="shared" si="41"/>
        <v>0</v>
      </c>
      <c r="S218" s="842">
        <v>0</v>
      </c>
      <c r="T218" s="840">
        <v>0</v>
      </c>
      <c r="U218" s="161">
        <f t="shared" si="42"/>
        <v>0</v>
      </c>
      <c r="V218" s="841"/>
      <c r="W218" s="841"/>
      <c r="X218" s="841"/>
      <c r="Y218" s="233"/>
      <c r="Z218" s="233"/>
      <c r="AA218" s="233"/>
      <c r="AB218" s="214" t="s">
        <v>1060</v>
      </c>
      <c r="AD218" s="232">
        <f t="shared" si="43"/>
        <v>0</v>
      </c>
      <c r="AE218" s="232">
        <f t="shared" si="44"/>
        <v>0</v>
      </c>
      <c r="AG218" s="232">
        <f t="shared" si="47"/>
        <v>0</v>
      </c>
      <c r="AH218" s="232">
        <f t="shared" si="33"/>
        <v>0</v>
      </c>
      <c r="AI218" s="232"/>
    </row>
    <row r="219" spans="1:35" ht="27.6" x14ac:dyDescent="0.3">
      <c r="A219" s="46">
        <v>23</v>
      </c>
      <c r="B219" s="46" t="s">
        <v>899</v>
      </c>
      <c r="C219" s="46" t="s">
        <v>671</v>
      </c>
      <c r="D219" s="214" t="str">
        <f t="shared" si="46"/>
        <v>Do Not Print</v>
      </c>
      <c r="E219" s="212" t="s">
        <v>672</v>
      </c>
      <c r="F219" s="214" t="s">
        <v>354</v>
      </c>
      <c r="G219" s="214" t="s">
        <v>979</v>
      </c>
      <c r="H219" s="214" t="s">
        <v>358</v>
      </c>
      <c r="I219" s="230"/>
      <c r="J219" s="842">
        <v>0</v>
      </c>
      <c r="K219" s="840">
        <v>0</v>
      </c>
      <c r="L219" s="841">
        <f t="shared" si="39"/>
        <v>0</v>
      </c>
      <c r="M219" s="842">
        <v>0</v>
      </c>
      <c r="N219" s="840">
        <v>0</v>
      </c>
      <c r="O219" s="161">
        <f t="shared" si="40"/>
        <v>0</v>
      </c>
      <c r="P219" s="842">
        <v>0</v>
      </c>
      <c r="Q219" s="840">
        <v>0</v>
      </c>
      <c r="R219" s="841">
        <f t="shared" si="41"/>
        <v>0</v>
      </c>
      <c r="S219" s="842">
        <v>0</v>
      </c>
      <c r="T219" s="840">
        <v>0</v>
      </c>
      <c r="U219" s="161">
        <f t="shared" si="42"/>
        <v>0</v>
      </c>
      <c r="V219" s="841"/>
      <c r="W219" s="841"/>
      <c r="X219" s="841"/>
      <c r="Y219" s="233"/>
      <c r="Z219" s="233"/>
      <c r="AA219" s="233"/>
      <c r="AB219" s="214" t="s">
        <v>358</v>
      </c>
      <c r="AD219" s="232">
        <f t="shared" si="43"/>
        <v>0</v>
      </c>
      <c r="AE219" s="232">
        <f t="shared" si="44"/>
        <v>0</v>
      </c>
      <c r="AG219" s="232">
        <f t="shared" si="47"/>
        <v>0</v>
      </c>
      <c r="AH219" s="232">
        <f t="shared" si="33"/>
        <v>0</v>
      </c>
      <c r="AI219" s="232"/>
    </row>
    <row r="220" spans="1:35" ht="41.4" x14ac:dyDescent="0.3">
      <c r="A220" s="46">
        <v>23</v>
      </c>
      <c r="B220" s="46" t="s">
        <v>899</v>
      </c>
      <c r="C220" s="46" t="s">
        <v>671</v>
      </c>
      <c r="D220" s="214" t="str">
        <f t="shared" si="46"/>
        <v>Do Not Print</v>
      </c>
      <c r="E220" s="212" t="s">
        <v>672</v>
      </c>
      <c r="F220" s="214" t="s">
        <v>354</v>
      </c>
      <c r="G220" s="214" t="s">
        <v>980</v>
      </c>
      <c r="H220" s="214" t="s">
        <v>359</v>
      </c>
      <c r="I220" s="230"/>
      <c r="J220" s="840">
        <v>0</v>
      </c>
      <c r="K220" s="840">
        <v>0</v>
      </c>
      <c r="L220" s="841">
        <f t="shared" si="39"/>
        <v>0</v>
      </c>
      <c r="M220" s="840">
        <v>0</v>
      </c>
      <c r="N220" s="840">
        <v>0</v>
      </c>
      <c r="O220" s="161">
        <f t="shared" si="40"/>
        <v>0</v>
      </c>
      <c r="P220" s="840">
        <v>0</v>
      </c>
      <c r="Q220" s="840">
        <v>0</v>
      </c>
      <c r="R220" s="841">
        <f t="shared" si="41"/>
        <v>0</v>
      </c>
      <c r="S220" s="840">
        <v>0</v>
      </c>
      <c r="T220" s="840">
        <v>0</v>
      </c>
      <c r="U220" s="161">
        <f t="shared" si="42"/>
        <v>0</v>
      </c>
      <c r="V220" s="841"/>
      <c r="W220" s="841"/>
      <c r="X220" s="841"/>
      <c r="Y220" s="233"/>
      <c r="Z220" s="233"/>
      <c r="AA220" s="233"/>
      <c r="AB220" s="214" t="s">
        <v>359</v>
      </c>
      <c r="AD220" s="232">
        <f t="shared" si="43"/>
        <v>0</v>
      </c>
      <c r="AE220" s="232">
        <f t="shared" si="44"/>
        <v>0</v>
      </c>
      <c r="AG220" s="232">
        <f t="shared" si="47"/>
        <v>0</v>
      </c>
      <c r="AH220" s="232">
        <f t="shared" si="33"/>
        <v>0</v>
      </c>
      <c r="AI220" s="232"/>
    </row>
    <row r="221" spans="1:35" ht="27.6" x14ac:dyDescent="0.3">
      <c r="A221" s="46">
        <v>23</v>
      </c>
      <c r="B221" s="46" t="s">
        <v>899</v>
      </c>
      <c r="C221" s="46" t="s">
        <v>671</v>
      </c>
      <c r="D221" s="214" t="str">
        <f t="shared" si="46"/>
        <v>Do Not Print</v>
      </c>
      <c r="E221" s="212" t="s">
        <v>672</v>
      </c>
      <c r="F221" s="214" t="s">
        <v>354</v>
      </c>
      <c r="G221" s="214" t="s">
        <v>1093</v>
      </c>
      <c r="H221" s="214" t="s">
        <v>994</v>
      </c>
      <c r="I221" s="230"/>
      <c r="J221" s="840">
        <v>0</v>
      </c>
      <c r="K221" s="840">
        <v>0</v>
      </c>
      <c r="L221" s="841">
        <f t="shared" si="39"/>
        <v>0</v>
      </c>
      <c r="M221" s="840">
        <v>0</v>
      </c>
      <c r="N221" s="840">
        <v>0</v>
      </c>
      <c r="O221" s="161">
        <f t="shared" si="40"/>
        <v>0</v>
      </c>
      <c r="P221" s="840">
        <v>0</v>
      </c>
      <c r="Q221" s="840">
        <v>0</v>
      </c>
      <c r="R221" s="841">
        <f t="shared" si="41"/>
        <v>0</v>
      </c>
      <c r="S221" s="840">
        <v>0</v>
      </c>
      <c r="T221" s="840">
        <v>0</v>
      </c>
      <c r="U221" s="161">
        <f t="shared" si="42"/>
        <v>0</v>
      </c>
      <c r="V221" s="841"/>
      <c r="W221" s="841"/>
      <c r="X221" s="841"/>
      <c r="Y221" s="233"/>
      <c r="Z221" s="233"/>
      <c r="AA221" s="233"/>
      <c r="AB221" s="214" t="s">
        <v>994</v>
      </c>
      <c r="AD221" s="232">
        <f t="shared" si="43"/>
        <v>0</v>
      </c>
      <c r="AE221" s="232">
        <f t="shared" si="44"/>
        <v>0</v>
      </c>
      <c r="AG221" s="232">
        <f t="shared" si="47"/>
        <v>0</v>
      </c>
      <c r="AH221" s="232">
        <f t="shared" si="33"/>
        <v>0</v>
      </c>
      <c r="AI221" s="232"/>
    </row>
    <row r="222" spans="1:35" ht="27.6" x14ac:dyDescent="0.3">
      <c r="A222" s="46">
        <v>23</v>
      </c>
      <c r="B222" s="46" t="s">
        <v>899</v>
      </c>
      <c r="C222" s="46" t="s">
        <v>671</v>
      </c>
      <c r="D222" s="214" t="str">
        <f t="shared" si="46"/>
        <v>Do Not Print</v>
      </c>
      <c r="E222" s="212" t="s">
        <v>672</v>
      </c>
      <c r="F222" s="214" t="s">
        <v>354</v>
      </c>
      <c r="G222" s="214" t="s">
        <v>438</v>
      </c>
      <c r="H222" s="214" t="s">
        <v>1081</v>
      </c>
      <c r="I222" s="230"/>
      <c r="J222" s="839">
        <f>P222+P223+P224-P225-P226-P227--P228-P229-P230+P231+P232+SUM(Q222:Q232)+P212+Q212</f>
        <v>0</v>
      </c>
      <c r="K222" s="840">
        <v>0</v>
      </c>
      <c r="L222" s="841">
        <f t="shared" si="39"/>
        <v>0</v>
      </c>
      <c r="M222" s="839">
        <f>S222+S223+S224-S225-S226-S227--S228-S229-S230+S231+S232+SUM(T222:T232)</f>
        <v>0</v>
      </c>
      <c r="N222" s="840">
        <v>0</v>
      </c>
      <c r="O222" s="161">
        <f t="shared" si="40"/>
        <v>0</v>
      </c>
      <c r="P222" s="840">
        <v>0</v>
      </c>
      <c r="Q222" s="840">
        <v>0</v>
      </c>
      <c r="R222" s="841">
        <f t="shared" si="41"/>
        <v>0</v>
      </c>
      <c r="S222" s="840">
        <v>0</v>
      </c>
      <c r="T222" s="840">
        <v>0</v>
      </c>
      <c r="U222" s="161">
        <f t="shared" si="42"/>
        <v>0</v>
      </c>
      <c r="V222" s="841"/>
      <c r="W222" s="841"/>
      <c r="X222" s="841"/>
      <c r="Y222" s="233"/>
      <c r="Z222" s="233"/>
      <c r="AA222" s="233"/>
      <c r="AB222" s="214" t="s">
        <v>1081</v>
      </c>
      <c r="AD222" s="232">
        <f t="shared" si="43"/>
        <v>0</v>
      </c>
      <c r="AE222" s="232">
        <f t="shared" si="44"/>
        <v>0</v>
      </c>
      <c r="AG222" s="232">
        <f t="shared" si="47"/>
        <v>0</v>
      </c>
      <c r="AH222" s="232">
        <f t="shared" si="33"/>
        <v>0</v>
      </c>
      <c r="AI222" s="232"/>
    </row>
    <row r="223" spans="1:35" ht="41.4" x14ac:dyDescent="0.3">
      <c r="A223" s="46">
        <v>23</v>
      </c>
      <c r="B223" s="46" t="s">
        <v>899</v>
      </c>
      <c r="C223" s="46" t="s">
        <v>671</v>
      </c>
      <c r="D223" s="214" t="str">
        <f t="shared" si="46"/>
        <v>Do Not Print</v>
      </c>
      <c r="E223" s="212" t="s">
        <v>672</v>
      </c>
      <c r="F223" s="214" t="s">
        <v>354</v>
      </c>
      <c r="G223" s="213" t="s">
        <v>101</v>
      </c>
      <c r="H223" s="213" t="s">
        <v>101</v>
      </c>
      <c r="I223" s="230"/>
      <c r="J223" s="840">
        <v>0</v>
      </c>
      <c r="K223" s="840">
        <v>0</v>
      </c>
      <c r="L223" s="841">
        <f t="shared" si="39"/>
        <v>0</v>
      </c>
      <c r="M223" s="840">
        <v>0</v>
      </c>
      <c r="N223" s="840">
        <v>0</v>
      </c>
      <c r="O223" s="161">
        <f t="shared" si="40"/>
        <v>0</v>
      </c>
      <c r="P223" s="840">
        <v>0</v>
      </c>
      <c r="Q223" s="840">
        <v>0</v>
      </c>
      <c r="R223" s="841">
        <f t="shared" si="41"/>
        <v>0</v>
      </c>
      <c r="S223" s="840">
        <v>0</v>
      </c>
      <c r="T223" s="840">
        <v>0</v>
      </c>
      <c r="U223" s="161">
        <f t="shared" si="42"/>
        <v>0</v>
      </c>
      <c r="V223" s="841"/>
      <c r="W223" s="841"/>
      <c r="X223" s="841"/>
      <c r="Y223" s="233"/>
      <c r="Z223" s="233"/>
      <c r="AA223" s="233"/>
      <c r="AB223" s="213" t="s">
        <v>101</v>
      </c>
      <c r="AD223" s="232">
        <f t="shared" si="43"/>
        <v>0</v>
      </c>
      <c r="AE223" s="232">
        <f t="shared" si="44"/>
        <v>0</v>
      </c>
      <c r="AG223" s="232">
        <f t="shared" si="47"/>
        <v>0</v>
      </c>
      <c r="AH223" s="232">
        <f t="shared" si="33"/>
        <v>0</v>
      </c>
      <c r="AI223" s="232"/>
    </row>
    <row r="224" spans="1:35" ht="27.6" x14ac:dyDescent="0.3">
      <c r="A224" s="46">
        <v>23</v>
      </c>
      <c r="B224" s="46" t="s">
        <v>899</v>
      </c>
      <c r="C224" s="46" t="s">
        <v>671</v>
      </c>
      <c r="D224" s="214" t="str">
        <f t="shared" si="46"/>
        <v>Do Not Print</v>
      </c>
      <c r="E224" s="212" t="s">
        <v>672</v>
      </c>
      <c r="F224" s="214" t="s">
        <v>354</v>
      </c>
      <c r="G224" s="214" t="s">
        <v>109</v>
      </c>
      <c r="H224" s="214" t="s">
        <v>1082</v>
      </c>
      <c r="I224" s="230"/>
      <c r="J224" s="840">
        <v>0</v>
      </c>
      <c r="K224" s="840">
        <v>0</v>
      </c>
      <c r="L224" s="841">
        <f t="shared" si="39"/>
        <v>0</v>
      </c>
      <c r="M224" s="840">
        <v>0</v>
      </c>
      <c r="N224" s="840">
        <v>0</v>
      </c>
      <c r="O224" s="161">
        <f t="shared" si="40"/>
        <v>0</v>
      </c>
      <c r="P224" s="840">
        <v>0</v>
      </c>
      <c r="Q224" s="840">
        <v>0</v>
      </c>
      <c r="R224" s="841">
        <f t="shared" si="41"/>
        <v>0</v>
      </c>
      <c r="S224" s="840">
        <v>0</v>
      </c>
      <c r="T224" s="840">
        <v>0</v>
      </c>
      <c r="U224" s="161">
        <f t="shared" si="42"/>
        <v>0</v>
      </c>
      <c r="V224" s="841"/>
      <c r="W224" s="841"/>
      <c r="X224" s="841"/>
      <c r="Y224" s="233"/>
      <c r="Z224" s="233"/>
      <c r="AA224" s="233"/>
      <c r="AB224" s="214" t="s">
        <v>1082</v>
      </c>
      <c r="AD224" s="232">
        <f t="shared" si="43"/>
        <v>0</v>
      </c>
      <c r="AE224" s="232">
        <f t="shared" si="44"/>
        <v>0</v>
      </c>
      <c r="AG224" s="232">
        <f t="shared" si="47"/>
        <v>0</v>
      </c>
      <c r="AH224" s="232">
        <f t="shared" si="33"/>
        <v>0</v>
      </c>
      <c r="AI224" s="232"/>
    </row>
    <row r="225" spans="1:35" ht="41.4" x14ac:dyDescent="0.3">
      <c r="A225" s="46">
        <v>23</v>
      </c>
      <c r="B225" s="46" t="s">
        <v>899</v>
      </c>
      <c r="C225" s="46" t="s">
        <v>671</v>
      </c>
      <c r="D225" s="214" t="str">
        <f t="shared" si="46"/>
        <v>Do Not Print</v>
      </c>
      <c r="E225" s="212" t="s">
        <v>672</v>
      </c>
      <c r="F225" s="214" t="s">
        <v>354</v>
      </c>
      <c r="G225" s="214" t="s">
        <v>1092</v>
      </c>
      <c r="H225" s="214" t="s">
        <v>1083</v>
      </c>
      <c r="I225" s="230"/>
      <c r="J225" s="840">
        <v>0</v>
      </c>
      <c r="K225" s="840">
        <v>0</v>
      </c>
      <c r="L225" s="841">
        <f t="shared" si="39"/>
        <v>0</v>
      </c>
      <c r="M225" s="840">
        <v>0</v>
      </c>
      <c r="N225" s="840">
        <v>0</v>
      </c>
      <c r="O225" s="161">
        <f t="shared" si="40"/>
        <v>0</v>
      </c>
      <c r="P225" s="840">
        <v>0</v>
      </c>
      <c r="Q225" s="840">
        <v>0</v>
      </c>
      <c r="R225" s="841">
        <f t="shared" si="41"/>
        <v>0</v>
      </c>
      <c r="S225" s="840">
        <v>0</v>
      </c>
      <c r="T225" s="840">
        <v>0</v>
      </c>
      <c r="U225" s="161">
        <f t="shared" si="42"/>
        <v>0</v>
      </c>
      <c r="V225" s="841"/>
      <c r="W225" s="841"/>
      <c r="X225" s="841"/>
      <c r="Y225" s="233"/>
      <c r="Z225" s="233"/>
      <c r="AA225" s="233"/>
      <c r="AB225" s="214" t="s">
        <v>1083</v>
      </c>
      <c r="AD225" s="232">
        <f t="shared" si="43"/>
        <v>0</v>
      </c>
      <c r="AE225" s="232">
        <f t="shared" si="44"/>
        <v>0</v>
      </c>
      <c r="AG225" s="232">
        <f t="shared" si="47"/>
        <v>0</v>
      </c>
      <c r="AH225" s="232">
        <f t="shared" si="33"/>
        <v>0</v>
      </c>
      <c r="AI225" s="232"/>
    </row>
    <row r="226" spans="1:35" ht="55.2" x14ac:dyDescent="0.3">
      <c r="A226" s="46">
        <v>23</v>
      </c>
      <c r="B226" s="46" t="s">
        <v>899</v>
      </c>
      <c r="C226" s="46" t="s">
        <v>671</v>
      </c>
      <c r="D226" s="214" t="str">
        <f t="shared" si="46"/>
        <v>Do Not Print</v>
      </c>
      <c r="E226" s="212" t="s">
        <v>672</v>
      </c>
      <c r="F226" s="214" t="s">
        <v>354</v>
      </c>
      <c r="G226" s="214" t="s">
        <v>111</v>
      </c>
      <c r="H226" s="214" t="s">
        <v>111</v>
      </c>
      <c r="I226" s="230"/>
      <c r="J226" s="840">
        <v>0</v>
      </c>
      <c r="K226" s="840">
        <v>0</v>
      </c>
      <c r="L226" s="841">
        <f t="shared" si="39"/>
        <v>0</v>
      </c>
      <c r="M226" s="840">
        <v>0</v>
      </c>
      <c r="N226" s="840">
        <v>0</v>
      </c>
      <c r="O226" s="161">
        <f t="shared" si="40"/>
        <v>0</v>
      </c>
      <c r="P226" s="840">
        <v>0</v>
      </c>
      <c r="Q226" s="840">
        <v>0</v>
      </c>
      <c r="R226" s="841">
        <f t="shared" si="41"/>
        <v>0</v>
      </c>
      <c r="S226" s="840">
        <v>0</v>
      </c>
      <c r="T226" s="840">
        <v>0</v>
      </c>
      <c r="U226" s="161">
        <f t="shared" si="42"/>
        <v>0</v>
      </c>
      <c r="V226" s="841"/>
      <c r="W226" s="841"/>
      <c r="X226" s="841"/>
      <c r="Y226" s="233"/>
      <c r="Z226" s="233"/>
      <c r="AA226" s="233"/>
      <c r="AB226" s="214" t="s">
        <v>111</v>
      </c>
      <c r="AD226" s="232">
        <f t="shared" si="43"/>
        <v>0</v>
      </c>
      <c r="AE226" s="232">
        <f t="shared" si="44"/>
        <v>0</v>
      </c>
      <c r="AG226" s="232">
        <f t="shared" si="47"/>
        <v>0</v>
      </c>
      <c r="AH226" s="232">
        <f t="shared" si="33"/>
        <v>0</v>
      </c>
      <c r="AI226" s="232"/>
    </row>
    <row r="227" spans="1:35" ht="41.4" x14ac:dyDescent="0.3">
      <c r="A227" s="46">
        <v>23</v>
      </c>
      <c r="B227" s="46" t="s">
        <v>899</v>
      </c>
      <c r="C227" s="46" t="s">
        <v>671</v>
      </c>
      <c r="D227" s="214" t="str">
        <f t="shared" si="46"/>
        <v>Do Not Print</v>
      </c>
      <c r="E227" s="212" t="s">
        <v>672</v>
      </c>
      <c r="F227" s="214" t="s">
        <v>354</v>
      </c>
      <c r="G227" s="214" t="s">
        <v>982</v>
      </c>
      <c r="H227" s="214" t="s">
        <v>1084</v>
      </c>
      <c r="I227" s="230"/>
      <c r="J227" s="840">
        <v>0</v>
      </c>
      <c r="K227" s="840">
        <v>0</v>
      </c>
      <c r="L227" s="841">
        <f t="shared" si="39"/>
        <v>0</v>
      </c>
      <c r="M227" s="840">
        <v>0</v>
      </c>
      <c r="N227" s="840">
        <v>0</v>
      </c>
      <c r="O227" s="161">
        <f t="shared" si="40"/>
        <v>0</v>
      </c>
      <c r="P227" s="840">
        <v>0</v>
      </c>
      <c r="Q227" s="840">
        <v>0</v>
      </c>
      <c r="R227" s="841">
        <f t="shared" si="41"/>
        <v>0</v>
      </c>
      <c r="S227" s="840">
        <v>0</v>
      </c>
      <c r="T227" s="840">
        <v>0</v>
      </c>
      <c r="U227" s="161">
        <f t="shared" si="42"/>
        <v>0</v>
      </c>
      <c r="V227" s="841"/>
      <c r="W227" s="841"/>
      <c r="X227" s="841"/>
      <c r="Y227" s="233"/>
      <c r="Z227" s="233"/>
      <c r="AA227" s="233"/>
      <c r="AB227" s="214" t="s">
        <v>1084</v>
      </c>
      <c r="AD227" s="232">
        <f t="shared" si="43"/>
        <v>0</v>
      </c>
      <c r="AE227" s="232">
        <f t="shared" si="44"/>
        <v>0</v>
      </c>
      <c r="AG227" s="232">
        <f t="shared" si="47"/>
        <v>0</v>
      </c>
      <c r="AH227" s="232">
        <f t="shared" si="33"/>
        <v>0</v>
      </c>
      <c r="AI227" s="232"/>
    </row>
    <row r="228" spans="1:35" ht="41.4" x14ac:dyDescent="0.3">
      <c r="A228" s="46">
        <v>23</v>
      </c>
      <c r="B228" s="46" t="s">
        <v>899</v>
      </c>
      <c r="C228" s="46" t="s">
        <v>671</v>
      </c>
      <c r="D228" s="214" t="str">
        <f t="shared" si="46"/>
        <v>Do Not Print</v>
      </c>
      <c r="E228" s="212" t="s">
        <v>672</v>
      </c>
      <c r="F228" s="214" t="s">
        <v>354</v>
      </c>
      <c r="G228" s="214" t="s">
        <v>981</v>
      </c>
      <c r="H228" s="214" t="s">
        <v>1085</v>
      </c>
      <c r="I228" s="230"/>
      <c r="J228" s="840">
        <v>0</v>
      </c>
      <c r="K228" s="840">
        <v>0</v>
      </c>
      <c r="L228" s="841">
        <f t="shared" si="39"/>
        <v>0</v>
      </c>
      <c r="M228" s="840">
        <v>0</v>
      </c>
      <c r="N228" s="840">
        <v>0</v>
      </c>
      <c r="O228" s="161">
        <f t="shared" si="40"/>
        <v>0</v>
      </c>
      <c r="P228" s="840">
        <v>0</v>
      </c>
      <c r="Q228" s="840">
        <v>0</v>
      </c>
      <c r="R228" s="841">
        <f t="shared" si="41"/>
        <v>0</v>
      </c>
      <c r="S228" s="840">
        <v>0</v>
      </c>
      <c r="T228" s="840">
        <v>0</v>
      </c>
      <c r="U228" s="161">
        <f t="shared" si="42"/>
        <v>0</v>
      </c>
      <c r="V228" s="841"/>
      <c r="W228" s="841"/>
      <c r="X228" s="841"/>
      <c r="Y228" s="233"/>
      <c r="Z228" s="233"/>
      <c r="AA228" s="233"/>
      <c r="AB228" s="214" t="s">
        <v>1085</v>
      </c>
      <c r="AD228" s="232">
        <f t="shared" si="43"/>
        <v>0</v>
      </c>
      <c r="AE228" s="232">
        <f t="shared" si="44"/>
        <v>0</v>
      </c>
      <c r="AG228" s="232">
        <f t="shared" si="47"/>
        <v>0</v>
      </c>
      <c r="AH228" s="232">
        <f t="shared" si="33"/>
        <v>0</v>
      </c>
      <c r="AI228" s="232"/>
    </row>
    <row r="229" spans="1:35" ht="27.6" x14ac:dyDescent="0.3">
      <c r="A229" s="46">
        <v>23</v>
      </c>
      <c r="B229" s="46" t="s">
        <v>899</v>
      </c>
      <c r="C229" s="46" t="s">
        <v>671</v>
      </c>
      <c r="D229" s="214" t="str">
        <f t="shared" si="46"/>
        <v>Do Not Print</v>
      </c>
      <c r="E229" s="212" t="s">
        <v>672</v>
      </c>
      <c r="F229" s="214" t="s">
        <v>354</v>
      </c>
      <c r="G229" s="214" t="s">
        <v>977</v>
      </c>
      <c r="H229" s="214" t="s">
        <v>1086</v>
      </c>
      <c r="I229" s="230"/>
      <c r="J229" s="840">
        <v>0</v>
      </c>
      <c r="K229" s="840">
        <v>0</v>
      </c>
      <c r="L229" s="841">
        <f t="shared" si="39"/>
        <v>0</v>
      </c>
      <c r="M229" s="840">
        <v>0</v>
      </c>
      <c r="N229" s="840">
        <v>0</v>
      </c>
      <c r="O229" s="161">
        <f t="shared" si="40"/>
        <v>0</v>
      </c>
      <c r="P229" s="840">
        <v>0</v>
      </c>
      <c r="Q229" s="840">
        <v>0</v>
      </c>
      <c r="R229" s="841">
        <f t="shared" si="41"/>
        <v>0</v>
      </c>
      <c r="S229" s="840">
        <v>0</v>
      </c>
      <c r="T229" s="840">
        <v>0</v>
      </c>
      <c r="U229" s="161">
        <f t="shared" si="42"/>
        <v>0</v>
      </c>
      <c r="V229" s="841"/>
      <c r="W229" s="841"/>
      <c r="X229" s="841"/>
      <c r="Y229" s="233"/>
      <c r="Z229" s="233"/>
      <c r="AA229" s="233"/>
      <c r="AB229" s="214" t="s">
        <v>1086</v>
      </c>
      <c r="AD229" s="232">
        <f t="shared" si="43"/>
        <v>0</v>
      </c>
      <c r="AE229" s="232">
        <f t="shared" si="44"/>
        <v>0</v>
      </c>
      <c r="AG229" s="232">
        <f t="shared" si="47"/>
        <v>0</v>
      </c>
      <c r="AH229" s="232">
        <f t="shared" ref="AH229:AH305" si="48">ROUND(U229,0)</f>
        <v>0</v>
      </c>
      <c r="AI229" s="232"/>
    </row>
    <row r="230" spans="1:35" ht="41.4" x14ac:dyDescent="0.3">
      <c r="A230" s="46">
        <v>23</v>
      </c>
      <c r="B230" s="46" t="s">
        <v>899</v>
      </c>
      <c r="C230" s="46" t="s">
        <v>671</v>
      </c>
      <c r="D230" s="214" t="str">
        <f t="shared" si="46"/>
        <v>Do Not Print</v>
      </c>
      <c r="E230" s="212" t="s">
        <v>672</v>
      </c>
      <c r="F230" s="214" t="s">
        <v>354</v>
      </c>
      <c r="G230" s="214" t="s">
        <v>979</v>
      </c>
      <c r="H230" s="214" t="s">
        <v>1087</v>
      </c>
      <c r="I230" s="230"/>
      <c r="J230" s="840">
        <v>0</v>
      </c>
      <c r="K230" s="840">
        <v>0</v>
      </c>
      <c r="L230" s="841">
        <f t="shared" si="39"/>
        <v>0</v>
      </c>
      <c r="M230" s="840">
        <v>0</v>
      </c>
      <c r="N230" s="840">
        <v>0</v>
      </c>
      <c r="O230" s="161">
        <f t="shared" si="40"/>
        <v>0</v>
      </c>
      <c r="P230" s="840">
        <v>0</v>
      </c>
      <c r="Q230" s="840">
        <v>0</v>
      </c>
      <c r="R230" s="841">
        <f t="shared" si="41"/>
        <v>0</v>
      </c>
      <c r="S230" s="840">
        <v>0</v>
      </c>
      <c r="T230" s="840">
        <v>0</v>
      </c>
      <c r="U230" s="161">
        <f t="shared" si="42"/>
        <v>0</v>
      </c>
      <c r="V230" s="841"/>
      <c r="W230" s="841"/>
      <c r="X230" s="841"/>
      <c r="Y230" s="233"/>
      <c r="Z230" s="233"/>
      <c r="AA230" s="233"/>
      <c r="AB230" s="214" t="s">
        <v>1087</v>
      </c>
      <c r="AD230" s="232">
        <f t="shared" si="43"/>
        <v>0</v>
      </c>
      <c r="AE230" s="232">
        <f t="shared" si="44"/>
        <v>0</v>
      </c>
      <c r="AG230" s="232">
        <f t="shared" si="47"/>
        <v>0</v>
      </c>
      <c r="AH230" s="232">
        <f t="shared" si="48"/>
        <v>0</v>
      </c>
      <c r="AI230" s="232"/>
    </row>
    <row r="231" spans="1:35" ht="41.4" x14ac:dyDescent="0.3">
      <c r="A231" s="46">
        <v>23</v>
      </c>
      <c r="B231" s="46" t="s">
        <v>899</v>
      </c>
      <c r="C231" s="46" t="s">
        <v>671</v>
      </c>
      <c r="D231" s="214" t="str">
        <f t="shared" si="46"/>
        <v>Do Not Print</v>
      </c>
      <c r="E231" s="212" t="s">
        <v>672</v>
      </c>
      <c r="F231" s="214" t="s">
        <v>354</v>
      </c>
      <c r="G231" s="214" t="s">
        <v>980</v>
      </c>
      <c r="H231" s="214" t="s">
        <v>1088</v>
      </c>
      <c r="I231" s="230"/>
      <c r="J231" s="840">
        <v>0</v>
      </c>
      <c r="K231" s="840">
        <v>0</v>
      </c>
      <c r="L231" s="841">
        <f t="shared" si="39"/>
        <v>0</v>
      </c>
      <c r="M231" s="840">
        <v>0</v>
      </c>
      <c r="N231" s="840">
        <v>0</v>
      </c>
      <c r="O231" s="161">
        <f t="shared" si="40"/>
        <v>0</v>
      </c>
      <c r="P231" s="840">
        <v>0</v>
      </c>
      <c r="Q231" s="840">
        <v>0</v>
      </c>
      <c r="R231" s="841">
        <f t="shared" si="41"/>
        <v>0</v>
      </c>
      <c r="S231" s="840">
        <v>0</v>
      </c>
      <c r="T231" s="840">
        <v>0</v>
      </c>
      <c r="U231" s="161">
        <f t="shared" si="42"/>
        <v>0</v>
      </c>
      <c r="V231" s="841"/>
      <c r="W231" s="841"/>
      <c r="X231" s="841"/>
      <c r="Y231" s="233"/>
      <c r="Z231" s="233"/>
      <c r="AA231" s="233"/>
      <c r="AB231" s="214" t="s">
        <v>1088</v>
      </c>
      <c r="AD231" s="232">
        <f t="shared" si="43"/>
        <v>0</v>
      </c>
      <c r="AE231" s="232">
        <f t="shared" si="44"/>
        <v>0</v>
      </c>
      <c r="AG231" s="232">
        <f t="shared" si="47"/>
        <v>0</v>
      </c>
      <c r="AH231" s="232">
        <f t="shared" si="48"/>
        <v>0</v>
      </c>
      <c r="AI231" s="232"/>
    </row>
    <row r="232" spans="1:35" ht="41.4" x14ac:dyDescent="0.3">
      <c r="A232" s="46">
        <v>23</v>
      </c>
      <c r="B232" s="46" t="s">
        <v>899</v>
      </c>
      <c r="C232" s="46" t="s">
        <v>671</v>
      </c>
      <c r="D232" s="214" t="str">
        <f t="shared" si="46"/>
        <v>Do Not Print</v>
      </c>
      <c r="E232" s="212" t="s">
        <v>672</v>
      </c>
      <c r="F232" s="214" t="s">
        <v>354</v>
      </c>
      <c r="G232" s="214" t="s">
        <v>1093</v>
      </c>
      <c r="H232" s="214" t="s">
        <v>997</v>
      </c>
      <c r="I232" s="230"/>
      <c r="J232" s="840">
        <v>0</v>
      </c>
      <c r="K232" s="840">
        <v>0</v>
      </c>
      <c r="L232" s="841">
        <f t="shared" si="39"/>
        <v>0</v>
      </c>
      <c r="M232" s="840">
        <v>0</v>
      </c>
      <c r="N232" s="840">
        <v>0</v>
      </c>
      <c r="O232" s="161">
        <f t="shared" si="40"/>
        <v>0</v>
      </c>
      <c r="P232" s="840">
        <v>0</v>
      </c>
      <c r="Q232" s="840">
        <v>0</v>
      </c>
      <c r="R232" s="841">
        <f t="shared" si="41"/>
        <v>0</v>
      </c>
      <c r="S232" s="840">
        <v>0</v>
      </c>
      <c r="T232" s="840">
        <v>0</v>
      </c>
      <c r="U232" s="161">
        <f t="shared" si="42"/>
        <v>0</v>
      </c>
      <c r="V232" s="841"/>
      <c r="W232" s="841"/>
      <c r="X232" s="841"/>
      <c r="Y232" s="233"/>
      <c r="Z232" s="233"/>
      <c r="AA232" s="233"/>
      <c r="AB232" s="214" t="s">
        <v>997</v>
      </c>
      <c r="AD232" s="232">
        <f t="shared" si="43"/>
        <v>0</v>
      </c>
      <c r="AE232" s="232">
        <f t="shared" si="44"/>
        <v>0</v>
      </c>
      <c r="AG232" s="232">
        <f t="shared" si="47"/>
        <v>0</v>
      </c>
      <c r="AH232" s="232">
        <f t="shared" si="48"/>
        <v>0</v>
      </c>
      <c r="AI232" s="232"/>
    </row>
    <row r="233" spans="1:35" ht="27.6" x14ac:dyDescent="0.3">
      <c r="A233" s="46">
        <v>24</v>
      </c>
      <c r="B233" s="46" t="s">
        <v>896</v>
      </c>
      <c r="C233" s="46" t="s">
        <v>671</v>
      </c>
      <c r="D233" s="214" t="str">
        <f t="shared" si="46"/>
        <v>Do Not Print</v>
      </c>
      <c r="E233" s="212" t="s">
        <v>672</v>
      </c>
      <c r="F233" s="213" t="s">
        <v>293</v>
      </c>
      <c r="G233" s="214" t="s">
        <v>436</v>
      </c>
      <c r="H233" s="214" t="s">
        <v>360</v>
      </c>
      <c r="I233" s="230"/>
      <c r="J233" s="839">
        <f>SUM(P233:P243)+SUM(Q233:Q243)</f>
        <v>0</v>
      </c>
      <c r="K233" s="840">
        <v>0</v>
      </c>
      <c r="L233" s="841">
        <f t="shared" si="39"/>
        <v>0</v>
      </c>
      <c r="M233" s="839">
        <f>SUM(S233:S243)+SUM(T233:T243)</f>
        <v>0</v>
      </c>
      <c r="N233" s="840">
        <v>0</v>
      </c>
      <c r="O233" s="161">
        <f t="shared" si="40"/>
        <v>0</v>
      </c>
      <c r="P233" s="840">
        <v>0</v>
      </c>
      <c r="Q233" s="840">
        <v>0</v>
      </c>
      <c r="R233" s="841">
        <f t="shared" si="41"/>
        <v>0</v>
      </c>
      <c r="S233" s="840">
        <v>0</v>
      </c>
      <c r="T233" s="840">
        <v>0</v>
      </c>
      <c r="U233" s="161">
        <f t="shared" si="42"/>
        <v>0</v>
      </c>
      <c r="V233" s="841"/>
      <c r="W233" s="841"/>
      <c r="X233" s="841"/>
      <c r="Y233" s="233"/>
      <c r="Z233" s="233"/>
      <c r="AA233" s="233"/>
      <c r="AB233" s="214" t="s">
        <v>360</v>
      </c>
      <c r="AD233" s="232">
        <f t="shared" si="43"/>
        <v>0</v>
      </c>
      <c r="AE233" s="232">
        <f t="shared" si="44"/>
        <v>0</v>
      </c>
      <c r="AG233" s="232">
        <f t="shared" si="47"/>
        <v>0</v>
      </c>
      <c r="AH233" s="232">
        <f t="shared" si="48"/>
        <v>0</v>
      </c>
      <c r="AI233" s="232"/>
    </row>
    <row r="234" spans="1:35" ht="41.4" x14ac:dyDescent="0.3">
      <c r="A234" s="46">
        <v>24</v>
      </c>
      <c r="B234" s="46" t="s">
        <v>896</v>
      </c>
      <c r="C234" s="46" t="s">
        <v>671</v>
      </c>
      <c r="D234" s="214" t="str">
        <f t="shared" si="46"/>
        <v>Do Not Print</v>
      </c>
      <c r="E234" s="212" t="s">
        <v>672</v>
      </c>
      <c r="F234" s="214" t="s">
        <v>293</v>
      </c>
      <c r="G234" s="213" t="s">
        <v>101</v>
      </c>
      <c r="H234" s="213" t="s">
        <v>101</v>
      </c>
      <c r="I234" s="230"/>
      <c r="J234" s="840">
        <v>0</v>
      </c>
      <c r="K234" s="840">
        <v>0</v>
      </c>
      <c r="L234" s="841">
        <f t="shared" si="39"/>
        <v>0</v>
      </c>
      <c r="M234" s="840">
        <v>0</v>
      </c>
      <c r="N234" s="840">
        <v>0</v>
      </c>
      <c r="O234" s="161">
        <f t="shared" si="40"/>
        <v>0</v>
      </c>
      <c r="P234" s="840">
        <v>0</v>
      </c>
      <c r="Q234" s="840">
        <v>0</v>
      </c>
      <c r="R234" s="841">
        <f t="shared" si="41"/>
        <v>0</v>
      </c>
      <c r="S234" s="840">
        <v>0</v>
      </c>
      <c r="T234" s="840">
        <v>0</v>
      </c>
      <c r="U234" s="161">
        <f t="shared" si="42"/>
        <v>0</v>
      </c>
      <c r="V234" s="841"/>
      <c r="W234" s="841"/>
      <c r="X234" s="841"/>
      <c r="Y234" s="233"/>
      <c r="Z234" s="233"/>
      <c r="AA234" s="233"/>
      <c r="AB234" s="213" t="s">
        <v>101</v>
      </c>
      <c r="AD234" s="232">
        <f t="shared" si="43"/>
        <v>0</v>
      </c>
      <c r="AE234" s="232">
        <f t="shared" si="44"/>
        <v>0</v>
      </c>
      <c r="AG234" s="232">
        <f t="shared" si="47"/>
        <v>0</v>
      </c>
      <c r="AH234" s="232">
        <f t="shared" si="48"/>
        <v>0</v>
      </c>
      <c r="AI234" s="232"/>
    </row>
    <row r="235" spans="1:35" ht="27.6" x14ac:dyDescent="0.3">
      <c r="A235" s="46">
        <v>24</v>
      </c>
      <c r="B235" s="46" t="s">
        <v>896</v>
      </c>
      <c r="C235" s="46" t="s">
        <v>671</v>
      </c>
      <c r="D235" s="214" t="str">
        <f t="shared" si="46"/>
        <v>Do Not Print</v>
      </c>
      <c r="E235" s="212" t="s">
        <v>672</v>
      </c>
      <c r="F235" s="214" t="s">
        <v>293</v>
      </c>
      <c r="G235" s="214" t="s">
        <v>960</v>
      </c>
      <c r="H235" s="214" t="s">
        <v>961</v>
      </c>
      <c r="I235" s="230"/>
      <c r="J235" s="840">
        <v>0</v>
      </c>
      <c r="K235" s="840">
        <v>0</v>
      </c>
      <c r="L235" s="841">
        <f t="shared" si="39"/>
        <v>0</v>
      </c>
      <c r="M235" s="840">
        <v>0</v>
      </c>
      <c r="N235" s="840">
        <v>0</v>
      </c>
      <c r="O235" s="161">
        <f t="shared" si="40"/>
        <v>0</v>
      </c>
      <c r="P235" s="840">
        <v>0</v>
      </c>
      <c r="Q235" s="840">
        <v>0</v>
      </c>
      <c r="R235" s="841">
        <f t="shared" si="41"/>
        <v>0</v>
      </c>
      <c r="S235" s="840">
        <v>0</v>
      </c>
      <c r="T235" s="840">
        <v>0</v>
      </c>
      <c r="U235" s="161">
        <f t="shared" si="42"/>
        <v>0</v>
      </c>
      <c r="V235" s="841"/>
      <c r="W235" s="841"/>
      <c r="X235" s="841"/>
      <c r="Y235" s="233"/>
      <c r="Z235" s="233"/>
      <c r="AA235" s="233"/>
      <c r="AB235" s="214" t="s">
        <v>961</v>
      </c>
      <c r="AD235" s="232">
        <f t="shared" si="43"/>
        <v>0</v>
      </c>
      <c r="AE235" s="232">
        <f t="shared" si="44"/>
        <v>0</v>
      </c>
      <c r="AG235" s="232">
        <f t="shared" si="47"/>
        <v>0</v>
      </c>
      <c r="AH235" s="232">
        <f t="shared" si="48"/>
        <v>0</v>
      </c>
      <c r="AI235" s="232"/>
    </row>
    <row r="236" spans="1:35" ht="27.6" x14ac:dyDescent="0.3">
      <c r="A236" s="46">
        <v>24</v>
      </c>
      <c r="B236" s="46" t="s">
        <v>896</v>
      </c>
      <c r="C236" s="46" t="s">
        <v>671</v>
      </c>
      <c r="D236" s="214" t="str">
        <f t="shared" si="46"/>
        <v>Do Not Print</v>
      </c>
      <c r="E236" s="212" t="s">
        <v>672</v>
      </c>
      <c r="F236" s="214" t="s">
        <v>293</v>
      </c>
      <c r="G236" s="214" t="s">
        <v>103</v>
      </c>
      <c r="H236" s="214" t="s">
        <v>1094</v>
      </c>
      <c r="I236" s="230"/>
      <c r="J236" s="840">
        <v>0</v>
      </c>
      <c r="K236" s="840">
        <v>0</v>
      </c>
      <c r="L236" s="841">
        <f t="shared" si="39"/>
        <v>0</v>
      </c>
      <c r="M236" s="840">
        <v>0</v>
      </c>
      <c r="N236" s="840">
        <v>0</v>
      </c>
      <c r="O236" s="161">
        <f t="shared" si="40"/>
        <v>0</v>
      </c>
      <c r="P236" s="840">
        <v>0</v>
      </c>
      <c r="Q236" s="840">
        <v>0</v>
      </c>
      <c r="R236" s="841">
        <f t="shared" si="41"/>
        <v>0</v>
      </c>
      <c r="S236" s="840">
        <v>0</v>
      </c>
      <c r="T236" s="840">
        <v>0</v>
      </c>
      <c r="U236" s="161">
        <f t="shared" si="42"/>
        <v>0</v>
      </c>
      <c r="V236" s="841"/>
      <c r="W236" s="841"/>
      <c r="X236" s="841"/>
      <c r="Y236" s="233"/>
      <c r="Z236" s="233"/>
      <c r="AA236" s="233"/>
      <c r="AB236" s="214" t="s">
        <v>1094</v>
      </c>
      <c r="AD236" s="232">
        <f t="shared" si="43"/>
        <v>0</v>
      </c>
      <c r="AE236" s="232">
        <f t="shared" si="44"/>
        <v>0</v>
      </c>
      <c r="AG236" s="232">
        <f t="shared" si="47"/>
        <v>0</v>
      </c>
      <c r="AH236" s="232">
        <f t="shared" si="48"/>
        <v>0</v>
      </c>
      <c r="AI236" s="232"/>
    </row>
    <row r="237" spans="1:35" ht="55.2" x14ac:dyDescent="0.3">
      <c r="A237" s="46">
        <v>24</v>
      </c>
      <c r="B237" s="46" t="s">
        <v>896</v>
      </c>
      <c r="C237" s="46" t="s">
        <v>671</v>
      </c>
      <c r="D237" s="214" t="str">
        <f t="shared" si="46"/>
        <v>Do Not Print</v>
      </c>
      <c r="E237" s="212" t="s">
        <v>672</v>
      </c>
      <c r="F237" s="214" t="s">
        <v>293</v>
      </c>
      <c r="G237" s="214" t="s">
        <v>104</v>
      </c>
      <c r="H237" s="214" t="s">
        <v>1096</v>
      </c>
      <c r="I237" s="230"/>
      <c r="J237" s="840">
        <v>0</v>
      </c>
      <c r="K237" s="840">
        <v>0</v>
      </c>
      <c r="L237" s="841">
        <f t="shared" si="39"/>
        <v>0</v>
      </c>
      <c r="M237" s="840">
        <v>0</v>
      </c>
      <c r="N237" s="840">
        <v>0</v>
      </c>
      <c r="O237" s="161">
        <f t="shared" si="40"/>
        <v>0</v>
      </c>
      <c r="P237" s="840">
        <v>0</v>
      </c>
      <c r="Q237" s="840">
        <v>0</v>
      </c>
      <c r="R237" s="841">
        <f t="shared" si="41"/>
        <v>0</v>
      </c>
      <c r="S237" s="840">
        <v>0</v>
      </c>
      <c r="T237" s="840">
        <v>0</v>
      </c>
      <c r="U237" s="161">
        <f t="shared" si="42"/>
        <v>0</v>
      </c>
      <c r="V237" s="841"/>
      <c r="W237" s="841"/>
      <c r="X237" s="841"/>
      <c r="Y237" s="233"/>
      <c r="Z237" s="233"/>
      <c r="AA237" s="233"/>
      <c r="AB237" s="214" t="s">
        <v>1096</v>
      </c>
      <c r="AD237" s="232">
        <f t="shared" si="43"/>
        <v>0</v>
      </c>
      <c r="AE237" s="232">
        <f t="shared" si="44"/>
        <v>0</v>
      </c>
      <c r="AG237" s="232">
        <f t="shared" si="47"/>
        <v>0</v>
      </c>
      <c r="AH237" s="232">
        <f t="shared" si="48"/>
        <v>0</v>
      </c>
      <c r="AI237" s="232"/>
    </row>
    <row r="238" spans="1:35" ht="41.4" x14ac:dyDescent="0.3">
      <c r="A238" s="46">
        <v>24</v>
      </c>
      <c r="B238" s="46" t="s">
        <v>896</v>
      </c>
      <c r="C238" s="46" t="s">
        <v>671</v>
      </c>
      <c r="D238" s="214" t="str">
        <f t="shared" si="46"/>
        <v>Do Not Print</v>
      </c>
      <c r="E238" s="212" t="s">
        <v>672</v>
      </c>
      <c r="F238" s="214" t="s">
        <v>293</v>
      </c>
      <c r="G238" s="214" t="s">
        <v>1091</v>
      </c>
      <c r="H238" s="214" t="s">
        <v>962</v>
      </c>
      <c r="I238" s="230"/>
      <c r="J238" s="840">
        <v>0</v>
      </c>
      <c r="K238" s="840">
        <v>0</v>
      </c>
      <c r="L238" s="841">
        <f t="shared" si="39"/>
        <v>0</v>
      </c>
      <c r="M238" s="840">
        <v>0</v>
      </c>
      <c r="N238" s="840">
        <v>0</v>
      </c>
      <c r="O238" s="161">
        <f t="shared" si="40"/>
        <v>0</v>
      </c>
      <c r="P238" s="840">
        <v>0</v>
      </c>
      <c r="Q238" s="840">
        <v>0</v>
      </c>
      <c r="R238" s="841">
        <f t="shared" si="41"/>
        <v>0</v>
      </c>
      <c r="S238" s="840">
        <v>0</v>
      </c>
      <c r="T238" s="840">
        <v>0</v>
      </c>
      <c r="U238" s="161">
        <f t="shared" si="42"/>
        <v>0</v>
      </c>
      <c r="V238" s="841"/>
      <c r="W238" s="841"/>
      <c r="X238" s="841"/>
      <c r="Y238" s="233"/>
      <c r="Z238" s="233"/>
      <c r="AA238" s="233"/>
      <c r="AB238" s="214" t="s">
        <v>962</v>
      </c>
      <c r="AD238" s="232">
        <f t="shared" si="43"/>
        <v>0</v>
      </c>
      <c r="AE238" s="232">
        <f t="shared" si="44"/>
        <v>0</v>
      </c>
      <c r="AG238" s="232">
        <f t="shared" si="47"/>
        <v>0</v>
      </c>
      <c r="AH238" s="232">
        <f t="shared" si="48"/>
        <v>0</v>
      </c>
      <c r="AI238" s="232"/>
    </row>
    <row r="239" spans="1:35" ht="41.4" x14ac:dyDescent="0.3">
      <c r="A239" s="46">
        <v>24</v>
      </c>
      <c r="B239" s="46" t="s">
        <v>896</v>
      </c>
      <c r="C239" s="46" t="s">
        <v>671</v>
      </c>
      <c r="D239" s="214" t="str">
        <f t="shared" si="46"/>
        <v>Do Not Print</v>
      </c>
      <c r="E239" s="212" t="s">
        <v>672</v>
      </c>
      <c r="F239" s="214" t="s">
        <v>293</v>
      </c>
      <c r="G239" s="214" t="s">
        <v>61</v>
      </c>
      <c r="H239" s="214" t="s">
        <v>361</v>
      </c>
      <c r="I239" s="230"/>
      <c r="J239" s="840">
        <v>0</v>
      </c>
      <c r="K239" s="840">
        <v>0</v>
      </c>
      <c r="L239" s="841">
        <f t="shared" si="39"/>
        <v>0</v>
      </c>
      <c r="M239" s="840">
        <v>0</v>
      </c>
      <c r="N239" s="840">
        <v>0</v>
      </c>
      <c r="O239" s="161">
        <f t="shared" si="40"/>
        <v>0</v>
      </c>
      <c r="P239" s="840">
        <v>0</v>
      </c>
      <c r="Q239" s="840">
        <v>0</v>
      </c>
      <c r="R239" s="841">
        <f t="shared" si="41"/>
        <v>0</v>
      </c>
      <c r="S239" s="840">
        <v>0</v>
      </c>
      <c r="T239" s="840">
        <v>0</v>
      </c>
      <c r="U239" s="161">
        <f t="shared" si="42"/>
        <v>0</v>
      </c>
      <c r="V239" s="841"/>
      <c r="W239" s="841"/>
      <c r="X239" s="841"/>
      <c r="Y239" s="233"/>
      <c r="Z239" s="233"/>
      <c r="AA239" s="233"/>
      <c r="AB239" s="214" t="s">
        <v>361</v>
      </c>
      <c r="AD239" s="232">
        <f t="shared" si="43"/>
        <v>0</v>
      </c>
      <c r="AE239" s="232">
        <f t="shared" si="44"/>
        <v>0</v>
      </c>
      <c r="AG239" s="232">
        <f t="shared" si="47"/>
        <v>0</v>
      </c>
      <c r="AH239" s="232">
        <f t="shared" si="48"/>
        <v>0</v>
      </c>
      <c r="AI239" s="232"/>
    </row>
    <row r="240" spans="1:35" ht="27.6" x14ac:dyDescent="0.3">
      <c r="A240" s="46">
        <v>24</v>
      </c>
      <c r="B240" s="46" t="s">
        <v>896</v>
      </c>
      <c r="C240" s="46" t="s">
        <v>671</v>
      </c>
      <c r="D240" s="214" t="str">
        <f t="shared" si="46"/>
        <v>Do Not Print</v>
      </c>
      <c r="E240" s="212" t="s">
        <v>672</v>
      </c>
      <c r="F240" s="214" t="s">
        <v>293</v>
      </c>
      <c r="G240" s="214" t="s">
        <v>977</v>
      </c>
      <c r="H240" s="214" t="s">
        <v>1061</v>
      </c>
      <c r="I240" s="230"/>
      <c r="J240" s="842">
        <v>0</v>
      </c>
      <c r="K240" s="840">
        <v>0</v>
      </c>
      <c r="L240" s="841">
        <f t="shared" si="39"/>
        <v>0</v>
      </c>
      <c r="M240" s="842">
        <v>0</v>
      </c>
      <c r="N240" s="840">
        <v>0</v>
      </c>
      <c r="O240" s="161">
        <f t="shared" si="40"/>
        <v>0</v>
      </c>
      <c r="P240" s="842">
        <v>0</v>
      </c>
      <c r="Q240" s="840">
        <v>0</v>
      </c>
      <c r="R240" s="841">
        <f t="shared" si="41"/>
        <v>0</v>
      </c>
      <c r="S240" s="842">
        <v>0</v>
      </c>
      <c r="T240" s="840">
        <v>0</v>
      </c>
      <c r="U240" s="161">
        <f t="shared" si="42"/>
        <v>0</v>
      </c>
      <c r="V240" s="841"/>
      <c r="W240" s="841"/>
      <c r="X240" s="841"/>
      <c r="Y240" s="233"/>
      <c r="Z240" s="233"/>
      <c r="AA240" s="233"/>
      <c r="AB240" s="214" t="s">
        <v>1061</v>
      </c>
      <c r="AD240" s="232">
        <f t="shared" si="43"/>
        <v>0</v>
      </c>
      <c r="AE240" s="232">
        <f t="shared" si="44"/>
        <v>0</v>
      </c>
      <c r="AG240" s="232">
        <f t="shared" si="47"/>
        <v>0</v>
      </c>
      <c r="AH240" s="232">
        <f t="shared" si="48"/>
        <v>0</v>
      </c>
      <c r="AI240" s="232"/>
    </row>
    <row r="241" spans="1:35" ht="27.6" x14ac:dyDescent="0.3">
      <c r="A241" s="46">
        <v>24</v>
      </c>
      <c r="B241" s="46" t="s">
        <v>896</v>
      </c>
      <c r="C241" s="46" t="s">
        <v>671</v>
      </c>
      <c r="D241" s="214" t="str">
        <f t="shared" si="46"/>
        <v>Do Not Print</v>
      </c>
      <c r="E241" s="212" t="s">
        <v>672</v>
      </c>
      <c r="F241" s="214" t="s">
        <v>293</v>
      </c>
      <c r="G241" s="214" t="s">
        <v>979</v>
      </c>
      <c r="H241" s="214" t="s">
        <v>362</v>
      </c>
      <c r="I241" s="230"/>
      <c r="J241" s="842">
        <v>0</v>
      </c>
      <c r="K241" s="840">
        <v>0</v>
      </c>
      <c r="L241" s="841">
        <f t="shared" si="39"/>
        <v>0</v>
      </c>
      <c r="M241" s="842">
        <v>0</v>
      </c>
      <c r="N241" s="840">
        <v>0</v>
      </c>
      <c r="O241" s="161">
        <f t="shared" si="40"/>
        <v>0</v>
      </c>
      <c r="P241" s="842">
        <v>0</v>
      </c>
      <c r="Q241" s="840">
        <v>0</v>
      </c>
      <c r="R241" s="841">
        <f t="shared" si="41"/>
        <v>0</v>
      </c>
      <c r="S241" s="842">
        <v>0</v>
      </c>
      <c r="T241" s="840">
        <v>0</v>
      </c>
      <c r="U241" s="161">
        <f t="shared" si="42"/>
        <v>0</v>
      </c>
      <c r="V241" s="841"/>
      <c r="W241" s="841"/>
      <c r="X241" s="841"/>
      <c r="Y241" s="233"/>
      <c r="Z241" s="233"/>
      <c r="AA241" s="233"/>
      <c r="AB241" s="214" t="s">
        <v>362</v>
      </c>
      <c r="AD241" s="232">
        <f t="shared" si="43"/>
        <v>0</v>
      </c>
      <c r="AE241" s="232">
        <f t="shared" si="44"/>
        <v>0</v>
      </c>
      <c r="AG241" s="232">
        <f t="shared" si="47"/>
        <v>0</v>
      </c>
      <c r="AH241" s="232">
        <f t="shared" si="48"/>
        <v>0</v>
      </c>
      <c r="AI241" s="232"/>
    </row>
    <row r="242" spans="1:35" ht="41.4" x14ac:dyDescent="0.3">
      <c r="A242" s="46">
        <v>24</v>
      </c>
      <c r="B242" s="46" t="s">
        <v>896</v>
      </c>
      <c r="C242" s="46" t="s">
        <v>671</v>
      </c>
      <c r="D242" s="214" t="str">
        <f t="shared" si="46"/>
        <v>Do Not Print</v>
      </c>
      <c r="E242" s="212" t="s">
        <v>672</v>
      </c>
      <c r="F242" s="214" t="s">
        <v>293</v>
      </c>
      <c r="G242" s="214" t="s">
        <v>980</v>
      </c>
      <c r="H242" s="214" t="s">
        <v>363</v>
      </c>
      <c r="I242" s="230"/>
      <c r="J242" s="840">
        <v>0</v>
      </c>
      <c r="K242" s="840">
        <v>0</v>
      </c>
      <c r="L242" s="841">
        <f t="shared" si="39"/>
        <v>0</v>
      </c>
      <c r="M242" s="840">
        <v>0</v>
      </c>
      <c r="N242" s="840">
        <v>0</v>
      </c>
      <c r="O242" s="161">
        <f t="shared" si="40"/>
        <v>0</v>
      </c>
      <c r="P242" s="840">
        <v>0</v>
      </c>
      <c r="Q242" s="840">
        <v>0</v>
      </c>
      <c r="R242" s="841">
        <f t="shared" si="41"/>
        <v>0</v>
      </c>
      <c r="S242" s="840">
        <v>0</v>
      </c>
      <c r="T242" s="840">
        <v>0</v>
      </c>
      <c r="U242" s="161">
        <f t="shared" si="42"/>
        <v>0</v>
      </c>
      <c r="V242" s="841"/>
      <c r="W242" s="841"/>
      <c r="X242" s="841"/>
      <c r="Y242" s="233"/>
      <c r="Z242" s="233"/>
      <c r="AA242" s="233"/>
      <c r="AB242" s="214" t="s">
        <v>363</v>
      </c>
      <c r="AD242" s="232">
        <f t="shared" si="43"/>
        <v>0</v>
      </c>
      <c r="AE242" s="232">
        <f t="shared" si="44"/>
        <v>0</v>
      </c>
      <c r="AG242" s="232">
        <f t="shared" si="47"/>
        <v>0</v>
      </c>
      <c r="AH242" s="232">
        <f t="shared" si="48"/>
        <v>0</v>
      </c>
      <c r="AI242" s="232"/>
    </row>
    <row r="243" spans="1:35" ht="27.6" x14ac:dyDescent="0.3">
      <c r="A243" s="46">
        <v>24</v>
      </c>
      <c r="B243" s="46" t="s">
        <v>896</v>
      </c>
      <c r="C243" s="46" t="s">
        <v>671</v>
      </c>
      <c r="D243" s="214" t="str">
        <f t="shared" ref="D243:D281" si="49">IF(AND(O243=0,U243=0,V243=0),"Do Not Print","Print")</f>
        <v>Do Not Print</v>
      </c>
      <c r="E243" s="212" t="s">
        <v>672</v>
      </c>
      <c r="F243" s="214" t="s">
        <v>293</v>
      </c>
      <c r="G243" s="214" t="s">
        <v>1093</v>
      </c>
      <c r="H243" s="214" t="s">
        <v>1100</v>
      </c>
      <c r="I243" s="230"/>
      <c r="J243" s="840">
        <v>0</v>
      </c>
      <c r="K243" s="840">
        <v>0</v>
      </c>
      <c r="L243" s="841">
        <f t="shared" si="39"/>
        <v>0</v>
      </c>
      <c r="M243" s="840">
        <v>0</v>
      </c>
      <c r="N243" s="840">
        <v>0</v>
      </c>
      <c r="O243" s="161">
        <f t="shared" si="40"/>
        <v>0</v>
      </c>
      <c r="P243" s="840">
        <v>0</v>
      </c>
      <c r="Q243" s="840">
        <v>0</v>
      </c>
      <c r="R243" s="841">
        <f t="shared" si="41"/>
        <v>0</v>
      </c>
      <c r="S243" s="840">
        <v>0</v>
      </c>
      <c r="T243" s="840">
        <v>0</v>
      </c>
      <c r="U243" s="161">
        <f t="shared" si="42"/>
        <v>0</v>
      </c>
      <c r="V243" s="841"/>
      <c r="W243" s="841"/>
      <c r="X243" s="841"/>
      <c r="Y243" s="233"/>
      <c r="Z243" s="233"/>
      <c r="AA243" s="233"/>
      <c r="AB243" s="214" t="s">
        <v>1100</v>
      </c>
      <c r="AD243" s="232">
        <f t="shared" si="43"/>
        <v>0</v>
      </c>
      <c r="AE243" s="232">
        <f t="shared" si="44"/>
        <v>0</v>
      </c>
      <c r="AG243" s="232">
        <f t="shared" si="47"/>
        <v>0</v>
      </c>
      <c r="AH243" s="232">
        <f t="shared" si="48"/>
        <v>0</v>
      </c>
      <c r="AI243" s="232"/>
    </row>
    <row r="244" spans="1:35" ht="27.6" x14ac:dyDescent="0.3">
      <c r="A244" s="46">
        <v>24</v>
      </c>
      <c r="B244" s="46" t="s">
        <v>896</v>
      </c>
      <c r="C244" s="46" t="s">
        <v>671</v>
      </c>
      <c r="D244" s="214" t="str">
        <f t="shared" si="49"/>
        <v>Do Not Print</v>
      </c>
      <c r="E244" s="212" t="s">
        <v>672</v>
      </c>
      <c r="F244" s="214" t="s">
        <v>293</v>
      </c>
      <c r="G244" s="214" t="s">
        <v>438</v>
      </c>
      <c r="H244" s="213" t="s">
        <v>1124</v>
      </c>
      <c r="I244" s="230"/>
      <c r="J244" s="839">
        <f>P244+P245+P246-P247-P248-P249-P250-P251-P252+P253+P254+SUM(Q244:Q254)+P234+Q234</f>
        <v>0</v>
      </c>
      <c r="K244" s="840">
        <v>0</v>
      </c>
      <c r="L244" s="841">
        <f t="shared" si="39"/>
        <v>0</v>
      </c>
      <c r="M244" s="839">
        <f>S244+S245+S246-S247-S248-S249-S250-S251-S252+S253+S254+SUM(T244:T254)</f>
        <v>0</v>
      </c>
      <c r="N244" s="840">
        <v>0</v>
      </c>
      <c r="O244" s="161">
        <f t="shared" si="40"/>
        <v>0</v>
      </c>
      <c r="P244" s="840">
        <v>0</v>
      </c>
      <c r="Q244" s="840">
        <v>0</v>
      </c>
      <c r="R244" s="841">
        <f t="shared" si="41"/>
        <v>0</v>
      </c>
      <c r="S244" s="840">
        <v>0</v>
      </c>
      <c r="T244" s="840">
        <v>0</v>
      </c>
      <c r="U244" s="161">
        <f t="shared" si="42"/>
        <v>0</v>
      </c>
      <c r="V244" s="841"/>
      <c r="W244" s="841"/>
      <c r="X244" s="841"/>
      <c r="Y244" s="233"/>
      <c r="Z244" s="233"/>
      <c r="AA244" s="233"/>
      <c r="AB244" s="213" t="s">
        <v>1124</v>
      </c>
      <c r="AD244" s="232">
        <f t="shared" si="43"/>
        <v>0</v>
      </c>
      <c r="AE244" s="232">
        <f t="shared" si="44"/>
        <v>0</v>
      </c>
      <c r="AG244" s="232">
        <f t="shared" ref="AG244:AG254" si="50">ROUND(O244,0)</f>
        <v>0</v>
      </c>
      <c r="AH244" s="232">
        <f t="shared" ref="AH244:AH254" si="51">ROUND(U244,0)</f>
        <v>0</v>
      </c>
      <c r="AI244" s="232"/>
    </row>
    <row r="245" spans="1:35" ht="41.4" x14ac:dyDescent="0.3">
      <c r="A245" s="46">
        <v>24</v>
      </c>
      <c r="B245" s="46" t="s">
        <v>896</v>
      </c>
      <c r="C245" s="46" t="s">
        <v>671</v>
      </c>
      <c r="D245" s="214" t="str">
        <f t="shared" si="49"/>
        <v>Do Not Print</v>
      </c>
      <c r="E245" s="212" t="s">
        <v>672</v>
      </c>
      <c r="F245" s="214" t="s">
        <v>293</v>
      </c>
      <c r="G245" s="213" t="s">
        <v>101</v>
      </c>
      <c r="H245" s="213" t="s">
        <v>101</v>
      </c>
      <c r="I245" s="230"/>
      <c r="J245" s="840">
        <v>0</v>
      </c>
      <c r="K245" s="840">
        <v>0</v>
      </c>
      <c r="L245" s="841">
        <f t="shared" si="39"/>
        <v>0</v>
      </c>
      <c r="M245" s="840">
        <v>0</v>
      </c>
      <c r="N245" s="840">
        <v>0</v>
      </c>
      <c r="O245" s="161">
        <f t="shared" si="40"/>
        <v>0</v>
      </c>
      <c r="P245" s="840">
        <v>0</v>
      </c>
      <c r="Q245" s="840">
        <v>0</v>
      </c>
      <c r="R245" s="841">
        <f t="shared" si="41"/>
        <v>0</v>
      </c>
      <c r="S245" s="840">
        <v>0</v>
      </c>
      <c r="T245" s="840">
        <v>0</v>
      </c>
      <c r="U245" s="161">
        <f t="shared" si="42"/>
        <v>0</v>
      </c>
      <c r="V245" s="841"/>
      <c r="W245" s="841"/>
      <c r="X245" s="841"/>
      <c r="Y245" s="233"/>
      <c r="Z245" s="233"/>
      <c r="AA245" s="233"/>
      <c r="AB245" s="213" t="s">
        <v>101</v>
      </c>
      <c r="AD245" s="232">
        <f t="shared" si="43"/>
        <v>0</v>
      </c>
      <c r="AE245" s="232">
        <f t="shared" si="44"/>
        <v>0</v>
      </c>
      <c r="AG245" s="232">
        <f t="shared" si="50"/>
        <v>0</v>
      </c>
      <c r="AH245" s="232">
        <f t="shared" si="51"/>
        <v>0</v>
      </c>
      <c r="AI245" s="232"/>
    </row>
    <row r="246" spans="1:35" ht="27.6" x14ac:dyDescent="0.3">
      <c r="A246" s="46">
        <v>24</v>
      </c>
      <c r="B246" s="46" t="s">
        <v>896</v>
      </c>
      <c r="C246" s="46" t="s">
        <v>671</v>
      </c>
      <c r="D246" s="214" t="str">
        <f t="shared" si="49"/>
        <v>Do Not Print</v>
      </c>
      <c r="E246" s="212" t="s">
        <v>672</v>
      </c>
      <c r="F246" s="214" t="s">
        <v>293</v>
      </c>
      <c r="G246" s="214" t="s">
        <v>109</v>
      </c>
      <c r="H246" s="213" t="s">
        <v>1125</v>
      </c>
      <c r="I246" s="230"/>
      <c r="J246" s="840">
        <v>0</v>
      </c>
      <c r="K246" s="840">
        <v>0</v>
      </c>
      <c r="L246" s="841">
        <f t="shared" si="39"/>
        <v>0</v>
      </c>
      <c r="M246" s="840">
        <v>0</v>
      </c>
      <c r="N246" s="840">
        <v>0</v>
      </c>
      <c r="O246" s="161">
        <f t="shared" si="40"/>
        <v>0</v>
      </c>
      <c r="P246" s="840">
        <v>0</v>
      </c>
      <c r="Q246" s="840">
        <v>0</v>
      </c>
      <c r="R246" s="841">
        <f t="shared" si="41"/>
        <v>0</v>
      </c>
      <c r="S246" s="840">
        <v>0</v>
      </c>
      <c r="T246" s="840">
        <v>0</v>
      </c>
      <c r="U246" s="161">
        <f t="shared" si="42"/>
        <v>0</v>
      </c>
      <c r="V246" s="841"/>
      <c r="W246" s="841"/>
      <c r="X246" s="841"/>
      <c r="Y246" s="233"/>
      <c r="Z246" s="233"/>
      <c r="AA246" s="233"/>
      <c r="AB246" s="213" t="s">
        <v>1125</v>
      </c>
      <c r="AD246" s="232">
        <f t="shared" si="43"/>
        <v>0</v>
      </c>
      <c r="AE246" s="232">
        <f t="shared" si="44"/>
        <v>0</v>
      </c>
      <c r="AG246" s="232">
        <f t="shared" si="50"/>
        <v>0</v>
      </c>
      <c r="AH246" s="232">
        <f t="shared" si="51"/>
        <v>0</v>
      </c>
      <c r="AI246" s="232"/>
    </row>
    <row r="247" spans="1:35" ht="41.4" x14ac:dyDescent="0.3">
      <c r="A247" s="46">
        <v>24</v>
      </c>
      <c r="B247" s="46" t="s">
        <v>896</v>
      </c>
      <c r="C247" s="46" t="s">
        <v>671</v>
      </c>
      <c r="D247" s="214" t="str">
        <f t="shared" si="49"/>
        <v>Do Not Print</v>
      </c>
      <c r="E247" s="212" t="s">
        <v>672</v>
      </c>
      <c r="F247" s="214" t="s">
        <v>293</v>
      </c>
      <c r="G247" s="214" t="s">
        <v>1092</v>
      </c>
      <c r="H247" s="213" t="s">
        <v>1126</v>
      </c>
      <c r="I247" s="230"/>
      <c r="J247" s="840">
        <v>0</v>
      </c>
      <c r="K247" s="840">
        <v>0</v>
      </c>
      <c r="L247" s="841">
        <f t="shared" si="39"/>
        <v>0</v>
      </c>
      <c r="M247" s="840">
        <v>0</v>
      </c>
      <c r="N247" s="840">
        <v>0</v>
      </c>
      <c r="O247" s="161">
        <f t="shared" si="40"/>
        <v>0</v>
      </c>
      <c r="P247" s="840">
        <v>0</v>
      </c>
      <c r="Q247" s="840">
        <v>0</v>
      </c>
      <c r="R247" s="841">
        <f t="shared" si="41"/>
        <v>0</v>
      </c>
      <c r="S247" s="840">
        <v>0</v>
      </c>
      <c r="T247" s="840">
        <v>0</v>
      </c>
      <c r="U247" s="161">
        <f t="shared" si="42"/>
        <v>0</v>
      </c>
      <c r="V247" s="841"/>
      <c r="W247" s="841"/>
      <c r="X247" s="841"/>
      <c r="Y247" s="233"/>
      <c r="Z247" s="233"/>
      <c r="AA247" s="233"/>
      <c r="AB247" s="213" t="s">
        <v>1126</v>
      </c>
      <c r="AD247" s="232">
        <f t="shared" si="43"/>
        <v>0</v>
      </c>
      <c r="AE247" s="232">
        <f t="shared" si="44"/>
        <v>0</v>
      </c>
      <c r="AG247" s="232">
        <f t="shared" si="50"/>
        <v>0</v>
      </c>
      <c r="AH247" s="232">
        <f t="shared" si="51"/>
        <v>0</v>
      </c>
      <c r="AI247" s="232"/>
    </row>
    <row r="248" spans="1:35" ht="55.2" x14ac:dyDescent="0.3">
      <c r="A248" s="46">
        <v>24</v>
      </c>
      <c r="B248" s="46" t="s">
        <v>896</v>
      </c>
      <c r="C248" s="46" t="s">
        <v>671</v>
      </c>
      <c r="D248" s="214" t="str">
        <f t="shared" si="49"/>
        <v>Do Not Print</v>
      </c>
      <c r="E248" s="212" t="s">
        <v>672</v>
      </c>
      <c r="F248" s="214" t="s">
        <v>293</v>
      </c>
      <c r="G248" s="214" t="s">
        <v>111</v>
      </c>
      <c r="H248" s="214" t="s">
        <v>111</v>
      </c>
      <c r="I248" s="230"/>
      <c r="J248" s="840">
        <v>0</v>
      </c>
      <c r="K248" s="840">
        <v>0</v>
      </c>
      <c r="L248" s="841">
        <f t="shared" ref="L248:L315" si="52">SUM(J248:K248)</f>
        <v>0</v>
      </c>
      <c r="M248" s="840">
        <v>0</v>
      </c>
      <c r="N248" s="840">
        <v>0</v>
      </c>
      <c r="O248" s="161">
        <f t="shared" ref="O248:O315" si="53">SUM(M248:N248)+L248</f>
        <v>0</v>
      </c>
      <c r="P248" s="840">
        <v>0</v>
      </c>
      <c r="Q248" s="840">
        <v>0</v>
      </c>
      <c r="R248" s="841">
        <f t="shared" ref="R248:R315" si="54">SUM(P248:Q248)</f>
        <v>0</v>
      </c>
      <c r="S248" s="840">
        <v>0</v>
      </c>
      <c r="T248" s="840">
        <v>0</v>
      </c>
      <c r="U248" s="161">
        <f t="shared" ref="U248:U315" si="55">R248+SUM(S248:T248)</f>
        <v>0</v>
      </c>
      <c r="V248" s="841"/>
      <c r="W248" s="841"/>
      <c r="X248" s="841"/>
      <c r="Y248" s="233"/>
      <c r="Z248" s="233"/>
      <c r="AA248" s="233"/>
      <c r="AB248" s="214" t="s">
        <v>111</v>
      </c>
      <c r="AD248" s="232">
        <f t="shared" ref="AD248:AD315" si="56">ROUND(L248,0)</f>
        <v>0</v>
      </c>
      <c r="AE248" s="232">
        <f t="shared" ref="AE248:AE315" si="57">ROUND(R248,0)</f>
        <v>0</v>
      </c>
      <c r="AG248" s="232">
        <f t="shared" si="50"/>
        <v>0</v>
      </c>
      <c r="AH248" s="232">
        <f t="shared" si="51"/>
        <v>0</v>
      </c>
      <c r="AI248" s="232"/>
    </row>
    <row r="249" spans="1:35" ht="41.4" x14ac:dyDescent="0.3">
      <c r="A249" s="46">
        <v>24</v>
      </c>
      <c r="B249" s="46" t="s">
        <v>896</v>
      </c>
      <c r="C249" s="46" t="s">
        <v>671</v>
      </c>
      <c r="D249" s="214" t="str">
        <f t="shared" si="49"/>
        <v>Do Not Print</v>
      </c>
      <c r="E249" s="212" t="s">
        <v>672</v>
      </c>
      <c r="F249" s="214" t="s">
        <v>293</v>
      </c>
      <c r="G249" s="214" t="s">
        <v>982</v>
      </c>
      <c r="H249" s="213" t="s">
        <v>1131</v>
      </c>
      <c r="I249" s="230"/>
      <c r="J249" s="840">
        <v>0</v>
      </c>
      <c r="K249" s="840">
        <v>0</v>
      </c>
      <c r="L249" s="841">
        <f t="shared" si="52"/>
        <v>0</v>
      </c>
      <c r="M249" s="840">
        <v>0</v>
      </c>
      <c r="N249" s="840">
        <v>0</v>
      </c>
      <c r="O249" s="161">
        <f t="shared" si="53"/>
        <v>0</v>
      </c>
      <c r="P249" s="840">
        <v>0</v>
      </c>
      <c r="Q249" s="840">
        <v>0</v>
      </c>
      <c r="R249" s="841">
        <f t="shared" si="54"/>
        <v>0</v>
      </c>
      <c r="S249" s="840">
        <v>0</v>
      </c>
      <c r="T249" s="840">
        <v>0</v>
      </c>
      <c r="U249" s="161">
        <f t="shared" si="55"/>
        <v>0</v>
      </c>
      <c r="V249" s="841"/>
      <c r="W249" s="841"/>
      <c r="X249" s="841"/>
      <c r="Y249" s="233"/>
      <c r="Z249" s="233"/>
      <c r="AA249" s="233"/>
      <c r="AB249" s="213" t="s">
        <v>1131</v>
      </c>
      <c r="AD249" s="232">
        <f t="shared" si="56"/>
        <v>0</v>
      </c>
      <c r="AE249" s="232">
        <f t="shared" si="57"/>
        <v>0</v>
      </c>
      <c r="AG249" s="232">
        <f t="shared" si="50"/>
        <v>0</v>
      </c>
      <c r="AH249" s="232">
        <f t="shared" si="51"/>
        <v>0</v>
      </c>
      <c r="AI249" s="232"/>
    </row>
    <row r="250" spans="1:35" ht="41.4" x14ac:dyDescent="0.3">
      <c r="A250" s="46">
        <v>24</v>
      </c>
      <c r="B250" s="46" t="s">
        <v>896</v>
      </c>
      <c r="C250" s="46" t="s">
        <v>671</v>
      </c>
      <c r="D250" s="214" t="str">
        <f t="shared" si="49"/>
        <v>Do Not Print</v>
      </c>
      <c r="E250" s="212" t="s">
        <v>672</v>
      </c>
      <c r="F250" s="214" t="s">
        <v>293</v>
      </c>
      <c r="G250" s="214" t="s">
        <v>981</v>
      </c>
      <c r="H250" s="213" t="s">
        <v>1127</v>
      </c>
      <c r="I250" s="230"/>
      <c r="J250" s="840">
        <v>0</v>
      </c>
      <c r="K250" s="840">
        <v>0</v>
      </c>
      <c r="L250" s="841">
        <f t="shared" si="52"/>
        <v>0</v>
      </c>
      <c r="M250" s="840">
        <v>0</v>
      </c>
      <c r="N250" s="840">
        <v>0</v>
      </c>
      <c r="O250" s="161">
        <f t="shared" si="53"/>
        <v>0</v>
      </c>
      <c r="P250" s="840">
        <v>0</v>
      </c>
      <c r="Q250" s="840">
        <v>0</v>
      </c>
      <c r="R250" s="841">
        <f t="shared" si="54"/>
        <v>0</v>
      </c>
      <c r="S250" s="840">
        <v>0</v>
      </c>
      <c r="T250" s="840">
        <v>0</v>
      </c>
      <c r="U250" s="161">
        <f t="shared" si="55"/>
        <v>0</v>
      </c>
      <c r="V250" s="841"/>
      <c r="W250" s="841"/>
      <c r="X250" s="841"/>
      <c r="Y250" s="233"/>
      <c r="Z250" s="233"/>
      <c r="AA250" s="233"/>
      <c r="AB250" s="213" t="s">
        <v>1127</v>
      </c>
      <c r="AD250" s="232">
        <f t="shared" si="56"/>
        <v>0</v>
      </c>
      <c r="AE250" s="232">
        <f t="shared" si="57"/>
        <v>0</v>
      </c>
      <c r="AG250" s="232">
        <f t="shared" si="50"/>
        <v>0</v>
      </c>
      <c r="AH250" s="232">
        <f t="shared" si="51"/>
        <v>0</v>
      </c>
      <c r="AI250" s="232"/>
    </row>
    <row r="251" spans="1:35" ht="27.6" x14ac:dyDescent="0.3">
      <c r="A251" s="46">
        <v>24</v>
      </c>
      <c r="B251" s="46" t="s">
        <v>896</v>
      </c>
      <c r="C251" s="46" t="s">
        <v>671</v>
      </c>
      <c r="D251" s="214" t="str">
        <f t="shared" si="49"/>
        <v>Do Not Print</v>
      </c>
      <c r="E251" s="212" t="s">
        <v>672</v>
      </c>
      <c r="F251" s="214" t="s">
        <v>293</v>
      </c>
      <c r="G251" s="214" t="s">
        <v>977</v>
      </c>
      <c r="H251" s="213" t="s">
        <v>1128</v>
      </c>
      <c r="I251" s="230"/>
      <c r="J251" s="840">
        <v>0</v>
      </c>
      <c r="K251" s="840">
        <v>0</v>
      </c>
      <c r="L251" s="841">
        <f t="shared" si="52"/>
        <v>0</v>
      </c>
      <c r="M251" s="840">
        <v>0</v>
      </c>
      <c r="N251" s="840">
        <v>0</v>
      </c>
      <c r="O251" s="161">
        <f t="shared" si="53"/>
        <v>0</v>
      </c>
      <c r="P251" s="840">
        <v>0</v>
      </c>
      <c r="Q251" s="840">
        <v>0</v>
      </c>
      <c r="R251" s="841">
        <f t="shared" si="54"/>
        <v>0</v>
      </c>
      <c r="S251" s="840">
        <v>0</v>
      </c>
      <c r="T251" s="840">
        <v>0</v>
      </c>
      <c r="U251" s="161">
        <f t="shared" si="55"/>
        <v>0</v>
      </c>
      <c r="V251" s="841"/>
      <c r="W251" s="841"/>
      <c r="X251" s="841"/>
      <c r="Y251" s="233"/>
      <c r="Z251" s="233"/>
      <c r="AA251" s="233"/>
      <c r="AB251" s="213" t="s">
        <v>1128</v>
      </c>
      <c r="AD251" s="232">
        <f t="shared" si="56"/>
        <v>0</v>
      </c>
      <c r="AE251" s="232">
        <f t="shared" si="57"/>
        <v>0</v>
      </c>
      <c r="AG251" s="232">
        <f t="shared" si="50"/>
        <v>0</v>
      </c>
      <c r="AH251" s="232">
        <f t="shared" si="51"/>
        <v>0</v>
      </c>
      <c r="AI251" s="232"/>
    </row>
    <row r="252" spans="1:35" ht="41.4" x14ac:dyDescent="0.3">
      <c r="A252" s="46">
        <v>24</v>
      </c>
      <c r="B252" s="46" t="s">
        <v>896</v>
      </c>
      <c r="C252" s="46" t="s">
        <v>671</v>
      </c>
      <c r="D252" s="214" t="str">
        <f t="shared" si="49"/>
        <v>Do Not Print</v>
      </c>
      <c r="E252" s="212" t="s">
        <v>672</v>
      </c>
      <c r="F252" s="214" t="s">
        <v>293</v>
      </c>
      <c r="G252" s="214" t="s">
        <v>979</v>
      </c>
      <c r="H252" s="213" t="s">
        <v>1129</v>
      </c>
      <c r="I252" s="230"/>
      <c r="J252" s="840">
        <v>0</v>
      </c>
      <c r="K252" s="840">
        <v>0</v>
      </c>
      <c r="L252" s="841">
        <f t="shared" si="52"/>
        <v>0</v>
      </c>
      <c r="M252" s="840">
        <v>0</v>
      </c>
      <c r="N252" s="840">
        <v>0</v>
      </c>
      <c r="O252" s="161">
        <f t="shared" si="53"/>
        <v>0</v>
      </c>
      <c r="P252" s="840">
        <v>0</v>
      </c>
      <c r="Q252" s="840">
        <v>0</v>
      </c>
      <c r="R252" s="841">
        <f t="shared" si="54"/>
        <v>0</v>
      </c>
      <c r="S252" s="840">
        <v>0</v>
      </c>
      <c r="T252" s="840">
        <v>0</v>
      </c>
      <c r="U252" s="161">
        <f t="shared" si="55"/>
        <v>0</v>
      </c>
      <c r="V252" s="841"/>
      <c r="W252" s="841"/>
      <c r="X252" s="841"/>
      <c r="Y252" s="233"/>
      <c r="Z252" s="233"/>
      <c r="AA252" s="233"/>
      <c r="AB252" s="213" t="s">
        <v>1129</v>
      </c>
      <c r="AD252" s="232">
        <f t="shared" si="56"/>
        <v>0</v>
      </c>
      <c r="AE252" s="232">
        <f t="shared" si="57"/>
        <v>0</v>
      </c>
      <c r="AG252" s="232">
        <f t="shared" si="50"/>
        <v>0</v>
      </c>
      <c r="AH252" s="232">
        <f t="shared" si="51"/>
        <v>0</v>
      </c>
      <c r="AI252" s="232"/>
    </row>
    <row r="253" spans="1:35" ht="41.4" x14ac:dyDescent="0.3">
      <c r="A253" s="46">
        <v>24</v>
      </c>
      <c r="B253" s="46" t="s">
        <v>896</v>
      </c>
      <c r="C253" s="46" t="s">
        <v>671</v>
      </c>
      <c r="D253" s="214" t="str">
        <f t="shared" si="49"/>
        <v>Do Not Print</v>
      </c>
      <c r="E253" s="212" t="s">
        <v>672</v>
      </c>
      <c r="F253" s="214" t="s">
        <v>293</v>
      </c>
      <c r="G253" s="214" t="s">
        <v>980</v>
      </c>
      <c r="H253" s="213" t="s">
        <v>1130</v>
      </c>
      <c r="I253" s="230"/>
      <c r="J253" s="840">
        <v>0</v>
      </c>
      <c r="K253" s="840">
        <v>0</v>
      </c>
      <c r="L253" s="841">
        <f t="shared" si="52"/>
        <v>0</v>
      </c>
      <c r="M253" s="840">
        <v>0</v>
      </c>
      <c r="N253" s="840">
        <v>0</v>
      </c>
      <c r="O253" s="161">
        <f t="shared" si="53"/>
        <v>0</v>
      </c>
      <c r="P253" s="840">
        <v>0</v>
      </c>
      <c r="Q253" s="840">
        <v>0</v>
      </c>
      <c r="R253" s="841">
        <f t="shared" si="54"/>
        <v>0</v>
      </c>
      <c r="S253" s="840">
        <v>0</v>
      </c>
      <c r="T253" s="840">
        <v>0</v>
      </c>
      <c r="U253" s="161">
        <f t="shared" si="55"/>
        <v>0</v>
      </c>
      <c r="V253" s="841"/>
      <c r="W253" s="841"/>
      <c r="X253" s="841"/>
      <c r="Y253" s="233"/>
      <c r="Z253" s="233"/>
      <c r="AA253" s="233"/>
      <c r="AB253" s="213" t="s">
        <v>1130</v>
      </c>
      <c r="AD253" s="232">
        <f t="shared" si="56"/>
        <v>0</v>
      </c>
      <c r="AE253" s="232">
        <f t="shared" si="57"/>
        <v>0</v>
      </c>
      <c r="AG253" s="232">
        <f t="shared" si="50"/>
        <v>0</v>
      </c>
      <c r="AH253" s="232">
        <f t="shared" si="51"/>
        <v>0</v>
      </c>
      <c r="AI253" s="232"/>
    </row>
    <row r="254" spans="1:35" ht="41.4" x14ac:dyDescent="0.3">
      <c r="A254" s="46">
        <v>24</v>
      </c>
      <c r="B254" s="46" t="s">
        <v>896</v>
      </c>
      <c r="C254" s="46" t="s">
        <v>671</v>
      </c>
      <c r="D254" s="214" t="str">
        <f t="shared" si="49"/>
        <v>Do Not Print</v>
      </c>
      <c r="E254" s="212" t="s">
        <v>672</v>
      </c>
      <c r="F254" s="214" t="s">
        <v>293</v>
      </c>
      <c r="G254" s="214" t="s">
        <v>1093</v>
      </c>
      <c r="H254" s="214" t="s">
        <v>997</v>
      </c>
      <c r="I254" s="230"/>
      <c r="J254" s="840">
        <v>0</v>
      </c>
      <c r="K254" s="840">
        <v>0</v>
      </c>
      <c r="L254" s="841">
        <f t="shared" si="52"/>
        <v>0</v>
      </c>
      <c r="M254" s="840">
        <v>0</v>
      </c>
      <c r="N254" s="840">
        <v>0</v>
      </c>
      <c r="O254" s="161">
        <f t="shared" si="53"/>
        <v>0</v>
      </c>
      <c r="P254" s="840">
        <v>0</v>
      </c>
      <c r="Q254" s="840">
        <v>0</v>
      </c>
      <c r="R254" s="841">
        <f t="shared" si="54"/>
        <v>0</v>
      </c>
      <c r="S254" s="840">
        <v>0</v>
      </c>
      <c r="T254" s="840">
        <v>0</v>
      </c>
      <c r="U254" s="161">
        <f t="shared" si="55"/>
        <v>0</v>
      </c>
      <c r="V254" s="841"/>
      <c r="W254" s="841"/>
      <c r="X254" s="841"/>
      <c r="Y254" s="233"/>
      <c r="Z254" s="233"/>
      <c r="AA254" s="233"/>
      <c r="AB254" s="214" t="s">
        <v>997</v>
      </c>
      <c r="AD254" s="232">
        <f t="shared" si="56"/>
        <v>0</v>
      </c>
      <c r="AE254" s="232">
        <f t="shared" si="57"/>
        <v>0</v>
      </c>
      <c r="AG254" s="232">
        <f t="shared" si="50"/>
        <v>0</v>
      </c>
      <c r="AH254" s="232">
        <f t="shared" si="51"/>
        <v>0</v>
      </c>
      <c r="AI254" s="232"/>
    </row>
    <row r="255" spans="1:35" ht="41.4" x14ac:dyDescent="0.3">
      <c r="A255" s="46">
        <v>25</v>
      </c>
      <c r="B255" s="46" t="s">
        <v>1109</v>
      </c>
      <c r="C255" s="46" t="s">
        <v>671</v>
      </c>
      <c r="D255" s="214" t="str">
        <f t="shared" si="49"/>
        <v>Do Not Print</v>
      </c>
      <c r="E255" s="213" t="s">
        <v>705</v>
      </c>
      <c r="F255" s="213" t="s">
        <v>705</v>
      </c>
      <c r="G255" s="214" t="s">
        <v>1104</v>
      </c>
      <c r="H255" s="214" t="s">
        <v>1105</v>
      </c>
      <c r="I255" s="230"/>
      <c r="J255" s="840">
        <v>0</v>
      </c>
      <c r="K255" s="840">
        <v>0</v>
      </c>
      <c r="L255" s="841">
        <f t="shared" si="52"/>
        <v>0</v>
      </c>
      <c r="M255" s="840">
        <v>0</v>
      </c>
      <c r="N255" s="840">
        <v>0</v>
      </c>
      <c r="O255" s="161">
        <f t="shared" si="53"/>
        <v>0</v>
      </c>
      <c r="P255" s="840">
        <v>0</v>
      </c>
      <c r="Q255" s="840">
        <v>0</v>
      </c>
      <c r="R255" s="841">
        <f t="shared" si="54"/>
        <v>0</v>
      </c>
      <c r="S255" s="840">
        <v>0</v>
      </c>
      <c r="T255" s="840">
        <v>0</v>
      </c>
      <c r="U255" s="161">
        <f t="shared" si="55"/>
        <v>0</v>
      </c>
      <c r="V255" s="841"/>
      <c r="W255" s="841"/>
      <c r="X255" s="841"/>
      <c r="Y255" s="233"/>
      <c r="Z255" s="233"/>
      <c r="AA255" s="233"/>
      <c r="AB255" s="214" t="s">
        <v>1105</v>
      </c>
      <c r="AD255" s="232">
        <f t="shared" si="56"/>
        <v>0</v>
      </c>
      <c r="AE255" s="232">
        <f t="shared" si="57"/>
        <v>0</v>
      </c>
      <c r="AG255" s="232">
        <f t="shared" ref="AG255:AG305" si="58">ROUND(O255,0)</f>
        <v>0</v>
      </c>
      <c r="AH255" s="232">
        <f t="shared" si="48"/>
        <v>0</v>
      </c>
      <c r="AI255" s="232"/>
    </row>
    <row r="256" spans="1:35" ht="41.4" x14ac:dyDescent="0.3">
      <c r="A256" s="46">
        <v>25</v>
      </c>
      <c r="B256" s="46" t="s">
        <v>1109</v>
      </c>
      <c r="C256" s="46" t="s">
        <v>671</v>
      </c>
      <c r="D256" s="214" t="str">
        <f t="shared" si="49"/>
        <v>Do Not Print</v>
      </c>
      <c r="E256" s="213" t="s">
        <v>705</v>
      </c>
      <c r="F256" s="213" t="s">
        <v>705</v>
      </c>
      <c r="G256" s="214" t="s">
        <v>1104</v>
      </c>
      <c r="H256" s="214" t="s">
        <v>1106</v>
      </c>
      <c r="I256" s="230"/>
      <c r="J256" s="840">
        <v>0</v>
      </c>
      <c r="K256" s="840">
        <v>0</v>
      </c>
      <c r="L256" s="841">
        <f t="shared" si="52"/>
        <v>0</v>
      </c>
      <c r="M256" s="840">
        <v>0</v>
      </c>
      <c r="N256" s="840">
        <v>0</v>
      </c>
      <c r="O256" s="161">
        <f t="shared" si="53"/>
        <v>0</v>
      </c>
      <c r="P256" s="840">
        <v>0</v>
      </c>
      <c r="Q256" s="840">
        <v>0</v>
      </c>
      <c r="R256" s="841">
        <f t="shared" si="54"/>
        <v>0</v>
      </c>
      <c r="S256" s="840">
        <v>0</v>
      </c>
      <c r="T256" s="840">
        <v>0</v>
      </c>
      <c r="U256" s="161">
        <f t="shared" si="55"/>
        <v>0</v>
      </c>
      <c r="V256" s="841"/>
      <c r="W256" s="841"/>
      <c r="X256" s="841"/>
      <c r="Y256" s="233"/>
      <c r="Z256" s="233"/>
      <c r="AA256" s="233"/>
      <c r="AB256" s="214" t="s">
        <v>1106</v>
      </c>
      <c r="AD256" s="232">
        <f t="shared" si="56"/>
        <v>0</v>
      </c>
      <c r="AE256" s="232">
        <f t="shared" si="57"/>
        <v>0</v>
      </c>
      <c r="AG256" s="232">
        <f t="shared" si="58"/>
        <v>0</v>
      </c>
      <c r="AH256" s="232">
        <f t="shared" si="48"/>
        <v>0</v>
      </c>
      <c r="AI256" s="232"/>
    </row>
    <row r="257" spans="1:35" ht="41.4" x14ac:dyDescent="0.3">
      <c r="A257" s="46">
        <v>25</v>
      </c>
      <c r="B257" s="46" t="s">
        <v>1109</v>
      </c>
      <c r="C257" s="46" t="s">
        <v>671</v>
      </c>
      <c r="D257" s="214" t="str">
        <f t="shared" si="49"/>
        <v>Do Not Print</v>
      </c>
      <c r="E257" s="213" t="s">
        <v>705</v>
      </c>
      <c r="F257" s="213" t="s">
        <v>705</v>
      </c>
      <c r="G257" s="214" t="s">
        <v>1104</v>
      </c>
      <c r="H257" s="214" t="s">
        <v>1107</v>
      </c>
      <c r="I257" s="230"/>
      <c r="J257" s="840">
        <v>0</v>
      </c>
      <c r="K257" s="840">
        <v>0</v>
      </c>
      <c r="L257" s="841">
        <f t="shared" si="52"/>
        <v>0</v>
      </c>
      <c r="M257" s="840">
        <v>0</v>
      </c>
      <c r="N257" s="840">
        <v>0</v>
      </c>
      <c r="O257" s="161">
        <f t="shared" si="53"/>
        <v>0</v>
      </c>
      <c r="P257" s="840">
        <v>0</v>
      </c>
      <c r="Q257" s="840">
        <v>0</v>
      </c>
      <c r="R257" s="841">
        <f t="shared" si="54"/>
        <v>0</v>
      </c>
      <c r="S257" s="840">
        <v>0</v>
      </c>
      <c r="T257" s="840">
        <v>0</v>
      </c>
      <c r="U257" s="161">
        <f t="shared" si="55"/>
        <v>0</v>
      </c>
      <c r="V257" s="841"/>
      <c r="W257" s="841"/>
      <c r="X257" s="841"/>
      <c r="Y257" s="233"/>
      <c r="Z257" s="233"/>
      <c r="AA257" s="233"/>
      <c r="AB257" s="214" t="s">
        <v>1107</v>
      </c>
      <c r="AD257" s="232">
        <f t="shared" si="56"/>
        <v>0</v>
      </c>
      <c r="AE257" s="232">
        <f t="shared" si="57"/>
        <v>0</v>
      </c>
      <c r="AG257" s="232">
        <f t="shared" si="58"/>
        <v>0</v>
      </c>
      <c r="AH257" s="232">
        <f t="shared" si="48"/>
        <v>0</v>
      </c>
      <c r="AI257" s="232"/>
    </row>
    <row r="258" spans="1:35" ht="41.4" x14ac:dyDescent="0.3">
      <c r="A258" s="46">
        <v>25</v>
      </c>
      <c r="B258" s="46" t="s">
        <v>1109</v>
      </c>
      <c r="C258" s="46" t="s">
        <v>671</v>
      </c>
      <c r="D258" s="214" t="str">
        <f t="shared" si="49"/>
        <v>Do Not Print</v>
      </c>
      <c r="E258" s="213" t="s">
        <v>705</v>
      </c>
      <c r="F258" s="213" t="s">
        <v>705</v>
      </c>
      <c r="G258" s="214" t="s">
        <v>1104</v>
      </c>
      <c r="H258" s="214" t="s">
        <v>1108</v>
      </c>
      <c r="I258" s="230"/>
      <c r="J258" s="840">
        <v>0</v>
      </c>
      <c r="K258" s="840">
        <v>0</v>
      </c>
      <c r="L258" s="841">
        <f t="shared" si="52"/>
        <v>0</v>
      </c>
      <c r="M258" s="840">
        <v>0</v>
      </c>
      <c r="N258" s="840">
        <v>0</v>
      </c>
      <c r="O258" s="161">
        <f t="shared" si="53"/>
        <v>0</v>
      </c>
      <c r="P258" s="840">
        <v>0</v>
      </c>
      <c r="Q258" s="840">
        <v>0</v>
      </c>
      <c r="R258" s="841">
        <f t="shared" si="54"/>
        <v>0</v>
      </c>
      <c r="S258" s="840">
        <v>0</v>
      </c>
      <c r="T258" s="840">
        <v>0</v>
      </c>
      <c r="U258" s="161">
        <f t="shared" si="55"/>
        <v>0</v>
      </c>
      <c r="V258" s="841"/>
      <c r="W258" s="841"/>
      <c r="X258" s="841"/>
      <c r="Y258" s="233"/>
      <c r="Z258" s="233"/>
      <c r="AA258" s="233"/>
      <c r="AB258" s="214" t="s">
        <v>1108</v>
      </c>
      <c r="AD258" s="232">
        <f t="shared" si="56"/>
        <v>0</v>
      </c>
      <c r="AE258" s="232">
        <f t="shared" si="57"/>
        <v>0</v>
      </c>
      <c r="AG258" s="232">
        <f t="shared" si="58"/>
        <v>0</v>
      </c>
      <c r="AH258" s="232">
        <f t="shared" si="48"/>
        <v>0</v>
      </c>
      <c r="AI258" s="232"/>
    </row>
    <row r="259" spans="1:35" ht="69" x14ac:dyDescent="0.3">
      <c r="A259" s="80">
        <v>26</v>
      </c>
      <c r="B259" s="80" t="s">
        <v>1647</v>
      </c>
      <c r="C259" s="80" t="s">
        <v>671</v>
      </c>
      <c r="D259" s="214" t="str">
        <f t="shared" si="49"/>
        <v>Do Not Print</v>
      </c>
      <c r="E259" s="213" t="s">
        <v>1648</v>
      </c>
      <c r="F259" s="213" t="s">
        <v>1648</v>
      </c>
      <c r="G259" s="213" t="s">
        <v>1648</v>
      </c>
      <c r="H259" s="213" t="s">
        <v>1644</v>
      </c>
      <c r="I259" s="230"/>
      <c r="J259" s="840">
        <v>0</v>
      </c>
      <c r="K259" s="840">
        <v>0</v>
      </c>
      <c r="L259" s="841">
        <f t="shared" si="52"/>
        <v>0</v>
      </c>
      <c r="M259" s="840">
        <v>0</v>
      </c>
      <c r="N259" s="840">
        <v>0</v>
      </c>
      <c r="O259" s="161">
        <f t="shared" si="53"/>
        <v>0</v>
      </c>
      <c r="P259" s="840">
        <v>0</v>
      </c>
      <c r="Q259" s="840">
        <v>0</v>
      </c>
      <c r="R259" s="841">
        <f t="shared" si="54"/>
        <v>0</v>
      </c>
      <c r="S259" s="840">
        <v>0</v>
      </c>
      <c r="T259" s="840">
        <v>0</v>
      </c>
      <c r="U259" s="161">
        <f t="shared" si="55"/>
        <v>0</v>
      </c>
      <c r="V259" s="841"/>
      <c r="W259" s="841"/>
      <c r="X259" s="841"/>
      <c r="Y259" s="233"/>
      <c r="Z259" s="233"/>
      <c r="AA259" s="233"/>
      <c r="AB259" s="213" t="s">
        <v>1644</v>
      </c>
      <c r="AD259" s="232">
        <f t="shared" si="56"/>
        <v>0</v>
      </c>
      <c r="AE259" s="232">
        <f t="shared" si="57"/>
        <v>0</v>
      </c>
      <c r="AG259" s="232">
        <f>ROUND(O259,0)</f>
        <v>0</v>
      </c>
      <c r="AH259" s="232">
        <f>ROUND(U259,0)</f>
        <v>0</v>
      </c>
      <c r="AI259" s="232"/>
    </row>
    <row r="260" spans="1:35" ht="69" x14ac:dyDescent="0.3">
      <c r="A260" s="80">
        <v>26</v>
      </c>
      <c r="B260" s="80" t="s">
        <v>1647</v>
      </c>
      <c r="C260" s="80" t="s">
        <v>671</v>
      </c>
      <c r="D260" s="214" t="str">
        <f t="shared" si="49"/>
        <v>Do Not Print</v>
      </c>
      <c r="E260" s="213" t="s">
        <v>1648</v>
      </c>
      <c r="F260" s="213" t="s">
        <v>1648</v>
      </c>
      <c r="G260" s="213" t="s">
        <v>1648</v>
      </c>
      <c r="H260" s="213" t="s">
        <v>1645</v>
      </c>
      <c r="I260" s="230"/>
      <c r="J260" s="840">
        <v>0</v>
      </c>
      <c r="K260" s="840">
        <v>0</v>
      </c>
      <c r="L260" s="841">
        <f t="shared" si="52"/>
        <v>0</v>
      </c>
      <c r="M260" s="840">
        <v>0</v>
      </c>
      <c r="N260" s="840">
        <v>0</v>
      </c>
      <c r="O260" s="161">
        <f t="shared" si="53"/>
        <v>0</v>
      </c>
      <c r="P260" s="840">
        <v>0</v>
      </c>
      <c r="Q260" s="840">
        <v>0</v>
      </c>
      <c r="R260" s="841">
        <f t="shared" si="54"/>
        <v>0</v>
      </c>
      <c r="S260" s="840">
        <v>0</v>
      </c>
      <c r="T260" s="840">
        <v>0</v>
      </c>
      <c r="U260" s="161">
        <f t="shared" si="55"/>
        <v>0</v>
      </c>
      <c r="V260" s="841"/>
      <c r="W260" s="841"/>
      <c r="X260" s="841"/>
      <c r="Y260" s="233"/>
      <c r="Z260" s="233"/>
      <c r="AA260" s="233"/>
      <c r="AB260" s="213" t="s">
        <v>1645</v>
      </c>
      <c r="AD260" s="232">
        <f t="shared" si="56"/>
        <v>0</v>
      </c>
      <c r="AE260" s="232">
        <f t="shared" si="57"/>
        <v>0</v>
      </c>
      <c r="AG260" s="232">
        <f>ROUND(O260,0)</f>
        <v>0</v>
      </c>
      <c r="AH260" s="232">
        <f>ROUND(U260,0)</f>
        <v>0</v>
      </c>
      <c r="AI260" s="232"/>
    </row>
    <row r="261" spans="1:35" ht="69" x14ac:dyDescent="0.3">
      <c r="A261" s="80">
        <v>26</v>
      </c>
      <c r="B261" s="80" t="s">
        <v>1647</v>
      </c>
      <c r="C261" s="80" t="s">
        <v>671</v>
      </c>
      <c r="D261" s="214" t="str">
        <f t="shared" si="49"/>
        <v>Do Not Print</v>
      </c>
      <c r="E261" s="213" t="s">
        <v>1648</v>
      </c>
      <c r="F261" s="213" t="s">
        <v>1648</v>
      </c>
      <c r="G261" s="213" t="s">
        <v>1648</v>
      </c>
      <c r="H261" s="213" t="s">
        <v>75</v>
      </c>
      <c r="I261" s="230"/>
      <c r="J261" s="842">
        <v>0</v>
      </c>
      <c r="K261" s="840">
        <v>0</v>
      </c>
      <c r="L261" s="841">
        <f t="shared" si="52"/>
        <v>0</v>
      </c>
      <c r="M261" s="840">
        <v>0</v>
      </c>
      <c r="N261" s="840">
        <v>0</v>
      </c>
      <c r="O261" s="161">
        <f t="shared" si="53"/>
        <v>0</v>
      </c>
      <c r="P261" s="842">
        <v>0</v>
      </c>
      <c r="Q261" s="840">
        <v>0</v>
      </c>
      <c r="R261" s="841">
        <f t="shared" si="54"/>
        <v>0</v>
      </c>
      <c r="S261" s="840">
        <v>0</v>
      </c>
      <c r="T261" s="840">
        <v>0</v>
      </c>
      <c r="U261" s="161">
        <f t="shared" si="55"/>
        <v>0</v>
      </c>
      <c r="V261" s="841"/>
      <c r="W261" s="841"/>
      <c r="X261" s="841"/>
      <c r="Y261" s="233"/>
      <c r="Z261" s="233"/>
      <c r="AA261" s="233"/>
      <c r="AB261" s="213" t="s">
        <v>75</v>
      </c>
      <c r="AD261" s="232">
        <f t="shared" si="56"/>
        <v>0</v>
      </c>
      <c r="AE261" s="232">
        <f t="shared" si="57"/>
        <v>0</v>
      </c>
      <c r="AG261" s="232">
        <f>ROUND(O261,0)</f>
        <v>0</v>
      </c>
      <c r="AH261" s="232">
        <f>ROUND(U261,0)</f>
        <v>0</v>
      </c>
      <c r="AI261" s="232"/>
    </row>
    <row r="262" spans="1:35" ht="69" x14ac:dyDescent="0.3">
      <c r="A262" s="80">
        <v>26</v>
      </c>
      <c r="B262" s="80" t="s">
        <v>1647</v>
      </c>
      <c r="C262" s="80" t="s">
        <v>671</v>
      </c>
      <c r="D262" s="214" t="str">
        <f t="shared" si="49"/>
        <v>Do Not Print</v>
      </c>
      <c r="E262" s="213" t="s">
        <v>1648</v>
      </c>
      <c r="F262" s="213" t="s">
        <v>1648</v>
      </c>
      <c r="G262" s="213" t="s">
        <v>1648</v>
      </c>
      <c r="H262" s="213" t="s">
        <v>76</v>
      </c>
      <c r="I262" s="230"/>
      <c r="J262" s="842">
        <v>0</v>
      </c>
      <c r="K262" s="840">
        <v>0</v>
      </c>
      <c r="L262" s="841">
        <f t="shared" si="52"/>
        <v>0</v>
      </c>
      <c r="M262" s="840">
        <v>0</v>
      </c>
      <c r="N262" s="840">
        <v>0</v>
      </c>
      <c r="O262" s="161">
        <f t="shared" si="53"/>
        <v>0</v>
      </c>
      <c r="P262" s="842">
        <v>0</v>
      </c>
      <c r="Q262" s="840">
        <v>0</v>
      </c>
      <c r="R262" s="841">
        <f t="shared" si="54"/>
        <v>0</v>
      </c>
      <c r="S262" s="840">
        <v>0</v>
      </c>
      <c r="T262" s="840">
        <v>0</v>
      </c>
      <c r="U262" s="161">
        <f t="shared" si="55"/>
        <v>0</v>
      </c>
      <c r="V262" s="841"/>
      <c r="W262" s="841"/>
      <c r="X262" s="841"/>
      <c r="Y262" s="233"/>
      <c r="Z262" s="233"/>
      <c r="AA262" s="233"/>
      <c r="AB262" s="213" t="s">
        <v>76</v>
      </c>
      <c r="AD262" s="232">
        <f t="shared" si="56"/>
        <v>0</v>
      </c>
      <c r="AE262" s="232">
        <f t="shared" si="57"/>
        <v>0</v>
      </c>
      <c r="AG262" s="232">
        <f>ROUND(O262,0)</f>
        <v>0</v>
      </c>
      <c r="AH262" s="232">
        <f>ROUND(U262,0)</f>
        <v>0</v>
      </c>
      <c r="AI262" s="232"/>
    </row>
    <row r="263" spans="1:35" ht="27.6" x14ac:dyDescent="0.3">
      <c r="A263" s="46">
        <v>27</v>
      </c>
      <c r="B263" s="46" t="s">
        <v>121</v>
      </c>
      <c r="C263" s="46" t="s">
        <v>671</v>
      </c>
      <c r="D263" s="214" t="str">
        <f t="shared" si="49"/>
        <v>Do Not Print</v>
      </c>
      <c r="E263" s="214" t="s">
        <v>364</v>
      </c>
      <c r="F263" s="214" t="s">
        <v>364</v>
      </c>
      <c r="G263" s="214" t="s">
        <v>365</v>
      </c>
      <c r="H263" s="214" t="s">
        <v>365</v>
      </c>
      <c r="I263" s="230"/>
      <c r="J263" s="840">
        <v>0</v>
      </c>
      <c r="K263" s="840">
        <v>0</v>
      </c>
      <c r="L263" s="841">
        <f t="shared" si="52"/>
        <v>0</v>
      </c>
      <c r="M263" s="840">
        <v>0</v>
      </c>
      <c r="N263" s="840">
        <v>0</v>
      </c>
      <c r="O263" s="161">
        <f t="shared" si="53"/>
        <v>0</v>
      </c>
      <c r="P263" s="840">
        <v>0</v>
      </c>
      <c r="Q263" s="840">
        <v>0</v>
      </c>
      <c r="R263" s="841">
        <f t="shared" si="54"/>
        <v>0</v>
      </c>
      <c r="S263" s="840">
        <v>0</v>
      </c>
      <c r="T263" s="840">
        <v>0</v>
      </c>
      <c r="U263" s="161">
        <f t="shared" si="55"/>
        <v>0</v>
      </c>
      <c r="V263" s="841"/>
      <c r="W263" s="841"/>
      <c r="X263" s="841"/>
      <c r="Y263" s="233"/>
      <c r="Z263" s="233"/>
      <c r="AA263" s="233"/>
      <c r="AB263" s="214" t="s">
        <v>365</v>
      </c>
      <c r="AD263" s="232">
        <f t="shared" si="56"/>
        <v>0</v>
      </c>
      <c r="AE263" s="232">
        <f t="shared" si="57"/>
        <v>0</v>
      </c>
      <c r="AG263" s="232">
        <f t="shared" si="58"/>
        <v>0</v>
      </c>
      <c r="AH263" s="232">
        <f t="shared" si="48"/>
        <v>0</v>
      </c>
      <c r="AI263" s="232"/>
    </row>
    <row r="264" spans="1:35" ht="27.6" x14ac:dyDescent="0.3">
      <c r="A264" s="46">
        <v>27</v>
      </c>
      <c r="B264" s="46" t="s">
        <v>121</v>
      </c>
      <c r="C264" s="46" t="s">
        <v>671</v>
      </c>
      <c r="D264" s="214" t="str">
        <f t="shared" si="49"/>
        <v>Do Not Print</v>
      </c>
      <c r="E264" s="214" t="s">
        <v>364</v>
      </c>
      <c r="F264" s="214" t="s">
        <v>364</v>
      </c>
      <c r="G264" s="214" t="s">
        <v>366</v>
      </c>
      <c r="H264" s="214" t="s">
        <v>366</v>
      </c>
      <c r="I264" s="230"/>
      <c r="J264" s="840">
        <v>0</v>
      </c>
      <c r="K264" s="840">
        <v>0</v>
      </c>
      <c r="L264" s="841">
        <f t="shared" si="52"/>
        <v>0</v>
      </c>
      <c r="M264" s="840">
        <v>0</v>
      </c>
      <c r="N264" s="840">
        <v>0</v>
      </c>
      <c r="O264" s="161">
        <f t="shared" si="53"/>
        <v>0</v>
      </c>
      <c r="P264" s="840">
        <v>0</v>
      </c>
      <c r="Q264" s="840">
        <v>0</v>
      </c>
      <c r="R264" s="841">
        <f t="shared" si="54"/>
        <v>0</v>
      </c>
      <c r="S264" s="840">
        <v>0</v>
      </c>
      <c r="T264" s="840">
        <v>0</v>
      </c>
      <c r="U264" s="161">
        <f t="shared" si="55"/>
        <v>0</v>
      </c>
      <c r="V264" s="841"/>
      <c r="W264" s="841"/>
      <c r="X264" s="841"/>
      <c r="Y264" s="233"/>
      <c r="Z264" s="233"/>
      <c r="AA264" s="233"/>
      <c r="AB264" s="214" t="s">
        <v>366</v>
      </c>
      <c r="AD264" s="232">
        <f t="shared" si="56"/>
        <v>0</v>
      </c>
      <c r="AE264" s="232">
        <f t="shared" si="57"/>
        <v>0</v>
      </c>
      <c r="AG264" s="232">
        <f t="shared" si="58"/>
        <v>0</v>
      </c>
      <c r="AH264" s="232">
        <f t="shared" si="48"/>
        <v>0</v>
      </c>
      <c r="AI264" s="232"/>
    </row>
    <row r="265" spans="1:35" ht="27.6" x14ac:dyDescent="0.3">
      <c r="A265" s="46">
        <v>27</v>
      </c>
      <c r="B265" s="46" t="s">
        <v>121</v>
      </c>
      <c r="C265" s="46" t="s">
        <v>671</v>
      </c>
      <c r="D265" s="214" t="str">
        <f t="shared" si="49"/>
        <v>Do Not Print</v>
      </c>
      <c r="E265" s="214" t="s">
        <v>364</v>
      </c>
      <c r="F265" s="214" t="s">
        <v>364</v>
      </c>
      <c r="G265" s="214" t="s">
        <v>367</v>
      </c>
      <c r="H265" s="214" t="s">
        <v>367</v>
      </c>
      <c r="I265" s="230"/>
      <c r="J265" s="840">
        <v>0</v>
      </c>
      <c r="K265" s="840">
        <v>0</v>
      </c>
      <c r="L265" s="841">
        <f t="shared" si="52"/>
        <v>0</v>
      </c>
      <c r="M265" s="840">
        <v>0</v>
      </c>
      <c r="N265" s="840">
        <v>0</v>
      </c>
      <c r="O265" s="161">
        <f t="shared" si="53"/>
        <v>0</v>
      </c>
      <c r="P265" s="840">
        <v>0</v>
      </c>
      <c r="Q265" s="840">
        <v>0</v>
      </c>
      <c r="R265" s="841">
        <f t="shared" si="54"/>
        <v>0</v>
      </c>
      <c r="S265" s="840">
        <v>0</v>
      </c>
      <c r="T265" s="840">
        <v>0</v>
      </c>
      <c r="U265" s="161">
        <f t="shared" si="55"/>
        <v>0</v>
      </c>
      <c r="V265" s="841"/>
      <c r="W265" s="841"/>
      <c r="X265" s="841"/>
      <c r="Y265" s="233"/>
      <c r="Z265" s="233"/>
      <c r="AA265" s="233"/>
      <c r="AB265" s="214" t="s">
        <v>367</v>
      </c>
      <c r="AD265" s="232">
        <f t="shared" si="56"/>
        <v>0</v>
      </c>
      <c r="AE265" s="232">
        <f t="shared" si="57"/>
        <v>0</v>
      </c>
      <c r="AG265" s="232">
        <f t="shared" si="58"/>
        <v>0</v>
      </c>
      <c r="AH265" s="232">
        <f t="shared" si="48"/>
        <v>0</v>
      </c>
      <c r="AI265" s="232"/>
    </row>
    <row r="266" spans="1:35" ht="27.6" x14ac:dyDescent="0.3">
      <c r="A266" s="46">
        <v>27</v>
      </c>
      <c r="B266" s="46" t="s">
        <v>121</v>
      </c>
      <c r="C266" s="46" t="s">
        <v>671</v>
      </c>
      <c r="D266" s="214" t="str">
        <f t="shared" si="49"/>
        <v>Do Not Print</v>
      </c>
      <c r="E266" s="214" t="s">
        <v>364</v>
      </c>
      <c r="F266" s="214" t="s">
        <v>364</v>
      </c>
      <c r="G266" s="214" t="s">
        <v>368</v>
      </c>
      <c r="H266" s="214" t="s">
        <v>368</v>
      </c>
      <c r="I266" s="230"/>
      <c r="J266" s="840">
        <v>0</v>
      </c>
      <c r="K266" s="840">
        <v>0</v>
      </c>
      <c r="L266" s="841">
        <f t="shared" si="52"/>
        <v>0</v>
      </c>
      <c r="M266" s="840">
        <v>0</v>
      </c>
      <c r="N266" s="840">
        <v>0</v>
      </c>
      <c r="O266" s="161">
        <f t="shared" si="53"/>
        <v>0</v>
      </c>
      <c r="P266" s="840">
        <v>0</v>
      </c>
      <c r="Q266" s="840">
        <v>0</v>
      </c>
      <c r="R266" s="841">
        <f t="shared" si="54"/>
        <v>0</v>
      </c>
      <c r="S266" s="840">
        <v>0</v>
      </c>
      <c r="T266" s="840">
        <v>0</v>
      </c>
      <c r="U266" s="161">
        <f t="shared" si="55"/>
        <v>0</v>
      </c>
      <c r="V266" s="841"/>
      <c r="W266" s="841"/>
      <c r="X266" s="841"/>
      <c r="Y266" s="233"/>
      <c r="Z266" s="233"/>
      <c r="AA266" s="233"/>
      <c r="AB266" s="214" t="s">
        <v>368</v>
      </c>
      <c r="AD266" s="232">
        <f t="shared" si="56"/>
        <v>0</v>
      </c>
      <c r="AE266" s="232">
        <f t="shared" si="57"/>
        <v>0</v>
      </c>
      <c r="AG266" s="232">
        <f t="shared" si="58"/>
        <v>0</v>
      </c>
      <c r="AH266" s="232">
        <f t="shared" si="48"/>
        <v>0</v>
      </c>
      <c r="AI266" s="232"/>
    </row>
    <row r="267" spans="1:35" ht="27.6" x14ac:dyDescent="0.3">
      <c r="A267" s="46">
        <v>27</v>
      </c>
      <c r="B267" s="46" t="s">
        <v>121</v>
      </c>
      <c r="C267" s="46" t="s">
        <v>671</v>
      </c>
      <c r="D267" s="214" t="str">
        <f t="shared" si="49"/>
        <v>Do Not Print</v>
      </c>
      <c r="E267" s="214" t="s">
        <v>364</v>
      </c>
      <c r="F267" s="214" t="s">
        <v>364</v>
      </c>
      <c r="G267" s="214" t="s">
        <v>369</v>
      </c>
      <c r="H267" s="214" t="s">
        <v>369</v>
      </c>
      <c r="I267" s="230"/>
      <c r="J267" s="840">
        <v>0</v>
      </c>
      <c r="K267" s="840">
        <v>0</v>
      </c>
      <c r="L267" s="841">
        <f t="shared" si="52"/>
        <v>0</v>
      </c>
      <c r="M267" s="840">
        <v>0</v>
      </c>
      <c r="N267" s="840">
        <v>0</v>
      </c>
      <c r="O267" s="161">
        <f t="shared" si="53"/>
        <v>0</v>
      </c>
      <c r="P267" s="840">
        <v>0</v>
      </c>
      <c r="Q267" s="840">
        <v>0</v>
      </c>
      <c r="R267" s="841">
        <f t="shared" si="54"/>
        <v>0</v>
      </c>
      <c r="S267" s="840">
        <v>0</v>
      </c>
      <c r="T267" s="840">
        <v>0</v>
      </c>
      <c r="U267" s="161">
        <f t="shared" si="55"/>
        <v>0</v>
      </c>
      <c r="V267" s="841"/>
      <c r="W267" s="841"/>
      <c r="X267" s="841"/>
      <c r="Y267" s="233"/>
      <c r="Z267" s="233"/>
      <c r="AA267" s="233"/>
      <c r="AB267" s="214" t="s">
        <v>369</v>
      </c>
      <c r="AD267" s="232">
        <f t="shared" si="56"/>
        <v>0</v>
      </c>
      <c r="AE267" s="232">
        <f t="shared" si="57"/>
        <v>0</v>
      </c>
      <c r="AG267" s="232">
        <f t="shared" si="58"/>
        <v>0</v>
      </c>
      <c r="AH267" s="232">
        <f t="shared" si="48"/>
        <v>0</v>
      </c>
      <c r="AI267" s="232"/>
    </row>
    <row r="268" spans="1:35" ht="27.6" x14ac:dyDescent="0.3">
      <c r="A268" s="46">
        <v>27</v>
      </c>
      <c r="B268" s="46" t="s">
        <v>121</v>
      </c>
      <c r="C268" s="46" t="s">
        <v>671</v>
      </c>
      <c r="D268" s="214" t="str">
        <f t="shared" si="49"/>
        <v>Do Not Print</v>
      </c>
      <c r="E268" s="214" t="s">
        <v>364</v>
      </c>
      <c r="F268" s="214" t="s">
        <v>364</v>
      </c>
      <c r="G268" s="214" t="s">
        <v>665</v>
      </c>
      <c r="H268" s="213" t="s">
        <v>665</v>
      </c>
      <c r="I268" s="230"/>
      <c r="J268" s="840">
        <v>0</v>
      </c>
      <c r="K268" s="840">
        <v>0</v>
      </c>
      <c r="L268" s="841">
        <f t="shared" si="52"/>
        <v>0</v>
      </c>
      <c r="M268" s="840">
        <v>0</v>
      </c>
      <c r="N268" s="840">
        <v>0</v>
      </c>
      <c r="O268" s="161">
        <f t="shared" si="53"/>
        <v>0</v>
      </c>
      <c r="P268" s="840">
        <v>0</v>
      </c>
      <c r="Q268" s="840">
        <v>0</v>
      </c>
      <c r="R268" s="841">
        <f t="shared" si="54"/>
        <v>0</v>
      </c>
      <c r="S268" s="840">
        <v>0</v>
      </c>
      <c r="T268" s="840">
        <v>0</v>
      </c>
      <c r="U268" s="161">
        <f t="shared" si="55"/>
        <v>0</v>
      </c>
      <c r="V268" s="841"/>
      <c r="W268" s="841"/>
      <c r="X268" s="841"/>
      <c r="Y268" s="233"/>
      <c r="Z268" s="233"/>
      <c r="AA268" s="233"/>
      <c r="AB268" s="213" t="s">
        <v>665</v>
      </c>
      <c r="AD268" s="232">
        <f t="shared" si="56"/>
        <v>0</v>
      </c>
      <c r="AE268" s="232">
        <f t="shared" si="57"/>
        <v>0</v>
      </c>
      <c r="AG268" s="232">
        <f t="shared" si="58"/>
        <v>0</v>
      </c>
      <c r="AH268" s="232">
        <f t="shared" si="48"/>
        <v>0</v>
      </c>
      <c r="AI268" s="232"/>
    </row>
    <row r="269" spans="1:35" ht="27.6" x14ac:dyDescent="0.3">
      <c r="A269" s="46">
        <v>27</v>
      </c>
      <c r="B269" s="46" t="s">
        <v>121</v>
      </c>
      <c r="C269" s="46" t="s">
        <v>671</v>
      </c>
      <c r="D269" s="214" t="str">
        <f t="shared" si="49"/>
        <v>Do Not Print</v>
      </c>
      <c r="E269" s="214" t="s">
        <v>364</v>
      </c>
      <c r="F269" s="214" t="s">
        <v>364</v>
      </c>
      <c r="G269" s="214" t="s">
        <v>519</v>
      </c>
      <c r="H269" s="213" t="s">
        <v>519</v>
      </c>
      <c r="I269" s="230"/>
      <c r="J269" s="840">
        <v>0</v>
      </c>
      <c r="K269" s="840">
        <v>0</v>
      </c>
      <c r="L269" s="841">
        <f t="shared" si="52"/>
        <v>0</v>
      </c>
      <c r="M269" s="840">
        <v>0</v>
      </c>
      <c r="N269" s="840">
        <v>0</v>
      </c>
      <c r="O269" s="161">
        <f t="shared" si="53"/>
        <v>0</v>
      </c>
      <c r="P269" s="840">
        <v>0</v>
      </c>
      <c r="Q269" s="840">
        <v>0</v>
      </c>
      <c r="R269" s="841">
        <f t="shared" si="54"/>
        <v>0</v>
      </c>
      <c r="S269" s="840">
        <v>0</v>
      </c>
      <c r="T269" s="840">
        <v>0</v>
      </c>
      <c r="U269" s="161">
        <f t="shared" si="55"/>
        <v>0</v>
      </c>
      <c r="V269" s="841"/>
      <c r="W269" s="841"/>
      <c r="X269" s="841"/>
      <c r="Y269" s="233"/>
      <c r="Z269" s="233"/>
      <c r="AA269" s="233"/>
      <c r="AB269" s="213" t="s">
        <v>519</v>
      </c>
      <c r="AD269" s="232">
        <f t="shared" si="56"/>
        <v>0</v>
      </c>
      <c r="AE269" s="232">
        <f t="shared" si="57"/>
        <v>0</v>
      </c>
      <c r="AG269" s="232">
        <f t="shared" si="58"/>
        <v>0</v>
      </c>
      <c r="AH269" s="232">
        <f t="shared" si="48"/>
        <v>0</v>
      </c>
      <c r="AI269" s="232"/>
    </row>
    <row r="270" spans="1:35" ht="27.6" x14ac:dyDescent="0.3">
      <c r="A270" s="46">
        <v>27</v>
      </c>
      <c r="B270" s="46" t="s">
        <v>121</v>
      </c>
      <c r="C270" s="46" t="s">
        <v>671</v>
      </c>
      <c r="D270" s="214" t="str">
        <f t="shared" si="49"/>
        <v>Do Not Print</v>
      </c>
      <c r="E270" s="214" t="s">
        <v>364</v>
      </c>
      <c r="F270" s="214" t="s">
        <v>364</v>
      </c>
      <c r="G270" s="214" t="s">
        <v>520</v>
      </c>
      <c r="H270" s="213" t="s">
        <v>520</v>
      </c>
      <c r="I270" s="230"/>
      <c r="J270" s="840">
        <v>0</v>
      </c>
      <c r="K270" s="840">
        <v>0</v>
      </c>
      <c r="L270" s="841">
        <f t="shared" si="52"/>
        <v>0</v>
      </c>
      <c r="M270" s="840">
        <v>0</v>
      </c>
      <c r="N270" s="840">
        <v>0</v>
      </c>
      <c r="O270" s="161">
        <f t="shared" si="53"/>
        <v>0</v>
      </c>
      <c r="P270" s="840">
        <v>0</v>
      </c>
      <c r="Q270" s="840">
        <v>0</v>
      </c>
      <c r="R270" s="841">
        <f t="shared" si="54"/>
        <v>0</v>
      </c>
      <c r="S270" s="840">
        <v>0</v>
      </c>
      <c r="T270" s="840">
        <v>0</v>
      </c>
      <c r="U270" s="161">
        <f t="shared" si="55"/>
        <v>0</v>
      </c>
      <c r="V270" s="841"/>
      <c r="W270" s="841"/>
      <c r="X270" s="841"/>
      <c r="Y270" s="233"/>
      <c r="Z270" s="233"/>
      <c r="AA270" s="233"/>
      <c r="AB270" s="213" t="s">
        <v>520</v>
      </c>
      <c r="AD270" s="232">
        <f t="shared" si="56"/>
        <v>0</v>
      </c>
      <c r="AE270" s="232">
        <f t="shared" si="57"/>
        <v>0</v>
      </c>
      <c r="AG270" s="232">
        <f t="shared" si="58"/>
        <v>0</v>
      </c>
      <c r="AH270" s="232">
        <f t="shared" si="48"/>
        <v>0</v>
      </c>
      <c r="AI270" s="232"/>
    </row>
    <row r="271" spans="1:35" ht="27.6" x14ac:dyDescent="0.3">
      <c r="A271" s="46">
        <v>27</v>
      </c>
      <c r="B271" s="46" t="s">
        <v>121</v>
      </c>
      <c r="C271" s="46" t="s">
        <v>671</v>
      </c>
      <c r="D271" s="214" t="str">
        <f t="shared" si="49"/>
        <v>Do Not Print</v>
      </c>
      <c r="E271" s="214" t="s">
        <v>364</v>
      </c>
      <c r="F271" s="214" t="s">
        <v>364</v>
      </c>
      <c r="G271" s="214" t="s">
        <v>521</v>
      </c>
      <c r="H271" s="213" t="s">
        <v>521</v>
      </c>
      <c r="I271" s="230"/>
      <c r="J271" s="840">
        <v>0</v>
      </c>
      <c r="K271" s="840">
        <v>0</v>
      </c>
      <c r="L271" s="841">
        <f t="shared" si="52"/>
        <v>0</v>
      </c>
      <c r="M271" s="840">
        <v>0</v>
      </c>
      <c r="N271" s="840">
        <v>0</v>
      </c>
      <c r="O271" s="161">
        <f t="shared" si="53"/>
        <v>0</v>
      </c>
      <c r="P271" s="840">
        <v>0</v>
      </c>
      <c r="Q271" s="840">
        <v>0</v>
      </c>
      <c r="R271" s="841">
        <f t="shared" si="54"/>
        <v>0</v>
      </c>
      <c r="S271" s="840">
        <v>0</v>
      </c>
      <c r="T271" s="840">
        <v>0</v>
      </c>
      <c r="U271" s="161">
        <f t="shared" si="55"/>
        <v>0</v>
      </c>
      <c r="V271" s="841"/>
      <c r="W271" s="841"/>
      <c r="X271" s="841"/>
      <c r="Y271" s="233"/>
      <c r="Z271" s="233"/>
      <c r="AA271" s="233"/>
      <c r="AB271" s="213" t="s">
        <v>521</v>
      </c>
      <c r="AD271" s="232">
        <f t="shared" si="56"/>
        <v>0</v>
      </c>
      <c r="AE271" s="232">
        <f t="shared" si="57"/>
        <v>0</v>
      </c>
      <c r="AG271" s="232">
        <f t="shared" si="58"/>
        <v>0</v>
      </c>
      <c r="AH271" s="232">
        <f t="shared" si="48"/>
        <v>0</v>
      </c>
      <c r="AI271" s="232"/>
    </row>
    <row r="272" spans="1:35" ht="27.6" x14ac:dyDescent="0.3">
      <c r="A272" s="46">
        <v>27</v>
      </c>
      <c r="B272" s="46" t="s">
        <v>121</v>
      </c>
      <c r="C272" s="46" t="s">
        <v>671</v>
      </c>
      <c r="D272" s="214" t="str">
        <f t="shared" si="49"/>
        <v>Do Not Print</v>
      </c>
      <c r="E272" s="214" t="s">
        <v>364</v>
      </c>
      <c r="F272" s="214" t="s">
        <v>364</v>
      </c>
      <c r="G272" s="214" t="s">
        <v>370</v>
      </c>
      <c r="H272" s="214" t="s">
        <v>370</v>
      </c>
      <c r="I272" s="230"/>
      <c r="J272" s="840">
        <v>0</v>
      </c>
      <c r="K272" s="840">
        <v>0</v>
      </c>
      <c r="L272" s="841">
        <f t="shared" si="52"/>
        <v>0</v>
      </c>
      <c r="M272" s="840">
        <v>0</v>
      </c>
      <c r="N272" s="840">
        <v>0</v>
      </c>
      <c r="O272" s="161">
        <f t="shared" si="53"/>
        <v>0</v>
      </c>
      <c r="P272" s="840">
        <v>0</v>
      </c>
      <c r="Q272" s="840">
        <v>0</v>
      </c>
      <c r="R272" s="841">
        <f t="shared" si="54"/>
        <v>0</v>
      </c>
      <c r="S272" s="840">
        <v>0</v>
      </c>
      <c r="T272" s="840">
        <v>0</v>
      </c>
      <c r="U272" s="161">
        <f t="shared" si="55"/>
        <v>0</v>
      </c>
      <c r="V272" s="841"/>
      <c r="W272" s="841"/>
      <c r="X272" s="841"/>
      <c r="Y272" s="233"/>
      <c r="Z272" s="233"/>
      <c r="AA272" s="233"/>
      <c r="AB272" s="214" t="s">
        <v>370</v>
      </c>
      <c r="AD272" s="232">
        <f t="shared" si="56"/>
        <v>0</v>
      </c>
      <c r="AE272" s="232">
        <f t="shared" si="57"/>
        <v>0</v>
      </c>
      <c r="AG272" s="232">
        <f t="shared" si="58"/>
        <v>0</v>
      </c>
      <c r="AH272" s="232">
        <f t="shared" si="48"/>
        <v>0</v>
      </c>
      <c r="AI272" s="232"/>
    </row>
    <row r="273" spans="1:35" ht="27.6" x14ac:dyDescent="0.3">
      <c r="A273" s="46">
        <v>27</v>
      </c>
      <c r="B273" s="46" t="s">
        <v>121</v>
      </c>
      <c r="C273" s="46" t="s">
        <v>671</v>
      </c>
      <c r="D273" s="214" t="str">
        <f t="shared" si="49"/>
        <v>Do Not Print</v>
      </c>
      <c r="E273" s="214" t="s">
        <v>364</v>
      </c>
      <c r="F273" s="214" t="s">
        <v>364</v>
      </c>
      <c r="G273" s="214" t="s">
        <v>2812</v>
      </c>
      <c r="H273" s="214" t="s">
        <v>2812</v>
      </c>
      <c r="I273" s="230"/>
      <c r="J273" s="160">
        <v>0</v>
      </c>
      <c r="K273" s="840">
        <v>0</v>
      </c>
      <c r="L273" s="841">
        <f t="shared" si="52"/>
        <v>0</v>
      </c>
      <c r="M273" s="840">
        <v>0</v>
      </c>
      <c r="N273" s="840">
        <v>0</v>
      </c>
      <c r="O273" s="161">
        <f t="shared" si="53"/>
        <v>0</v>
      </c>
      <c r="P273" s="160">
        <v>0</v>
      </c>
      <c r="Q273" s="840">
        <v>0</v>
      </c>
      <c r="R273" s="841">
        <f t="shared" si="54"/>
        <v>0</v>
      </c>
      <c r="S273" s="840">
        <v>0</v>
      </c>
      <c r="T273" s="840">
        <v>0</v>
      </c>
      <c r="U273" s="161">
        <f t="shared" si="55"/>
        <v>0</v>
      </c>
      <c r="V273" s="841"/>
      <c r="W273" s="841"/>
      <c r="X273" s="841"/>
      <c r="Y273" s="233"/>
      <c r="Z273" s="233"/>
      <c r="AA273" s="233"/>
      <c r="AB273" s="214" t="s">
        <v>2812</v>
      </c>
      <c r="AD273" s="232">
        <f t="shared" si="56"/>
        <v>0</v>
      </c>
      <c r="AE273" s="232">
        <f t="shared" si="57"/>
        <v>0</v>
      </c>
      <c r="AG273" s="232">
        <f t="shared" si="58"/>
        <v>0</v>
      </c>
      <c r="AH273" s="232">
        <f t="shared" si="48"/>
        <v>0</v>
      </c>
      <c r="AI273" s="232"/>
    </row>
    <row r="274" spans="1:35" ht="27.6" x14ac:dyDescent="0.3">
      <c r="A274" s="46">
        <v>27</v>
      </c>
      <c r="B274" s="46" t="s">
        <v>121</v>
      </c>
      <c r="C274" s="46" t="s">
        <v>671</v>
      </c>
      <c r="D274" s="214" t="str">
        <f t="shared" si="49"/>
        <v>Do Not Print</v>
      </c>
      <c r="E274" s="214" t="s">
        <v>364</v>
      </c>
      <c r="F274" s="214" t="s">
        <v>364</v>
      </c>
      <c r="G274" s="214" t="s">
        <v>371</v>
      </c>
      <c r="H274" s="214" t="s">
        <v>371</v>
      </c>
      <c r="I274" s="230"/>
      <c r="J274" s="840">
        <v>0</v>
      </c>
      <c r="K274" s="840">
        <v>0</v>
      </c>
      <c r="L274" s="841">
        <f t="shared" si="52"/>
        <v>0</v>
      </c>
      <c r="M274" s="840">
        <v>0</v>
      </c>
      <c r="N274" s="840">
        <v>0</v>
      </c>
      <c r="O274" s="161">
        <f t="shared" si="53"/>
        <v>0</v>
      </c>
      <c r="P274" s="840">
        <v>0</v>
      </c>
      <c r="Q274" s="840">
        <v>0</v>
      </c>
      <c r="R274" s="841">
        <f t="shared" si="54"/>
        <v>0</v>
      </c>
      <c r="S274" s="840">
        <v>0</v>
      </c>
      <c r="T274" s="840">
        <v>0</v>
      </c>
      <c r="U274" s="161">
        <f t="shared" si="55"/>
        <v>0</v>
      </c>
      <c r="V274" s="841"/>
      <c r="W274" s="841"/>
      <c r="X274" s="841"/>
      <c r="Y274" s="233"/>
      <c r="Z274" s="233"/>
      <c r="AA274" s="233"/>
      <c r="AB274" s="214" t="s">
        <v>371</v>
      </c>
      <c r="AD274" s="232">
        <f t="shared" si="56"/>
        <v>0</v>
      </c>
      <c r="AE274" s="232">
        <f t="shared" si="57"/>
        <v>0</v>
      </c>
      <c r="AG274" s="232">
        <f t="shared" si="58"/>
        <v>0</v>
      </c>
      <c r="AH274" s="232">
        <f t="shared" si="48"/>
        <v>0</v>
      </c>
      <c r="AI274" s="232"/>
    </row>
    <row r="275" spans="1:35" ht="27.6" x14ac:dyDescent="0.3">
      <c r="A275" s="46">
        <v>27</v>
      </c>
      <c r="B275" s="46" t="s">
        <v>121</v>
      </c>
      <c r="C275" s="46" t="s">
        <v>671</v>
      </c>
      <c r="D275" s="214" t="str">
        <f t="shared" si="49"/>
        <v>Do Not Print</v>
      </c>
      <c r="E275" s="214" t="s">
        <v>364</v>
      </c>
      <c r="F275" s="214" t="s">
        <v>364</v>
      </c>
      <c r="G275" s="214" t="s">
        <v>372</v>
      </c>
      <c r="H275" s="214" t="s">
        <v>372</v>
      </c>
      <c r="I275" s="230"/>
      <c r="J275" s="840">
        <v>0</v>
      </c>
      <c r="K275" s="840">
        <v>0</v>
      </c>
      <c r="L275" s="841">
        <f t="shared" si="52"/>
        <v>0</v>
      </c>
      <c r="M275" s="840">
        <v>0</v>
      </c>
      <c r="N275" s="840">
        <v>0</v>
      </c>
      <c r="O275" s="161">
        <f t="shared" si="53"/>
        <v>0</v>
      </c>
      <c r="P275" s="840">
        <v>0</v>
      </c>
      <c r="Q275" s="840">
        <v>0</v>
      </c>
      <c r="R275" s="841">
        <f t="shared" si="54"/>
        <v>0</v>
      </c>
      <c r="S275" s="840">
        <v>0</v>
      </c>
      <c r="T275" s="840">
        <v>0</v>
      </c>
      <c r="U275" s="161">
        <f t="shared" si="55"/>
        <v>0</v>
      </c>
      <c r="V275" s="841"/>
      <c r="W275" s="841"/>
      <c r="X275" s="841"/>
      <c r="Y275" s="233"/>
      <c r="Z275" s="233"/>
      <c r="AA275" s="233"/>
      <c r="AB275" s="214" t="s">
        <v>372</v>
      </c>
      <c r="AD275" s="232">
        <f t="shared" si="56"/>
        <v>0</v>
      </c>
      <c r="AE275" s="232">
        <f t="shared" si="57"/>
        <v>0</v>
      </c>
      <c r="AG275" s="232">
        <f t="shared" si="58"/>
        <v>0</v>
      </c>
      <c r="AH275" s="232">
        <f t="shared" si="48"/>
        <v>0</v>
      </c>
      <c r="AI275" s="232"/>
    </row>
    <row r="276" spans="1:35" ht="27.6" x14ac:dyDescent="0.3">
      <c r="A276" s="46">
        <v>27</v>
      </c>
      <c r="B276" s="46" t="s">
        <v>121</v>
      </c>
      <c r="C276" s="46" t="s">
        <v>671</v>
      </c>
      <c r="D276" s="214" t="str">
        <f t="shared" si="49"/>
        <v>Do Not Print</v>
      </c>
      <c r="E276" s="214" t="s">
        <v>364</v>
      </c>
      <c r="F276" s="214" t="s">
        <v>364</v>
      </c>
      <c r="G276" s="214" t="s">
        <v>373</v>
      </c>
      <c r="H276" s="214" t="s">
        <v>373</v>
      </c>
      <c r="I276" s="230"/>
      <c r="J276" s="840">
        <v>0</v>
      </c>
      <c r="K276" s="840">
        <v>0</v>
      </c>
      <c r="L276" s="841">
        <f t="shared" si="52"/>
        <v>0</v>
      </c>
      <c r="M276" s="840">
        <v>0</v>
      </c>
      <c r="N276" s="840">
        <v>0</v>
      </c>
      <c r="O276" s="161">
        <f t="shared" si="53"/>
        <v>0</v>
      </c>
      <c r="P276" s="840">
        <v>0</v>
      </c>
      <c r="Q276" s="840">
        <v>0</v>
      </c>
      <c r="R276" s="841">
        <f t="shared" si="54"/>
        <v>0</v>
      </c>
      <c r="S276" s="840">
        <v>0</v>
      </c>
      <c r="T276" s="840">
        <v>0</v>
      </c>
      <c r="U276" s="161">
        <f t="shared" si="55"/>
        <v>0</v>
      </c>
      <c r="V276" s="841"/>
      <c r="W276" s="841"/>
      <c r="X276" s="841"/>
      <c r="Y276" s="233"/>
      <c r="Z276" s="233"/>
      <c r="AA276" s="233"/>
      <c r="AB276" s="214" t="s">
        <v>373</v>
      </c>
      <c r="AD276" s="232">
        <f t="shared" si="56"/>
        <v>0</v>
      </c>
      <c r="AE276" s="232">
        <f t="shared" si="57"/>
        <v>0</v>
      </c>
      <c r="AG276" s="232">
        <f t="shared" si="58"/>
        <v>0</v>
      </c>
      <c r="AH276" s="232">
        <f t="shared" si="48"/>
        <v>0</v>
      </c>
      <c r="AI276" s="232"/>
    </row>
    <row r="277" spans="1:35" ht="27.6" x14ac:dyDescent="0.3">
      <c r="A277" s="46">
        <v>27</v>
      </c>
      <c r="B277" s="46" t="s">
        <v>121</v>
      </c>
      <c r="C277" s="46" t="s">
        <v>671</v>
      </c>
      <c r="D277" s="214" t="str">
        <f t="shared" si="49"/>
        <v>Do Not Print</v>
      </c>
      <c r="E277" s="214" t="s">
        <v>364</v>
      </c>
      <c r="F277" s="214" t="s">
        <v>364</v>
      </c>
      <c r="G277" s="214" t="s">
        <v>374</v>
      </c>
      <c r="H277" s="214" t="s">
        <v>374</v>
      </c>
      <c r="I277" s="230"/>
      <c r="J277" s="840">
        <v>0</v>
      </c>
      <c r="K277" s="840">
        <v>0</v>
      </c>
      <c r="L277" s="841">
        <f t="shared" si="52"/>
        <v>0</v>
      </c>
      <c r="M277" s="840">
        <v>0</v>
      </c>
      <c r="N277" s="840">
        <v>0</v>
      </c>
      <c r="O277" s="161">
        <f t="shared" si="53"/>
        <v>0</v>
      </c>
      <c r="P277" s="840">
        <v>0</v>
      </c>
      <c r="Q277" s="840">
        <v>0</v>
      </c>
      <c r="R277" s="841">
        <f t="shared" si="54"/>
        <v>0</v>
      </c>
      <c r="S277" s="840">
        <v>0</v>
      </c>
      <c r="T277" s="840">
        <v>0</v>
      </c>
      <c r="U277" s="161">
        <f t="shared" si="55"/>
        <v>0</v>
      </c>
      <c r="V277" s="841"/>
      <c r="W277" s="841"/>
      <c r="X277" s="841"/>
      <c r="Y277" s="233"/>
      <c r="Z277" s="233"/>
      <c r="AA277" s="233"/>
      <c r="AB277" s="214" t="s">
        <v>374</v>
      </c>
      <c r="AD277" s="232">
        <f t="shared" si="56"/>
        <v>0</v>
      </c>
      <c r="AE277" s="232">
        <f t="shared" si="57"/>
        <v>0</v>
      </c>
      <c r="AG277" s="232">
        <f t="shared" si="58"/>
        <v>0</v>
      </c>
      <c r="AH277" s="232">
        <f t="shared" si="48"/>
        <v>0</v>
      </c>
      <c r="AI277" s="232"/>
    </row>
    <row r="278" spans="1:35" ht="27.6" x14ac:dyDescent="0.3">
      <c r="A278" s="46">
        <v>27</v>
      </c>
      <c r="B278" s="46" t="s">
        <v>121</v>
      </c>
      <c r="C278" s="46" t="s">
        <v>671</v>
      </c>
      <c r="D278" s="214" t="str">
        <f t="shared" si="49"/>
        <v>Do Not Print</v>
      </c>
      <c r="E278" s="214" t="s">
        <v>364</v>
      </c>
      <c r="F278" s="214" t="s">
        <v>364</v>
      </c>
      <c r="G278" s="214" t="s">
        <v>2750</v>
      </c>
      <c r="H278" s="214" t="s">
        <v>2750</v>
      </c>
      <c r="I278" s="230"/>
      <c r="J278" s="840"/>
      <c r="K278" s="840"/>
      <c r="L278" s="841"/>
      <c r="M278" s="840"/>
      <c r="N278" s="840"/>
      <c r="O278" s="161"/>
      <c r="P278" s="840"/>
      <c r="Q278" s="840"/>
      <c r="R278" s="841"/>
      <c r="S278" s="840"/>
      <c r="T278" s="840"/>
      <c r="U278" s="161"/>
      <c r="V278" s="841"/>
      <c r="W278" s="841"/>
      <c r="X278" s="841"/>
      <c r="Y278" s="233"/>
      <c r="Z278" s="233"/>
      <c r="AA278" s="233"/>
      <c r="AD278" s="232"/>
      <c r="AE278" s="232"/>
      <c r="AG278" s="232"/>
      <c r="AH278" s="232"/>
      <c r="AI278" s="232"/>
    </row>
    <row r="279" spans="1:35" ht="27.6" x14ac:dyDescent="0.3">
      <c r="A279" s="46">
        <v>28</v>
      </c>
      <c r="B279" s="46" t="s">
        <v>2752</v>
      </c>
      <c r="C279" s="46" t="s">
        <v>671</v>
      </c>
      <c r="D279" s="214" t="str">
        <f t="shared" si="49"/>
        <v>Do Not Print</v>
      </c>
      <c r="E279" s="214" t="s">
        <v>589</v>
      </c>
      <c r="F279" s="214" t="s">
        <v>589</v>
      </c>
      <c r="G279" s="214" t="s">
        <v>2363</v>
      </c>
      <c r="H279" s="214" t="s">
        <v>2363</v>
      </c>
      <c r="I279" s="230"/>
      <c r="J279" s="840"/>
      <c r="K279" s="840"/>
      <c r="L279" s="841"/>
      <c r="M279" s="840"/>
      <c r="N279" s="840"/>
      <c r="O279" s="161"/>
      <c r="P279" s="840"/>
      <c r="Q279" s="840"/>
      <c r="R279" s="841"/>
      <c r="S279" s="840"/>
      <c r="T279" s="840"/>
      <c r="U279" s="161"/>
      <c r="V279" s="841"/>
      <c r="W279" s="841"/>
      <c r="X279" s="841"/>
      <c r="Y279" s="233"/>
      <c r="Z279" s="233"/>
      <c r="AA279" s="233"/>
      <c r="AD279" s="232"/>
      <c r="AE279" s="232"/>
      <c r="AG279" s="232"/>
      <c r="AH279" s="232"/>
      <c r="AI279" s="232"/>
    </row>
    <row r="280" spans="1:35" ht="27.6" x14ac:dyDescent="0.3">
      <c r="A280" s="46">
        <v>29</v>
      </c>
      <c r="B280" s="46" t="s">
        <v>2753</v>
      </c>
      <c r="C280" s="46" t="s">
        <v>671</v>
      </c>
      <c r="D280" s="214" t="str">
        <f t="shared" si="49"/>
        <v>Do Not Print</v>
      </c>
      <c r="E280" s="214" t="s">
        <v>589</v>
      </c>
      <c r="F280" s="214" t="s">
        <v>589</v>
      </c>
      <c r="G280" s="214" t="s">
        <v>2692</v>
      </c>
      <c r="H280" s="214" t="s">
        <v>2692</v>
      </c>
      <c r="I280" s="230"/>
      <c r="J280" s="840"/>
      <c r="K280" s="840"/>
      <c r="L280" s="841"/>
      <c r="M280" s="840"/>
      <c r="N280" s="840"/>
      <c r="O280" s="161"/>
      <c r="P280" s="840"/>
      <c r="Q280" s="840"/>
      <c r="R280" s="841"/>
      <c r="S280" s="840"/>
      <c r="T280" s="840"/>
      <c r="U280" s="161"/>
      <c r="V280" s="841"/>
      <c r="W280" s="841"/>
      <c r="X280" s="841"/>
      <c r="Y280" s="233"/>
      <c r="Z280" s="233"/>
      <c r="AA280" s="233"/>
      <c r="AD280" s="232"/>
      <c r="AE280" s="232"/>
      <c r="AG280" s="232"/>
      <c r="AH280" s="232"/>
      <c r="AI280" s="232"/>
    </row>
    <row r="281" spans="1:35" ht="27.6" x14ac:dyDescent="0.3">
      <c r="A281" s="46">
        <v>30</v>
      </c>
      <c r="B281" s="46" t="s">
        <v>122</v>
      </c>
      <c r="C281" s="46" t="s">
        <v>671</v>
      </c>
      <c r="D281" s="214" t="str">
        <f t="shared" si="49"/>
        <v>Do Not Print</v>
      </c>
      <c r="E281" s="214" t="s">
        <v>375</v>
      </c>
      <c r="F281" s="214" t="s">
        <v>296</v>
      </c>
      <c r="G281" s="46" t="s">
        <v>296</v>
      </c>
      <c r="H281" s="235" t="s">
        <v>1920</v>
      </c>
      <c r="I281" s="230">
        <v>14</v>
      </c>
      <c r="J281" s="840">
        <v>0</v>
      </c>
      <c r="K281" s="840">
        <v>0</v>
      </c>
      <c r="L281" s="841">
        <f t="shared" si="52"/>
        <v>0</v>
      </c>
      <c r="M281" s="840">
        <v>0</v>
      </c>
      <c r="N281" s="840">
        <v>0</v>
      </c>
      <c r="O281" s="161">
        <f t="shared" si="53"/>
        <v>0</v>
      </c>
      <c r="P281" s="840">
        <v>0</v>
      </c>
      <c r="Q281" s="840">
        <v>0</v>
      </c>
      <c r="R281" s="841">
        <f t="shared" si="54"/>
        <v>0</v>
      </c>
      <c r="S281" s="840">
        <v>0</v>
      </c>
      <c r="T281" s="840">
        <v>0</v>
      </c>
      <c r="U281" s="161">
        <f t="shared" si="55"/>
        <v>0</v>
      </c>
      <c r="V281" s="840">
        <v>0</v>
      </c>
      <c r="W281" s="840">
        <v>0</v>
      </c>
      <c r="X281" s="841">
        <f>SUM(V281:W281)</f>
        <v>0</v>
      </c>
      <c r="Y281" s="231">
        <v>0</v>
      </c>
      <c r="Z281" s="231">
        <v>0</v>
      </c>
      <c r="AA281" s="232">
        <f>X281+SUM(Y281:Z281)</f>
        <v>0</v>
      </c>
      <c r="AB281" s="213" t="s">
        <v>1593</v>
      </c>
      <c r="AD281" s="232">
        <f t="shared" si="56"/>
        <v>0</v>
      </c>
      <c r="AE281" s="232">
        <f t="shared" si="57"/>
        <v>0</v>
      </c>
      <c r="AF281" s="232">
        <f>ROUND(X281,0)</f>
        <v>0</v>
      </c>
      <c r="AG281" s="232">
        <f t="shared" si="58"/>
        <v>0</v>
      </c>
      <c r="AH281" s="232">
        <f t="shared" si="48"/>
        <v>0</v>
      </c>
      <c r="AI281" s="232">
        <f>ROUND(AA281,0)</f>
        <v>0</v>
      </c>
    </row>
    <row r="282" spans="1:35" ht="27.6" x14ac:dyDescent="0.3">
      <c r="A282" s="46">
        <v>30</v>
      </c>
      <c r="B282" s="46" t="s">
        <v>122</v>
      </c>
      <c r="C282" s="46" t="s">
        <v>671</v>
      </c>
      <c r="D282" s="214" t="str">
        <f t="shared" ref="D282:D331" si="59">IF(AND(O282=0,U282=0,V282=0),"Do Not Print","Print")</f>
        <v>Do Not Print</v>
      </c>
      <c r="E282" s="214" t="s">
        <v>375</v>
      </c>
      <c r="F282" s="214" t="s">
        <v>296</v>
      </c>
      <c r="G282" s="46" t="s">
        <v>296</v>
      </c>
      <c r="H282" s="235" t="s">
        <v>379</v>
      </c>
      <c r="I282" s="230">
        <v>14</v>
      </c>
      <c r="J282" s="840">
        <v>0</v>
      </c>
      <c r="K282" s="840">
        <v>0</v>
      </c>
      <c r="L282" s="841">
        <f t="shared" si="52"/>
        <v>0</v>
      </c>
      <c r="M282" s="840">
        <v>0</v>
      </c>
      <c r="N282" s="840">
        <v>0</v>
      </c>
      <c r="O282" s="161">
        <f t="shared" si="53"/>
        <v>0</v>
      </c>
      <c r="P282" s="840">
        <v>0</v>
      </c>
      <c r="Q282" s="840">
        <v>0</v>
      </c>
      <c r="R282" s="841">
        <f t="shared" si="54"/>
        <v>0</v>
      </c>
      <c r="S282" s="840">
        <v>0</v>
      </c>
      <c r="T282" s="840">
        <v>0</v>
      </c>
      <c r="U282" s="161">
        <f t="shared" si="55"/>
        <v>0</v>
      </c>
      <c r="V282" s="840">
        <v>0</v>
      </c>
      <c r="W282" s="840">
        <v>0</v>
      </c>
      <c r="X282" s="841">
        <f t="shared" ref="X282:X341" si="60">SUM(V282:W282)</f>
        <v>0</v>
      </c>
      <c r="Y282" s="231">
        <v>0</v>
      </c>
      <c r="Z282" s="231">
        <v>0</v>
      </c>
      <c r="AA282" s="232">
        <f t="shared" ref="AA282:AA341" si="61">X282+SUM(Y282:Z282)</f>
        <v>0</v>
      </c>
      <c r="AB282" s="213" t="s">
        <v>1594</v>
      </c>
      <c r="AD282" s="232">
        <f t="shared" si="56"/>
        <v>0</v>
      </c>
      <c r="AE282" s="232">
        <f t="shared" si="57"/>
        <v>0</v>
      </c>
      <c r="AF282" s="232">
        <f t="shared" ref="AF282:AF341" si="62">ROUND(X282,0)</f>
        <v>0</v>
      </c>
      <c r="AG282" s="232">
        <f t="shared" si="58"/>
        <v>0</v>
      </c>
      <c r="AH282" s="232">
        <f t="shared" si="48"/>
        <v>0</v>
      </c>
      <c r="AI282" s="232">
        <f t="shared" ref="AI282:AI309" si="63">ROUND(AA282,0)</f>
        <v>0</v>
      </c>
    </row>
    <row r="283" spans="1:35" ht="27.6" x14ac:dyDescent="0.3">
      <c r="A283" s="46">
        <v>30</v>
      </c>
      <c r="B283" s="46" t="s">
        <v>122</v>
      </c>
      <c r="C283" s="46" t="s">
        <v>671</v>
      </c>
      <c r="D283" s="214" t="str">
        <f>IF(AND(O283=0,U283=0,V283=0),"Do Not Print","Print")</f>
        <v>Do Not Print</v>
      </c>
      <c r="E283" s="214" t="s">
        <v>375</v>
      </c>
      <c r="F283" s="214" t="s">
        <v>296</v>
      </c>
      <c r="G283" s="46" t="s">
        <v>296</v>
      </c>
      <c r="H283" s="235" t="s">
        <v>1595</v>
      </c>
      <c r="I283" s="230"/>
      <c r="J283" s="840">
        <v>0</v>
      </c>
      <c r="K283" s="840">
        <v>0</v>
      </c>
      <c r="L283" s="841">
        <f t="shared" si="52"/>
        <v>0</v>
      </c>
      <c r="M283" s="840">
        <v>0</v>
      </c>
      <c r="N283" s="840">
        <v>0</v>
      </c>
      <c r="O283" s="161">
        <f t="shared" si="53"/>
        <v>0</v>
      </c>
      <c r="P283" s="160">
        <v>0</v>
      </c>
      <c r="Q283" s="840">
        <v>0</v>
      </c>
      <c r="R283" s="841">
        <f t="shared" si="54"/>
        <v>0</v>
      </c>
      <c r="S283" s="840">
        <v>0</v>
      </c>
      <c r="T283" s="840">
        <v>0</v>
      </c>
      <c r="U283" s="161">
        <f t="shared" si="55"/>
        <v>0</v>
      </c>
      <c r="V283" s="840">
        <v>0</v>
      </c>
      <c r="W283" s="840">
        <v>0</v>
      </c>
      <c r="X283" s="841">
        <f t="shared" si="60"/>
        <v>0</v>
      </c>
      <c r="Y283" s="231">
        <v>0</v>
      </c>
      <c r="Z283" s="231">
        <v>0</v>
      </c>
      <c r="AA283" s="232">
        <f t="shared" si="61"/>
        <v>0</v>
      </c>
      <c r="AB283" s="213" t="s">
        <v>1595</v>
      </c>
      <c r="AD283" s="232">
        <f t="shared" si="56"/>
        <v>0</v>
      </c>
      <c r="AE283" s="232">
        <f t="shared" si="57"/>
        <v>0</v>
      </c>
      <c r="AF283" s="232">
        <f t="shared" si="62"/>
        <v>0</v>
      </c>
      <c r="AG283" s="232">
        <f>ROUND(O283,0)</f>
        <v>0</v>
      </c>
      <c r="AH283" s="232">
        <f>ROUND(U283,0)</f>
        <v>0</v>
      </c>
      <c r="AI283" s="232">
        <f>ROUND(AA283,0)</f>
        <v>0</v>
      </c>
    </row>
    <row r="284" spans="1:35" ht="27.6" x14ac:dyDescent="0.3">
      <c r="A284" s="46">
        <v>30</v>
      </c>
      <c r="B284" s="46" t="s">
        <v>122</v>
      </c>
      <c r="C284" s="46" t="s">
        <v>671</v>
      </c>
      <c r="D284" s="214" t="str">
        <f>IF(AND(O284=0,U284=0,V284=0),"Do Not Print","Print")</f>
        <v>Do Not Print</v>
      </c>
      <c r="E284" s="214" t="s">
        <v>375</v>
      </c>
      <c r="F284" s="214" t="s">
        <v>296</v>
      </c>
      <c r="G284" s="46" t="s">
        <v>296</v>
      </c>
      <c r="H284" s="235" t="s">
        <v>1596</v>
      </c>
      <c r="I284" s="230"/>
      <c r="J284" s="840">
        <v>0</v>
      </c>
      <c r="K284" s="840">
        <v>0</v>
      </c>
      <c r="L284" s="841">
        <f t="shared" si="52"/>
        <v>0</v>
      </c>
      <c r="M284" s="840">
        <v>0</v>
      </c>
      <c r="N284" s="840">
        <v>0</v>
      </c>
      <c r="O284" s="161">
        <f t="shared" si="53"/>
        <v>0</v>
      </c>
      <c r="P284" s="160">
        <v>0</v>
      </c>
      <c r="Q284" s="840">
        <v>0</v>
      </c>
      <c r="R284" s="841">
        <f t="shared" si="54"/>
        <v>0</v>
      </c>
      <c r="S284" s="840">
        <v>0</v>
      </c>
      <c r="T284" s="840">
        <v>0</v>
      </c>
      <c r="U284" s="161">
        <f t="shared" si="55"/>
        <v>0</v>
      </c>
      <c r="V284" s="840">
        <v>0</v>
      </c>
      <c r="W284" s="840">
        <v>0</v>
      </c>
      <c r="X284" s="841">
        <f t="shared" si="60"/>
        <v>0</v>
      </c>
      <c r="Y284" s="231">
        <v>0</v>
      </c>
      <c r="Z284" s="231">
        <v>0</v>
      </c>
      <c r="AA284" s="232">
        <f t="shared" si="61"/>
        <v>0</v>
      </c>
      <c r="AB284" s="213" t="s">
        <v>1596</v>
      </c>
      <c r="AD284" s="232">
        <f t="shared" si="56"/>
        <v>0</v>
      </c>
      <c r="AE284" s="232">
        <f t="shared" si="57"/>
        <v>0</v>
      </c>
      <c r="AF284" s="232">
        <f t="shared" si="62"/>
        <v>0</v>
      </c>
      <c r="AG284" s="232">
        <f>ROUND(O284,0)</f>
        <v>0</v>
      </c>
      <c r="AH284" s="232">
        <f>ROUND(U284,0)</f>
        <v>0</v>
      </c>
      <c r="AI284" s="232">
        <f>ROUND(AA284,0)</f>
        <v>0</v>
      </c>
    </row>
    <row r="285" spans="1:35" ht="27.6" x14ac:dyDescent="0.3">
      <c r="A285" s="46">
        <v>30</v>
      </c>
      <c r="B285" s="46" t="s">
        <v>122</v>
      </c>
      <c r="C285" s="46" t="s">
        <v>671</v>
      </c>
      <c r="D285" s="214" t="str">
        <f>IF(AND(O285=0,U285=0,V285=0),"Do Not Print","Print")</f>
        <v>Do Not Print</v>
      </c>
      <c r="E285" s="214" t="s">
        <v>375</v>
      </c>
      <c r="F285" s="214" t="s">
        <v>296</v>
      </c>
      <c r="G285" s="46" t="s">
        <v>296</v>
      </c>
      <c r="H285" s="235" t="s">
        <v>1597</v>
      </c>
      <c r="I285" s="230"/>
      <c r="J285" s="840">
        <v>0</v>
      </c>
      <c r="K285" s="840">
        <v>0</v>
      </c>
      <c r="L285" s="841">
        <f t="shared" si="52"/>
        <v>0</v>
      </c>
      <c r="M285" s="840">
        <v>0</v>
      </c>
      <c r="N285" s="840">
        <v>0</v>
      </c>
      <c r="O285" s="161">
        <f t="shared" si="53"/>
        <v>0</v>
      </c>
      <c r="P285" s="160">
        <v>0</v>
      </c>
      <c r="Q285" s="840">
        <v>0</v>
      </c>
      <c r="R285" s="841">
        <f t="shared" si="54"/>
        <v>0</v>
      </c>
      <c r="S285" s="840">
        <v>0</v>
      </c>
      <c r="T285" s="840">
        <v>0</v>
      </c>
      <c r="U285" s="161">
        <f t="shared" si="55"/>
        <v>0</v>
      </c>
      <c r="V285" s="840">
        <v>0</v>
      </c>
      <c r="W285" s="840">
        <v>0</v>
      </c>
      <c r="X285" s="841">
        <f t="shared" si="60"/>
        <v>0</v>
      </c>
      <c r="Y285" s="231">
        <v>0</v>
      </c>
      <c r="Z285" s="231">
        <v>0</v>
      </c>
      <c r="AA285" s="232">
        <f t="shared" si="61"/>
        <v>0</v>
      </c>
      <c r="AB285" s="213" t="s">
        <v>1597</v>
      </c>
      <c r="AD285" s="232">
        <f t="shared" si="56"/>
        <v>0</v>
      </c>
      <c r="AE285" s="232">
        <f t="shared" si="57"/>
        <v>0</v>
      </c>
      <c r="AF285" s="232">
        <f t="shared" si="62"/>
        <v>0</v>
      </c>
      <c r="AG285" s="232">
        <f>ROUND(O285,0)</f>
        <v>0</v>
      </c>
      <c r="AH285" s="232">
        <f>ROUND(U285,0)</f>
        <v>0</v>
      </c>
      <c r="AI285" s="232">
        <f>ROUND(AA285,0)</f>
        <v>0</v>
      </c>
    </row>
    <row r="286" spans="1:35" ht="27.6" x14ac:dyDescent="0.3">
      <c r="A286" s="46">
        <v>30</v>
      </c>
      <c r="B286" s="46" t="s">
        <v>122</v>
      </c>
      <c r="C286" s="46" t="s">
        <v>671</v>
      </c>
      <c r="D286" s="214" t="str">
        <f>IF(AND(O286=0,U286=0,V286=0),"Do Not Print","Print")</f>
        <v>Do Not Print</v>
      </c>
      <c r="E286" s="214" t="s">
        <v>375</v>
      </c>
      <c r="F286" s="214" t="s">
        <v>296</v>
      </c>
      <c r="G286" s="46" t="s">
        <v>296</v>
      </c>
      <c r="H286" s="235" t="s">
        <v>1598</v>
      </c>
      <c r="I286" s="230"/>
      <c r="J286" s="840">
        <v>0</v>
      </c>
      <c r="K286" s="840">
        <v>0</v>
      </c>
      <c r="L286" s="841">
        <f t="shared" si="52"/>
        <v>0</v>
      </c>
      <c r="M286" s="840">
        <v>0</v>
      </c>
      <c r="N286" s="840">
        <v>0</v>
      </c>
      <c r="O286" s="161">
        <f t="shared" si="53"/>
        <v>0</v>
      </c>
      <c r="P286" s="840">
        <v>0</v>
      </c>
      <c r="Q286" s="840">
        <v>0</v>
      </c>
      <c r="R286" s="841">
        <f t="shared" si="54"/>
        <v>0</v>
      </c>
      <c r="S286" s="840">
        <v>0</v>
      </c>
      <c r="T286" s="840">
        <v>0</v>
      </c>
      <c r="U286" s="161">
        <f t="shared" si="55"/>
        <v>0</v>
      </c>
      <c r="V286" s="840">
        <v>0</v>
      </c>
      <c r="W286" s="840">
        <v>0</v>
      </c>
      <c r="X286" s="841">
        <f t="shared" si="60"/>
        <v>0</v>
      </c>
      <c r="Y286" s="231">
        <v>0</v>
      </c>
      <c r="Z286" s="231">
        <v>0</v>
      </c>
      <c r="AA286" s="232">
        <f t="shared" si="61"/>
        <v>0</v>
      </c>
      <c r="AB286" s="213" t="s">
        <v>1598</v>
      </c>
      <c r="AD286" s="232">
        <f t="shared" si="56"/>
        <v>0</v>
      </c>
      <c r="AE286" s="232">
        <f t="shared" si="57"/>
        <v>0</v>
      </c>
      <c r="AF286" s="232">
        <f t="shared" si="62"/>
        <v>0</v>
      </c>
      <c r="AG286" s="232">
        <f>ROUND(O286,0)</f>
        <v>0</v>
      </c>
      <c r="AH286" s="232">
        <f>ROUND(U286,0)</f>
        <v>0</v>
      </c>
      <c r="AI286" s="232">
        <f>ROUND(AA286,0)</f>
        <v>0</v>
      </c>
    </row>
    <row r="287" spans="1:35" ht="15.75" customHeight="1" x14ac:dyDescent="0.3">
      <c r="A287" s="46">
        <v>31</v>
      </c>
      <c r="B287" s="46" t="s">
        <v>123</v>
      </c>
      <c r="C287" s="46" t="s">
        <v>671</v>
      </c>
      <c r="D287" s="214" t="str">
        <f t="shared" si="59"/>
        <v>Do Not Print</v>
      </c>
      <c r="E287" s="214" t="s">
        <v>375</v>
      </c>
      <c r="F287" s="214" t="s">
        <v>376</v>
      </c>
      <c r="G287" s="214" t="s">
        <v>365</v>
      </c>
      <c r="H287" s="214" t="s">
        <v>365</v>
      </c>
      <c r="I287" s="230">
        <v>15</v>
      </c>
      <c r="J287" s="840">
        <v>0</v>
      </c>
      <c r="K287" s="840">
        <v>0</v>
      </c>
      <c r="L287" s="841">
        <f t="shared" si="52"/>
        <v>0</v>
      </c>
      <c r="M287" s="840">
        <v>0</v>
      </c>
      <c r="N287" s="840">
        <v>0</v>
      </c>
      <c r="O287" s="161">
        <f t="shared" si="53"/>
        <v>0</v>
      </c>
      <c r="P287" s="840">
        <v>0</v>
      </c>
      <c r="Q287" s="840">
        <v>0</v>
      </c>
      <c r="R287" s="841">
        <f t="shared" si="54"/>
        <v>0</v>
      </c>
      <c r="S287" s="840">
        <v>0</v>
      </c>
      <c r="T287" s="840">
        <v>0</v>
      </c>
      <c r="U287" s="161">
        <f t="shared" si="55"/>
        <v>0</v>
      </c>
      <c r="V287" s="840">
        <v>0</v>
      </c>
      <c r="W287" s="840">
        <v>0</v>
      </c>
      <c r="X287" s="841">
        <f t="shared" si="60"/>
        <v>0</v>
      </c>
      <c r="Y287" s="231">
        <v>0</v>
      </c>
      <c r="Z287" s="231">
        <v>0</v>
      </c>
      <c r="AA287" s="232">
        <f t="shared" si="61"/>
        <v>0</v>
      </c>
      <c r="AB287" s="214" t="s">
        <v>365</v>
      </c>
      <c r="AD287" s="232">
        <f t="shared" si="56"/>
        <v>0</v>
      </c>
      <c r="AE287" s="232">
        <f t="shared" si="57"/>
        <v>0</v>
      </c>
      <c r="AF287" s="232">
        <f t="shared" si="62"/>
        <v>0</v>
      </c>
      <c r="AG287" s="232">
        <f t="shared" si="58"/>
        <v>0</v>
      </c>
      <c r="AH287" s="232">
        <f t="shared" si="48"/>
        <v>0</v>
      </c>
      <c r="AI287" s="232">
        <f t="shared" si="63"/>
        <v>0</v>
      </c>
    </row>
    <row r="288" spans="1:35" ht="15.75" customHeight="1" x14ac:dyDescent="0.3">
      <c r="A288" s="46">
        <v>31</v>
      </c>
      <c r="B288" s="46" t="s">
        <v>123</v>
      </c>
      <c r="C288" s="46" t="s">
        <v>671</v>
      </c>
      <c r="D288" s="214" t="str">
        <f t="shared" si="59"/>
        <v>Do Not Print</v>
      </c>
      <c r="E288" s="214" t="s">
        <v>375</v>
      </c>
      <c r="F288" s="214" t="s">
        <v>376</v>
      </c>
      <c r="G288" s="214" t="s">
        <v>366</v>
      </c>
      <c r="H288" s="214" t="s">
        <v>366</v>
      </c>
      <c r="I288" s="230">
        <v>15</v>
      </c>
      <c r="J288" s="840">
        <v>0</v>
      </c>
      <c r="K288" s="840">
        <v>0</v>
      </c>
      <c r="L288" s="841">
        <f t="shared" si="52"/>
        <v>0</v>
      </c>
      <c r="M288" s="840">
        <v>0</v>
      </c>
      <c r="N288" s="840">
        <v>0</v>
      </c>
      <c r="O288" s="161">
        <f t="shared" si="53"/>
        <v>0</v>
      </c>
      <c r="P288" s="840">
        <v>0</v>
      </c>
      <c r="Q288" s="840">
        <v>0</v>
      </c>
      <c r="R288" s="841">
        <f t="shared" si="54"/>
        <v>0</v>
      </c>
      <c r="S288" s="840">
        <v>0</v>
      </c>
      <c r="T288" s="840">
        <v>0</v>
      </c>
      <c r="U288" s="161">
        <f t="shared" si="55"/>
        <v>0</v>
      </c>
      <c r="V288" s="840">
        <v>0</v>
      </c>
      <c r="W288" s="840">
        <v>0</v>
      </c>
      <c r="X288" s="841">
        <f t="shared" si="60"/>
        <v>0</v>
      </c>
      <c r="Y288" s="231">
        <v>0</v>
      </c>
      <c r="Z288" s="231">
        <v>0</v>
      </c>
      <c r="AA288" s="232">
        <f t="shared" si="61"/>
        <v>0</v>
      </c>
      <c r="AB288" s="214" t="s">
        <v>366</v>
      </c>
      <c r="AD288" s="232">
        <f t="shared" si="56"/>
        <v>0</v>
      </c>
      <c r="AE288" s="232">
        <f t="shared" si="57"/>
        <v>0</v>
      </c>
      <c r="AF288" s="232">
        <f t="shared" si="62"/>
        <v>0</v>
      </c>
      <c r="AG288" s="232">
        <f t="shared" si="58"/>
        <v>0</v>
      </c>
      <c r="AH288" s="232">
        <f t="shared" si="48"/>
        <v>0</v>
      </c>
      <c r="AI288" s="232">
        <f t="shared" si="63"/>
        <v>0</v>
      </c>
    </row>
    <row r="289" spans="1:35" ht="15.75" customHeight="1" x14ac:dyDescent="0.3">
      <c r="A289" s="46">
        <v>31</v>
      </c>
      <c r="B289" s="46" t="s">
        <v>123</v>
      </c>
      <c r="C289" s="46" t="s">
        <v>671</v>
      </c>
      <c r="D289" s="214" t="str">
        <f t="shared" si="59"/>
        <v>Do Not Print</v>
      </c>
      <c r="E289" s="214" t="s">
        <v>375</v>
      </c>
      <c r="F289" s="214" t="s">
        <v>376</v>
      </c>
      <c r="G289" s="214" t="s">
        <v>367</v>
      </c>
      <c r="H289" s="214" t="s">
        <v>367</v>
      </c>
      <c r="I289" s="230"/>
      <c r="J289" s="840">
        <v>0</v>
      </c>
      <c r="K289" s="840">
        <v>0</v>
      </c>
      <c r="L289" s="841">
        <f t="shared" si="52"/>
        <v>0</v>
      </c>
      <c r="M289" s="840">
        <v>0</v>
      </c>
      <c r="N289" s="840">
        <v>0</v>
      </c>
      <c r="O289" s="161">
        <f t="shared" si="53"/>
        <v>0</v>
      </c>
      <c r="P289" s="840">
        <v>0</v>
      </c>
      <c r="Q289" s="840">
        <v>0</v>
      </c>
      <c r="R289" s="841">
        <f t="shared" si="54"/>
        <v>0</v>
      </c>
      <c r="S289" s="840">
        <v>0</v>
      </c>
      <c r="T289" s="840">
        <v>0</v>
      </c>
      <c r="U289" s="161">
        <f t="shared" si="55"/>
        <v>0</v>
      </c>
      <c r="V289" s="840">
        <v>0</v>
      </c>
      <c r="W289" s="840">
        <v>0</v>
      </c>
      <c r="X289" s="841">
        <f t="shared" si="60"/>
        <v>0</v>
      </c>
      <c r="Y289" s="231">
        <v>0</v>
      </c>
      <c r="Z289" s="231">
        <v>0</v>
      </c>
      <c r="AA289" s="232">
        <f t="shared" si="61"/>
        <v>0</v>
      </c>
      <c r="AB289" s="214" t="s">
        <v>367</v>
      </c>
      <c r="AD289" s="232">
        <f t="shared" si="56"/>
        <v>0</v>
      </c>
      <c r="AE289" s="232">
        <f t="shared" si="57"/>
        <v>0</v>
      </c>
      <c r="AF289" s="232">
        <f t="shared" si="62"/>
        <v>0</v>
      </c>
      <c r="AG289" s="232">
        <f t="shared" si="58"/>
        <v>0</v>
      </c>
      <c r="AH289" s="232">
        <f t="shared" si="48"/>
        <v>0</v>
      </c>
      <c r="AI289" s="232">
        <f t="shared" si="63"/>
        <v>0</v>
      </c>
    </row>
    <row r="290" spans="1:35" ht="15.75" customHeight="1" x14ac:dyDescent="0.3">
      <c r="A290" s="46">
        <v>31</v>
      </c>
      <c r="B290" s="46" t="s">
        <v>123</v>
      </c>
      <c r="C290" s="46" t="s">
        <v>671</v>
      </c>
      <c r="D290" s="214" t="str">
        <f t="shared" si="59"/>
        <v>Do Not Print</v>
      </c>
      <c r="E290" s="214" t="s">
        <v>375</v>
      </c>
      <c r="F290" s="214" t="s">
        <v>376</v>
      </c>
      <c r="G290" s="214" t="s">
        <v>368</v>
      </c>
      <c r="H290" s="214" t="s">
        <v>368</v>
      </c>
      <c r="I290" s="230"/>
      <c r="J290" s="840">
        <v>0</v>
      </c>
      <c r="K290" s="840">
        <v>0</v>
      </c>
      <c r="L290" s="841">
        <f t="shared" si="52"/>
        <v>0</v>
      </c>
      <c r="M290" s="840">
        <v>0</v>
      </c>
      <c r="N290" s="840">
        <v>0</v>
      </c>
      <c r="O290" s="161">
        <f t="shared" si="53"/>
        <v>0</v>
      </c>
      <c r="P290" s="840">
        <v>0</v>
      </c>
      <c r="Q290" s="840">
        <v>0</v>
      </c>
      <c r="R290" s="841">
        <f t="shared" si="54"/>
        <v>0</v>
      </c>
      <c r="S290" s="840">
        <v>0</v>
      </c>
      <c r="T290" s="840">
        <v>0</v>
      </c>
      <c r="U290" s="161">
        <f t="shared" si="55"/>
        <v>0</v>
      </c>
      <c r="V290" s="840">
        <v>0</v>
      </c>
      <c r="W290" s="840">
        <v>0</v>
      </c>
      <c r="X290" s="841">
        <f t="shared" si="60"/>
        <v>0</v>
      </c>
      <c r="Y290" s="231">
        <v>0</v>
      </c>
      <c r="Z290" s="231">
        <v>0</v>
      </c>
      <c r="AA290" s="232">
        <f t="shared" si="61"/>
        <v>0</v>
      </c>
      <c r="AB290" s="214" t="s">
        <v>368</v>
      </c>
      <c r="AD290" s="232">
        <f t="shared" si="56"/>
        <v>0</v>
      </c>
      <c r="AE290" s="232">
        <f t="shared" si="57"/>
        <v>0</v>
      </c>
      <c r="AF290" s="232">
        <f t="shared" si="62"/>
        <v>0</v>
      </c>
      <c r="AG290" s="232">
        <f t="shared" si="58"/>
        <v>0</v>
      </c>
      <c r="AH290" s="232">
        <f t="shared" si="48"/>
        <v>0</v>
      </c>
      <c r="AI290" s="232">
        <f t="shared" si="63"/>
        <v>0</v>
      </c>
    </row>
    <row r="291" spans="1:35" ht="15.75" customHeight="1" x14ac:dyDescent="0.3">
      <c r="A291" s="46">
        <v>31</v>
      </c>
      <c r="B291" s="46" t="s">
        <v>123</v>
      </c>
      <c r="C291" s="46" t="s">
        <v>671</v>
      </c>
      <c r="D291" s="214" t="str">
        <f t="shared" si="59"/>
        <v>Do Not Print</v>
      </c>
      <c r="E291" s="214" t="s">
        <v>375</v>
      </c>
      <c r="F291" s="214" t="s">
        <v>376</v>
      </c>
      <c r="G291" s="214" t="s">
        <v>372</v>
      </c>
      <c r="H291" s="213" t="s">
        <v>372</v>
      </c>
      <c r="I291" s="230"/>
      <c r="J291" s="840">
        <v>0</v>
      </c>
      <c r="K291" s="840">
        <v>0</v>
      </c>
      <c r="L291" s="841">
        <f t="shared" si="52"/>
        <v>0</v>
      </c>
      <c r="M291" s="840">
        <v>0</v>
      </c>
      <c r="N291" s="840">
        <v>0</v>
      </c>
      <c r="O291" s="161">
        <f t="shared" si="53"/>
        <v>0</v>
      </c>
      <c r="P291" s="840">
        <v>0</v>
      </c>
      <c r="Q291" s="840">
        <v>0</v>
      </c>
      <c r="R291" s="841">
        <f t="shared" si="54"/>
        <v>0</v>
      </c>
      <c r="S291" s="840">
        <v>0</v>
      </c>
      <c r="T291" s="840">
        <v>0</v>
      </c>
      <c r="U291" s="161">
        <f t="shared" si="55"/>
        <v>0</v>
      </c>
      <c r="V291" s="840">
        <v>0</v>
      </c>
      <c r="W291" s="840">
        <v>0</v>
      </c>
      <c r="X291" s="841">
        <f t="shared" si="60"/>
        <v>0</v>
      </c>
      <c r="Y291" s="231">
        <v>0</v>
      </c>
      <c r="Z291" s="231">
        <v>0</v>
      </c>
      <c r="AA291" s="232">
        <f t="shared" si="61"/>
        <v>0</v>
      </c>
      <c r="AB291" s="213" t="s">
        <v>372</v>
      </c>
      <c r="AD291" s="232">
        <f t="shared" si="56"/>
        <v>0</v>
      </c>
      <c r="AE291" s="232">
        <f t="shared" si="57"/>
        <v>0</v>
      </c>
      <c r="AF291" s="232">
        <f t="shared" si="62"/>
        <v>0</v>
      </c>
      <c r="AG291" s="232">
        <f t="shared" si="58"/>
        <v>0</v>
      </c>
      <c r="AH291" s="232">
        <f t="shared" si="48"/>
        <v>0</v>
      </c>
      <c r="AI291" s="232">
        <f t="shared" si="63"/>
        <v>0</v>
      </c>
    </row>
    <row r="292" spans="1:35" ht="15.75" customHeight="1" x14ac:dyDescent="0.3">
      <c r="A292" s="46">
        <v>31</v>
      </c>
      <c r="B292" s="46" t="s">
        <v>123</v>
      </c>
      <c r="C292" s="46" t="s">
        <v>671</v>
      </c>
      <c r="D292" s="214" t="str">
        <f t="shared" si="59"/>
        <v>Do Not Print</v>
      </c>
      <c r="E292" s="214" t="s">
        <v>375</v>
      </c>
      <c r="F292" s="214" t="s">
        <v>376</v>
      </c>
      <c r="G292" s="214" t="s">
        <v>369</v>
      </c>
      <c r="H292" s="214" t="s">
        <v>369</v>
      </c>
      <c r="I292" s="230"/>
      <c r="J292" s="840">
        <v>0</v>
      </c>
      <c r="K292" s="840">
        <v>0</v>
      </c>
      <c r="L292" s="841">
        <f t="shared" si="52"/>
        <v>0</v>
      </c>
      <c r="M292" s="840">
        <v>0</v>
      </c>
      <c r="N292" s="840">
        <v>0</v>
      </c>
      <c r="O292" s="161">
        <f t="shared" si="53"/>
        <v>0</v>
      </c>
      <c r="P292" s="840">
        <v>0</v>
      </c>
      <c r="Q292" s="840">
        <v>0</v>
      </c>
      <c r="R292" s="841">
        <f t="shared" si="54"/>
        <v>0</v>
      </c>
      <c r="S292" s="840">
        <v>0</v>
      </c>
      <c r="T292" s="840">
        <v>0</v>
      </c>
      <c r="U292" s="161">
        <f t="shared" si="55"/>
        <v>0</v>
      </c>
      <c r="V292" s="840">
        <v>0</v>
      </c>
      <c r="W292" s="840">
        <v>0</v>
      </c>
      <c r="X292" s="841">
        <f t="shared" si="60"/>
        <v>0</v>
      </c>
      <c r="Y292" s="231">
        <v>0</v>
      </c>
      <c r="Z292" s="231">
        <v>0</v>
      </c>
      <c r="AA292" s="232">
        <f t="shared" si="61"/>
        <v>0</v>
      </c>
      <c r="AB292" s="214" t="s">
        <v>369</v>
      </c>
      <c r="AD292" s="232">
        <f t="shared" si="56"/>
        <v>0</v>
      </c>
      <c r="AE292" s="232">
        <f t="shared" si="57"/>
        <v>0</v>
      </c>
      <c r="AF292" s="232">
        <f t="shared" si="62"/>
        <v>0</v>
      </c>
      <c r="AG292" s="232">
        <f t="shared" si="58"/>
        <v>0</v>
      </c>
      <c r="AH292" s="232">
        <f t="shared" si="48"/>
        <v>0</v>
      </c>
      <c r="AI292" s="232">
        <f t="shared" si="63"/>
        <v>0</v>
      </c>
    </row>
    <row r="293" spans="1:35" ht="15.75" customHeight="1" x14ac:dyDescent="0.3">
      <c r="A293" s="46">
        <v>31</v>
      </c>
      <c r="B293" s="46" t="s">
        <v>123</v>
      </c>
      <c r="C293" s="46" t="s">
        <v>671</v>
      </c>
      <c r="D293" s="214" t="str">
        <f t="shared" si="59"/>
        <v>Do Not Print</v>
      </c>
      <c r="E293" s="214" t="s">
        <v>375</v>
      </c>
      <c r="F293" s="214" t="s">
        <v>376</v>
      </c>
      <c r="G293" s="214" t="s">
        <v>665</v>
      </c>
      <c r="H293" s="213" t="s">
        <v>665</v>
      </c>
      <c r="I293" s="230"/>
      <c r="J293" s="840">
        <v>0</v>
      </c>
      <c r="K293" s="840">
        <v>0</v>
      </c>
      <c r="L293" s="841">
        <f t="shared" si="52"/>
        <v>0</v>
      </c>
      <c r="M293" s="840">
        <v>0</v>
      </c>
      <c r="N293" s="840">
        <v>0</v>
      </c>
      <c r="O293" s="161">
        <f t="shared" si="53"/>
        <v>0</v>
      </c>
      <c r="P293" s="840">
        <v>0</v>
      </c>
      <c r="Q293" s="840">
        <v>0</v>
      </c>
      <c r="R293" s="841">
        <f t="shared" si="54"/>
        <v>0</v>
      </c>
      <c r="S293" s="840">
        <v>0</v>
      </c>
      <c r="T293" s="840">
        <v>0</v>
      </c>
      <c r="U293" s="161">
        <f t="shared" si="55"/>
        <v>0</v>
      </c>
      <c r="V293" s="840">
        <v>0</v>
      </c>
      <c r="W293" s="840">
        <v>0</v>
      </c>
      <c r="X293" s="841">
        <f t="shared" si="60"/>
        <v>0</v>
      </c>
      <c r="Y293" s="231">
        <v>0</v>
      </c>
      <c r="Z293" s="231">
        <v>0</v>
      </c>
      <c r="AA293" s="232">
        <f t="shared" si="61"/>
        <v>0</v>
      </c>
      <c r="AB293" s="213" t="s">
        <v>665</v>
      </c>
      <c r="AD293" s="232">
        <f t="shared" si="56"/>
        <v>0</v>
      </c>
      <c r="AE293" s="232">
        <f t="shared" si="57"/>
        <v>0</v>
      </c>
      <c r="AF293" s="232">
        <f t="shared" si="62"/>
        <v>0</v>
      </c>
      <c r="AG293" s="232">
        <f t="shared" si="58"/>
        <v>0</v>
      </c>
      <c r="AH293" s="232">
        <f t="shared" si="48"/>
        <v>0</v>
      </c>
      <c r="AI293" s="232">
        <f t="shared" si="63"/>
        <v>0</v>
      </c>
    </row>
    <row r="294" spans="1:35" ht="15.75" customHeight="1" x14ac:dyDescent="0.3">
      <c r="A294" s="46">
        <v>31</v>
      </c>
      <c r="B294" s="46" t="s">
        <v>123</v>
      </c>
      <c r="C294" s="46" t="s">
        <v>671</v>
      </c>
      <c r="D294" s="214" t="str">
        <f t="shared" si="59"/>
        <v>Do Not Print</v>
      </c>
      <c r="E294" s="214" t="s">
        <v>375</v>
      </c>
      <c r="F294" s="214" t="s">
        <v>376</v>
      </c>
      <c r="G294" s="214" t="s">
        <v>519</v>
      </c>
      <c r="H294" s="213" t="s">
        <v>519</v>
      </c>
      <c r="I294" s="230"/>
      <c r="J294" s="840">
        <v>0</v>
      </c>
      <c r="K294" s="840">
        <v>0</v>
      </c>
      <c r="L294" s="841">
        <f t="shared" si="52"/>
        <v>0</v>
      </c>
      <c r="M294" s="840">
        <v>0</v>
      </c>
      <c r="N294" s="840">
        <v>0</v>
      </c>
      <c r="O294" s="161">
        <f t="shared" si="53"/>
        <v>0</v>
      </c>
      <c r="P294" s="840">
        <v>0</v>
      </c>
      <c r="Q294" s="840">
        <v>0</v>
      </c>
      <c r="R294" s="841">
        <f t="shared" si="54"/>
        <v>0</v>
      </c>
      <c r="S294" s="840">
        <v>0</v>
      </c>
      <c r="T294" s="840">
        <v>0</v>
      </c>
      <c r="U294" s="161">
        <f t="shared" si="55"/>
        <v>0</v>
      </c>
      <c r="V294" s="840">
        <v>0</v>
      </c>
      <c r="W294" s="840">
        <v>0</v>
      </c>
      <c r="X294" s="841">
        <f t="shared" si="60"/>
        <v>0</v>
      </c>
      <c r="Y294" s="231">
        <v>0</v>
      </c>
      <c r="Z294" s="231">
        <v>0</v>
      </c>
      <c r="AA294" s="232">
        <f t="shared" si="61"/>
        <v>0</v>
      </c>
      <c r="AB294" s="213" t="s">
        <v>519</v>
      </c>
      <c r="AD294" s="232">
        <f t="shared" si="56"/>
        <v>0</v>
      </c>
      <c r="AE294" s="232">
        <f t="shared" si="57"/>
        <v>0</v>
      </c>
      <c r="AF294" s="232">
        <f t="shared" si="62"/>
        <v>0</v>
      </c>
      <c r="AG294" s="232">
        <f t="shared" si="58"/>
        <v>0</v>
      </c>
      <c r="AH294" s="232">
        <f t="shared" si="48"/>
        <v>0</v>
      </c>
      <c r="AI294" s="232">
        <f t="shared" si="63"/>
        <v>0</v>
      </c>
    </row>
    <row r="295" spans="1:35" ht="15.75" customHeight="1" x14ac:dyDescent="0.3">
      <c r="A295" s="46">
        <v>31</v>
      </c>
      <c r="B295" s="46" t="s">
        <v>123</v>
      </c>
      <c r="C295" s="46" t="s">
        <v>671</v>
      </c>
      <c r="D295" s="214" t="str">
        <f t="shared" si="59"/>
        <v>Do Not Print</v>
      </c>
      <c r="E295" s="214" t="s">
        <v>375</v>
      </c>
      <c r="F295" s="214" t="s">
        <v>376</v>
      </c>
      <c r="G295" s="214" t="s">
        <v>520</v>
      </c>
      <c r="H295" s="213" t="s">
        <v>520</v>
      </c>
      <c r="I295" s="230"/>
      <c r="J295" s="840">
        <v>0</v>
      </c>
      <c r="K295" s="840">
        <v>0</v>
      </c>
      <c r="L295" s="841">
        <f t="shared" si="52"/>
        <v>0</v>
      </c>
      <c r="M295" s="840">
        <v>0</v>
      </c>
      <c r="N295" s="840">
        <v>0</v>
      </c>
      <c r="O295" s="161">
        <f t="shared" si="53"/>
        <v>0</v>
      </c>
      <c r="P295" s="840">
        <v>0</v>
      </c>
      <c r="Q295" s="840">
        <v>0</v>
      </c>
      <c r="R295" s="841">
        <f t="shared" si="54"/>
        <v>0</v>
      </c>
      <c r="S295" s="840">
        <v>0</v>
      </c>
      <c r="T295" s="840">
        <v>0</v>
      </c>
      <c r="U295" s="161">
        <f t="shared" si="55"/>
        <v>0</v>
      </c>
      <c r="V295" s="840">
        <v>0</v>
      </c>
      <c r="W295" s="840">
        <v>0</v>
      </c>
      <c r="X295" s="841">
        <f t="shared" si="60"/>
        <v>0</v>
      </c>
      <c r="Y295" s="231">
        <v>0</v>
      </c>
      <c r="Z295" s="231">
        <v>0</v>
      </c>
      <c r="AA295" s="232">
        <f t="shared" si="61"/>
        <v>0</v>
      </c>
      <c r="AB295" s="213" t="s">
        <v>520</v>
      </c>
      <c r="AD295" s="232">
        <f t="shared" si="56"/>
        <v>0</v>
      </c>
      <c r="AE295" s="232">
        <f t="shared" si="57"/>
        <v>0</v>
      </c>
      <c r="AF295" s="232">
        <f t="shared" si="62"/>
        <v>0</v>
      </c>
      <c r="AG295" s="232">
        <f t="shared" si="58"/>
        <v>0</v>
      </c>
      <c r="AH295" s="232">
        <f t="shared" si="48"/>
        <v>0</v>
      </c>
      <c r="AI295" s="232">
        <f t="shared" si="63"/>
        <v>0</v>
      </c>
    </row>
    <row r="296" spans="1:35" ht="15.75" customHeight="1" x14ac:dyDescent="0.3">
      <c r="A296" s="46">
        <v>31</v>
      </c>
      <c r="B296" s="46" t="s">
        <v>123</v>
      </c>
      <c r="C296" s="46" t="s">
        <v>671</v>
      </c>
      <c r="D296" s="214" t="str">
        <f t="shared" si="59"/>
        <v>Do Not Print</v>
      </c>
      <c r="E296" s="214" t="s">
        <v>375</v>
      </c>
      <c r="F296" s="214" t="s">
        <v>376</v>
      </c>
      <c r="G296" s="214" t="s">
        <v>521</v>
      </c>
      <c r="H296" s="213" t="s">
        <v>521</v>
      </c>
      <c r="I296" s="230"/>
      <c r="J296" s="840">
        <v>0</v>
      </c>
      <c r="K296" s="840">
        <v>0</v>
      </c>
      <c r="L296" s="841">
        <f t="shared" si="52"/>
        <v>0</v>
      </c>
      <c r="M296" s="840">
        <v>0</v>
      </c>
      <c r="N296" s="840">
        <v>0</v>
      </c>
      <c r="O296" s="161">
        <f t="shared" si="53"/>
        <v>0</v>
      </c>
      <c r="P296" s="840">
        <v>0</v>
      </c>
      <c r="Q296" s="840">
        <v>0</v>
      </c>
      <c r="R296" s="841">
        <f t="shared" si="54"/>
        <v>0</v>
      </c>
      <c r="S296" s="840">
        <v>0</v>
      </c>
      <c r="T296" s="840">
        <v>0</v>
      </c>
      <c r="U296" s="161">
        <f t="shared" si="55"/>
        <v>0</v>
      </c>
      <c r="V296" s="840">
        <v>0</v>
      </c>
      <c r="W296" s="840">
        <v>0</v>
      </c>
      <c r="X296" s="841">
        <f t="shared" si="60"/>
        <v>0</v>
      </c>
      <c r="Y296" s="231">
        <v>0</v>
      </c>
      <c r="Z296" s="231">
        <v>0</v>
      </c>
      <c r="AA296" s="232">
        <f t="shared" si="61"/>
        <v>0</v>
      </c>
      <c r="AB296" s="213" t="s">
        <v>521</v>
      </c>
      <c r="AD296" s="232">
        <f t="shared" si="56"/>
        <v>0</v>
      </c>
      <c r="AE296" s="232">
        <f t="shared" si="57"/>
        <v>0</v>
      </c>
      <c r="AF296" s="232">
        <f t="shared" si="62"/>
        <v>0</v>
      </c>
      <c r="AG296" s="232">
        <f t="shared" si="58"/>
        <v>0</v>
      </c>
      <c r="AH296" s="232">
        <f t="shared" si="48"/>
        <v>0</v>
      </c>
      <c r="AI296" s="232">
        <f t="shared" si="63"/>
        <v>0</v>
      </c>
    </row>
    <row r="297" spans="1:35" ht="15.75" customHeight="1" x14ac:dyDescent="0.3">
      <c r="A297" s="46">
        <v>31</v>
      </c>
      <c r="B297" s="46" t="s">
        <v>123</v>
      </c>
      <c r="C297" s="46" t="s">
        <v>671</v>
      </c>
      <c r="D297" s="214" t="str">
        <f t="shared" si="59"/>
        <v>Do Not Print</v>
      </c>
      <c r="E297" s="214" t="s">
        <v>375</v>
      </c>
      <c r="F297" s="214" t="s">
        <v>376</v>
      </c>
      <c r="G297" s="214" t="s">
        <v>377</v>
      </c>
      <c r="H297" s="214" t="s">
        <v>377</v>
      </c>
      <c r="I297" s="230">
        <v>15</v>
      </c>
      <c r="J297" s="840">
        <v>0</v>
      </c>
      <c r="K297" s="840">
        <v>0</v>
      </c>
      <c r="L297" s="841">
        <f t="shared" si="52"/>
        <v>0</v>
      </c>
      <c r="M297" s="840">
        <v>0</v>
      </c>
      <c r="N297" s="840">
        <v>0</v>
      </c>
      <c r="O297" s="161">
        <f t="shared" si="53"/>
        <v>0</v>
      </c>
      <c r="P297" s="840">
        <v>0</v>
      </c>
      <c r="Q297" s="840">
        <v>0</v>
      </c>
      <c r="R297" s="841">
        <f t="shared" si="54"/>
        <v>0</v>
      </c>
      <c r="S297" s="840">
        <v>0</v>
      </c>
      <c r="T297" s="840">
        <v>0</v>
      </c>
      <c r="U297" s="161">
        <f t="shared" si="55"/>
        <v>0</v>
      </c>
      <c r="V297" s="840">
        <v>0</v>
      </c>
      <c r="W297" s="840">
        <v>0</v>
      </c>
      <c r="X297" s="841">
        <f t="shared" si="60"/>
        <v>0</v>
      </c>
      <c r="Y297" s="231">
        <v>0</v>
      </c>
      <c r="Z297" s="231">
        <v>0</v>
      </c>
      <c r="AA297" s="232">
        <f t="shared" si="61"/>
        <v>0</v>
      </c>
      <c r="AB297" s="214" t="s">
        <v>377</v>
      </c>
      <c r="AD297" s="232">
        <f t="shared" si="56"/>
        <v>0</v>
      </c>
      <c r="AE297" s="232">
        <f t="shared" si="57"/>
        <v>0</v>
      </c>
      <c r="AF297" s="232">
        <f t="shared" si="62"/>
        <v>0</v>
      </c>
      <c r="AG297" s="232">
        <f t="shared" si="58"/>
        <v>0</v>
      </c>
      <c r="AH297" s="232">
        <f t="shared" si="48"/>
        <v>0</v>
      </c>
      <c r="AI297" s="232">
        <f t="shared" si="63"/>
        <v>0</v>
      </c>
    </row>
    <row r="298" spans="1:35" ht="15.75" customHeight="1" x14ac:dyDescent="0.3">
      <c r="A298" s="46">
        <v>31</v>
      </c>
      <c r="B298" s="46" t="s">
        <v>123</v>
      </c>
      <c r="C298" s="46" t="s">
        <v>671</v>
      </c>
      <c r="D298" s="214" t="str">
        <f t="shared" si="59"/>
        <v>Do Not Print</v>
      </c>
      <c r="E298" s="214" t="s">
        <v>375</v>
      </c>
      <c r="F298" s="214" t="s">
        <v>376</v>
      </c>
      <c r="G298" s="214" t="s">
        <v>378</v>
      </c>
      <c r="H298" s="214" t="s">
        <v>378</v>
      </c>
      <c r="I298" s="230">
        <v>15</v>
      </c>
      <c r="J298" s="840">
        <v>0</v>
      </c>
      <c r="K298" s="840">
        <v>0</v>
      </c>
      <c r="L298" s="841">
        <f t="shared" si="52"/>
        <v>0</v>
      </c>
      <c r="M298" s="840">
        <v>0</v>
      </c>
      <c r="N298" s="840">
        <v>0</v>
      </c>
      <c r="O298" s="161">
        <f t="shared" si="53"/>
        <v>0</v>
      </c>
      <c r="P298" s="840">
        <v>0</v>
      </c>
      <c r="Q298" s="840">
        <v>0</v>
      </c>
      <c r="R298" s="841">
        <f t="shared" si="54"/>
        <v>0</v>
      </c>
      <c r="S298" s="840">
        <v>0</v>
      </c>
      <c r="T298" s="840">
        <v>0</v>
      </c>
      <c r="U298" s="161">
        <f t="shared" si="55"/>
        <v>0</v>
      </c>
      <c r="V298" s="840">
        <v>0</v>
      </c>
      <c r="W298" s="840">
        <v>0</v>
      </c>
      <c r="X298" s="841">
        <f t="shared" si="60"/>
        <v>0</v>
      </c>
      <c r="Y298" s="231">
        <v>0</v>
      </c>
      <c r="Z298" s="231">
        <v>0</v>
      </c>
      <c r="AA298" s="232">
        <f t="shared" si="61"/>
        <v>0</v>
      </c>
      <c r="AB298" s="214" t="s">
        <v>378</v>
      </c>
      <c r="AD298" s="232">
        <f t="shared" si="56"/>
        <v>0</v>
      </c>
      <c r="AE298" s="232">
        <f t="shared" si="57"/>
        <v>0</v>
      </c>
      <c r="AF298" s="232">
        <f t="shared" si="62"/>
        <v>0</v>
      </c>
      <c r="AG298" s="232">
        <f t="shared" si="58"/>
        <v>0</v>
      </c>
      <c r="AH298" s="232">
        <f t="shared" si="48"/>
        <v>0</v>
      </c>
      <c r="AI298" s="232">
        <f t="shared" si="63"/>
        <v>0</v>
      </c>
    </row>
    <row r="299" spans="1:35" ht="15.75" customHeight="1" x14ac:dyDescent="0.3">
      <c r="A299" s="46">
        <v>31</v>
      </c>
      <c r="B299" s="46" t="s">
        <v>123</v>
      </c>
      <c r="C299" s="46" t="s">
        <v>671</v>
      </c>
      <c r="D299" s="214" t="str">
        <f t="shared" si="59"/>
        <v>Do Not Print</v>
      </c>
      <c r="E299" s="214" t="s">
        <v>375</v>
      </c>
      <c r="F299" s="214" t="s">
        <v>376</v>
      </c>
      <c r="G299" s="214" t="s">
        <v>2812</v>
      </c>
      <c r="H299" s="214" t="s">
        <v>2812</v>
      </c>
      <c r="I299" s="230"/>
      <c r="J299" s="840">
        <v>0</v>
      </c>
      <c r="K299" s="840">
        <v>0</v>
      </c>
      <c r="L299" s="841">
        <f t="shared" si="52"/>
        <v>0</v>
      </c>
      <c r="M299" s="840">
        <v>0</v>
      </c>
      <c r="N299" s="840">
        <v>0</v>
      </c>
      <c r="O299" s="161">
        <f t="shared" si="53"/>
        <v>0</v>
      </c>
      <c r="P299" s="160">
        <v>0</v>
      </c>
      <c r="Q299" s="840">
        <v>0</v>
      </c>
      <c r="R299" s="841">
        <f t="shared" si="54"/>
        <v>0</v>
      </c>
      <c r="S299" s="840">
        <v>0</v>
      </c>
      <c r="T299" s="840">
        <v>0</v>
      </c>
      <c r="U299" s="161">
        <f t="shared" si="55"/>
        <v>0</v>
      </c>
      <c r="V299" s="840">
        <v>0</v>
      </c>
      <c r="W299" s="840">
        <v>0</v>
      </c>
      <c r="X299" s="841">
        <f t="shared" si="60"/>
        <v>0</v>
      </c>
      <c r="Y299" s="231">
        <v>0</v>
      </c>
      <c r="Z299" s="231">
        <v>0</v>
      </c>
      <c r="AA299" s="232">
        <f t="shared" si="61"/>
        <v>0</v>
      </c>
      <c r="AB299" s="214" t="s">
        <v>2812</v>
      </c>
      <c r="AD299" s="232">
        <f t="shared" si="56"/>
        <v>0</v>
      </c>
      <c r="AE299" s="232">
        <f t="shared" si="57"/>
        <v>0</v>
      </c>
      <c r="AF299" s="232">
        <f t="shared" si="62"/>
        <v>0</v>
      </c>
      <c r="AG299" s="232">
        <f t="shared" si="58"/>
        <v>0</v>
      </c>
      <c r="AH299" s="232">
        <f t="shared" si="48"/>
        <v>0</v>
      </c>
      <c r="AI299" s="232">
        <f t="shared" si="63"/>
        <v>0</v>
      </c>
    </row>
    <row r="300" spans="1:35" ht="15.75" customHeight="1" x14ac:dyDescent="0.3">
      <c r="A300" s="46">
        <v>31</v>
      </c>
      <c r="B300" s="46" t="s">
        <v>123</v>
      </c>
      <c r="C300" s="46" t="s">
        <v>671</v>
      </c>
      <c r="D300" s="214" t="str">
        <f t="shared" si="59"/>
        <v>Do Not Print</v>
      </c>
      <c r="E300" s="214" t="s">
        <v>375</v>
      </c>
      <c r="F300" s="214" t="s">
        <v>376</v>
      </c>
      <c r="G300" s="214" t="s">
        <v>379</v>
      </c>
      <c r="H300" s="214" t="s">
        <v>379</v>
      </c>
      <c r="I300" s="230">
        <v>15</v>
      </c>
      <c r="J300" s="840">
        <v>0</v>
      </c>
      <c r="K300" s="840">
        <v>0</v>
      </c>
      <c r="L300" s="841">
        <f t="shared" si="52"/>
        <v>0</v>
      </c>
      <c r="M300" s="840">
        <v>0</v>
      </c>
      <c r="N300" s="840">
        <v>0</v>
      </c>
      <c r="O300" s="161">
        <f t="shared" si="53"/>
        <v>0</v>
      </c>
      <c r="P300" s="840">
        <v>0</v>
      </c>
      <c r="Q300" s="840">
        <v>0</v>
      </c>
      <c r="R300" s="841">
        <f t="shared" si="54"/>
        <v>0</v>
      </c>
      <c r="S300" s="840">
        <v>0</v>
      </c>
      <c r="T300" s="840">
        <v>0</v>
      </c>
      <c r="U300" s="161">
        <f t="shared" si="55"/>
        <v>0</v>
      </c>
      <c r="V300" s="840">
        <v>0</v>
      </c>
      <c r="W300" s="840">
        <v>0</v>
      </c>
      <c r="X300" s="841">
        <f t="shared" si="60"/>
        <v>0</v>
      </c>
      <c r="Y300" s="231">
        <v>0</v>
      </c>
      <c r="Z300" s="231">
        <v>0</v>
      </c>
      <c r="AA300" s="232">
        <f t="shared" si="61"/>
        <v>0</v>
      </c>
      <c r="AB300" s="214" t="s">
        <v>379</v>
      </c>
      <c r="AD300" s="232">
        <f t="shared" si="56"/>
        <v>0</v>
      </c>
      <c r="AE300" s="232">
        <f t="shared" si="57"/>
        <v>0</v>
      </c>
      <c r="AF300" s="232">
        <f t="shared" si="62"/>
        <v>0</v>
      </c>
      <c r="AG300" s="232">
        <f t="shared" si="58"/>
        <v>0</v>
      </c>
      <c r="AH300" s="232">
        <f t="shared" si="48"/>
        <v>0</v>
      </c>
      <c r="AI300" s="232">
        <f t="shared" si="63"/>
        <v>0</v>
      </c>
    </row>
    <row r="301" spans="1:35" ht="15.75" customHeight="1" x14ac:dyDescent="0.3">
      <c r="A301" s="46">
        <v>31</v>
      </c>
      <c r="B301" s="46" t="s">
        <v>123</v>
      </c>
      <c r="C301" s="46" t="s">
        <v>671</v>
      </c>
      <c r="D301" s="214" t="str">
        <f t="shared" si="59"/>
        <v>Do Not Print</v>
      </c>
      <c r="E301" s="214" t="s">
        <v>375</v>
      </c>
      <c r="F301" s="214" t="s">
        <v>376</v>
      </c>
      <c r="G301" s="214" t="s">
        <v>380</v>
      </c>
      <c r="H301" s="214" t="s">
        <v>380</v>
      </c>
      <c r="I301" s="230"/>
      <c r="J301" s="840">
        <v>0</v>
      </c>
      <c r="K301" s="840">
        <v>0</v>
      </c>
      <c r="L301" s="841">
        <f t="shared" si="52"/>
        <v>0</v>
      </c>
      <c r="M301" s="840">
        <v>0</v>
      </c>
      <c r="N301" s="840">
        <v>0</v>
      </c>
      <c r="O301" s="161">
        <f t="shared" si="53"/>
        <v>0</v>
      </c>
      <c r="P301" s="840">
        <v>0</v>
      </c>
      <c r="Q301" s="840">
        <v>0</v>
      </c>
      <c r="R301" s="841">
        <f t="shared" si="54"/>
        <v>0</v>
      </c>
      <c r="S301" s="840">
        <v>0</v>
      </c>
      <c r="T301" s="840">
        <v>0</v>
      </c>
      <c r="U301" s="161">
        <f t="shared" si="55"/>
        <v>0</v>
      </c>
      <c r="V301" s="840">
        <v>0</v>
      </c>
      <c r="W301" s="840">
        <v>0</v>
      </c>
      <c r="X301" s="841">
        <f t="shared" si="60"/>
        <v>0</v>
      </c>
      <c r="Y301" s="231">
        <v>0</v>
      </c>
      <c r="Z301" s="231">
        <v>0</v>
      </c>
      <c r="AA301" s="232">
        <f t="shared" si="61"/>
        <v>0</v>
      </c>
      <c r="AB301" s="214" t="s">
        <v>380</v>
      </c>
      <c r="AD301" s="232">
        <f t="shared" si="56"/>
        <v>0</v>
      </c>
      <c r="AE301" s="232">
        <f t="shared" si="57"/>
        <v>0</v>
      </c>
      <c r="AF301" s="232">
        <f t="shared" si="62"/>
        <v>0</v>
      </c>
      <c r="AG301" s="232">
        <f t="shared" si="58"/>
        <v>0</v>
      </c>
      <c r="AH301" s="232">
        <f t="shared" si="48"/>
        <v>0</v>
      </c>
      <c r="AI301" s="232">
        <f t="shared" si="63"/>
        <v>0</v>
      </c>
    </row>
    <row r="302" spans="1:35" ht="15.75" customHeight="1" x14ac:dyDescent="0.3">
      <c r="A302" s="46">
        <v>31</v>
      </c>
      <c r="B302" s="46" t="s">
        <v>123</v>
      </c>
      <c r="C302" s="46" t="s">
        <v>671</v>
      </c>
      <c r="D302" s="214" t="str">
        <f t="shared" si="59"/>
        <v>Do Not Print</v>
      </c>
      <c r="E302" s="214" t="s">
        <v>375</v>
      </c>
      <c r="F302" s="214" t="s">
        <v>376</v>
      </c>
      <c r="G302" s="214" t="s">
        <v>381</v>
      </c>
      <c r="H302" s="214" t="s">
        <v>381</v>
      </c>
      <c r="I302" s="230">
        <v>15</v>
      </c>
      <c r="J302" s="842">
        <v>0</v>
      </c>
      <c r="K302" s="840">
        <v>0</v>
      </c>
      <c r="L302" s="841">
        <f t="shared" si="52"/>
        <v>0</v>
      </c>
      <c r="M302" s="840">
        <v>0</v>
      </c>
      <c r="N302" s="840">
        <v>0</v>
      </c>
      <c r="O302" s="161">
        <f t="shared" si="53"/>
        <v>0</v>
      </c>
      <c r="P302" s="842">
        <v>0</v>
      </c>
      <c r="Q302" s="840">
        <v>0</v>
      </c>
      <c r="R302" s="841">
        <f t="shared" si="54"/>
        <v>0</v>
      </c>
      <c r="S302" s="842"/>
      <c r="T302" s="840">
        <v>0</v>
      </c>
      <c r="U302" s="161">
        <f t="shared" si="55"/>
        <v>0</v>
      </c>
      <c r="V302" s="842">
        <v>0</v>
      </c>
      <c r="W302" s="840">
        <v>0</v>
      </c>
      <c r="X302" s="841">
        <f t="shared" si="60"/>
        <v>0</v>
      </c>
      <c r="Y302" s="234">
        <v>0</v>
      </c>
      <c r="Z302" s="231">
        <v>0</v>
      </c>
      <c r="AA302" s="232">
        <f t="shared" si="61"/>
        <v>0</v>
      </c>
      <c r="AB302" s="214" t="s">
        <v>381</v>
      </c>
      <c r="AD302" s="232">
        <f t="shared" si="56"/>
        <v>0</v>
      </c>
      <c r="AE302" s="232">
        <f t="shared" si="57"/>
        <v>0</v>
      </c>
      <c r="AF302" s="232">
        <f t="shared" si="62"/>
        <v>0</v>
      </c>
      <c r="AG302" s="232">
        <f t="shared" si="58"/>
        <v>0</v>
      </c>
      <c r="AH302" s="232">
        <f t="shared" si="48"/>
        <v>0</v>
      </c>
      <c r="AI302" s="232">
        <f t="shared" si="63"/>
        <v>0</v>
      </c>
    </row>
    <row r="303" spans="1:35" ht="15.75" customHeight="1" x14ac:dyDescent="0.3">
      <c r="A303" s="46">
        <v>31</v>
      </c>
      <c r="B303" s="46" t="s">
        <v>123</v>
      </c>
      <c r="C303" s="46" t="s">
        <v>671</v>
      </c>
      <c r="D303" s="214" t="str">
        <f t="shared" si="59"/>
        <v>Do Not Print</v>
      </c>
      <c r="E303" s="214" t="s">
        <v>375</v>
      </c>
      <c r="F303" s="214" t="s">
        <v>376</v>
      </c>
      <c r="G303" s="214" t="s">
        <v>2750</v>
      </c>
      <c r="H303" s="214" t="s">
        <v>2750</v>
      </c>
      <c r="I303" s="230"/>
      <c r="J303" s="842"/>
      <c r="K303" s="840"/>
      <c r="L303" s="841"/>
      <c r="M303" s="840"/>
      <c r="N303" s="840"/>
      <c r="O303" s="161"/>
      <c r="P303" s="842"/>
      <c r="Q303" s="840"/>
      <c r="R303" s="841"/>
      <c r="S303" s="842"/>
      <c r="T303" s="840"/>
      <c r="U303" s="161"/>
      <c r="V303" s="842"/>
      <c r="W303" s="840"/>
      <c r="X303" s="841"/>
      <c r="Y303" s="234"/>
      <c r="Z303" s="231"/>
      <c r="AA303" s="232"/>
      <c r="AD303" s="232"/>
      <c r="AE303" s="232"/>
      <c r="AF303" s="232"/>
      <c r="AG303" s="232"/>
      <c r="AH303" s="232"/>
      <c r="AI303" s="232"/>
    </row>
    <row r="304" spans="1:35" ht="27.6" x14ac:dyDescent="0.3">
      <c r="A304" s="46">
        <v>32</v>
      </c>
      <c r="B304" s="46" t="s">
        <v>124</v>
      </c>
      <c r="C304" s="46" t="s">
        <v>671</v>
      </c>
      <c r="D304" s="214" t="str">
        <f t="shared" si="59"/>
        <v>Do Not Print</v>
      </c>
      <c r="E304" s="214" t="s">
        <v>375</v>
      </c>
      <c r="F304" s="214" t="s">
        <v>382</v>
      </c>
      <c r="G304" s="214" t="s">
        <v>383</v>
      </c>
      <c r="H304" s="214" t="s">
        <v>383</v>
      </c>
      <c r="I304" s="230">
        <v>24</v>
      </c>
      <c r="J304" s="840">
        <v>0</v>
      </c>
      <c r="K304" s="840">
        <v>0</v>
      </c>
      <c r="L304" s="841">
        <f t="shared" si="52"/>
        <v>0</v>
      </c>
      <c r="M304" s="840">
        <v>0</v>
      </c>
      <c r="N304" s="840">
        <v>0</v>
      </c>
      <c r="O304" s="161">
        <f t="shared" si="53"/>
        <v>0</v>
      </c>
      <c r="P304" s="840">
        <v>0</v>
      </c>
      <c r="Q304" s="840">
        <v>0</v>
      </c>
      <c r="R304" s="841">
        <f t="shared" si="54"/>
        <v>0</v>
      </c>
      <c r="S304" s="840">
        <v>0</v>
      </c>
      <c r="T304" s="840">
        <v>0</v>
      </c>
      <c r="U304" s="161">
        <f t="shared" si="55"/>
        <v>0</v>
      </c>
      <c r="V304" s="840">
        <v>0</v>
      </c>
      <c r="W304" s="840">
        <v>0</v>
      </c>
      <c r="X304" s="841">
        <f t="shared" si="60"/>
        <v>0</v>
      </c>
      <c r="Y304" s="231">
        <v>0</v>
      </c>
      <c r="Z304" s="231">
        <v>0</v>
      </c>
      <c r="AA304" s="232">
        <f t="shared" si="61"/>
        <v>0</v>
      </c>
      <c r="AB304" s="214" t="s">
        <v>383</v>
      </c>
      <c r="AD304" s="232">
        <f t="shared" si="56"/>
        <v>0</v>
      </c>
      <c r="AE304" s="232">
        <f t="shared" si="57"/>
        <v>0</v>
      </c>
      <c r="AF304" s="232">
        <f t="shared" si="62"/>
        <v>0</v>
      </c>
      <c r="AG304" s="232">
        <f t="shared" si="58"/>
        <v>0</v>
      </c>
      <c r="AH304" s="232">
        <f t="shared" si="48"/>
        <v>0</v>
      </c>
      <c r="AI304" s="232">
        <f t="shared" si="63"/>
        <v>0</v>
      </c>
    </row>
    <row r="305" spans="1:35" ht="27.6" x14ac:dyDescent="0.3">
      <c r="A305" s="46">
        <v>32</v>
      </c>
      <c r="B305" s="46" t="s">
        <v>124</v>
      </c>
      <c r="C305" s="46" t="s">
        <v>671</v>
      </c>
      <c r="D305" s="214" t="str">
        <f t="shared" si="59"/>
        <v>Do Not Print</v>
      </c>
      <c r="E305" s="214" t="s">
        <v>375</v>
      </c>
      <c r="F305" s="214" t="s">
        <v>382</v>
      </c>
      <c r="G305" s="214" t="s">
        <v>384</v>
      </c>
      <c r="H305" s="214" t="s">
        <v>384</v>
      </c>
      <c r="I305" s="230">
        <v>24</v>
      </c>
      <c r="J305" s="160">
        <v>0</v>
      </c>
      <c r="K305" s="840">
        <v>0</v>
      </c>
      <c r="L305" s="841">
        <f t="shared" si="52"/>
        <v>0</v>
      </c>
      <c r="M305" s="840">
        <v>0</v>
      </c>
      <c r="N305" s="840">
        <v>0</v>
      </c>
      <c r="O305" s="161">
        <f t="shared" si="53"/>
        <v>0</v>
      </c>
      <c r="P305" s="840">
        <v>0</v>
      </c>
      <c r="Q305" s="840">
        <v>0</v>
      </c>
      <c r="R305" s="841">
        <f t="shared" si="54"/>
        <v>0</v>
      </c>
      <c r="S305" s="840">
        <v>0</v>
      </c>
      <c r="T305" s="840">
        <v>0</v>
      </c>
      <c r="U305" s="161">
        <f t="shared" si="55"/>
        <v>0</v>
      </c>
      <c r="V305" s="840">
        <v>0</v>
      </c>
      <c r="W305" s="840">
        <v>0</v>
      </c>
      <c r="X305" s="841">
        <f t="shared" si="60"/>
        <v>0</v>
      </c>
      <c r="Y305" s="231">
        <v>0</v>
      </c>
      <c r="Z305" s="231">
        <v>0</v>
      </c>
      <c r="AA305" s="232">
        <f t="shared" si="61"/>
        <v>0</v>
      </c>
      <c r="AB305" s="214" t="s">
        <v>384</v>
      </c>
      <c r="AD305" s="232">
        <f t="shared" si="56"/>
        <v>0</v>
      </c>
      <c r="AE305" s="232">
        <f t="shared" si="57"/>
        <v>0</v>
      </c>
      <c r="AF305" s="232">
        <f t="shared" si="62"/>
        <v>0</v>
      </c>
      <c r="AG305" s="232">
        <f t="shared" si="58"/>
        <v>0</v>
      </c>
      <c r="AH305" s="232">
        <f t="shared" si="48"/>
        <v>0</v>
      </c>
      <c r="AI305" s="232">
        <f t="shared" si="63"/>
        <v>0</v>
      </c>
    </row>
    <row r="306" spans="1:35" ht="41.4" x14ac:dyDescent="0.3">
      <c r="A306" s="46">
        <v>33</v>
      </c>
      <c r="B306" s="46" t="s">
        <v>1110</v>
      </c>
      <c r="C306" s="46" t="s">
        <v>671</v>
      </c>
      <c r="D306" s="214" t="str">
        <f t="shared" si="59"/>
        <v>Do Not Print</v>
      </c>
      <c r="E306" s="213" t="s">
        <v>454</v>
      </c>
      <c r="F306" s="213" t="s">
        <v>454</v>
      </c>
      <c r="G306" s="214" t="s">
        <v>1104</v>
      </c>
      <c r="H306" s="214" t="s">
        <v>1105</v>
      </c>
      <c r="I306" s="230"/>
      <c r="J306" s="840">
        <v>0</v>
      </c>
      <c r="K306" s="840">
        <v>0</v>
      </c>
      <c r="L306" s="841">
        <f t="shared" si="52"/>
        <v>0</v>
      </c>
      <c r="M306" s="840">
        <v>0</v>
      </c>
      <c r="N306" s="840">
        <v>0</v>
      </c>
      <c r="O306" s="161">
        <f t="shared" si="53"/>
        <v>0</v>
      </c>
      <c r="P306" s="840">
        <v>0</v>
      </c>
      <c r="Q306" s="840">
        <v>0</v>
      </c>
      <c r="R306" s="841">
        <f t="shared" si="54"/>
        <v>0</v>
      </c>
      <c r="S306" s="840">
        <v>0</v>
      </c>
      <c r="T306" s="840">
        <v>0</v>
      </c>
      <c r="U306" s="161">
        <f t="shared" si="55"/>
        <v>0</v>
      </c>
      <c r="V306" s="840">
        <v>0</v>
      </c>
      <c r="W306" s="840">
        <v>0</v>
      </c>
      <c r="X306" s="841">
        <f t="shared" si="60"/>
        <v>0</v>
      </c>
      <c r="Y306" s="231">
        <v>0</v>
      </c>
      <c r="Z306" s="231">
        <v>0</v>
      </c>
      <c r="AA306" s="232">
        <f t="shared" si="61"/>
        <v>0</v>
      </c>
      <c r="AB306" s="214" t="s">
        <v>1105</v>
      </c>
      <c r="AD306" s="232">
        <f t="shared" si="56"/>
        <v>0</v>
      </c>
      <c r="AE306" s="232">
        <f t="shared" si="57"/>
        <v>0</v>
      </c>
      <c r="AF306" s="232">
        <f t="shared" si="62"/>
        <v>0</v>
      </c>
      <c r="AG306" s="232">
        <f>ROUND(O306,0)</f>
        <v>0</v>
      </c>
      <c r="AH306" s="232">
        <f>ROUND(U306,0)</f>
        <v>0</v>
      </c>
      <c r="AI306" s="232">
        <f t="shared" si="63"/>
        <v>0</v>
      </c>
    </row>
    <row r="307" spans="1:35" ht="41.4" x14ac:dyDescent="0.3">
      <c r="A307" s="46">
        <v>33</v>
      </c>
      <c r="B307" s="46" t="s">
        <v>1110</v>
      </c>
      <c r="C307" s="46" t="s">
        <v>671</v>
      </c>
      <c r="D307" s="214" t="str">
        <f t="shared" si="59"/>
        <v>Do Not Print</v>
      </c>
      <c r="E307" s="213" t="s">
        <v>454</v>
      </c>
      <c r="F307" s="213" t="s">
        <v>454</v>
      </c>
      <c r="G307" s="214" t="s">
        <v>1104</v>
      </c>
      <c r="H307" s="214" t="s">
        <v>1106</v>
      </c>
      <c r="I307" s="230"/>
      <c r="J307" s="840">
        <v>0</v>
      </c>
      <c r="K307" s="840">
        <v>0</v>
      </c>
      <c r="L307" s="841">
        <f t="shared" si="52"/>
        <v>0</v>
      </c>
      <c r="M307" s="840">
        <v>0</v>
      </c>
      <c r="N307" s="840">
        <v>0</v>
      </c>
      <c r="O307" s="161">
        <f t="shared" si="53"/>
        <v>0</v>
      </c>
      <c r="P307" s="840">
        <v>0</v>
      </c>
      <c r="Q307" s="840">
        <v>0</v>
      </c>
      <c r="R307" s="841">
        <f t="shared" si="54"/>
        <v>0</v>
      </c>
      <c r="S307" s="840">
        <v>0</v>
      </c>
      <c r="T307" s="840">
        <v>0</v>
      </c>
      <c r="U307" s="161">
        <f t="shared" si="55"/>
        <v>0</v>
      </c>
      <c r="V307" s="840">
        <v>0</v>
      </c>
      <c r="W307" s="840">
        <v>0</v>
      </c>
      <c r="X307" s="841">
        <f t="shared" si="60"/>
        <v>0</v>
      </c>
      <c r="Y307" s="231">
        <v>0</v>
      </c>
      <c r="Z307" s="231">
        <v>0</v>
      </c>
      <c r="AA307" s="232">
        <f t="shared" si="61"/>
        <v>0</v>
      </c>
      <c r="AB307" s="214" t="s">
        <v>1106</v>
      </c>
      <c r="AD307" s="232">
        <f t="shared" si="56"/>
        <v>0</v>
      </c>
      <c r="AE307" s="232">
        <f t="shared" si="57"/>
        <v>0</v>
      </c>
      <c r="AF307" s="232">
        <f t="shared" si="62"/>
        <v>0</v>
      </c>
      <c r="AG307" s="232">
        <f>ROUND(O307,0)</f>
        <v>0</v>
      </c>
      <c r="AH307" s="232">
        <f>ROUND(U307,0)</f>
        <v>0</v>
      </c>
      <c r="AI307" s="232">
        <f t="shared" si="63"/>
        <v>0</v>
      </c>
    </row>
    <row r="308" spans="1:35" ht="41.4" x14ac:dyDescent="0.3">
      <c r="A308" s="46">
        <v>33</v>
      </c>
      <c r="B308" s="46" t="s">
        <v>1110</v>
      </c>
      <c r="C308" s="46" t="s">
        <v>671</v>
      </c>
      <c r="D308" s="214" t="str">
        <f t="shared" si="59"/>
        <v>Do Not Print</v>
      </c>
      <c r="E308" s="213" t="s">
        <v>454</v>
      </c>
      <c r="F308" s="213" t="s">
        <v>454</v>
      </c>
      <c r="G308" s="214" t="s">
        <v>1104</v>
      </c>
      <c r="H308" s="214" t="s">
        <v>1107</v>
      </c>
      <c r="I308" s="230"/>
      <c r="J308" s="840">
        <v>0</v>
      </c>
      <c r="K308" s="840">
        <v>0</v>
      </c>
      <c r="L308" s="841">
        <f t="shared" si="52"/>
        <v>0</v>
      </c>
      <c r="M308" s="840">
        <v>0</v>
      </c>
      <c r="N308" s="840">
        <v>0</v>
      </c>
      <c r="O308" s="161">
        <f t="shared" si="53"/>
        <v>0</v>
      </c>
      <c r="P308" s="840">
        <v>0</v>
      </c>
      <c r="Q308" s="840">
        <v>0</v>
      </c>
      <c r="R308" s="841">
        <f t="shared" si="54"/>
        <v>0</v>
      </c>
      <c r="S308" s="840">
        <v>0</v>
      </c>
      <c r="T308" s="840">
        <v>0</v>
      </c>
      <c r="U308" s="161">
        <f t="shared" si="55"/>
        <v>0</v>
      </c>
      <c r="V308" s="840">
        <v>0</v>
      </c>
      <c r="W308" s="840">
        <v>0</v>
      </c>
      <c r="X308" s="841">
        <f t="shared" si="60"/>
        <v>0</v>
      </c>
      <c r="Y308" s="231">
        <v>0</v>
      </c>
      <c r="Z308" s="231">
        <v>0</v>
      </c>
      <c r="AA308" s="232">
        <f t="shared" si="61"/>
        <v>0</v>
      </c>
      <c r="AB308" s="214" t="s">
        <v>1107</v>
      </c>
      <c r="AD308" s="232">
        <f t="shared" si="56"/>
        <v>0</v>
      </c>
      <c r="AE308" s="232">
        <f t="shared" si="57"/>
        <v>0</v>
      </c>
      <c r="AF308" s="232">
        <f t="shared" si="62"/>
        <v>0</v>
      </c>
      <c r="AG308" s="232">
        <f>ROUND(O308,0)</f>
        <v>0</v>
      </c>
      <c r="AH308" s="232">
        <f>ROUND(U308,0)</f>
        <v>0</v>
      </c>
      <c r="AI308" s="232">
        <f t="shared" si="63"/>
        <v>0</v>
      </c>
    </row>
    <row r="309" spans="1:35" ht="41.4" x14ac:dyDescent="0.3">
      <c r="A309" s="46">
        <v>33</v>
      </c>
      <c r="B309" s="46" t="s">
        <v>1110</v>
      </c>
      <c r="C309" s="46" t="s">
        <v>671</v>
      </c>
      <c r="D309" s="214" t="str">
        <f t="shared" si="59"/>
        <v>Do Not Print</v>
      </c>
      <c r="E309" s="213" t="s">
        <v>454</v>
      </c>
      <c r="F309" s="213" t="s">
        <v>454</v>
      </c>
      <c r="G309" s="214" t="s">
        <v>1104</v>
      </c>
      <c r="H309" s="214" t="s">
        <v>1108</v>
      </c>
      <c r="I309" s="230"/>
      <c r="J309" s="840">
        <v>0</v>
      </c>
      <c r="K309" s="840">
        <v>0</v>
      </c>
      <c r="L309" s="841">
        <f t="shared" si="52"/>
        <v>0</v>
      </c>
      <c r="M309" s="840">
        <v>0</v>
      </c>
      <c r="N309" s="840">
        <v>0</v>
      </c>
      <c r="O309" s="161">
        <f t="shared" si="53"/>
        <v>0</v>
      </c>
      <c r="P309" s="840">
        <v>0</v>
      </c>
      <c r="Q309" s="840">
        <v>0</v>
      </c>
      <c r="R309" s="841">
        <f t="shared" si="54"/>
        <v>0</v>
      </c>
      <c r="S309" s="840">
        <v>0</v>
      </c>
      <c r="T309" s="840">
        <v>0</v>
      </c>
      <c r="U309" s="161">
        <f t="shared" si="55"/>
        <v>0</v>
      </c>
      <c r="V309" s="840">
        <v>0</v>
      </c>
      <c r="W309" s="840">
        <v>0</v>
      </c>
      <c r="X309" s="841">
        <f t="shared" si="60"/>
        <v>0</v>
      </c>
      <c r="Y309" s="231">
        <v>0</v>
      </c>
      <c r="Z309" s="231">
        <v>0</v>
      </c>
      <c r="AA309" s="232">
        <f t="shared" si="61"/>
        <v>0</v>
      </c>
      <c r="AB309" s="214" t="s">
        <v>1108</v>
      </c>
      <c r="AD309" s="232">
        <f t="shared" si="56"/>
        <v>0</v>
      </c>
      <c r="AE309" s="232">
        <f t="shared" si="57"/>
        <v>0</v>
      </c>
      <c r="AF309" s="232">
        <f t="shared" si="62"/>
        <v>0</v>
      </c>
      <c r="AG309" s="232">
        <f>ROUND(O309,0)</f>
        <v>0</v>
      </c>
      <c r="AH309" s="232">
        <f>ROUND(U309,0)</f>
        <v>0</v>
      </c>
      <c r="AI309" s="232">
        <f t="shared" si="63"/>
        <v>0</v>
      </c>
    </row>
    <row r="310" spans="1:35" ht="27.6" x14ac:dyDescent="0.3">
      <c r="A310" s="46">
        <v>34</v>
      </c>
      <c r="B310" s="46" t="s">
        <v>1561</v>
      </c>
      <c r="C310" s="46" t="s">
        <v>671</v>
      </c>
      <c r="D310" s="214" t="str">
        <f t="shared" ref="D310:D322" si="64">IF(AND(O310=0,U310=0,V310=0),"Do Not Print","Print")</f>
        <v>Do Not Print</v>
      </c>
      <c r="E310" s="213" t="s">
        <v>375</v>
      </c>
      <c r="F310" s="213" t="s">
        <v>293</v>
      </c>
      <c r="G310" s="214" t="s">
        <v>436</v>
      </c>
      <c r="H310" s="214" t="s">
        <v>360</v>
      </c>
      <c r="I310" s="230"/>
      <c r="J310" s="839">
        <f>SUM(P310:P320)+SUM(Q310:Q320)</f>
        <v>0</v>
      </c>
      <c r="K310" s="840">
        <v>0</v>
      </c>
      <c r="L310" s="841">
        <f t="shared" si="52"/>
        <v>0</v>
      </c>
      <c r="M310" s="839">
        <f>SUM(S310:S320)+SUM(T310:T320)</f>
        <v>0</v>
      </c>
      <c r="N310" s="840">
        <v>0</v>
      </c>
      <c r="O310" s="161">
        <f t="shared" si="53"/>
        <v>0</v>
      </c>
      <c r="P310" s="839">
        <f>SUM(V310:V320)+SUM(W310:W320)</f>
        <v>0</v>
      </c>
      <c r="Q310" s="840">
        <v>0</v>
      </c>
      <c r="R310" s="841">
        <f t="shared" si="54"/>
        <v>0</v>
      </c>
      <c r="S310" s="839">
        <f>SUM(Y310:Y320)+SUM(Z310:Z320)</f>
        <v>0</v>
      </c>
      <c r="T310" s="840">
        <v>0</v>
      </c>
      <c r="U310" s="161">
        <f t="shared" si="55"/>
        <v>0</v>
      </c>
      <c r="V310" s="840">
        <v>0</v>
      </c>
      <c r="W310" s="840">
        <v>0</v>
      </c>
      <c r="X310" s="841">
        <f t="shared" si="60"/>
        <v>0</v>
      </c>
      <c r="Y310" s="231">
        <v>0</v>
      </c>
      <c r="Z310" s="231">
        <v>0</v>
      </c>
      <c r="AA310" s="232">
        <f t="shared" si="61"/>
        <v>0</v>
      </c>
      <c r="AB310" s="214" t="s">
        <v>360</v>
      </c>
      <c r="AD310" s="232">
        <f t="shared" si="56"/>
        <v>0</v>
      </c>
      <c r="AE310" s="232">
        <f t="shared" si="57"/>
        <v>0</v>
      </c>
      <c r="AF310" s="232">
        <f t="shared" si="62"/>
        <v>0</v>
      </c>
      <c r="AG310" s="232">
        <f t="shared" ref="AG310:AG373" si="65">ROUND(O310,0)</f>
        <v>0</v>
      </c>
      <c r="AH310" s="232">
        <f t="shared" ref="AH310:AH373" si="66">ROUND(U310,0)</f>
        <v>0</v>
      </c>
      <c r="AI310" s="232">
        <f t="shared" ref="AI310:AI373" si="67">ROUND(AA310,0)</f>
        <v>0</v>
      </c>
    </row>
    <row r="311" spans="1:35" ht="41.4" x14ac:dyDescent="0.3">
      <c r="A311" s="46">
        <v>34</v>
      </c>
      <c r="B311" s="46" t="s">
        <v>1561</v>
      </c>
      <c r="C311" s="46" t="s">
        <v>671</v>
      </c>
      <c r="D311" s="214" t="str">
        <f t="shared" si="64"/>
        <v>Do Not Print</v>
      </c>
      <c r="E311" s="213" t="s">
        <v>375</v>
      </c>
      <c r="F311" s="214" t="s">
        <v>293</v>
      </c>
      <c r="G311" s="213" t="s">
        <v>101</v>
      </c>
      <c r="H311" s="213" t="s">
        <v>101</v>
      </c>
      <c r="I311" s="230"/>
      <c r="J311" s="840">
        <v>0</v>
      </c>
      <c r="K311" s="840">
        <v>0</v>
      </c>
      <c r="L311" s="841">
        <f t="shared" si="52"/>
        <v>0</v>
      </c>
      <c r="M311" s="840">
        <v>0</v>
      </c>
      <c r="N311" s="840">
        <v>0</v>
      </c>
      <c r="O311" s="161">
        <f t="shared" si="53"/>
        <v>0</v>
      </c>
      <c r="P311" s="840">
        <v>0</v>
      </c>
      <c r="Q311" s="840">
        <v>0</v>
      </c>
      <c r="R311" s="841">
        <f t="shared" si="54"/>
        <v>0</v>
      </c>
      <c r="S311" s="840">
        <v>0</v>
      </c>
      <c r="T311" s="840">
        <v>0</v>
      </c>
      <c r="U311" s="161">
        <f t="shared" si="55"/>
        <v>0</v>
      </c>
      <c r="V311" s="840">
        <v>0</v>
      </c>
      <c r="W311" s="840">
        <v>0</v>
      </c>
      <c r="X311" s="841">
        <f t="shared" si="60"/>
        <v>0</v>
      </c>
      <c r="Y311" s="231">
        <v>0</v>
      </c>
      <c r="Z311" s="231">
        <v>0</v>
      </c>
      <c r="AA311" s="232">
        <f t="shared" si="61"/>
        <v>0</v>
      </c>
      <c r="AB311" s="213" t="s">
        <v>101</v>
      </c>
      <c r="AD311" s="232">
        <f t="shared" si="56"/>
        <v>0</v>
      </c>
      <c r="AE311" s="232">
        <f t="shared" si="57"/>
        <v>0</v>
      </c>
      <c r="AF311" s="232">
        <f t="shared" si="62"/>
        <v>0</v>
      </c>
      <c r="AG311" s="232">
        <f t="shared" si="65"/>
        <v>0</v>
      </c>
      <c r="AH311" s="232">
        <f t="shared" si="66"/>
        <v>0</v>
      </c>
      <c r="AI311" s="232">
        <f t="shared" si="67"/>
        <v>0</v>
      </c>
    </row>
    <row r="312" spans="1:35" ht="27.6" x14ac:dyDescent="0.3">
      <c r="A312" s="46">
        <v>34</v>
      </c>
      <c r="B312" s="46" t="s">
        <v>1561</v>
      </c>
      <c r="C312" s="46" t="s">
        <v>671</v>
      </c>
      <c r="D312" s="214" t="str">
        <f t="shared" si="64"/>
        <v>Do Not Print</v>
      </c>
      <c r="E312" s="213" t="s">
        <v>375</v>
      </c>
      <c r="F312" s="214" t="s">
        <v>293</v>
      </c>
      <c r="G312" s="214" t="s">
        <v>960</v>
      </c>
      <c r="H312" s="214" t="s">
        <v>961</v>
      </c>
      <c r="I312" s="230"/>
      <c r="J312" s="840">
        <v>0</v>
      </c>
      <c r="K312" s="840">
        <v>0</v>
      </c>
      <c r="L312" s="841">
        <f t="shared" si="52"/>
        <v>0</v>
      </c>
      <c r="M312" s="840">
        <v>0</v>
      </c>
      <c r="N312" s="840">
        <v>0</v>
      </c>
      <c r="O312" s="161">
        <f t="shared" si="53"/>
        <v>0</v>
      </c>
      <c r="P312" s="840">
        <v>0</v>
      </c>
      <c r="Q312" s="840">
        <v>0</v>
      </c>
      <c r="R312" s="841">
        <f t="shared" si="54"/>
        <v>0</v>
      </c>
      <c r="S312" s="840">
        <v>0</v>
      </c>
      <c r="T312" s="840">
        <v>0</v>
      </c>
      <c r="U312" s="161">
        <f t="shared" si="55"/>
        <v>0</v>
      </c>
      <c r="V312" s="840">
        <v>0</v>
      </c>
      <c r="W312" s="840">
        <v>0</v>
      </c>
      <c r="X312" s="841">
        <f t="shared" si="60"/>
        <v>0</v>
      </c>
      <c r="Y312" s="231">
        <v>0</v>
      </c>
      <c r="Z312" s="231">
        <v>0</v>
      </c>
      <c r="AA312" s="232">
        <f t="shared" si="61"/>
        <v>0</v>
      </c>
      <c r="AB312" s="214" t="s">
        <v>961</v>
      </c>
      <c r="AD312" s="232">
        <f t="shared" si="56"/>
        <v>0</v>
      </c>
      <c r="AE312" s="232">
        <f t="shared" si="57"/>
        <v>0</v>
      </c>
      <c r="AF312" s="232">
        <f t="shared" si="62"/>
        <v>0</v>
      </c>
      <c r="AG312" s="232">
        <f t="shared" si="65"/>
        <v>0</v>
      </c>
      <c r="AH312" s="232">
        <f t="shared" si="66"/>
        <v>0</v>
      </c>
      <c r="AI312" s="232">
        <f t="shared" si="67"/>
        <v>0</v>
      </c>
    </row>
    <row r="313" spans="1:35" ht="27.6" x14ac:dyDescent="0.3">
      <c r="A313" s="46">
        <v>34</v>
      </c>
      <c r="B313" s="46" t="s">
        <v>1561</v>
      </c>
      <c r="C313" s="46" t="s">
        <v>671</v>
      </c>
      <c r="D313" s="214" t="str">
        <f t="shared" si="64"/>
        <v>Do Not Print</v>
      </c>
      <c r="E313" s="213" t="s">
        <v>375</v>
      </c>
      <c r="F313" s="214" t="s">
        <v>293</v>
      </c>
      <c r="G313" s="214" t="s">
        <v>103</v>
      </c>
      <c r="H313" s="214" t="s">
        <v>1094</v>
      </c>
      <c r="I313" s="230"/>
      <c r="J313" s="840">
        <v>0</v>
      </c>
      <c r="K313" s="840">
        <v>0</v>
      </c>
      <c r="L313" s="841">
        <f t="shared" si="52"/>
        <v>0</v>
      </c>
      <c r="M313" s="840">
        <v>0</v>
      </c>
      <c r="N313" s="840">
        <v>0</v>
      </c>
      <c r="O313" s="161">
        <f t="shared" si="53"/>
        <v>0</v>
      </c>
      <c r="P313" s="840">
        <v>0</v>
      </c>
      <c r="Q313" s="840">
        <v>0</v>
      </c>
      <c r="R313" s="841">
        <f t="shared" si="54"/>
        <v>0</v>
      </c>
      <c r="S313" s="840">
        <v>0</v>
      </c>
      <c r="T313" s="840">
        <v>0</v>
      </c>
      <c r="U313" s="161">
        <f t="shared" si="55"/>
        <v>0</v>
      </c>
      <c r="V313" s="840">
        <v>0</v>
      </c>
      <c r="W313" s="840">
        <v>0</v>
      </c>
      <c r="X313" s="841">
        <f t="shared" si="60"/>
        <v>0</v>
      </c>
      <c r="Y313" s="231">
        <v>0</v>
      </c>
      <c r="Z313" s="231">
        <v>0</v>
      </c>
      <c r="AA313" s="232">
        <f t="shared" si="61"/>
        <v>0</v>
      </c>
      <c r="AB313" s="214" t="s">
        <v>1094</v>
      </c>
      <c r="AD313" s="232">
        <f t="shared" si="56"/>
        <v>0</v>
      </c>
      <c r="AE313" s="232">
        <f t="shared" si="57"/>
        <v>0</v>
      </c>
      <c r="AF313" s="232">
        <f t="shared" si="62"/>
        <v>0</v>
      </c>
      <c r="AG313" s="232">
        <f t="shared" si="65"/>
        <v>0</v>
      </c>
      <c r="AH313" s="232">
        <f t="shared" si="66"/>
        <v>0</v>
      </c>
      <c r="AI313" s="232">
        <f t="shared" si="67"/>
        <v>0</v>
      </c>
    </row>
    <row r="314" spans="1:35" ht="55.2" x14ac:dyDescent="0.3">
      <c r="A314" s="46">
        <v>34</v>
      </c>
      <c r="B314" s="46" t="s">
        <v>1561</v>
      </c>
      <c r="C314" s="46" t="s">
        <v>671</v>
      </c>
      <c r="D314" s="214" t="str">
        <f t="shared" si="64"/>
        <v>Do Not Print</v>
      </c>
      <c r="E314" s="213" t="s">
        <v>375</v>
      </c>
      <c r="F314" s="214" t="s">
        <v>293</v>
      </c>
      <c r="G314" s="214" t="s">
        <v>104</v>
      </c>
      <c r="H314" s="214" t="s">
        <v>1096</v>
      </c>
      <c r="I314" s="230"/>
      <c r="J314" s="840">
        <v>0</v>
      </c>
      <c r="K314" s="840">
        <v>0</v>
      </c>
      <c r="L314" s="841">
        <f t="shared" si="52"/>
        <v>0</v>
      </c>
      <c r="M314" s="840">
        <v>0</v>
      </c>
      <c r="N314" s="840">
        <v>0</v>
      </c>
      <c r="O314" s="161">
        <f t="shared" si="53"/>
        <v>0</v>
      </c>
      <c r="P314" s="840">
        <v>0</v>
      </c>
      <c r="Q314" s="840">
        <v>0</v>
      </c>
      <c r="R314" s="841">
        <f t="shared" si="54"/>
        <v>0</v>
      </c>
      <c r="S314" s="840">
        <v>0</v>
      </c>
      <c r="T314" s="840">
        <v>0</v>
      </c>
      <c r="U314" s="161">
        <f t="shared" si="55"/>
        <v>0</v>
      </c>
      <c r="V314" s="840">
        <v>0</v>
      </c>
      <c r="W314" s="840">
        <v>0</v>
      </c>
      <c r="X314" s="841">
        <f t="shared" si="60"/>
        <v>0</v>
      </c>
      <c r="Y314" s="231">
        <v>0</v>
      </c>
      <c r="Z314" s="231">
        <v>0</v>
      </c>
      <c r="AA314" s="232">
        <f t="shared" si="61"/>
        <v>0</v>
      </c>
      <c r="AB314" s="214" t="s">
        <v>1096</v>
      </c>
      <c r="AD314" s="232">
        <f t="shared" si="56"/>
        <v>0</v>
      </c>
      <c r="AE314" s="232">
        <f t="shared" si="57"/>
        <v>0</v>
      </c>
      <c r="AF314" s="232">
        <f t="shared" si="62"/>
        <v>0</v>
      </c>
      <c r="AG314" s="232">
        <f t="shared" si="65"/>
        <v>0</v>
      </c>
      <c r="AH314" s="232">
        <f t="shared" si="66"/>
        <v>0</v>
      </c>
      <c r="AI314" s="232">
        <f t="shared" si="67"/>
        <v>0</v>
      </c>
    </row>
    <row r="315" spans="1:35" ht="41.4" x14ac:dyDescent="0.3">
      <c r="A315" s="46">
        <v>34</v>
      </c>
      <c r="B315" s="46" t="s">
        <v>1561</v>
      </c>
      <c r="C315" s="46" t="s">
        <v>671</v>
      </c>
      <c r="D315" s="214" t="str">
        <f t="shared" si="64"/>
        <v>Do Not Print</v>
      </c>
      <c r="E315" s="213" t="s">
        <v>375</v>
      </c>
      <c r="F315" s="214" t="s">
        <v>293</v>
      </c>
      <c r="G315" s="214" t="s">
        <v>1091</v>
      </c>
      <c r="H315" s="214" t="s">
        <v>962</v>
      </c>
      <c r="I315" s="230"/>
      <c r="J315" s="840">
        <v>0</v>
      </c>
      <c r="K315" s="840">
        <v>0</v>
      </c>
      <c r="L315" s="841">
        <f t="shared" si="52"/>
        <v>0</v>
      </c>
      <c r="M315" s="840">
        <v>0</v>
      </c>
      <c r="N315" s="840">
        <v>0</v>
      </c>
      <c r="O315" s="161">
        <f t="shared" si="53"/>
        <v>0</v>
      </c>
      <c r="P315" s="840">
        <v>0</v>
      </c>
      <c r="Q315" s="840">
        <v>0</v>
      </c>
      <c r="R315" s="841">
        <f t="shared" si="54"/>
        <v>0</v>
      </c>
      <c r="S315" s="840">
        <v>0</v>
      </c>
      <c r="T315" s="840">
        <v>0</v>
      </c>
      <c r="U315" s="161">
        <f t="shared" si="55"/>
        <v>0</v>
      </c>
      <c r="V315" s="840">
        <v>0</v>
      </c>
      <c r="W315" s="840">
        <v>0</v>
      </c>
      <c r="X315" s="841">
        <f t="shared" si="60"/>
        <v>0</v>
      </c>
      <c r="Y315" s="231">
        <v>0</v>
      </c>
      <c r="Z315" s="231">
        <v>0</v>
      </c>
      <c r="AA315" s="232">
        <f t="shared" si="61"/>
        <v>0</v>
      </c>
      <c r="AB315" s="214" t="s">
        <v>962</v>
      </c>
      <c r="AD315" s="232">
        <f t="shared" si="56"/>
        <v>0</v>
      </c>
      <c r="AE315" s="232">
        <f t="shared" si="57"/>
        <v>0</v>
      </c>
      <c r="AF315" s="232">
        <f t="shared" si="62"/>
        <v>0</v>
      </c>
      <c r="AG315" s="232">
        <f t="shared" si="65"/>
        <v>0</v>
      </c>
      <c r="AH315" s="232">
        <f t="shared" si="66"/>
        <v>0</v>
      </c>
      <c r="AI315" s="232">
        <f t="shared" si="67"/>
        <v>0</v>
      </c>
    </row>
    <row r="316" spans="1:35" ht="41.4" x14ac:dyDescent="0.3">
      <c r="A316" s="46">
        <v>34</v>
      </c>
      <c r="B316" s="46" t="s">
        <v>1561</v>
      </c>
      <c r="C316" s="46" t="s">
        <v>671</v>
      </c>
      <c r="D316" s="214" t="str">
        <f t="shared" si="64"/>
        <v>Do Not Print</v>
      </c>
      <c r="E316" s="213" t="s">
        <v>375</v>
      </c>
      <c r="F316" s="214" t="s">
        <v>293</v>
      </c>
      <c r="G316" s="214" t="s">
        <v>61</v>
      </c>
      <c r="H316" s="214" t="s">
        <v>361</v>
      </c>
      <c r="I316" s="230"/>
      <c r="J316" s="840">
        <v>0</v>
      </c>
      <c r="K316" s="840">
        <v>0</v>
      </c>
      <c r="L316" s="841">
        <f t="shared" ref="L316:L385" si="68">SUM(J316:K316)</f>
        <v>0</v>
      </c>
      <c r="M316" s="840">
        <v>0</v>
      </c>
      <c r="N316" s="840">
        <v>0</v>
      </c>
      <c r="O316" s="161">
        <f t="shared" ref="O316:O385" si="69">SUM(M316:N316)+L316</f>
        <v>0</v>
      </c>
      <c r="P316" s="840">
        <v>0</v>
      </c>
      <c r="Q316" s="840">
        <v>0</v>
      </c>
      <c r="R316" s="841">
        <f t="shared" ref="R316:R385" si="70">SUM(P316:Q316)</f>
        <v>0</v>
      </c>
      <c r="S316" s="840">
        <v>0</v>
      </c>
      <c r="T316" s="840">
        <v>0</v>
      </c>
      <c r="U316" s="161">
        <f t="shared" ref="U316:U385" si="71">R316+SUM(S316:T316)</f>
        <v>0</v>
      </c>
      <c r="V316" s="840">
        <v>0</v>
      </c>
      <c r="W316" s="840">
        <v>0</v>
      </c>
      <c r="X316" s="841">
        <f t="shared" si="60"/>
        <v>0</v>
      </c>
      <c r="Y316" s="231">
        <v>0</v>
      </c>
      <c r="Z316" s="231">
        <v>0</v>
      </c>
      <c r="AA316" s="232">
        <f t="shared" si="61"/>
        <v>0</v>
      </c>
      <c r="AB316" s="214" t="s">
        <v>361</v>
      </c>
      <c r="AD316" s="232">
        <f t="shared" ref="AD316:AD385" si="72">ROUND(L316,0)</f>
        <v>0</v>
      </c>
      <c r="AE316" s="232">
        <f t="shared" ref="AE316:AE385" si="73">ROUND(R316,0)</f>
        <v>0</v>
      </c>
      <c r="AF316" s="232">
        <f t="shared" si="62"/>
        <v>0</v>
      </c>
      <c r="AG316" s="232">
        <f t="shared" si="65"/>
        <v>0</v>
      </c>
      <c r="AH316" s="232">
        <f t="shared" si="66"/>
        <v>0</v>
      </c>
      <c r="AI316" s="232">
        <f t="shared" si="67"/>
        <v>0</v>
      </c>
    </row>
    <row r="317" spans="1:35" ht="27.6" x14ac:dyDescent="0.3">
      <c r="A317" s="46">
        <v>34</v>
      </c>
      <c r="B317" s="46" t="s">
        <v>1561</v>
      </c>
      <c r="C317" s="46" t="s">
        <v>671</v>
      </c>
      <c r="D317" s="214" t="str">
        <f t="shared" si="64"/>
        <v>Do Not Print</v>
      </c>
      <c r="E317" s="213" t="s">
        <v>375</v>
      </c>
      <c r="F317" s="214" t="s">
        <v>293</v>
      </c>
      <c r="G317" s="214" t="s">
        <v>977</v>
      </c>
      <c r="H317" s="214" t="s">
        <v>1061</v>
      </c>
      <c r="I317" s="230"/>
      <c r="J317" s="842">
        <v>0</v>
      </c>
      <c r="K317" s="840">
        <v>0</v>
      </c>
      <c r="L317" s="841">
        <f t="shared" si="68"/>
        <v>0</v>
      </c>
      <c r="M317" s="842">
        <v>0</v>
      </c>
      <c r="N317" s="840">
        <v>0</v>
      </c>
      <c r="O317" s="161">
        <f t="shared" si="69"/>
        <v>0</v>
      </c>
      <c r="P317" s="842">
        <v>0</v>
      </c>
      <c r="Q317" s="840">
        <v>0</v>
      </c>
      <c r="R317" s="841">
        <f t="shared" si="70"/>
        <v>0</v>
      </c>
      <c r="S317" s="842">
        <v>0</v>
      </c>
      <c r="T317" s="840">
        <v>0</v>
      </c>
      <c r="U317" s="161">
        <f t="shared" si="71"/>
        <v>0</v>
      </c>
      <c r="V317" s="842">
        <v>0</v>
      </c>
      <c r="W317" s="840">
        <v>0</v>
      </c>
      <c r="X317" s="841">
        <f t="shared" si="60"/>
        <v>0</v>
      </c>
      <c r="Y317" s="234">
        <v>0</v>
      </c>
      <c r="Z317" s="231">
        <v>0</v>
      </c>
      <c r="AA317" s="232">
        <f t="shared" si="61"/>
        <v>0</v>
      </c>
      <c r="AB317" s="214" t="s">
        <v>1061</v>
      </c>
      <c r="AD317" s="232">
        <f t="shared" si="72"/>
        <v>0</v>
      </c>
      <c r="AE317" s="232">
        <f t="shared" si="73"/>
        <v>0</v>
      </c>
      <c r="AF317" s="232">
        <f t="shared" si="62"/>
        <v>0</v>
      </c>
      <c r="AG317" s="232">
        <f t="shared" si="65"/>
        <v>0</v>
      </c>
      <c r="AH317" s="232">
        <f t="shared" si="66"/>
        <v>0</v>
      </c>
      <c r="AI317" s="232">
        <f t="shared" si="67"/>
        <v>0</v>
      </c>
    </row>
    <row r="318" spans="1:35" ht="27.6" x14ac:dyDescent="0.3">
      <c r="A318" s="46">
        <v>34</v>
      </c>
      <c r="B318" s="46" t="s">
        <v>1561</v>
      </c>
      <c r="C318" s="46" t="s">
        <v>671</v>
      </c>
      <c r="D318" s="214" t="str">
        <f t="shared" si="64"/>
        <v>Do Not Print</v>
      </c>
      <c r="E318" s="213" t="s">
        <v>375</v>
      </c>
      <c r="F318" s="214" t="s">
        <v>293</v>
      </c>
      <c r="G318" s="214" t="s">
        <v>979</v>
      </c>
      <c r="H318" s="214" t="s">
        <v>362</v>
      </c>
      <c r="I318" s="230"/>
      <c r="J318" s="842">
        <v>0</v>
      </c>
      <c r="K318" s="840">
        <v>0</v>
      </c>
      <c r="L318" s="841">
        <f t="shared" si="68"/>
        <v>0</v>
      </c>
      <c r="M318" s="842">
        <v>0</v>
      </c>
      <c r="N318" s="840">
        <v>0</v>
      </c>
      <c r="O318" s="161">
        <f t="shared" si="69"/>
        <v>0</v>
      </c>
      <c r="P318" s="842">
        <v>0</v>
      </c>
      <c r="Q318" s="840">
        <v>0</v>
      </c>
      <c r="R318" s="841">
        <f t="shared" si="70"/>
        <v>0</v>
      </c>
      <c r="S318" s="842">
        <v>0</v>
      </c>
      <c r="T318" s="840">
        <v>0</v>
      </c>
      <c r="U318" s="161">
        <f t="shared" si="71"/>
        <v>0</v>
      </c>
      <c r="V318" s="842">
        <v>0</v>
      </c>
      <c r="W318" s="840">
        <v>0</v>
      </c>
      <c r="X318" s="841">
        <f t="shared" si="60"/>
        <v>0</v>
      </c>
      <c r="Y318" s="234">
        <v>0</v>
      </c>
      <c r="Z318" s="231">
        <v>0</v>
      </c>
      <c r="AA318" s="232">
        <f t="shared" si="61"/>
        <v>0</v>
      </c>
      <c r="AB318" s="214" t="s">
        <v>362</v>
      </c>
      <c r="AD318" s="232">
        <f t="shared" si="72"/>
        <v>0</v>
      </c>
      <c r="AE318" s="232">
        <f t="shared" si="73"/>
        <v>0</v>
      </c>
      <c r="AF318" s="232">
        <f t="shared" si="62"/>
        <v>0</v>
      </c>
      <c r="AG318" s="232">
        <f t="shared" si="65"/>
        <v>0</v>
      </c>
      <c r="AH318" s="232">
        <f t="shared" si="66"/>
        <v>0</v>
      </c>
      <c r="AI318" s="232">
        <f t="shared" si="67"/>
        <v>0</v>
      </c>
    </row>
    <row r="319" spans="1:35" ht="41.4" x14ac:dyDescent="0.3">
      <c r="A319" s="46">
        <v>34</v>
      </c>
      <c r="B319" s="46" t="s">
        <v>1561</v>
      </c>
      <c r="C319" s="46" t="s">
        <v>671</v>
      </c>
      <c r="D319" s="214" t="str">
        <f t="shared" si="64"/>
        <v>Do Not Print</v>
      </c>
      <c r="E319" s="213" t="s">
        <v>375</v>
      </c>
      <c r="F319" s="214" t="s">
        <v>293</v>
      </c>
      <c r="G319" s="214" t="s">
        <v>980</v>
      </c>
      <c r="H319" s="214" t="s">
        <v>363</v>
      </c>
      <c r="I319" s="230"/>
      <c r="J319" s="840">
        <v>0</v>
      </c>
      <c r="K319" s="840">
        <v>0</v>
      </c>
      <c r="L319" s="841">
        <f t="shared" si="68"/>
        <v>0</v>
      </c>
      <c r="M319" s="840">
        <v>0</v>
      </c>
      <c r="N319" s="840">
        <v>0</v>
      </c>
      <c r="O319" s="161">
        <f t="shared" si="69"/>
        <v>0</v>
      </c>
      <c r="P319" s="840">
        <v>0</v>
      </c>
      <c r="Q319" s="840">
        <v>0</v>
      </c>
      <c r="R319" s="841">
        <f t="shared" si="70"/>
        <v>0</v>
      </c>
      <c r="S319" s="840">
        <v>0</v>
      </c>
      <c r="T319" s="840">
        <v>0</v>
      </c>
      <c r="U319" s="161">
        <f t="shared" si="71"/>
        <v>0</v>
      </c>
      <c r="V319" s="840">
        <v>0</v>
      </c>
      <c r="W319" s="840">
        <v>0</v>
      </c>
      <c r="X319" s="841">
        <f t="shared" si="60"/>
        <v>0</v>
      </c>
      <c r="Y319" s="231">
        <v>0</v>
      </c>
      <c r="Z319" s="231">
        <v>0</v>
      </c>
      <c r="AA319" s="232">
        <f t="shared" si="61"/>
        <v>0</v>
      </c>
      <c r="AB319" s="214" t="s">
        <v>363</v>
      </c>
      <c r="AD319" s="232">
        <f t="shared" si="72"/>
        <v>0</v>
      </c>
      <c r="AE319" s="232">
        <f t="shared" si="73"/>
        <v>0</v>
      </c>
      <c r="AF319" s="232">
        <f t="shared" si="62"/>
        <v>0</v>
      </c>
      <c r="AG319" s="232">
        <f t="shared" si="65"/>
        <v>0</v>
      </c>
      <c r="AH319" s="232">
        <f t="shared" si="66"/>
        <v>0</v>
      </c>
      <c r="AI319" s="232">
        <f t="shared" si="67"/>
        <v>0</v>
      </c>
    </row>
    <row r="320" spans="1:35" ht="27.6" x14ac:dyDescent="0.3">
      <c r="A320" s="46">
        <v>34</v>
      </c>
      <c r="B320" s="46" t="s">
        <v>1561</v>
      </c>
      <c r="C320" s="46" t="s">
        <v>671</v>
      </c>
      <c r="D320" s="214" t="str">
        <f t="shared" si="64"/>
        <v>Do Not Print</v>
      </c>
      <c r="E320" s="213" t="s">
        <v>375</v>
      </c>
      <c r="F320" s="214" t="s">
        <v>293</v>
      </c>
      <c r="G320" s="214" t="s">
        <v>1093</v>
      </c>
      <c r="H320" s="214" t="s">
        <v>1100</v>
      </c>
      <c r="I320" s="230"/>
      <c r="J320" s="840">
        <v>0</v>
      </c>
      <c r="K320" s="840">
        <v>0</v>
      </c>
      <c r="L320" s="841">
        <f t="shared" si="68"/>
        <v>0</v>
      </c>
      <c r="M320" s="840">
        <v>0</v>
      </c>
      <c r="N320" s="840">
        <v>0</v>
      </c>
      <c r="O320" s="161">
        <f t="shared" si="69"/>
        <v>0</v>
      </c>
      <c r="P320" s="840">
        <v>0</v>
      </c>
      <c r="Q320" s="840">
        <v>0</v>
      </c>
      <c r="R320" s="841">
        <f t="shared" si="70"/>
        <v>0</v>
      </c>
      <c r="S320" s="840">
        <v>0</v>
      </c>
      <c r="T320" s="840">
        <v>0</v>
      </c>
      <c r="U320" s="161">
        <f t="shared" si="71"/>
        <v>0</v>
      </c>
      <c r="V320" s="840">
        <v>0</v>
      </c>
      <c r="W320" s="840">
        <v>0</v>
      </c>
      <c r="X320" s="841">
        <f t="shared" si="60"/>
        <v>0</v>
      </c>
      <c r="Y320" s="231">
        <v>0</v>
      </c>
      <c r="Z320" s="231">
        <v>0</v>
      </c>
      <c r="AA320" s="232">
        <f t="shared" si="61"/>
        <v>0</v>
      </c>
      <c r="AB320" s="214" t="s">
        <v>1100</v>
      </c>
      <c r="AD320" s="232">
        <f t="shared" si="72"/>
        <v>0</v>
      </c>
      <c r="AE320" s="232">
        <f t="shared" si="73"/>
        <v>0</v>
      </c>
      <c r="AF320" s="232">
        <f t="shared" si="62"/>
        <v>0</v>
      </c>
      <c r="AG320" s="232">
        <f t="shared" si="65"/>
        <v>0</v>
      </c>
      <c r="AH320" s="232">
        <f t="shared" si="66"/>
        <v>0</v>
      </c>
      <c r="AI320" s="232">
        <f t="shared" si="67"/>
        <v>0</v>
      </c>
    </row>
    <row r="321" spans="1:35" ht="27.6" x14ac:dyDescent="0.3">
      <c r="A321" s="46">
        <v>35</v>
      </c>
      <c r="B321" s="46" t="s">
        <v>2754</v>
      </c>
      <c r="C321" s="46" t="s">
        <v>671</v>
      </c>
      <c r="D321" s="214" t="str">
        <f t="shared" si="64"/>
        <v>Do Not Print</v>
      </c>
      <c r="E321" s="213" t="s">
        <v>375</v>
      </c>
      <c r="F321" s="213" t="s">
        <v>375</v>
      </c>
      <c r="G321" s="214" t="s">
        <v>2363</v>
      </c>
      <c r="H321" s="214" t="s">
        <v>2363</v>
      </c>
      <c r="I321" s="230"/>
      <c r="J321" s="840"/>
      <c r="K321" s="840"/>
      <c r="L321" s="841"/>
      <c r="M321" s="840"/>
      <c r="N321" s="840"/>
      <c r="O321" s="161"/>
      <c r="P321" s="840"/>
      <c r="Q321" s="840"/>
      <c r="R321" s="841"/>
      <c r="S321" s="840"/>
      <c r="T321" s="840"/>
      <c r="U321" s="161"/>
      <c r="V321" s="840"/>
      <c r="W321" s="840"/>
      <c r="X321" s="841"/>
      <c r="Y321" s="231"/>
      <c r="Z321" s="231"/>
      <c r="AA321" s="232"/>
      <c r="AD321" s="232"/>
      <c r="AE321" s="232"/>
      <c r="AF321" s="232"/>
      <c r="AG321" s="232"/>
      <c r="AH321" s="232"/>
      <c r="AI321" s="232"/>
    </row>
    <row r="322" spans="1:35" ht="27.6" x14ac:dyDescent="0.3">
      <c r="A322" s="46">
        <v>36</v>
      </c>
      <c r="B322" s="46" t="s">
        <v>2755</v>
      </c>
      <c r="C322" s="46" t="s">
        <v>671</v>
      </c>
      <c r="D322" s="214" t="str">
        <f t="shared" si="64"/>
        <v>Do Not Print</v>
      </c>
      <c r="E322" s="213" t="s">
        <v>375</v>
      </c>
      <c r="F322" s="213" t="s">
        <v>375</v>
      </c>
      <c r="G322" s="214" t="s">
        <v>2692</v>
      </c>
      <c r="H322" s="214" t="s">
        <v>2692</v>
      </c>
      <c r="I322" s="230"/>
      <c r="J322" s="840"/>
      <c r="K322" s="840"/>
      <c r="L322" s="841"/>
      <c r="M322" s="840"/>
      <c r="N322" s="840"/>
      <c r="O322" s="161"/>
      <c r="P322" s="840"/>
      <c r="Q322" s="840"/>
      <c r="R322" s="841"/>
      <c r="S322" s="840"/>
      <c r="T322" s="840"/>
      <c r="U322" s="161"/>
      <c r="V322" s="840"/>
      <c r="W322" s="840"/>
      <c r="X322" s="841"/>
      <c r="Y322" s="231"/>
      <c r="Z322" s="231"/>
      <c r="AA322" s="232"/>
      <c r="AD322" s="232"/>
      <c r="AE322" s="232"/>
      <c r="AF322" s="232"/>
      <c r="AG322" s="232"/>
      <c r="AH322" s="232"/>
      <c r="AI322" s="232"/>
    </row>
    <row r="323" spans="1:35" ht="27.6" x14ac:dyDescent="0.3">
      <c r="A323" s="46">
        <v>37</v>
      </c>
      <c r="B323" s="46" t="s">
        <v>125</v>
      </c>
      <c r="C323" s="46" t="s">
        <v>671</v>
      </c>
      <c r="D323" s="214" t="str">
        <f t="shared" si="59"/>
        <v>Do Not Print</v>
      </c>
      <c r="E323" s="214" t="s">
        <v>385</v>
      </c>
      <c r="F323" s="214" t="s">
        <v>382</v>
      </c>
      <c r="G323" s="214" t="s">
        <v>386</v>
      </c>
      <c r="H323" s="214" t="s">
        <v>386</v>
      </c>
      <c r="I323" s="230"/>
      <c r="J323" s="840">
        <v>0</v>
      </c>
      <c r="K323" s="840">
        <v>0</v>
      </c>
      <c r="L323" s="841">
        <f t="shared" si="68"/>
        <v>0</v>
      </c>
      <c r="M323" s="840">
        <v>0</v>
      </c>
      <c r="N323" s="840">
        <v>0</v>
      </c>
      <c r="O323" s="161">
        <f t="shared" si="69"/>
        <v>0</v>
      </c>
      <c r="P323" s="840">
        <v>0</v>
      </c>
      <c r="Q323" s="840">
        <v>0</v>
      </c>
      <c r="R323" s="841">
        <f t="shared" si="70"/>
        <v>0</v>
      </c>
      <c r="S323" s="840">
        <v>0</v>
      </c>
      <c r="T323" s="840">
        <v>0</v>
      </c>
      <c r="U323" s="161">
        <f t="shared" si="71"/>
        <v>0</v>
      </c>
      <c r="V323" s="840">
        <v>0</v>
      </c>
      <c r="W323" s="840">
        <v>0</v>
      </c>
      <c r="X323" s="841">
        <f t="shared" si="60"/>
        <v>0</v>
      </c>
      <c r="Y323" s="231">
        <v>0</v>
      </c>
      <c r="Z323" s="231">
        <v>0</v>
      </c>
      <c r="AA323" s="232">
        <f t="shared" si="61"/>
        <v>0</v>
      </c>
      <c r="AB323" s="214" t="s">
        <v>386</v>
      </c>
      <c r="AD323" s="232">
        <f t="shared" si="72"/>
        <v>0</v>
      </c>
      <c r="AE323" s="232">
        <f t="shared" si="73"/>
        <v>0</v>
      </c>
      <c r="AF323" s="232">
        <f t="shared" si="62"/>
        <v>0</v>
      </c>
      <c r="AG323" s="232">
        <f t="shared" si="65"/>
        <v>0</v>
      </c>
      <c r="AH323" s="232">
        <f t="shared" si="66"/>
        <v>0</v>
      </c>
      <c r="AI323" s="232">
        <f t="shared" si="67"/>
        <v>0</v>
      </c>
    </row>
    <row r="324" spans="1:35" ht="27.6" x14ac:dyDescent="0.3">
      <c r="A324" s="46">
        <v>38</v>
      </c>
      <c r="B324" s="46" t="s">
        <v>126</v>
      </c>
      <c r="C324" s="46" t="s">
        <v>671</v>
      </c>
      <c r="D324" s="214" t="str">
        <f t="shared" si="59"/>
        <v>Do Not Print</v>
      </c>
      <c r="E324" s="214" t="s">
        <v>385</v>
      </c>
      <c r="F324" s="214" t="s">
        <v>387</v>
      </c>
      <c r="G324" s="214" t="s">
        <v>388</v>
      </c>
      <c r="H324" s="214" t="s">
        <v>388</v>
      </c>
      <c r="I324" s="230">
        <v>17</v>
      </c>
      <c r="J324" s="840">
        <v>0</v>
      </c>
      <c r="K324" s="840">
        <v>0</v>
      </c>
      <c r="L324" s="841">
        <f t="shared" si="68"/>
        <v>0</v>
      </c>
      <c r="M324" s="840">
        <v>0</v>
      </c>
      <c r="N324" s="840">
        <v>0</v>
      </c>
      <c r="O324" s="161">
        <f t="shared" si="69"/>
        <v>0</v>
      </c>
      <c r="P324" s="840">
        <v>0</v>
      </c>
      <c r="Q324" s="840">
        <v>0</v>
      </c>
      <c r="R324" s="841">
        <f t="shared" si="70"/>
        <v>0</v>
      </c>
      <c r="S324" s="840">
        <v>0</v>
      </c>
      <c r="T324" s="840">
        <v>0</v>
      </c>
      <c r="U324" s="161">
        <f t="shared" si="71"/>
        <v>0</v>
      </c>
      <c r="V324" s="840">
        <v>0</v>
      </c>
      <c r="W324" s="840">
        <v>0</v>
      </c>
      <c r="X324" s="841">
        <f t="shared" si="60"/>
        <v>0</v>
      </c>
      <c r="Y324" s="231">
        <v>0</v>
      </c>
      <c r="Z324" s="231">
        <v>0</v>
      </c>
      <c r="AA324" s="232">
        <f t="shared" si="61"/>
        <v>0</v>
      </c>
      <c r="AB324" s="214" t="s">
        <v>388</v>
      </c>
      <c r="AD324" s="232">
        <f t="shared" si="72"/>
        <v>0</v>
      </c>
      <c r="AE324" s="232">
        <f t="shared" si="73"/>
        <v>0</v>
      </c>
      <c r="AF324" s="232">
        <f t="shared" si="62"/>
        <v>0</v>
      </c>
      <c r="AG324" s="232">
        <f t="shared" si="65"/>
        <v>0</v>
      </c>
      <c r="AH324" s="232">
        <f t="shared" si="66"/>
        <v>0</v>
      </c>
      <c r="AI324" s="232">
        <f t="shared" si="67"/>
        <v>0</v>
      </c>
    </row>
    <row r="325" spans="1:35" ht="27.6" x14ac:dyDescent="0.3">
      <c r="A325" s="46">
        <v>38</v>
      </c>
      <c r="B325" s="46" t="s">
        <v>127</v>
      </c>
      <c r="C325" s="46" t="s">
        <v>671</v>
      </c>
      <c r="D325" s="214" t="str">
        <f t="shared" si="59"/>
        <v>Do Not Print</v>
      </c>
      <c r="E325" s="214" t="s">
        <v>389</v>
      </c>
      <c r="F325" s="214" t="s">
        <v>390</v>
      </c>
      <c r="G325" s="214" t="s">
        <v>391</v>
      </c>
      <c r="H325" s="214" t="s">
        <v>391</v>
      </c>
      <c r="I325" s="230">
        <v>17</v>
      </c>
      <c r="J325" s="840">
        <v>0</v>
      </c>
      <c r="K325" s="840">
        <v>0</v>
      </c>
      <c r="L325" s="841">
        <f t="shared" si="68"/>
        <v>0</v>
      </c>
      <c r="M325" s="840">
        <v>0</v>
      </c>
      <c r="N325" s="840">
        <v>0</v>
      </c>
      <c r="O325" s="161">
        <f t="shared" si="69"/>
        <v>0</v>
      </c>
      <c r="P325" s="840">
        <v>0</v>
      </c>
      <c r="Q325" s="840">
        <v>0</v>
      </c>
      <c r="R325" s="841">
        <f t="shared" si="70"/>
        <v>0</v>
      </c>
      <c r="S325" s="840">
        <v>0</v>
      </c>
      <c r="T325" s="840">
        <v>0</v>
      </c>
      <c r="U325" s="161">
        <f t="shared" si="71"/>
        <v>0</v>
      </c>
      <c r="V325" s="840">
        <v>0</v>
      </c>
      <c r="W325" s="840">
        <v>0</v>
      </c>
      <c r="X325" s="841">
        <f t="shared" si="60"/>
        <v>0</v>
      </c>
      <c r="Y325" s="231">
        <v>0</v>
      </c>
      <c r="Z325" s="231">
        <v>0</v>
      </c>
      <c r="AA325" s="232">
        <f t="shared" si="61"/>
        <v>0</v>
      </c>
      <c r="AB325" s="214" t="s">
        <v>391</v>
      </c>
      <c r="AD325" s="232">
        <f t="shared" si="72"/>
        <v>0</v>
      </c>
      <c r="AE325" s="232">
        <f t="shared" si="73"/>
        <v>0</v>
      </c>
      <c r="AF325" s="232">
        <f t="shared" si="62"/>
        <v>0</v>
      </c>
      <c r="AG325" s="232">
        <f t="shared" si="65"/>
        <v>0</v>
      </c>
      <c r="AH325" s="232">
        <f t="shared" si="66"/>
        <v>0</v>
      </c>
      <c r="AI325" s="232">
        <f t="shared" si="67"/>
        <v>0</v>
      </c>
    </row>
    <row r="326" spans="1:35" ht="27.6" x14ac:dyDescent="0.3">
      <c r="A326" s="46">
        <v>38</v>
      </c>
      <c r="B326" s="46" t="s">
        <v>127</v>
      </c>
      <c r="C326" s="46" t="s">
        <v>671</v>
      </c>
      <c r="D326" s="214" t="str">
        <f t="shared" si="59"/>
        <v>Do Not Print</v>
      </c>
      <c r="E326" s="214" t="s">
        <v>389</v>
      </c>
      <c r="F326" s="214" t="s">
        <v>390</v>
      </c>
      <c r="G326" s="214" t="s">
        <v>392</v>
      </c>
      <c r="H326" s="214" t="s">
        <v>392</v>
      </c>
      <c r="I326" s="230">
        <v>17</v>
      </c>
      <c r="J326" s="840">
        <v>0</v>
      </c>
      <c r="K326" s="840">
        <v>0</v>
      </c>
      <c r="L326" s="841">
        <f t="shared" si="68"/>
        <v>0</v>
      </c>
      <c r="M326" s="840">
        <v>0</v>
      </c>
      <c r="N326" s="840">
        <v>0</v>
      </c>
      <c r="O326" s="161">
        <f t="shared" si="69"/>
        <v>0</v>
      </c>
      <c r="P326" s="840">
        <v>0</v>
      </c>
      <c r="Q326" s="840">
        <v>0</v>
      </c>
      <c r="R326" s="841">
        <f t="shared" si="70"/>
        <v>0</v>
      </c>
      <c r="S326" s="840">
        <v>0</v>
      </c>
      <c r="T326" s="840">
        <v>0</v>
      </c>
      <c r="U326" s="161">
        <f t="shared" si="71"/>
        <v>0</v>
      </c>
      <c r="V326" s="840">
        <v>0</v>
      </c>
      <c r="W326" s="840">
        <v>0</v>
      </c>
      <c r="X326" s="841">
        <f t="shared" si="60"/>
        <v>0</v>
      </c>
      <c r="Y326" s="231">
        <v>0</v>
      </c>
      <c r="Z326" s="231">
        <v>0</v>
      </c>
      <c r="AA326" s="232">
        <f t="shared" si="61"/>
        <v>0</v>
      </c>
      <c r="AB326" s="214" t="s">
        <v>392</v>
      </c>
      <c r="AD326" s="232">
        <f t="shared" si="72"/>
        <v>0</v>
      </c>
      <c r="AE326" s="232">
        <f t="shared" si="73"/>
        <v>0</v>
      </c>
      <c r="AF326" s="232">
        <f t="shared" si="62"/>
        <v>0</v>
      </c>
      <c r="AG326" s="232">
        <f t="shared" si="65"/>
        <v>0</v>
      </c>
      <c r="AH326" s="232">
        <f t="shared" si="66"/>
        <v>0</v>
      </c>
      <c r="AI326" s="232">
        <f t="shared" si="67"/>
        <v>0</v>
      </c>
    </row>
    <row r="327" spans="1:35" ht="27.6" x14ac:dyDescent="0.3">
      <c r="A327" s="46">
        <v>38</v>
      </c>
      <c r="B327" s="46" t="s">
        <v>127</v>
      </c>
      <c r="C327" s="46" t="s">
        <v>671</v>
      </c>
      <c r="D327" s="214" t="str">
        <f t="shared" si="59"/>
        <v>Do Not Print</v>
      </c>
      <c r="E327" s="214" t="s">
        <v>389</v>
      </c>
      <c r="F327" s="214" t="s">
        <v>390</v>
      </c>
      <c r="G327" s="214" t="s">
        <v>393</v>
      </c>
      <c r="H327" s="214" t="s">
        <v>393</v>
      </c>
      <c r="I327" s="230">
        <v>17</v>
      </c>
      <c r="J327" s="840">
        <v>0</v>
      </c>
      <c r="K327" s="840">
        <v>0</v>
      </c>
      <c r="L327" s="841">
        <f t="shared" si="68"/>
        <v>0</v>
      </c>
      <c r="M327" s="840">
        <v>0</v>
      </c>
      <c r="N327" s="840">
        <v>0</v>
      </c>
      <c r="O327" s="161">
        <f t="shared" si="69"/>
        <v>0</v>
      </c>
      <c r="P327" s="840">
        <v>0</v>
      </c>
      <c r="Q327" s="840">
        <v>0</v>
      </c>
      <c r="R327" s="841">
        <f t="shared" si="70"/>
        <v>0</v>
      </c>
      <c r="S327" s="840">
        <v>0</v>
      </c>
      <c r="T327" s="840">
        <v>0</v>
      </c>
      <c r="U327" s="161">
        <f t="shared" si="71"/>
        <v>0</v>
      </c>
      <c r="V327" s="840">
        <v>0</v>
      </c>
      <c r="W327" s="840">
        <v>0</v>
      </c>
      <c r="X327" s="841">
        <f t="shared" si="60"/>
        <v>0</v>
      </c>
      <c r="Y327" s="231">
        <v>0</v>
      </c>
      <c r="Z327" s="231">
        <v>0</v>
      </c>
      <c r="AA327" s="232">
        <f t="shared" si="61"/>
        <v>0</v>
      </c>
      <c r="AB327" s="214" t="s">
        <v>393</v>
      </c>
      <c r="AD327" s="232">
        <f t="shared" si="72"/>
        <v>0</v>
      </c>
      <c r="AE327" s="232">
        <f t="shared" si="73"/>
        <v>0</v>
      </c>
      <c r="AF327" s="232">
        <f t="shared" si="62"/>
        <v>0</v>
      </c>
      <c r="AG327" s="232">
        <f t="shared" si="65"/>
        <v>0</v>
      </c>
      <c r="AH327" s="232">
        <f t="shared" si="66"/>
        <v>0</v>
      </c>
      <c r="AI327" s="232">
        <f t="shared" si="67"/>
        <v>0</v>
      </c>
    </row>
    <row r="328" spans="1:35" ht="27.6" x14ac:dyDescent="0.3">
      <c r="A328" s="46">
        <v>38</v>
      </c>
      <c r="B328" s="46" t="s">
        <v>127</v>
      </c>
      <c r="C328" s="46" t="s">
        <v>671</v>
      </c>
      <c r="D328" s="214" t="str">
        <f t="shared" si="59"/>
        <v>Do Not Print</v>
      </c>
      <c r="E328" s="214" t="s">
        <v>389</v>
      </c>
      <c r="F328" s="214" t="s">
        <v>390</v>
      </c>
      <c r="G328" s="214" t="s">
        <v>394</v>
      </c>
      <c r="H328" s="214" t="s">
        <v>394</v>
      </c>
      <c r="I328" s="230">
        <v>17</v>
      </c>
      <c r="J328" s="840">
        <v>0</v>
      </c>
      <c r="K328" s="840">
        <v>0</v>
      </c>
      <c r="L328" s="841">
        <f t="shared" si="68"/>
        <v>0</v>
      </c>
      <c r="M328" s="840">
        <v>0</v>
      </c>
      <c r="N328" s="840">
        <v>0</v>
      </c>
      <c r="O328" s="161">
        <f t="shared" si="69"/>
        <v>0</v>
      </c>
      <c r="P328" s="840">
        <v>0</v>
      </c>
      <c r="Q328" s="840">
        <v>0</v>
      </c>
      <c r="R328" s="841">
        <f t="shared" si="70"/>
        <v>0</v>
      </c>
      <c r="S328" s="840">
        <v>0</v>
      </c>
      <c r="T328" s="840">
        <v>0</v>
      </c>
      <c r="U328" s="161">
        <f t="shared" si="71"/>
        <v>0</v>
      </c>
      <c r="V328" s="840">
        <v>0</v>
      </c>
      <c r="W328" s="840">
        <v>0</v>
      </c>
      <c r="X328" s="841">
        <f t="shared" si="60"/>
        <v>0</v>
      </c>
      <c r="Y328" s="231">
        <v>0</v>
      </c>
      <c r="Z328" s="231">
        <v>0</v>
      </c>
      <c r="AA328" s="232">
        <f t="shared" si="61"/>
        <v>0</v>
      </c>
      <c r="AB328" s="214" t="s">
        <v>394</v>
      </c>
      <c r="AD328" s="232">
        <f t="shared" si="72"/>
        <v>0</v>
      </c>
      <c r="AE328" s="232">
        <f t="shared" si="73"/>
        <v>0</v>
      </c>
      <c r="AF328" s="232">
        <f t="shared" si="62"/>
        <v>0</v>
      </c>
      <c r="AG328" s="232">
        <f t="shared" si="65"/>
        <v>0</v>
      </c>
      <c r="AH328" s="232">
        <f t="shared" si="66"/>
        <v>0</v>
      </c>
      <c r="AI328" s="232">
        <f t="shared" si="67"/>
        <v>0</v>
      </c>
    </row>
    <row r="329" spans="1:35" ht="27.6" x14ac:dyDescent="0.3">
      <c r="A329" s="46">
        <v>39</v>
      </c>
      <c r="B329" s="46" t="s">
        <v>128</v>
      </c>
      <c r="C329" s="46" t="s">
        <v>671</v>
      </c>
      <c r="D329" s="214" t="str">
        <f t="shared" si="59"/>
        <v>Do Not Print</v>
      </c>
      <c r="E329" s="214" t="s">
        <v>385</v>
      </c>
      <c r="F329" s="214" t="s">
        <v>395</v>
      </c>
      <c r="G329" s="214" t="s">
        <v>365</v>
      </c>
      <c r="H329" s="214" t="s">
        <v>365</v>
      </c>
      <c r="I329" s="230">
        <v>18</v>
      </c>
      <c r="J329" s="840">
        <v>0</v>
      </c>
      <c r="K329" s="840">
        <v>0</v>
      </c>
      <c r="L329" s="841">
        <f t="shared" si="68"/>
        <v>0</v>
      </c>
      <c r="M329" s="840">
        <v>0</v>
      </c>
      <c r="N329" s="840">
        <v>0</v>
      </c>
      <c r="O329" s="161">
        <f t="shared" si="69"/>
        <v>0</v>
      </c>
      <c r="P329" s="840">
        <v>0</v>
      </c>
      <c r="Q329" s="840">
        <v>0</v>
      </c>
      <c r="R329" s="841">
        <f t="shared" si="70"/>
        <v>0</v>
      </c>
      <c r="S329" s="840">
        <v>0</v>
      </c>
      <c r="T329" s="840">
        <v>0</v>
      </c>
      <c r="U329" s="161">
        <f t="shared" si="71"/>
        <v>0</v>
      </c>
      <c r="V329" s="840">
        <v>0</v>
      </c>
      <c r="W329" s="840">
        <v>0</v>
      </c>
      <c r="X329" s="841">
        <f t="shared" si="60"/>
        <v>0</v>
      </c>
      <c r="Y329" s="231">
        <v>0</v>
      </c>
      <c r="Z329" s="231">
        <v>0</v>
      </c>
      <c r="AA329" s="232">
        <f t="shared" si="61"/>
        <v>0</v>
      </c>
      <c r="AB329" s="214" t="s">
        <v>365</v>
      </c>
      <c r="AD329" s="232">
        <f t="shared" si="72"/>
        <v>0</v>
      </c>
      <c r="AE329" s="232">
        <f t="shared" si="73"/>
        <v>0</v>
      </c>
      <c r="AF329" s="232">
        <f t="shared" si="62"/>
        <v>0</v>
      </c>
      <c r="AG329" s="232">
        <f t="shared" si="65"/>
        <v>0</v>
      </c>
      <c r="AH329" s="232">
        <f t="shared" si="66"/>
        <v>0</v>
      </c>
      <c r="AI329" s="232">
        <f t="shared" si="67"/>
        <v>0</v>
      </c>
    </row>
    <row r="330" spans="1:35" ht="27.6" x14ac:dyDescent="0.3">
      <c r="A330" s="46">
        <v>39</v>
      </c>
      <c r="B330" s="46" t="s">
        <v>128</v>
      </c>
      <c r="C330" s="46" t="s">
        <v>671</v>
      </c>
      <c r="D330" s="214" t="str">
        <f t="shared" si="59"/>
        <v>Do Not Print</v>
      </c>
      <c r="E330" s="214" t="s">
        <v>385</v>
      </c>
      <c r="F330" s="214" t="s">
        <v>395</v>
      </c>
      <c r="G330" s="214" t="s">
        <v>396</v>
      </c>
      <c r="H330" s="214" t="s">
        <v>396</v>
      </c>
      <c r="I330" s="230">
        <v>18</v>
      </c>
      <c r="J330" s="840">
        <v>0</v>
      </c>
      <c r="K330" s="840">
        <v>0</v>
      </c>
      <c r="L330" s="841">
        <f t="shared" si="68"/>
        <v>0</v>
      </c>
      <c r="M330" s="840">
        <v>0</v>
      </c>
      <c r="N330" s="840">
        <v>0</v>
      </c>
      <c r="O330" s="161">
        <f t="shared" si="69"/>
        <v>0</v>
      </c>
      <c r="P330" s="840">
        <v>0</v>
      </c>
      <c r="Q330" s="840">
        <v>0</v>
      </c>
      <c r="R330" s="841">
        <f t="shared" si="70"/>
        <v>0</v>
      </c>
      <c r="S330" s="840">
        <v>0</v>
      </c>
      <c r="T330" s="840">
        <v>0</v>
      </c>
      <c r="U330" s="161">
        <f t="shared" si="71"/>
        <v>0</v>
      </c>
      <c r="V330" s="840">
        <v>0</v>
      </c>
      <c r="W330" s="840">
        <v>0</v>
      </c>
      <c r="X330" s="841">
        <f t="shared" si="60"/>
        <v>0</v>
      </c>
      <c r="Y330" s="231">
        <v>0</v>
      </c>
      <c r="Z330" s="231">
        <v>0</v>
      </c>
      <c r="AA330" s="232">
        <f t="shared" si="61"/>
        <v>0</v>
      </c>
      <c r="AB330" s="214" t="s">
        <v>396</v>
      </c>
      <c r="AD330" s="232">
        <f t="shared" si="72"/>
        <v>0</v>
      </c>
      <c r="AE330" s="232">
        <f t="shared" si="73"/>
        <v>0</v>
      </c>
      <c r="AF330" s="232">
        <f t="shared" si="62"/>
        <v>0</v>
      </c>
      <c r="AG330" s="232">
        <f t="shared" si="65"/>
        <v>0</v>
      </c>
      <c r="AH330" s="232">
        <f t="shared" si="66"/>
        <v>0</v>
      </c>
      <c r="AI330" s="232">
        <f t="shared" si="67"/>
        <v>0</v>
      </c>
    </row>
    <row r="331" spans="1:35" ht="27.6" x14ac:dyDescent="0.3">
      <c r="A331" s="46">
        <v>39</v>
      </c>
      <c r="B331" s="46" t="s">
        <v>128</v>
      </c>
      <c r="C331" s="46" t="s">
        <v>671</v>
      </c>
      <c r="D331" s="214" t="str">
        <f t="shared" si="59"/>
        <v>Do Not Print</v>
      </c>
      <c r="E331" s="214" t="s">
        <v>385</v>
      </c>
      <c r="F331" s="214" t="s">
        <v>395</v>
      </c>
      <c r="G331" s="214" t="s">
        <v>367</v>
      </c>
      <c r="H331" s="214" t="s">
        <v>367</v>
      </c>
      <c r="I331" s="230"/>
      <c r="J331" s="840">
        <v>0</v>
      </c>
      <c r="K331" s="840">
        <v>0</v>
      </c>
      <c r="L331" s="841">
        <f t="shared" si="68"/>
        <v>0</v>
      </c>
      <c r="M331" s="840">
        <v>0</v>
      </c>
      <c r="N331" s="840">
        <v>0</v>
      </c>
      <c r="O331" s="161">
        <f t="shared" si="69"/>
        <v>0</v>
      </c>
      <c r="P331" s="840">
        <v>0</v>
      </c>
      <c r="Q331" s="840">
        <v>0</v>
      </c>
      <c r="R331" s="841">
        <f t="shared" si="70"/>
        <v>0</v>
      </c>
      <c r="S331" s="840">
        <v>0</v>
      </c>
      <c r="T331" s="840">
        <v>0</v>
      </c>
      <c r="U331" s="161">
        <f t="shared" si="71"/>
        <v>0</v>
      </c>
      <c r="V331" s="840">
        <v>0</v>
      </c>
      <c r="W331" s="840">
        <v>0</v>
      </c>
      <c r="X331" s="841">
        <f t="shared" si="60"/>
        <v>0</v>
      </c>
      <c r="Y331" s="231">
        <v>0</v>
      </c>
      <c r="Z331" s="231">
        <v>0</v>
      </c>
      <c r="AA331" s="232">
        <f t="shared" si="61"/>
        <v>0</v>
      </c>
      <c r="AB331" s="214" t="s">
        <v>367</v>
      </c>
      <c r="AD331" s="232">
        <f t="shared" si="72"/>
        <v>0</v>
      </c>
      <c r="AE331" s="232">
        <f t="shared" si="73"/>
        <v>0</v>
      </c>
      <c r="AF331" s="232">
        <f t="shared" si="62"/>
        <v>0</v>
      </c>
      <c r="AG331" s="232">
        <f t="shared" si="65"/>
        <v>0</v>
      </c>
      <c r="AH331" s="232">
        <f t="shared" si="66"/>
        <v>0</v>
      </c>
      <c r="AI331" s="232">
        <f t="shared" si="67"/>
        <v>0</v>
      </c>
    </row>
    <row r="332" spans="1:35" ht="27.6" x14ac:dyDescent="0.3">
      <c r="A332" s="46">
        <v>39</v>
      </c>
      <c r="B332" s="46" t="s">
        <v>128</v>
      </c>
      <c r="C332" s="46" t="s">
        <v>671</v>
      </c>
      <c r="D332" s="214" t="str">
        <f>IF(AND(O332=0,U332=0,V332=0),"Do Not Print","Print")</f>
        <v>Do Not Print</v>
      </c>
      <c r="E332" s="214" t="s">
        <v>385</v>
      </c>
      <c r="F332" s="214" t="s">
        <v>395</v>
      </c>
      <c r="G332" s="214" t="s">
        <v>368</v>
      </c>
      <c r="H332" s="214" t="s">
        <v>368</v>
      </c>
      <c r="I332" s="230"/>
      <c r="J332" s="840">
        <v>0</v>
      </c>
      <c r="K332" s="840">
        <v>0</v>
      </c>
      <c r="L332" s="841">
        <f t="shared" si="68"/>
        <v>0</v>
      </c>
      <c r="M332" s="840">
        <v>0</v>
      </c>
      <c r="N332" s="840">
        <v>0</v>
      </c>
      <c r="O332" s="161">
        <f t="shared" si="69"/>
        <v>0</v>
      </c>
      <c r="P332" s="840">
        <v>0</v>
      </c>
      <c r="Q332" s="840">
        <v>0</v>
      </c>
      <c r="R332" s="841">
        <f t="shared" si="70"/>
        <v>0</v>
      </c>
      <c r="S332" s="840">
        <v>0</v>
      </c>
      <c r="T332" s="840">
        <v>0</v>
      </c>
      <c r="U332" s="161">
        <f t="shared" si="71"/>
        <v>0</v>
      </c>
      <c r="V332" s="840">
        <v>0</v>
      </c>
      <c r="W332" s="840">
        <v>0</v>
      </c>
      <c r="X332" s="841">
        <f t="shared" si="60"/>
        <v>0</v>
      </c>
      <c r="Y332" s="231">
        <v>0</v>
      </c>
      <c r="Z332" s="231">
        <v>0</v>
      </c>
      <c r="AA332" s="232">
        <f t="shared" si="61"/>
        <v>0</v>
      </c>
      <c r="AB332" s="214" t="s">
        <v>368</v>
      </c>
      <c r="AD332" s="232">
        <f t="shared" si="72"/>
        <v>0</v>
      </c>
      <c r="AE332" s="232">
        <f t="shared" si="73"/>
        <v>0</v>
      </c>
      <c r="AF332" s="232">
        <f t="shared" si="62"/>
        <v>0</v>
      </c>
      <c r="AG332" s="232">
        <f t="shared" si="65"/>
        <v>0</v>
      </c>
      <c r="AH332" s="232">
        <f t="shared" si="66"/>
        <v>0</v>
      </c>
      <c r="AI332" s="232">
        <f t="shared" si="67"/>
        <v>0</v>
      </c>
    </row>
    <row r="333" spans="1:35" ht="27.6" x14ac:dyDescent="0.3">
      <c r="A333" s="46">
        <v>39</v>
      </c>
      <c r="B333" s="46" t="s">
        <v>128</v>
      </c>
      <c r="C333" s="46" t="s">
        <v>671</v>
      </c>
      <c r="D333" s="214" t="str">
        <f>IF(AND(O333=0,U333=0,V333=0),"Do Not Print","Print")</f>
        <v>Do Not Print</v>
      </c>
      <c r="E333" s="214" t="s">
        <v>385</v>
      </c>
      <c r="F333" s="214" t="s">
        <v>395</v>
      </c>
      <c r="G333" s="214" t="s">
        <v>377</v>
      </c>
      <c r="H333" s="213" t="s">
        <v>377</v>
      </c>
      <c r="I333" s="230"/>
      <c r="J333" s="840">
        <v>0</v>
      </c>
      <c r="K333" s="840">
        <v>0</v>
      </c>
      <c r="L333" s="841">
        <f t="shared" si="68"/>
        <v>0</v>
      </c>
      <c r="M333" s="840">
        <v>0</v>
      </c>
      <c r="N333" s="840">
        <v>0</v>
      </c>
      <c r="O333" s="161">
        <f t="shared" si="69"/>
        <v>0</v>
      </c>
      <c r="P333" s="840">
        <v>0</v>
      </c>
      <c r="Q333" s="840">
        <v>0</v>
      </c>
      <c r="R333" s="841">
        <f t="shared" si="70"/>
        <v>0</v>
      </c>
      <c r="S333" s="840">
        <v>0</v>
      </c>
      <c r="T333" s="840">
        <v>0</v>
      </c>
      <c r="U333" s="161">
        <f t="shared" si="71"/>
        <v>0</v>
      </c>
      <c r="V333" s="840">
        <v>0</v>
      </c>
      <c r="W333" s="840">
        <v>0</v>
      </c>
      <c r="X333" s="841">
        <f t="shared" si="60"/>
        <v>0</v>
      </c>
      <c r="Y333" s="231">
        <v>0</v>
      </c>
      <c r="Z333" s="231">
        <v>0</v>
      </c>
      <c r="AA333" s="232">
        <f t="shared" si="61"/>
        <v>0</v>
      </c>
      <c r="AB333" s="213" t="s">
        <v>377</v>
      </c>
      <c r="AD333" s="232">
        <f t="shared" si="72"/>
        <v>0</v>
      </c>
      <c r="AE333" s="232">
        <f t="shared" si="73"/>
        <v>0</v>
      </c>
      <c r="AF333" s="232">
        <f t="shared" si="62"/>
        <v>0</v>
      </c>
      <c r="AG333" s="232">
        <f t="shared" si="65"/>
        <v>0</v>
      </c>
      <c r="AH333" s="232">
        <f t="shared" si="66"/>
        <v>0</v>
      </c>
      <c r="AI333" s="232">
        <f t="shared" si="67"/>
        <v>0</v>
      </c>
    </row>
    <row r="334" spans="1:35" ht="27.6" x14ac:dyDescent="0.3">
      <c r="A334" s="46">
        <v>39</v>
      </c>
      <c r="B334" s="46" t="s">
        <v>128</v>
      </c>
      <c r="C334" s="46" t="s">
        <v>671</v>
      </c>
      <c r="D334" s="214" t="str">
        <f>IF(AND(O334=0,U334=0,V334=0),"Do Not Print","Print")</f>
        <v>Do Not Print</v>
      </c>
      <c r="E334" s="214" t="s">
        <v>385</v>
      </c>
      <c r="F334" s="214" t="s">
        <v>395</v>
      </c>
      <c r="G334" s="214" t="s">
        <v>397</v>
      </c>
      <c r="H334" s="214" t="s">
        <v>397</v>
      </c>
      <c r="I334" s="230"/>
      <c r="J334" s="840">
        <v>0</v>
      </c>
      <c r="K334" s="840">
        <v>0</v>
      </c>
      <c r="L334" s="841">
        <f t="shared" si="68"/>
        <v>0</v>
      </c>
      <c r="M334" s="840">
        <v>0</v>
      </c>
      <c r="N334" s="840">
        <v>0</v>
      </c>
      <c r="O334" s="161">
        <f t="shared" si="69"/>
        <v>0</v>
      </c>
      <c r="P334" s="840">
        <v>0</v>
      </c>
      <c r="Q334" s="840">
        <v>0</v>
      </c>
      <c r="R334" s="841">
        <f t="shared" si="70"/>
        <v>0</v>
      </c>
      <c r="S334" s="840">
        <v>0</v>
      </c>
      <c r="T334" s="840">
        <v>0</v>
      </c>
      <c r="U334" s="161">
        <f t="shared" si="71"/>
        <v>0</v>
      </c>
      <c r="V334" s="840">
        <v>0</v>
      </c>
      <c r="W334" s="840">
        <v>0</v>
      </c>
      <c r="X334" s="841">
        <f t="shared" si="60"/>
        <v>0</v>
      </c>
      <c r="Y334" s="231">
        <v>0</v>
      </c>
      <c r="Z334" s="231">
        <v>0</v>
      </c>
      <c r="AA334" s="232">
        <f t="shared" si="61"/>
        <v>0</v>
      </c>
      <c r="AB334" s="214" t="s">
        <v>397</v>
      </c>
      <c r="AD334" s="232">
        <f t="shared" si="72"/>
        <v>0</v>
      </c>
      <c r="AE334" s="232">
        <f t="shared" si="73"/>
        <v>0</v>
      </c>
      <c r="AF334" s="232">
        <f t="shared" si="62"/>
        <v>0</v>
      </c>
      <c r="AG334" s="232">
        <f t="shared" si="65"/>
        <v>0</v>
      </c>
      <c r="AH334" s="232">
        <f t="shared" si="66"/>
        <v>0</v>
      </c>
      <c r="AI334" s="232">
        <f t="shared" si="67"/>
        <v>0</v>
      </c>
    </row>
    <row r="335" spans="1:35" ht="27.6" x14ac:dyDescent="0.3">
      <c r="A335" s="46">
        <v>39</v>
      </c>
      <c r="B335" s="46" t="s">
        <v>128</v>
      </c>
      <c r="C335" s="46" t="s">
        <v>671</v>
      </c>
      <c r="D335" s="214" t="str">
        <f>IF(AND(O335=0,U335=0,V335=0),"Do Not Print","Print")</f>
        <v>Do Not Print</v>
      </c>
      <c r="E335" s="214" t="s">
        <v>385</v>
      </c>
      <c r="F335" s="214" t="s">
        <v>395</v>
      </c>
      <c r="G335" s="214" t="s">
        <v>398</v>
      </c>
      <c r="H335" s="214" t="s">
        <v>398</v>
      </c>
      <c r="I335" s="230">
        <v>18</v>
      </c>
      <c r="J335" s="840">
        <v>0</v>
      </c>
      <c r="K335" s="840">
        <v>0</v>
      </c>
      <c r="L335" s="841">
        <f t="shared" si="68"/>
        <v>0</v>
      </c>
      <c r="M335" s="840">
        <v>0</v>
      </c>
      <c r="N335" s="840">
        <v>0</v>
      </c>
      <c r="O335" s="161">
        <f t="shared" si="69"/>
        <v>0</v>
      </c>
      <c r="P335" s="840">
        <v>0</v>
      </c>
      <c r="Q335" s="840">
        <v>0</v>
      </c>
      <c r="R335" s="841">
        <f t="shared" si="70"/>
        <v>0</v>
      </c>
      <c r="S335" s="840">
        <v>0</v>
      </c>
      <c r="T335" s="840">
        <v>0</v>
      </c>
      <c r="U335" s="161">
        <f t="shared" si="71"/>
        <v>0</v>
      </c>
      <c r="V335" s="840">
        <v>0</v>
      </c>
      <c r="W335" s="840">
        <v>0</v>
      </c>
      <c r="X335" s="841">
        <f t="shared" si="60"/>
        <v>0</v>
      </c>
      <c r="Y335" s="231">
        <v>0</v>
      </c>
      <c r="Z335" s="231">
        <v>0</v>
      </c>
      <c r="AA335" s="232">
        <f t="shared" si="61"/>
        <v>0</v>
      </c>
      <c r="AB335" s="214" t="s">
        <v>398</v>
      </c>
      <c r="AD335" s="232">
        <f t="shared" si="72"/>
        <v>0</v>
      </c>
      <c r="AE335" s="232">
        <f t="shared" si="73"/>
        <v>0</v>
      </c>
      <c r="AF335" s="232">
        <f t="shared" si="62"/>
        <v>0</v>
      </c>
      <c r="AG335" s="232">
        <f t="shared" si="65"/>
        <v>0</v>
      </c>
      <c r="AH335" s="232">
        <f t="shared" si="66"/>
        <v>0</v>
      </c>
      <c r="AI335" s="232">
        <f t="shared" si="67"/>
        <v>0</v>
      </c>
    </row>
    <row r="336" spans="1:35" ht="27.6" x14ac:dyDescent="0.3">
      <c r="A336" s="46">
        <v>39</v>
      </c>
      <c r="B336" s="46" t="s">
        <v>128</v>
      </c>
      <c r="C336" s="46" t="s">
        <v>671</v>
      </c>
      <c r="D336" s="214" t="str">
        <f>IF(AND(O336=0,U336=0,V336=0),"Do Not Print","Print")</f>
        <v>Do Not Print</v>
      </c>
      <c r="E336" s="214" t="s">
        <v>385</v>
      </c>
      <c r="F336" s="214" t="s">
        <v>395</v>
      </c>
      <c r="G336" s="214" t="s">
        <v>399</v>
      </c>
      <c r="H336" s="214" t="s">
        <v>399</v>
      </c>
      <c r="I336" s="230">
        <v>18</v>
      </c>
      <c r="J336" s="840">
        <v>0</v>
      </c>
      <c r="K336" s="840">
        <v>0</v>
      </c>
      <c r="L336" s="841">
        <f t="shared" si="68"/>
        <v>0</v>
      </c>
      <c r="M336" s="840">
        <v>0</v>
      </c>
      <c r="N336" s="840">
        <v>0</v>
      </c>
      <c r="O336" s="161">
        <f t="shared" si="69"/>
        <v>0</v>
      </c>
      <c r="P336" s="840">
        <v>0</v>
      </c>
      <c r="Q336" s="840">
        <v>0</v>
      </c>
      <c r="R336" s="841">
        <f t="shared" si="70"/>
        <v>0</v>
      </c>
      <c r="S336" s="840">
        <v>0</v>
      </c>
      <c r="T336" s="840">
        <v>0</v>
      </c>
      <c r="U336" s="161">
        <f t="shared" si="71"/>
        <v>0</v>
      </c>
      <c r="V336" s="840">
        <v>0</v>
      </c>
      <c r="W336" s="840">
        <v>0</v>
      </c>
      <c r="X336" s="841">
        <f t="shared" si="60"/>
        <v>0</v>
      </c>
      <c r="Y336" s="231">
        <v>0</v>
      </c>
      <c r="Z336" s="231">
        <v>0</v>
      </c>
      <c r="AA336" s="232">
        <f t="shared" si="61"/>
        <v>0</v>
      </c>
      <c r="AB336" s="214" t="s">
        <v>399</v>
      </c>
      <c r="AD336" s="232">
        <f t="shared" si="72"/>
        <v>0</v>
      </c>
      <c r="AE336" s="232">
        <f t="shared" si="73"/>
        <v>0</v>
      </c>
      <c r="AF336" s="232">
        <f t="shared" si="62"/>
        <v>0</v>
      </c>
      <c r="AG336" s="232">
        <f t="shared" si="65"/>
        <v>0</v>
      </c>
      <c r="AH336" s="232">
        <f t="shared" si="66"/>
        <v>0</v>
      </c>
      <c r="AI336" s="232">
        <f t="shared" si="67"/>
        <v>0</v>
      </c>
    </row>
    <row r="337" spans="1:35" ht="27.6" x14ac:dyDescent="0.3">
      <c r="A337" s="46">
        <v>39</v>
      </c>
      <c r="B337" s="46" t="s">
        <v>128</v>
      </c>
      <c r="C337" s="46" t="s">
        <v>671</v>
      </c>
      <c r="D337" s="214" t="str">
        <f t="shared" ref="D337:D364" si="74">IF(AND(O337=0,U337=0,V337=0),"Do Not Print","Print")</f>
        <v>Do Not Print</v>
      </c>
      <c r="E337" s="214" t="s">
        <v>385</v>
      </c>
      <c r="F337" s="214" t="s">
        <v>395</v>
      </c>
      <c r="G337" s="214" t="s">
        <v>522</v>
      </c>
      <c r="H337" s="213" t="s">
        <v>522</v>
      </c>
      <c r="I337" s="230">
        <v>18</v>
      </c>
      <c r="J337" s="840">
        <v>0</v>
      </c>
      <c r="K337" s="840">
        <v>0</v>
      </c>
      <c r="L337" s="841">
        <f t="shared" si="68"/>
        <v>0</v>
      </c>
      <c r="M337" s="840">
        <v>0</v>
      </c>
      <c r="N337" s="840">
        <v>0</v>
      </c>
      <c r="O337" s="161">
        <f t="shared" si="69"/>
        <v>0</v>
      </c>
      <c r="P337" s="840">
        <v>0</v>
      </c>
      <c r="Q337" s="840">
        <v>0</v>
      </c>
      <c r="R337" s="841">
        <f t="shared" si="70"/>
        <v>0</v>
      </c>
      <c r="S337" s="840">
        <v>0</v>
      </c>
      <c r="T337" s="840">
        <v>0</v>
      </c>
      <c r="U337" s="161">
        <f t="shared" si="71"/>
        <v>0</v>
      </c>
      <c r="V337" s="840">
        <v>0</v>
      </c>
      <c r="W337" s="840">
        <v>0</v>
      </c>
      <c r="X337" s="841">
        <f t="shared" si="60"/>
        <v>0</v>
      </c>
      <c r="Y337" s="231">
        <v>0</v>
      </c>
      <c r="Z337" s="231">
        <v>0</v>
      </c>
      <c r="AA337" s="232">
        <f t="shared" si="61"/>
        <v>0</v>
      </c>
      <c r="AB337" s="213" t="s">
        <v>522</v>
      </c>
      <c r="AD337" s="232">
        <f t="shared" si="72"/>
        <v>0</v>
      </c>
      <c r="AE337" s="232">
        <f t="shared" si="73"/>
        <v>0</v>
      </c>
      <c r="AF337" s="232">
        <f t="shared" si="62"/>
        <v>0</v>
      </c>
      <c r="AG337" s="232">
        <f t="shared" si="65"/>
        <v>0</v>
      </c>
      <c r="AH337" s="232">
        <f t="shared" si="66"/>
        <v>0</v>
      </c>
      <c r="AI337" s="232">
        <f t="shared" si="67"/>
        <v>0</v>
      </c>
    </row>
    <row r="338" spans="1:35" ht="27.6" x14ac:dyDescent="0.3">
      <c r="A338" s="46">
        <v>39</v>
      </c>
      <c r="B338" s="46" t="s">
        <v>128</v>
      </c>
      <c r="C338" s="46" t="s">
        <v>671</v>
      </c>
      <c r="D338" s="214" t="str">
        <f t="shared" si="74"/>
        <v>Do Not Print</v>
      </c>
      <c r="E338" s="214" t="s">
        <v>385</v>
      </c>
      <c r="F338" s="214" t="s">
        <v>395</v>
      </c>
      <c r="G338" s="214" t="s">
        <v>523</v>
      </c>
      <c r="H338" s="213" t="s">
        <v>523</v>
      </c>
      <c r="I338" s="230"/>
      <c r="J338" s="840">
        <v>0</v>
      </c>
      <c r="K338" s="840">
        <v>0</v>
      </c>
      <c r="L338" s="841">
        <f t="shared" si="68"/>
        <v>0</v>
      </c>
      <c r="M338" s="840">
        <v>0</v>
      </c>
      <c r="N338" s="840">
        <v>0</v>
      </c>
      <c r="O338" s="161">
        <f t="shared" si="69"/>
        <v>0</v>
      </c>
      <c r="P338" s="840">
        <v>0</v>
      </c>
      <c r="Q338" s="840">
        <v>0</v>
      </c>
      <c r="R338" s="841">
        <f t="shared" si="70"/>
        <v>0</v>
      </c>
      <c r="S338" s="840">
        <v>0</v>
      </c>
      <c r="T338" s="840">
        <v>0</v>
      </c>
      <c r="U338" s="161">
        <f t="shared" si="71"/>
        <v>0</v>
      </c>
      <c r="V338" s="840">
        <v>0</v>
      </c>
      <c r="W338" s="840">
        <v>0</v>
      </c>
      <c r="X338" s="841">
        <f t="shared" si="60"/>
        <v>0</v>
      </c>
      <c r="Y338" s="231">
        <v>0</v>
      </c>
      <c r="Z338" s="231">
        <v>0</v>
      </c>
      <c r="AA338" s="232">
        <f t="shared" si="61"/>
        <v>0</v>
      </c>
      <c r="AB338" s="213" t="s">
        <v>523</v>
      </c>
      <c r="AD338" s="232">
        <f t="shared" si="72"/>
        <v>0</v>
      </c>
      <c r="AE338" s="232">
        <f t="shared" si="73"/>
        <v>0</v>
      </c>
      <c r="AF338" s="232">
        <f t="shared" si="62"/>
        <v>0</v>
      </c>
      <c r="AG338" s="232">
        <f t="shared" si="65"/>
        <v>0</v>
      </c>
      <c r="AH338" s="232">
        <f t="shared" si="66"/>
        <v>0</v>
      </c>
      <c r="AI338" s="232">
        <f t="shared" si="67"/>
        <v>0</v>
      </c>
    </row>
    <row r="339" spans="1:35" ht="27.6" x14ac:dyDescent="0.3">
      <c r="A339" s="46">
        <v>39</v>
      </c>
      <c r="B339" s="46" t="s">
        <v>128</v>
      </c>
      <c r="C339" s="46" t="s">
        <v>671</v>
      </c>
      <c r="D339" s="214" t="str">
        <f t="shared" si="74"/>
        <v>Do Not Print</v>
      </c>
      <c r="E339" s="214" t="s">
        <v>385</v>
      </c>
      <c r="F339" s="214" t="s">
        <v>395</v>
      </c>
      <c r="G339" s="214" t="s">
        <v>400</v>
      </c>
      <c r="H339" s="214" t="s">
        <v>400</v>
      </c>
      <c r="I339" s="230">
        <v>18</v>
      </c>
      <c r="J339" s="840">
        <v>0</v>
      </c>
      <c r="K339" s="840">
        <v>0</v>
      </c>
      <c r="L339" s="841">
        <f t="shared" si="68"/>
        <v>0</v>
      </c>
      <c r="M339" s="840">
        <v>0</v>
      </c>
      <c r="N339" s="840">
        <v>0</v>
      </c>
      <c r="O339" s="161">
        <f t="shared" si="69"/>
        <v>0</v>
      </c>
      <c r="P339" s="840">
        <v>0</v>
      </c>
      <c r="Q339" s="840">
        <v>0</v>
      </c>
      <c r="R339" s="841">
        <f t="shared" si="70"/>
        <v>0</v>
      </c>
      <c r="S339" s="840">
        <v>0</v>
      </c>
      <c r="T339" s="840">
        <v>0</v>
      </c>
      <c r="U339" s="161">
        <f t="shared" si="71"/>
        <v>0</v>
      </c>
      <c r="V339" s="840">
        <v>0</v>
      </c>
      <c r="W339" s="840">
        <v>0</v>
      </c>
      <c r="X339" s="841">
        <f t="shared" si="60"/>
        <v>0</v>
      </c>
      <c r="Y339" s="231">
        <v>0</v>
      </c>
      <c r="Z339" s="231">
        <v>0</v>
      </c>
      <c r="AA339" s="232">
        <f t="shared" si="61"/>
        <v>0</v>
      </c>
      <c r="AB339" s="214" t="s">
        <v>400</v>
      </c>
      <c r="AD339" s="232">
        <f t="shared" si="72"/>
        <v>0</v>
      </c>
      <c r="AE339" s="232">
        <f t="shared" si="73"/>
        <v>0</v>
      </c>
      <c r="AF339" s="232">
        <f t="shared" si="62"/>
        <v>0</v>
      </c>
      <c r="AG339" s="232">
        <f t="shared" si="65"/>
        <v>0</v>
      </c>
      <c r="AH339" s="232">
        <f t="shared" si="66"/>
        <v>0</v>
      </c>
      <c r="AI339" s="232">
        <f t="shared" si="67"/>
        <v>0</v>
      </c>
    </row>
    <row r="340" spans="1:35" ht="27.6" x14ac:dyDescent="0.3">
      <c r="A340" s="46">
        <v>39</v>
      </c>
      <c r="B340" s="46" t="s">
        <v>128</v>
      </c>
      <c r="C340" s="46" t="s">
        <v>671</v>
      </c>
      <c r="D340" s="214" t="str">
        <f t="shared" si="74"/>
        <v>Do Not Print</v>
      </c>
      <c r="E340" s="214" t="s">
        <v>385</v>
      </c>
      <c r="F340" s="214" t="s">
        <v>395</v>
      </c>
      <c r="G340" s="214" t="s">
        <v>401</v>
      </c>
      <c r="H340" s="214" t="s">
        <v>401</v>
      </c>
      <c r="I340" s="230">
        <v>18</v>
      </c>
      <c r="J340" s="840">
        <v>0</v>
      </c>
      <c r="K340" s="840">
        <v>0</v>
      </c>
      <c r="L340" s="841">
        <f t="shared" si="68"/>
        <v>0</v>
      </c>
      <c r="M340" s="840">
        <v>0</v>
      </c>
      <c r="N340" s="840">
        <v>0</v>
      </c>
      <c r="O340" s="161">
        <f t="shared" si="69"/>
        <v>0</v>
      </c>
      <c r="P340" s="840">
        <v>0</v>
      </c>
      <c r="Q340" s="840">
        <v>0</v>
      </c>
      <c r="R340" s="841">
        <f t="shared" si="70"/>
        <v>0</v>
      </c>
      <c r="S340" s="840">
        <v>0</v>
      </c>
      <c r="T340" s="840">
        <v>0</v>
      </c>
      <c r="U340" s="161">
        <f t="shared" si="71"/>
        <v>0</v>
      </c>
      <c r="V340" s="840">
        <v>0</v>
      </c>
      <c r="W340" s="840">
        <v>0</v>
      </c>
      <c r="X340" s="841">
        <f t="shared" si="60"/>
        <v>0</v>
      </c>
      <c r="Y340" s="231">
        <v>0</v>
      </c>
      <c r="Z340" s="231">
        <v>0</v>
      </c>
      <c r="AA340" s="232">
        <f t="shared" si="61"/>
        <v>0</v>
      </c>
      <c r="AB340" s="214" t="s">
        <v>401</v>
      </c>
      <c r="AD340" s="232">
        <f t="shared" si="72"/>
        <v>0</v>
      </c>
      <c r="AE340" s="232">
        <f t="shared" si="73"/>
        <v>0</v>
      </c>
      <c r="AF340" s="232">
        <f t="shared" si="62"/>
        <v>0</v>
      </c>
      <c r="AG340" s="232">
        <f t="shared" si="65"/>
        <v>0</v>
      </c>
      <c r="AH340" s="232">
        <f t="shared" si="66"/>
        <v>0</v>
      </c>
      <c r="AI340" s="232">
        <f t="shared" si="67"/>
        <v>0</v>
      </c>
    </row>
    <row r="341" spans="1:35" ht="27.6" x14ac:dyDescent="0.3">
      <c r="A341" s="46">
        <v>39</v>
      </c>
      <c r="B341" s="46" t="s">
        <v>128</v>
      </c>
      <c r="C341" s="46" t="s">
        <v>671</v>
      </c>
      <c r="D341" s="214" t="str">
        <f t="shared" si="74"/>
        <v>Do Not Print</v>
      </c>
      <c r="E341" s="214" t="s">
        <v>385</v>
      </c>
      <c r="F341" s="214" t="s">
        <v>395</v>
      </c>
      <c r="G341" s="214" t="s">
        <v>379</v>
      </c>
      <c r="H341" s="214" t="s">
        <v>379</v>
      </c>
      <c r="I341" s="230">
        <v>18</v>
      </c>
      <c r="J341" s="840">
        <v>0</v>
      </c>
      <c r="K341" s="840">
        <v>0</v>
      </c>
      <c r="L341" s="841">
        <f t="shared" si="68"/>
        <v>0</v>
      </c>
      <c r="M341" s="840">
        <v>0</v>
      </c>
      <c r="N341" s="840">
        <v>0</v>
      </c>
      <c r="O341" s="161">
        <f t="shared" si="69"/>
        <v>0</v>
      </c>
      <c r="P341" s="840">
        <v>0</v>
      </c>
      <c r="Q341" s="840">
        <v>0</v>
      </c>
      <c r="R341" s="841">
        <f t="shared" si="70"/>
        <v>0</v>
      </c>
      <c r="S341" s="840">
        <v>0</v>
      </c>
      <c r="T341" s="840">
        <v>0</v>
      </c>
      <c r="U341" s="161">
        <f t="shared" si="71"/>
        <v>0</v>
      </c>
      <c r="V341" s="840">
        <v>0</v>
      </c>
      <c r="W341" s="840">
        <v>0</v>
      </c>
      <c r="X341" s="841">
        <f t="shared" si="60"/>
        <v>0</v>
      </c>
      <c r="Y341" s="231">
        <v>0</v>
      </c>
      <c r="Z341" s="231">
        <v>0</v>
      </c>
      <c r="AA341" s="232">
        <f t="shared" si="61"/>
        <v>0</v>
      </c>
      <c r="AB341" s="214" t="s">
        <v>379</v>
      </c>
      <c r="AD341" s="232">
        <f t="shared" si="72"/>
        <v>0</v>
      </c>
      <c r="AE341" s="232">
        <f t="shared" si="73"/>
        <v>0</v>
      </c>
      <c r="AF341" s="232">
        <f t="shared" si="62"/>
        <v>0</v>
      </c>
      <c r="AG341" s="232">
        <f t="shared" si="65"/>
        <v>0</v>
      </c>
      <c r="AH341" s="232">
        <f t="shared" si="66"/>
        <v>0</v>
      </c>
      <c r="AI341" s="232">
        <f t="shared" si="67"/>
        <v>0</v>
      </c>
    </row>
    <row r="342" spans="1:35" ht="27.6" x14ac:dyDescent="0.3">
      <c r="A342" s="46">
        <v>40</v>
      </c>
      <c r="B342" s="46" t="s">
        <v>128</v>
      </c>
      <c r="C342" s="46" t="s">
        <v>671</v>
      </c>
      <c r="D342" s="214" t="str">
        <f t="shared" si="74"/>
        <v>Do Not Print</v>
      </c>
      <c r="E342" s="214" t="s">
        <v>385</v>
      </c>
      <c r="F342" s="214" t="s">
        <v>395</v>
      </c>
      <c r="G342" s="214" t="s">
        <v>2751</v>
      </c>
      <c r="H342" s="214" t="s">
        <v>2751</v>
      </c>
      <c r="I342" s="230"/>
      <c r="J342" s="840"/>
      <c r="K342" s="840"/>
      <c r="L342" s="841"/>
      <c r="M342" s="840"/>
      <c r="N342" s="840"/>
      <c r="O342" s="161"/>
      <c r="P342" s="840"/>
      <c r="Q342" s="840"/>
      <c r="R342" s="841"/>
      <c r="S342" s="840"/>
      <c r="T342" s="840"/>
      <c r="U342" s="161"/>
      <c r="V342" s="840"/>
      <c r="W342" s="840"/>
      <c r="X342" s="841"/>
      <c r="Y342" s="231"/>
      <c r="Z342" s="231"/>
      <c r="AA342" s="232"/>
      <c r="AD342" s="232"/>
      <c r="AE342" s="232"/>
      <c r="AF342" s="232"/>
      <c r="AG342" s="232"/>
      <c r="AH342" s="232"/>
      <c r="AI342" s="232"/>
    </row>
    <row r="343" spans="1:35" ht="27.6" x14ac:dyDescent="0.3">
      <c r="A343" s="46">
        <v>41</v>
      </c>
      <c r="B343" t="s">
        <v>1828</v>
      </c>
      <c r="C343" s="46" t="s">
        <v>671</v>
      </c>
      <c r="D343" s="214" t="str">
        <f t="shared" si="74"/>
        <v>Do Not Print</v>
      </c>
      <c r="E343" s="214" t="s">
        <v>385</v>
      </c>
      <c r="F343" s="214" t="s">
        <v>1832</v>
      </c>
      <c r="G343" s="236" t="s">
        <v>2577</v>
      </c>
      <c r="H343" s="214" t="s">
        <v>402</v>
      </c>
      <c r="I343" s="857" t="s">
        <v>1923</v>
      </c>
      <c r="J343" s="839">
        <f>P343+P344-P345-P346+P347+SUM(Q343:Q347)</f>
        <v>0</v>
      </c>
      <c r="K343" s="840">
        <v>0</v>
      </c>
      <c r="L343" s="841">
        <f>SUM(J343:K343)</f>
        <v>0</v>
      </c>
      <c r="M343" s="839">
        <f>S343+S344-S345-S346+S347+SUM(T343:T347)</f>
        <v>0</v>
      </c>
      <c r="N343" s="840">
        <v>0</v>
      </c>
      <c r="O343" s="161">
        <f t="shared" si="69"/>
        <v>0</v>
      </c>
      <c r="P343" s="840">
        <v>0</v>
      </c>
      <c r="Q343" s="840">
        <v>0</v>
      </c>
      <c r="R343" s="841">
        <f t="shared" si="70"/>
        <v>0</v>
      </c>
      <c r="S343" s="840">
        <v>0</v>
      </c>
      <c r="T343" s="840">
        <v>0</v>
      </c>
      <c r="U343" s="161">
        <f t="shared" si="71"/>
        <v>0</v>
      </c>
      <c r="V343" s="841"/>
      <c r="W343" s="841"/>
      <c r="X343" s="841"/>
      <c r="Y343" s="233"/>
      <c r="Z343" s="233"/>
      <c r="AA343" s="232"/>
      <c r="AD343" s="232">
        <f t="shared" si="72"/>
        <v>0</v>
      </c>
      <c r="AE343" s="232">
        <f t="shared" si="73"/>
        <v>0</v>
      </c>
      <c r="AG343" s="232"/>
      <c r="AH343" s="232"/>
      <c r="AI343" s="232"/>
    </row>
    <row r="344" spans="1:35" ht="27.6" x14ac:dyDescent="0.3">
      <c r="A344" s="46">
        <v>41</v>
      </c>
      <c r="B344" t="s">
        <v>1828</v>
      </c>
      <c r="C344" s="46" t="s">
        <v>671</v>
      </c>
      <c r="D344" s="214" t="str">
        <f t="shared" si="74"/>
        <v>Do Not Print</v>
      </c>
      <c r="E344" s="214" t="s">
        <v>385</v>
      </c>
      <c r="F344" s="214" t="s">
        <v>1832</v>
      </c>
      <c r="G344" s="214" t="str">
        <f>G343</f>
        <v>Outstanding legal cases</v>
      </c>
      <c r="H344" s="213" t="s">
        <v>652</v>
      </c>
      <c r="I344" s="857" t="s">
        <v>1923</v>
      </c>
      <c r="J344" s="840">
        <v>0</v>
      </c>
      <c r="K344" s="840">
        <v>0</v>
      </c>
      <c r="L344" s="841">
        <f t="shared" si="68"/>
        <v>0</v>
      </c>
      <c r="M344" s="840">
        <v>0</v>
      </c>
      <c r="N344" s="840">
        <v>0</v>
      </c>
      <c r="O344" s="161">
        <f t="shared" si="69"/>
        <v>0</v>
      </c>
      <c r="P344" s="840">
        <v>0</v>
      </c>
      <c r="Q344" s="840">
        <v>0</v>
      </c>
      <c r="R344" s="841">
        <f t="shared" si="70"/>
        <v>0</v>
      </c>
      <c r="S344" s="840">
        <v>0</v>
      </c>
      <c r="T344" s="840">
        <v>0</v>
      </c>
      <c r="U344" s="161">
        <f t="shared" si="71"/>
        <v>0</v>
      </c>
      <c r="V344" s="841"/>
      <c r="W344" s="841"/>
      <c r="X344" s="841"/>
      <c r="Y344" s="233"/>
      <c r="Z344" s="233"/>
      <c r="AA344" s="232"/>
      <c r="AD344" s="232">
        <f t="shared" si="72"/>
        <v>0</v>
      </c>
      <c r="AE344" s="232">
        <f t="shared" si="73"/>
        <v>0</v>
      </c>
      <c r="AG344" s="232"/>
      <c r="AH344" s="232"/>
      <c r="AI344" s="232"/>
    </row>
    <row r="345" spans="1:35" ht="27.6" x14ac:dyDescent="0.3">
      <c r="A345" s="46">
        <v>41</v>
      </c>
      <c r="B345" t="s">
        <v>1828</v>
      </c>
      <c r="C345" s="46" t="s">
        <v>671</v>
      </c>
      <c r="D345" s="214" t="str">
        <f t="shared" si="74"/>
        <v>Do Not Print</v>
      </c>
      <c r="E345" s="214" t="s">
        <v>385</v>
      </c>
      <c r="F345" s="214" t="s">
        <v>1832</v>
      </c>
      <c r="G345" s="214" t="str">
        <f>G343</f>
        <v>Outstanding legal cases</v>
      </c>
      <c r="H345" s="213" t="s">
        <v>1115</v>
      </c>
      <c r="I345" s="857" t="s">
        <v>1923</v>
      </c>
      <c r="J345" s="840">
        <v>0</v>
      </c>
      <c r="K345" s="840">
        <v>0</v>
      </c>
      <c r="L345" s="841">
        <f t="shared" si="68"/>
        <v>0</v>
      </c>
      <c r="M345" s="840">
        <v>0</v>
      </c>
      <c r="N345" s="840">
        <v>0</v>
      </c>
      <c r="O345" s="161">
        <f t="shared" si="69"/>
        <v>0</v>
      </c>
      <c r="P345" s="840">
        <v>0</v>
      </c>
      <c r="Q345" s="840">
        <v>0</v>
      </c>
      <c r="R345" s="841">
        <f t="shared" si="70"/>
        <v>0</v>
      </c>
      <c r="S345" s="840">
        <v>0</v>
      </c>
      <c r="T345" s="840">
        <v>0</v>
      </c>
      <c r="U345" s="161">
        <f t="shared" si="71"/>
        <v>0</v>
      </c>
      <c r="V345" s="841"/>
      <c r="W345" s="841"/>
      <c r="X345" s="841"/>
      <c r="Y345" s="233"/>
      <c r="Z345" s="233"/>
      <c r="AA345" s="232"/>
      <c r="AD345" s="232">
        <f t="shared" si="72"/>
        <v>0</v>
      </c>
      <c r="AE345" s="232">
        <f t="shared" si="73"/>
        <v>0</v>
      </c>
      <c r="AG345" s="232"/>
      <c r="AH345" s="232"/>
      <c r="AI345" s="232"/>
    </row>
    <row r="346" spans="1:35" ht="27.6" x14ac:dyDescent="0.3">
      <c r="A346" s="46">
        <v>41</v>
      </c>
      <c r="B346" t="s">
        <v>1828</v>
      </c>
      <c r="C346" s="46" t="s">
        <v>671</v>
      </c>
      <c r="D346" s="214" t="str">
        <f t="shared" si="74"/>
        <v>Do Not Print</v>
      </c>
      <c r="E346" s="214" t="s">
        <v>385</v>
      </c>
      <c r="F346" s="214" t="s">
        <v>1832</v>
      </c>
      <c r="G346" s="214" t="str">
        <f>G343</f>
        <v>Outstanding legal cases</v>
      </c>
      <c r="H346" s="213" t="s">
        <v>654</v>
      </c>
      <c r="I346" s="230"/>
      <c r="J346" s="840">
        <v>0</v>
      </c>
      <c r="K346" s="840">
        <v>0</v>
      </c>
      <c r="L346" s="841">
        <f t="shared" si="68"/>
        <v>0</v>
      </c>
      <c r="M346" s="840">
        <v>0</v>
      </c>
      <c r="N346" s="840">
        <v>0</v>
      </c>
      <c r="O346" s="161">
        <f t="shared" si="69"/>
        <v>0</v>
      </c>
      <c r="P346" s="840">
        <v>0</v>
      </c>
      <c r="Q346" s="840">
        <v>0</v>
      </c>
      <c r="R346" s="841">
        <f t="shared" si="70"/>
        <v>0</v>
      </c>
      <c r="S346" s="840">
        <v>0</v>
      </c>
      <c r="T346" s="840">
        <v>0</v>
      </c>
      <c r="U346" s="161">
        <f t="shared" si="71"/>
        <v>0</v>
      </c>
      <c r="V346" s="841"/>
      <c r="W346" s="841"/>
      <c r="X346" s="841"/>
      <c r="Y346" s="233"/>
      <c r="Z346" s="233"/>
      <c r="AA346" s="232"/>
      <c r="AD346" s="232">
        <f t="shared" si="72"/>
        <v>0</v>
      </c>
      <c r="AE346" s="232">
        <f t="shared" si="73"/>
        <v>0</v>
      </c>
      <c r="AG346" s="232"/>
      <c r="AH346" s="232"/>
      <c r="AI346" s="232"/>
    </row>
    <row r="347" spans="1:35" ht="27.6" x14ac:dyDescent="0.3">
      <c r="A347" s="46">
        <v>41</v>
      </c>
      <c r="B347" t="s">
        <v>1828</v>
      </c>
      <c r="C347" s="46" t="s">
        <v>671</v>
      </c>
      <c r="D347" s="214" t="str">
        <f t="shared" si="74"/>
        <v>Do Not Print</v>
      </c>
      <c r="E347" s="214" t="s">
        <v>385</v>
      </c>
      <c r="F347" s="214" t="s">
        <v>1832</v>
      </c>
      <c r="G347" s="214" t="str">
        <f>G343</f>
        <v>Outstanding legal cases</v>
      </c>
      <c r="H347" s="214" t="s">
        <v>655</v>
      </c>
      <c r="I347" s="230"/>
      <c r="J347" s="841">
        <v>0</v>
      </c>
      <c r="K347" s="841">
        <v>0</v>
      </c>
      <c r="L347" s="841">
        <f t="shared" si="68"/>
        <v>0</v>
      </c>
      <c r="M347" s="841">
        <v>0</v>
      </c>
      <c r="N347" s="841">
        <v>0</v>
      </c>
      <c r="O347" s="161">
        <f t="shared" si="69"/>
        <v>0</v>
      </c>
      <c r="P347" s="841">
        <v>0</v>
      </c>
      <c r="Q347" s="841">
        <v>0</v>
      </c>
      <c r="R347" s="841">
        <f t="shared" si="70"/>
        <v>0</v>
      </c>
      <c r="S347" s="841">
        <v>0</v>
      </c>
      <c r="T347" s="841">
        <v>0</v>
      </c>
      <c r="U347" s="161">
        <f t="shared" si="71"/>
        <v>0</v>
      </c>
      <c r="V347" s="841"/>
      <c r="W347" s="841"/>
      <c r="X347" s="841"/>
      <c r="Y347" s="233"/>
      <c r="Z347" s="233"/>
      <c r="AA347" s="232"/>
      <c r="AD347" s="232">
        <f t="shared" si="72"/>
        <v>0</v>
      </c>
      <c r="AE347" s="232">
        <f t="shared" si="73"/>
        <v>0</v>
      </c>
      <c r="AG347" s="232"/>
      <c r="AH347" s="232"/>
      <c r="AI347" s="232"/>
    </row>
    <row r="348" spans="1:35" ht="27.6" x14ac:dyDescent="0.3">
      <c r="A348" s="46">
        <v>41</v>
      </c>
      <c r="B348" t="s">
        <v>1829</v>
      </c>
      <c r="C348" s="46" t="s">
        <v>671</v>
      </c>
      <c r="D348" s="214" t="str">
        <f t="shared" si="74"/>
        <v>Do Not Print</v>
      </c>
      <c r="E348" s="214" t="s">
        <v>385</v>
      </c>
      <c r="F348" s="214" t="s">
        <v>1832</v>
      </c>
      <c r="G348" s="236" t="s">
        <v>2578</v>
      </c>
      <c r="H348" s="214" t="s">
        <v>402</v>
      </c>
      <c r="I348" s="230"/>
      <c r="J348" s="839">
        <f>P348+P349-P350-P351+P352+SUM(Q348:Q352)</f>
        <v>0</v>
      </c>
      <c r="K348" s="840">
        <v>0</v>
      </c>
      <c r="L348" s="841">
        <f t="shared" si="68"/>
        <v>0</v>
      </c>
      <c r="M348" s="839">
        <f>S348+S349-S350-S351+S352+SUM(T348:T352)</f>
        <v>0</v>
      </c>
      <c r="N348" s="840">
        <v>0</v>
      </c>
      <c r="O348" s="161">
        <f t="shared" si="69"/>
        <v>0</v>
      </c>
      <c r="P348" s="840">
        <v>0</v>
      </c>
      <c r="Q348" s="840">
        <v>0</v>
      </c>
      <c r="R348" s="841">
        <f t="shared" si="70"/>
        <v>0</v>
      </c>
      <c r="S348" s="840">
        <v>0</v>
      </c>
      <c r="T348" s="840">
        <v>0</v>
      </c>
      <c r="U348" s="161">
        <f t="shared" si="71"/>
        <v>0</v>
      </c>
      <c r="V348" s="841"/>
      <c r="W348" s="841"/>
      <c r="X348" s="841"/>
      <c r="Y348" s="233"/>
      <c r="Z348" s="233"/>
      <c r="AA348" s="232"/>
      <c r="AD348" s="232">
        <f t="shared" si="72"/>
        <v>0</v>
      </c>
      <c r="AE348" s="232">
        <f t="shared" si="73"/>
        <v>0</v>
      </c>
      <c r="AG348" s="232"/>
      <c r="AH348" s="232"/>
      <c r="AI348" s="232"/>
    </row>
    <row r="349" spans="1:35" ht="35.25" customHeight="1" x14ac:dyDescent="0.3">
      <c r="A349" s="46">
        <v>41</v>
      </c>
      <c r="B349" t="s">
        <v>1829</v>
      </c>
      <c r="C349" s="46" t="s">
        <v>671</v>
      </c>
      <c r="D349" s="214" t="str">
        <f t="shared" si="74"/>
        <v>Do Not Print</v>
      </c>
      <c r="E349" s="214" t="s">
        <v>385</v>
      </c>
      <c r="F349" s="214" t="s">
        <v>1832</v>
      </c>
      <c r="G349" s="214" t="str">
        <f>G348</f>
        <v>Injury and Damage Compensation claims</v>
      </c>
      <c r="H349" s="213" t="s">
        <v>652</v>
      </c>
      <c r="I349" s="230"/>
      <c r="J349" s="840">
        <v>0</v>
      </c>
      <c r="K349" s="840">
        <v>0</v>
      </c>
      <c r="L349" s="841">
        <f t="shared" si="68"/>
        <v>0</v>
      </c>
      <c r="M349" s="840">
        <v>0</v>
      </c>
      <c r="N349" s="840">
        <v>0</v>
      </c>
      <c r="O349" s="161">
        <f t="shared" si="69"/>
        <v>0</v>
      </c>
      <c r="P349" s="840">
        <v>0</v>
      </c>
      <c r="Q349" s="840">
        <v>0</v>
      </c>
      <c r="R349" s="841">
        <f t="shared" si="70"/>
        <v>0</v>
      </c>
      <c r="S349" s="840">
        <v>0</v>
      </c>
      <c r="T349" s="840">
        <v>0</v>
      </c>
      <c r="U349" s="161">
        <f t="shared" si="71"/>
        <v>0</v>
      </c>
      <c r="V349" s="841"/>
      <c r="W349" s="841"/>
      <c r="X349" s="841"/>
      <c r="Y349" s="233"/>
      <c r="Z349" s="233"/>
      <c r="AA349" s="232"/>
      <c r="AD349" s="232">
        <f t="shared" si="72"/>
        <v>0</v>
      </c>
      <c r="AE349" s="232">
        <f t="shared" si="73"/>
        <v>0</v>
      </c>
      <c r="AG349" s="232"/>
      <c r="AH349" s="232"/>
      <c r="AI349" s="232"/>
    </row>
    <row r="350" spans="1:35" ht="27.6" x14ac:dyDescent="0.3">
      <c r="A350" s="46">
        <v>41</v>
      </c>
      <c r="B350" t="s">
        <v>1829</v>
      </c>
      <c r="C350" s="46" t="s">
        <v>671</v>
      </c>
      <c r="D350" s="214" t="str">
        <f t="shared" si="74"/>
        <v>Do Not Print</v>
      </c>
      <c r="E350" s="214" t="s">
        <v>385</v>
      </c>
      <c r="F350" s="214" t="s">
        <v>1832</v>
      </c>
      <c r="G350" s="214" t="str">
        <f>G348</f>
        <v>Injury and Damage Compensation claims</v>
      </c>
      <c r="H350" s="213" t="s">
        <v>1115</v>
      </c>
      <c r="I350" s="230"/>
      <c r="J350" s="840">
        <v>0</v>
      </c>
      <c r="K350" s="840">
        <v>0</v>
      </c>
      <c r="L350" s="841">
        <f t="shared" si="68"/>
        <v>0</v>
      </c>
      <c r="M350" s="840">
        <v>0</v>
      </c>
      <c r="N350" s="840">
        <v>0</v>
      </c>
      <c r="O350" s="161">
        <f t="shared" si="69"/>
        <v>0</v>
      </c>
      <c r="P350" s="840">
        <v>0</v>
      </c>
      <c r="Q350" s="840">
        <v>0</v>
      </c>
      <c r="R350" s="841">
        <f t="shared" si="70"/>
        <v>0</v>
      </c>
      <c r="S350" s="840">
        <v>0</v>
      </c>
      <c r="T350" s="840">
        <v>0</v>
      </c>
      <c r="U350" s="161">
        <f t="shared" si="71"/>
        <v>0</v>
      </c>
      <c r="V350" s="841"/>
      <c r="W350" s="841"/>
      <c r="X350" s="841"/>
      <c r="Y350" s="233"/>
      <c r="Z350" s="233"/>
      <c r="AA350" s="232"/>
      <c r="AD350" s="232">
        <f t="shared" si="72"/>
        <v>0</v>
      </c>
      <c r="AE350" s="232">
        <f t="shared" si="73"/>
        <v>0</v>
      </c>
      <c r="AG350" s="232"/>
      <c r="AH350" s="232"/>
      <c r="AI350" s="232"/>
    </row>
    <row r="351" spans="1:35" ht="27.6" x14ac:dyDescent="0.3">
      <c r="A351" s="46">
        <v>41</v>
      </c>
      <c r="B351" t="s">
        <v>1829</v>
      </c>
      <c r="C351" s="46" t="s">
        <v>671</v>
      </c>
      <c r="D351" s="214" t="str">
        <f t="shared" si="74"/>
        <v>Do Not Print</v>
      </c>
      <c r="E351" s="214" t="s">
        <v>385</v>
      </c>
      <c r="F351" s="214" t="s">
        <v>1832</v>
      </c>
      <c r="G351" s="214" t="str">
        <f>G348</f>
        <v>Injury and Damage Compensation claims</v>
      </c>
      <c r="H351" s="213" t="s">
        <v>654</v>
      </c>
      <c r="I351" s="230"/>
      <c r="J351" s="840">
        <v>0</v>
      </c>
      <c r="K351" s="840">
        <v>0</v>
      </c>
      <c r="L351" s="841">
        <f t="shared" si="68"/>
        <v>0</v>
      </c>
      <c r="M351" s="840">
        <v>0</v>
      </c>
      <c r="N351" s="840">
        <v>0</v>
      </c>
      <c r="O351" s="161">
        <f t="shared" si="69"/>
        <v>0</v>
      </c>
      <c r="P351" s="840">
        <v>0</v>
      </c>
      <c r="Q351" s="840">
        <v>0</v>
      </c>
      <c r="R351" s="841">
        <f t="shared" si="70"/>
        <v>0</v>
      </c>
      <c r="S351" s="840">
        <v>0</v>
      </c>
      <c r="T351" s="840">
        <v>0</v>
      </c>
      <c r="U351" s="161">
        <f t="shared" si="71"/>
        <v>0</v>
      </c>
      <c r="V351" s="841"/>
      <c r="W351" s="841"/>
      <c r="X351" s="841"/>
      <c r="Y351" s="233"/>
      <c r="Z351" s="233"/>
      <c r="AA351" s="232"/>
      <c r="AD351" s="232">
        <f t="shared" si="72"/>
        <v>0</v>
      </c>
      <c r="AE351" s="232">
        <f t="shared" si="73"/>
        <v>0</v>
      </c>
      <c r="AG351" s="232"/>
      <c r="AH351" s="232"/>
      <c r="AI351" s="232"/>
    </row>
    <row r="352" spans="1:35" ht="27.6" x14ac:dyDescent="0.3">
      <c r="A352" s="46">
        <v>41</v>
      </c>
      <c r="B352" t="s">
        <v>1829</v>
      </c>
      <c r="C352" s="46" t="s">
        <v>671</v>
      </c>
      <c r="D352" s="214" t="str">
        <f t="shared" si="74"/>
        <v>Do Not Print</v>
      </c>
      <c r="E352" s="214" t="s">
        <v>385</v>
      </c>
      <c r="F352" s="214" t="s">
        <v>1832</v>
      </c>
      <c r="G352" s="214" t="str">
        <f>G348</f>
        <v>Injury and Damage Compensation claims</v>
      </c>
      <c r="H352" s="214" t="s">
        <v>655</v>
      </c>
      <c r="I352" s="230"/>
      <c r="J352" s="841">
        <v>0</v>
      </c>
      <c r="K352" s="841">
        <v>0</v>
      </c>
      <c r="L352" s="841">
        <f t="shared" si="68"/>
        <v>0</v>
      </c>
      <c r="M352" s="841">
        <v>0</v>
      </c>
      <c r="N352" s="841">
        <v>0</v>
      </c>
      <c r="O352" s="161">
        <f t="shared" si="69"/>
        <v>0</v>
      </c>
      <c r="P352" s="841">
        <v>0</v>
      </c>
      <c r="Q352" s="841">
        <v>0</v>
      </c>
      <c r="R352" s="841">
        <f t="shared" si="70"/>
        <v>0</v>
      </c>
      <c r="S352" s="841">
        <v>0</v>
      </c>
      <c r="T352" s="841">
        <v>0</v>
      </c>
      <c r="U352" s="161">
        <f t="shared" si="71"/>
        <v>0</v>
      </c>
      <c r="V352" s="841"/>
      <c r="W352" s="841"/>
      <c r="X352" s="841"/>
      <c r="Y352" s="233"/>
      <c r="Z352" s="233"/>
      <c r="AA352" s="232"/>
      <c r="AD352" s="232">
        <f t="shared" si="72"/>
        <v>0</v>
      </c>
      <c r="AE352" s="232">
        <f t="shared" si="73"/>
        <v>0</v>
      </c>
      <c r="AG352" s="232"/>
      <c r="AH352" s="232"/>
      <c r="AI352" s="232"/>
    </row>
    <row r="353" spans="1:35" ht="27.6" x14ac:dyDescent="0.3">
      <c r="A353" s="46">
        <v>41</v>
      </c>
      <c r="B353" t="s">
        <v>1830</v>
      </c>
      <c r="C353" s="46" t="s">
        <v>671</v>
      </c>
      <c r="D353" s="214" t="str">
        <f t="shared" si="74"/>
        <v>Do Not Print</v>
      </c>
      <c r="E353" s="214" t="s">
        <v>385</v>
      </c>
      <c r="F353" s="214" t="s">
        <v>1832</v>
      </c>
      <c r="G353" s="236" t="s">
        <v>2026</v>
      </c>
      <c r="H353" s="214" t="s">
        <v>402</v>
      </c>
      <c r="I353" s="230"/>
      <c r="J353" s="839">
        <f>P353+P354-P355-P356+P357+SUM(Q353:Q357)</f>
        <v>0</v>
      </c>
      <c r="K353" s="840">
        <v>0</v>
      </c>
      <c r="L353" s="841">
        <f t="shared" si="68"/>
        <v>0</v>
      </c>
      <c r="M353" s="839">
        <f>S353+S354-S355-S356+S357+SUM(T353:T357)</f>
        <v>0</v>
      </c>
      <c r="N353" s="840">
        <v>0</v>
      </c>
      <c r="O353" s="161">
        <f t="shared" si="69"/>
        <v>0</v>
      </c>
      <c r="P353" s="840">
        <v>0</v>
      </c>
      <c r="Q353" s="840">
        <v>0</v>
      </c>
      <c r="R353" s="841">
        <f t="shared" si="70"/>
        <v>0</v>
      </c>
      <c r="S353" s="840">
        <v>0</v>
      </c>
      <c r="T353" s="840">
        <v>0</v>
      </c>
      <c r="U353" s="161">
        <f t="shared" si="71"/>
        <v>0</v>
      </c>
      <c r="V353" s="841"/>
      <c r="W353" s="841"/>
      <c r="X353" s="841"/>
      <c r="Y353" s="233"/>
      <c r="Z353" s="233"/>
      <c r="AA353" s="232"/>
      <c r="AD353" s="232">
        <f t="shared" si="72"/>
        <v>0</v>
      </c>
      <c r="AE353" s="232">
        <f t="shared" si="73"/>
        <v>0</v>
      </c>
      <c r="AG353" s="232"/>
      <c r="AH353" s="232"/>
      <c r="AI353" s="232"/>
    </row>
    <row r="354" spans="1:35" ht="27.6" x14ac:dyDescent="0.3">
      <c r="A354" s="46">
        <v>41</v>
      </c>
      <c r="B354" t="s">
        <v>1830</v>
      </c>
      <c r="C354" s="46" t="s">
        <v>671</v>
      </c>
      <c r="D354" s="214" t="str">
        <f t="shared" si="74"/>
        <v>Do Not Print</v>
      </c>
      <c r="E354" s="214" t="s">
        <v>385</v>
      </c>
      <c r="F354" s="214" t="s">
        <v>1832</v>
      </c>
      <c r="G354" s="214" t="str">
        <f>G353</f>
        <v>Provision 2</v>
      </c>
      <c r="H354" s="213" t="s">
        <v>652</v>
      </c>
      <c r="I354" s="230"/>
      <c r="J354" s="840">
        <v>0</v>
      </c>
      <c r="K354" s="840">
        <v>0</v>
      </c>
      <c r="L354" s="841">
        <f t="shared" si="68"/>
        <v>0</v>
      </c>
      <c r="M354" s="840">
        <v>0</v>
      </c>
      <c r="N354" s="840">
        <v>0</v>
      </c>
      <c r="O354" s="161">
        <f t="shared" si="69"/>
        <v>0</v>
      </c>
      <c r="P354" s="840">
        <v>0</v>
      </c>
      <c r="Q354" s="840">
        <v>0</v>
      </c>
      <c r="R354" s="841">
        <f t="shared" si="70"/>
        <v>0</v>
      </c>
      <c r="S354" s="840">
        <v>0</v>
      </c>
      <c r="T354" s="840">
        <v>0</v>
      </c>
      <c r="U354" s="161">
        <f t="shared" si="71"/>
        <v>0</v>
      </c>
      <c r="V354" s="841"/>
      <c r="W354" s="841"/>
      <c r="X354" s="841"/>
      <c r="Y354" s="233"/>
      <c r="Z354" s="233"/>
      <c r="AA354" s="232"/>
      <c r="AD354" s="232">
        <f t="shared" si="72"/>
        <v>0</v>
      </c>
      <c r="AE354" s="232">
        <f t="shared" si="73"/>
        <v>0</v>
      </c>
      <c r="AG354" s="232"/>
      <c r="AH354" s="232"/>
      <c r="AI354" s="232"/>
    </row>
    <row r="355" spans="1:35" ht="27.6" x14ac:dyDescent="0.3">
      <c r="A355" s="46">
        <v>41</v>
      </c>
      <c r="B355" t="s">
        <v>1830</v>
      </c>
      <c r="C355" s="46" t="s">
        <v>671</v>
      </c>
      <c r="D355" s="214" t="str">
        <f t="shared" si="74"/>
        <v>Do Not Print</v>
      </c>
      <c r="E355" s="214" t="s">
        <v>385</v>
      </c>
      <c r="F355" s="214" t="s">
        <v>1832</v>
      </c>
      <c r="G355" s="214" t="str">
        <f>G353</f>
        <v>Provision 2</v>
      </c>
      <c r="H355" s="213" t="s">
        <v>1115</v>
      </c>
      <c r="I355" s="230"/>
      <c r="J355" s="840">
        <v>0</v>
      </c>
      <c r="K355" s="840">
        <v>0</v>
      </c>
      <c r="L355" s="841">
        <f t="shared" si="68"/>
        <v>0</v>
      </c>
      <c r="M355" s="840">
        <v>0</v>
      </c>
      <c r="N355" s="840">
        <v>0</v>
      </c>
      <c r="O355" s="161">
        <f t="shared" si="69"/>
        <v>0</v>
      </c>
      <c r="P355" s="840">
        <v>0</v>
      </c>
      <c r="Q355" s="840">
        <v>0</v>
      </c>
      <c r="R355" s="841">
        <f t="shared" si="70"/>
        <v>0</v>
      </c>
      <c r="S355" s="840">
        <v>0</v>
      </c>
      <c r="T355" s="840">
        <v>0</v>
      </c>
      <c r="U355" s="161">
        <f t="shared" si="71"/>
        <v>0</v>
      </c>
      <c r="V355" s="841"/>
      <c r="W355" s="841"/>
      <c r="X355" s="841"/>
      <c r="Y355" s="233"/>
      <c r="Z355" s="233"/>
      <c r="AA355" s="232"/>
      <c r="AD355" s="232">
        <f t="shared" si="72"/>
        <v>0</v>
      </c>
      <c r="AE355" s="232">
        <f t="shared" si="73"/>
        <v>0</v>
      </c>
      <c r="AG355" s="232"/>
      <c r="AH355" s="232"/>
      <c r="AI355" s="232"/>
    </row>
    <row r="356" spans="1:35" ht="27.6" x14ac:dyDescent="0.3">
      <c r="A356" s="46">
        <v>41</v>
      </c>
      <c r="B356" t="s">
        <v>1830</v>
      </c>
      <c r="C356" s="46" t="s">
        <v>671</v>
      </c>
      <c r="D356" s="214" t="str">
        <f t="shared" si="74"/>
        <v>Do Not Print</v>
      </c>
      <c r="E356" s="214" t="s">
        <v>385</v>
      </c>
      <c r="F356" s="214" t="s">
        <v>1832</v>
      </c>
      <c r="G356" s="214" t="str">
        <f>G353</f>
        <v>Provision 2</v>
      </c>
      <c r="H356" s="213" t="s">
        <v>654</v>
      </c>
      <c r="I356" s="230"/>
      <c r="J356" s="840">
        <v>0</v>
      </c>
      <c r="K356" s="840">
        <v>0</v>
      </c>
      <c r="L356" s="841">
        <f t="shared" si="68"/>
        <v>0</v>
      </c>
      <c r="M356" s="840">
        <v>0</v>
      </c>
      <c r="N356" s="840">
        <v>0</v>
      </c>
      <c r="O356" s="161">
        <f t="shared" si="69"/>
        <v>0</v>
      </c>
      <c r="P356" s="840">
        <v>0</v>
      </c>
      <c r="Q356" s="840">
        <v>0</v>
      </c>
      <c r="R356" s="841">
        <f t="shared" si="70"/>
        <v>0</v>
      </c>
      <c r="S356" s="840">
        <v>0</v>
      </c>
      <c r="T356" s="840">
        <v>0</v>
      </c>
      <c r="U356" s="161">
        <f t="shared" si="71"/>
        <v>0</v>
      </c>
      <c r="V356" s="841"/>
      <c r="W356" s="841"/>
      <c r="X356" s="841"/>
      <c r="Y356" s="233"/>
      <c r="Z356" s="233"/>
      <c r="AA356" s="232"/>
      <c r="AD356" s="232">
        <f t="shared" si="72"/>
        <v>0</v>
      </c>
      <c r="AE356" s="232">
        <f t="shared" si="73"/>
        <v>0</v>
      </c>
      <c r="AG356" s="232"/>
      <c r="AH356" s="232"/>
      <c r="AI356" s="232"/>
    </row>
    <row r="357" spans="1:35" ht="27.6" x14ac:dyDescent="0.3">
      <c r="A357" s="46">
        <v>41</v>
      </c>
      <c r="B357" t="s">
        <v>1830</v>
      </c>
      <c r="C357" s="46" t="s">
        <v>671</v>
      </c>
      <c r="D357" s="214" t="str">
        <f t="shared" si="74"/>
        <v>Do Not Print</v>
      </c>
      <c r="E357" s="214" t="s">
        <v>385</v>
      </c>
      <c r="F357" s="214" t="s">
        <v>1832</v>
      </c>
      <c r="G357" s="214" t="str">
        <f>G353</f>
        <v>Provision 2</v>
      </c>
      <c r="H357" s="214" t="s">
        <v>655</v>
      </c>
      <c r="I357" s="230"/>
      <c r="J357" s="841">
        <v>0</v>
      </c>
      <c r="K357" s="841">
        <v>0</v>
      </c>
      <c r="L357" s="841">
        <f t="shared" si="68"/>
        <v>0</v>
      </c>
      <c r="M357" s="841">
        <v>0</v>
      </c>
      <c r="N357" s="841">
        <v>0</v>
      </c>
      <c r="O357" s="161">
        <f t="shared" si="69"/>
        <v>0</v>
      </c>
      <c r="P357" s="841">
        <v>0</v>
      </c>
      <c r="Q357" s="841">
        <v>0</v>
      </c>
      <c r="R357" s="841">
        <f t="shared" si="70"/>
        <v>0</v>
      </c>
      <c r="S357" s="841">
        <v>0</v>
      </c>
      <c r="T357" s="841">
        <v>0</v>
      </c>
      <c r="U357" s="161">
        <f t="shared" si="71"/>
        <v>0</v>
      </c>
      <c r="V357" s="841"/>
      <c r="W357" s="841"/>
      <c r="X357" s="841"/>
      <c r="Y357" s="233"/>
      <c r="Z357" s="233"/>
      <c r="AA357" s="232"/>
      <c r="AD357" s="232">
        <f t="shared" si="72"/>
        <v>0</v>
      </c>
      <c r="AE357" s="232">
        <f t="shared" si="73"/>
        <v>0</v>
      </c>
      <c r="AG357" s="232"/>
      <c r="AH357" s="232"/>
      <c r="AI357" s="232"/>
    </row>
    <row r="358" spans="1:35" ht="27.6" x14ac:dyDescent="0.3">
      <c r="A358" s="46">
        <v>41</v>
      </c>
      <c r="B358" t="s">
        <v>1831</v>
      </c>
      <c r="C358" s="46" t="s">
        <v>671</v>
      </c>
      <c r="D358" s="214" t="str">
        <f t="shared" si="74"/>
        <v>Do Not Print</v>
      </c>
      <c r="E358" s="214" t="s">
        <v>385</v>
      </c>
      <c r="F358" s="214" t="s">
        <v>1832</v>
      </c>
      <c r="G358" s="236" t="s">
        <v>373</v>
      </c>
      <c r="H358" s="214" t="s">
        <v>402</v>
      </c>
      <c r="I358" s="230">
        <v>19</v>
      </c>
      <c r="J358" s="839">
        <f>P358+P359-P360-P361+P362+SUM(Q358:Q362)</f>
        <v>0</v>
      </c>
      <c r="K358" s="840">
        <v>0</v>
      </c>
      <c r="L358" s="841">
        <f t="shared" si="68"/>
        <v>0</v>
      </c>
      <c r="M358" s="839">
        <f>S358+S359-S360-S361+S362+SUM(T358:T362)</f>
        <v>0</v>
      </c>
      <c r="N358" s="840"/>
      <c r="O358" s="161">
        <f t="shared" si="69"/>
        <v>0</v>
      </c>
      <c r="P358" s="840">
        <v>0</v>
      </c>
      <c r="Q358" s="840">
        <v>0</v>
      </c>
      <c r="R358" s="841">
        <f t="shared" si="70"/>
        <v>0</v>
      </c>
      <c r="S358" s="840">
        <v>0</v>
      </c>
      <c r="T358" s="840">
        <v>0</v>
      </c>
      <c r="U358" s="161">
        <f t="shared" si="71"/>
        <v>0</v>
      </c>
      <c r="V358" s="841"/>
      <c r="W358" s="841"/>
      <c r="X358" s="841"/>
      <c r="Y358" s="233"/>
      <c r="Z358" s="233"/>
      <c r="AA358" s="232"/>
      <c r="AD358" s="232">
        <f t="shared" si="72"/>
        <v>0</v>
      </c>
      <c r="AE358" s="232">
        <f t="shared" si="73"/>
        <v>0</v>
      </c>
      <c r="AG358" s="232"/>
      <c r="AH358" s="232"/>
      <c r="AI358" s="232"/>
    </row>
    <row r="359" spans="1:35" ht="27.6" x14ac:dyDescent="0.3">
      <c r="A359" s="46">
        <v>41</v>
      </c>
      <c r="B359" t="s">
        <v>1831</v>
      </c>
      <c r="C359" s="46" t="s">
        <v>671</v>
      </c>
      <c r="D359" s="214" t="str">
        <f t="shared" si="74"/>
        <v>Do Not Print</v>
      </c>
      <c r="E359" s="214" t="s">
        <v>385</v>
      </c>
      <c r="F359" s="214" t="s">
        <v>1832</v>
      </c>
      <c r="G359" s="214" t="str">
        <f>G358</f>
        <v>Other</v>
      </c>
      <c r="H359" s="213" t="s">
        <v>652</v>
      </c>
      <c r="I359" s="230"/>
      <c r="J359" s="840">
        <v>0</v>
      </c>
      <c r="K359" s="840">
        <v>0</v>
      </c>
      <c r="L359" s="841">
        <f t="shared" si="68"/>
        <v>0</v>
      </c>
      <c r="M359" s="840">
        <v>0</v>
      </c>
      <c r="N359" s="840">
        <v>0</v>
      </c>
      <c r="O359" s="161">
        <f t="shared" si="69"/>
        <v>0</v>
      </c>
      <c r="P359" s="840">
        <v>0</v>
      </c>
      <c r="Q359" s="840">
        <v>0</v>
      </c>
      <c r="R359" s="841">
        <f t="shared" si="70"/>
        <v>0</v>
      </c>
      <c r="S359" s="840">
        <v>0</v>
      </c>
      <c r="T359" s="840">
        <v>0</v>
      </c>
      <c r="U359" s="161">
        <f t="shared" si="71"/>
        <v>0</v>
      </c>
      <c r="V359" s="841"/>
      <c r="W359" s="841"/>
      <c r="X359" s="841"/>
      <c r="Y359" s="233"/>
      <c r="Z359" s="233"/>
      <c r="AA359" s="232"/>
      <c r="AD359" s="232">
        <f t="shared" si="72"/>
        <v>0</v>
      </c>
      <c r="AE359" s="232">
        <f t="shared" si="73"/>
        <v>0</v>
      </c>
      <c r="AG359" s="232"/>
      <c r="AH359" s="232"/>
      <c r="AI359" s="232"/>
    </row>
    <row r="360" spans="1:35" ht="27.6" x14ac:dyDescent="0.3">
      <c r="A360" s="46">
        <v>41</v>
      </c>
      <c r="B360" t="s">
        <v>1831</v>
      </c>
      <c r="C360" s="46" t="s">
        <v>671</v>
      </c>
      <c r="D360" s="214" t="str">
        <f t="shared" si="74"/>
        <v>Do Not Print</v>
      </c>
      <c r="E360" s="214" t="s">
        <v>385</v>
      </c>
      <c r="F360" s="214" t="s">
        <v>1832</v>
      </c>
      <c r="G360" s="214" t="str">
        <f>G358</f>
        <v>Other</v>
      </c>
      <c r="H360" s="213" t="s">
        <v>1115</v>
      </c>
      <c r="I360" s="230"/>
      <c r="J360" s="840">
        <v>0</v>
      </c>
      <c r="K360" s="840">
        <v>0</v>
      </c>
      <c r="L360" s="841">
        <f t="shared" si="68"/>
        <v>0</v>
      </c>
      <c r="M360" s="840">
        <v>0</v>
      </c>
      <c r="N360" s="840">
        <v>0</v>
      </c>
      <c r="O360" s="161">
        <f t="shared" si="69"/>
        <v>0</v>
      </c>
      <c r="P360" s="840">
        <v>0</v>
      </c>
      <c r="Q360" s="840">
        <v>0</v>
      </c>
      <c r="R360" s="841">
        <f t="shared" si="70"/>
        <v>0</v>
      </c>
      <c r="S360" s="840">
        <v>0</v>
      </c>
      <c r="T360" s="840">
        <v>0</v>
      </c>
      <c r="U360" s="161">
        <f t="shared" si="71"/>
        <v>0</v>
      </c>
      <c r="V360" s="841"/>
      <c r="W360" s="841"/>
      <c r="X360" s="841"/>
      <c r="Y360" s="233"/>
      <c r="Z360" s="233"/>
      <c r="AA360" s="232"/>
      <c r="AD360" s="232">
        <f t="shared" si="72"/>
        <v>0</v>
      </c>
      <c r="AE360" s="232">
        <f t="shared" si="73"/>
        <v>0</v>
      </c>
      <c r="AG360" s="232"/>
      <c r="AH360" s="232"/>
      <c r="AI360" s="232"/>
    </row>
    <row r="361" spans="1:35" ht="27.6" x14ac:dyDescent="0.3">
      <c r="A361" s="46">
        <v>41</v>
      </c>
      <c r="B361" t="s">
        <v>1831</v>
      </c>
      <c r="C361" s="46" t="s">
        <v>671</v>
      </c>
      <c r="D361" s="214" t="str">
        <f t="shared" si="74"/>
        <v>Do Not Print</v>
      </c>
      <c r="E361" s="214" t="s">
        <v>385</v>
      </c>
      <c r="F361" s="214" t="s">
        <v>1832</v>
      </c>
      <c r="G361" s="214" t="str">
        <f>G358</f>
        <v>Other</v>
      </c>
      <c r="H361" s="213" t="s">
        <v>654</v>
      </c>
      <c r="I361" s="230"/>
      <c r="J361" s="840">
        <v>0</v>
      </c>
      <c r="K361" s="840">
        <v>0</v>
      </c>
      <c r="L361" s="841">
        <f t="shared" si="68"/>
        <v>0</v>
      </c>
      <c r="M361" s="840">
        <v>0</v>
      </c>
      <c r="N361" s="840">
        <v>0</v>
      </c>
      <c r="O361" s="161">
        <f t="shared" si="69"/>
        <v>0</v>
      </c>
      <c r="P361" s="840">
        <v>0</v>
      </c>
      <c r="Q361" s="840">
        <v>0</v>
      </c>
      <c r="R361" s="841">
        <f t="shared" si="70"/>
        <v>0</v>
      </c>
      <c r="S361" s="840">
        <v>0</v>
      </c>
      <c r="T361" s="840">
        <v>0</v>
      </c>
      <c r="U361" s="161">
        <f t="shared" si="71"/>
        <v>0</v>
      </c>
      <c r="V361" s="841"/>
      <c r="W361" s="841"/>
      <c r="X361" s="841"/>
      <c r="Y361" s="233"/>
      <c r="Z361" s="233"/>
      <c r="AA361" s="232"/>
      <c r="AD361" s="232">
        <f t="shared" si="72"/>
        <v>0</v>
      </c>
      <c r="AE361" s="232">
        <f t="shared" si="73"/>
        <v>0</v>
      </c>
      <c r="AG361" s="232"/>
      <c r="AH361" s="232"/>
      <c r="AI361" s="232"/>
    </row>
    <row r="362" spans="1:35" ht="27.6" x14ac:dyDescent="0.3">
      <c r="A362" s="46">
        <v>41</v>
      </c>
      <c r="B362" t="s">
        <v>1831</v>
      </c>
      <c r="C362" s="46" t="s">
        <v>671</v>
      </c>
      <c r="D362" s="214" t="str">
        <f t="shared" si="74"/>
        <v>Do Not Print</v>
      </c>
      <c r="E362" s="214" t="s">
        <v>385</v>
      </c>
      <c r="F362" s="214" t="s">
        <v>1832</v>
      </c>
      <c r="G362" s="214" t="str">
        <f>G358</f>
        <v>Other</v>
      </c>
      <c r="H362" s="214" t="s">
        <v>655</v>
      </c>
      <c r="I362" s="230"/>
      <c r="J362" s="841">
        <v>0</v>
      </c>
      <c r="K362" s="841">
        <v>0</v>
      </c>
      <c r="L362" s="841">
        <f t="shared" si="68"/>
        <v>0</v>
      </c>
      <c r="M362" s="841">
        <v>0</v>
      </c>
      <c r="N362" s="841">
        <v>0</v>
      </c>
      <c r="O362" s="161">
        <f t="shared" si="69"/>
        <v>0</v>
      </c>
      <c r="P362" s="841">
        <v>0</v>
      </c>
      <c r="Q362" s="841">
        <v>0</v>
      </c>
      <c r="R362" s="841">
        <f t="shared" si="70"/>
        <v>0</v>
      </c>
      <c r="S362" s="841">
        <v>0</v>
      </c>
      <c r="T362" s="841">
        <v>0</v>
      </c>
      <c r="U362" s="161">
        <f t="shared" si="71"/>
        <v>0</v>
      </c>
      <c r="V362" s="841"/>
      <c r="W362" s="841"/>
      <c r="X362" s="841"/>
      <c r="Y362" s="233"/>
      <c r="Z362" s="233"/>
      <c r="AA362" s="232"/>
      <c r="AD362" s="232">
        <f t="shared" si="72"/>
        <v>0</v>
      </c>
      <c r="AE362" s="232">
        <f t="shared" si="73"/>
        <v>0</v>
      </c>
      <c r="AG362" s="232"/>
      <c r="AH362" s="232"/>
      <c r="AI362" s="232"/>
    </row>
    <row r="363" spans="1:35" ht="27.6" x14ac:dyDescent="0.3">
      <c r="A363" s="46">
        <v>42</v>
      </c>
      <c r="B363" t="s">
        <v>2756</v>
      </c>
      <c r="C363" s="46" t="s">
        <v>671</v>
      </c>
      <c r="D363" s="214" t="str">
        <f t="shared" si="74"/>
        <v>Do Not Print</v>
      </c>
      <c r="E363" s="214" t="s">
        <v>385</v>
      </c>
      <c r="F363" s="214" t="s">
        <v>385</v>
      </c>
      <c r="G363" s="214" t="s">
        <v>2364</v>
      </c>
      <c r="H363" s="214" t="s">
        <v>2364</v>
      </c>
      <c r="I363" s="230"/>
      <c r="J363" s="841"/>
      <c r="K363" s="841"/>
      <c r="L363" s="841"/>
      <c r="M363" s="841"/>
      <c r="N363" s="841"/>
      <c r="O363" s="161"/>
      <c r="P363" s="841"/>
      <c r="Q363" s="841"/>
      <c r="R363" s="841"/>
      <c r="S363" s="841"/>
      <c r="T363" s="841"/>
      <c r="U363" s="161"/>
      <c r="V363" s="841"/>
      <c r="W363" s="841"/>
      <c r="X363" s="841"/>
      <c r="Y363" s="233"/>
      <c r="Z363" s="233"/>
      <c r="AA363" s="232"/>
      <c r="AD363" s="232"/>
      <c r="AE363" s="232"/>
      <c r="AG363" s="232"/>
      <c r="AH363" s="232"/>
      <c r="AI363" s="232"/>
    </row>
    <row r="364" spans="1:35" ht="27.6" x14ac:dyDescent="0.3">
      <c r="A364" s="46">
        <v>43</v>
      </c>
      <c r="B364" s="46" t="s">
        <v>129</v>
      </c>
      <c r="C364" s="46" t="s">
        <v>671</v>
      </c>
      <c r="D364" s="214" t="str">
        <f t="shared" si="74"/>
        <v>Do Not Print</v>
      </c>
      <c r="E364" s="214" t="s">
        <v>389</v>
      </c>
      <c r="F364" s="214" t="s">
        <v>403</v>
      </c>
      <c r="G364" s="214" t="s">
        <v>365</v>
      </c>
      <c r="H364" s="214" t="s">
        <v>365</v>
      </c>
      <c r="I364" s="230"/>
      <c r="J364" s="840">
        <v>0</v>
      </c>
      <c r="K364" s="840">
        <v>0</v>
      </c>
      <c r="L364" s="841">
        <f t="shared" si="68"/>
        <v>0</v>
      </c>
      <c r="M364" s="840">
        <v>0</v>
      </c>
      <c r="N364" s="840">
        <v>0</v>
      </c>
      <c r="O364" s="161">
        <f t="shared" si="69"/>
        <v>0</v>
      </c>
      <c r="P364" s="840">
        <v>0</v>
      </c>
      <c r="Q364" s="840">
        <v>0</v>
      </c>
      <c r="R364" s="841">
        <f t="shared" si="70"/>
        <v>0</v>
      </c>
      <c r="S364" s="840">
        <v>0</v>
      </c>
      <c r="T364" s="840">
        <v>0</v>
      </c>
      <c r="U364" s="161">
        <f t="shared" si="71"/>
        <v>0</v>
      </c>
      <c r="V364" s="840">
        <v>0</v>
      </c>
      <c r="W364" s="840">
        <v>0</v>
      </c>
      <c r="X364" s="841">
        <f>SUM(V364:W364)</f>
        <v>0</v>
      </c>
      <c r="Y364" s="231">
        <v>0</v>
      </c>
      <c r="Z364" s="231">
        <v>0</v>
      </c>
      <c r="AA364" s="232">
        <f>X364+SUM(Y364:Z364)</f>
        <v>0</v>
      </c>
      <c r="AB364" s="214" t="s">
        <v>365</v>
      </c>
      <c r="AD364" s="232">
        <f t="shared" si="72"/>
        <v>0</v>
      </c>
      <c r="AE364" s="232">
        <f t="shared" si="73"/>
        <v>0</v>
      </c>
      <c r="AF364" s="232">
        <f>ROUND(X364,0)</f>
        <v>0</v>
      </c>
      <c r="AG364" s="232">
        <f t="shared" si="65"/>
        <v>0</v>
      </c>
      <c r="AH364" s="232">
        <f t="shared" si="66"/>
        <v>0</v>
      </c>
      <c r="AI364" s="232">
        <f>ROUND(AA364,0)</f>
        <v>0</v>
      </c>
    </row>
    <row r="365" spans="1:35" ht="27.6" x14ac:dyDescent="0.3">
      <c r="A365" s="46">
        <v>43</v>
      </c>
      <c r="B365" s="46" t="s">
        <v>129</v>
      </c>
      <c r="C365" s="46" t="s">
        <v>671</v>
      </c>
      <c r="D365" s="214" t="str">
        <f t="shared" ref="D365:D395" si="75">IF(AND(O365=0,U365=0,V365=0),"Do Not Print","Print")</f>
        <v>Do Not Print</v>
      </c>
      <c r="E365" s="214" t="s">
        <v>389</v>
      </c>
      <c r="F365" s="214" t="s">
        <v>403</v>
      </c>
      <c r="G365" s="214" t="s">
        <v>396</v>
      </c>
      <c r="H365" s="214" t="s">
        <v>396</v>
      </c>
      <c r="I365" s="230"/>
      <c r="J365" s="840">
        <v>0</v>
      </c>
      <c r="K365" s="840">
        <v>0</v>
      </c>
      <c r="L365" s="841">
        <f t="shared" si="68"/>
        <v>0</v>
      </c>
      <c r="M365" s="840">
        <v>0</v>
      </c>
      <c r="N365" s="840">
        <v>0</v>
      </c>
      <c r="O365" s="161">
        <f t="shared" si="69"/>
        <v>0</v>
      </c>
      <c r="P365" s="840">
        <v>0</v>
      </c>
      <c r="Q365" s="840">
        <v>0</v>
      </c>
      <c r="R365" s="841">
        <f t="shared" si="70"/>
        <v>0</v>
      </c>
      <c r="S365" s="840">
        <v>0</v>
      </c>
      <c r="T365" s="840">
        <v>0</v>
      </c>
      <c r="U365" s="161">
        <f t="shared" si="71"/>
        <v>0</v>
      </c>
      <c r="V365" s="840">
        <v>0</v>
      </c>
      <c r="W365" s="840">
        <v>0</v>
      </c>
      <c r="X365" s="841">
        <f t="shared" ref="X365:X373" si="76">SUM(V365:W365)</f>
        <v>0</v>
      </c>
      <c r="Y365" s="231">
        <v>0</v>
      </c>
      <c r="Z365" s="231">
        <v>0</v>
      </c>
      <c r="AA365" s="232">
        <f t="shared" ref="AA365:AA373" si="77">X365+SUM(Y365:Z365)</f>
        <v>0</v>
      </c>
      <c r="AB365" s="214" t="s">
        <v>396</v>
      </c>
      <c r="AD365" s="232">
        <f t="shared" si="72"/>
        <v>0</v>
      </c>
      <c r="AE365" s="232">
        <f t="shared" si="73"/>
        <v>0</v>
      </c>
      <c r="AF365" s="232">
        <f t="shared" ref="AF365:AF373" si="78">ROUND(X365,0)</f>
        <v>0</v>
      </c>
      <c r="AG365" s="232">
        <f t="shared" si="65"/>
        <v>0</v>
      </c>
      <c r="AH365" s="232">
        <f t="shared" si="66"/>
        <v>0</v>
      </c>
      <c r="AI365" s="232">
        <f t="shared" si="67"/>
        <v>0</v>
      </c>
    </row>
    <row r="366" spans="1:35" ht="27.6" x14ac:dyDescent="0.3">
      <c r="A366" s="46">
        <v>43</v>
      </c>
      <c r="B366" s="46" t="s">
        <v>129</v>
      </c>
      <c r="C366" s="46" t="s">
        <v>671</v>
      </c>
      <c r="D366" s="214" t="str">
        <f t="shared" si="75"/>
        <v>Do Not Print</v>
      </c>
      <c r="E366" s="214" t="s">
        <v>389</v>
      </c>
      <c r="F366" s="214" t="s">
        <v>403</v>
      </c>
      <c r="G366" s="214" t="s">
        <v>367</v>
      </c>
      <c r="H366" s="214" t="s">
        <v>367</v>
      </c>
      <c r="I366" s="230"/>
      <c r="J366" s="840">
        <v>0</v>
      </c>
      <c r="K366" s="840">
        <v>0</v>
      </c>
      <c r="L366" s="841">
        <f t="shared" si="68"/>
        <v>0</v>
      </c>
      <c r="M366" s="840">
        <v>0</v>
      </c>
      <c r="N366" s="840">
        <v>0</v>
      </c>
      <c r="O366" s="161">
        <f t="shared" si="69"/>
        <v>0</v>
      </c>
      <c r="P366" s="840">
        <v>0</v>
      </c>
      <c r="Q366" s="840">
        <v>0</v>
      </c>
      <c r="R366" s="841">
        <f t="shared" si="70"/>
        <v>0</v>
      </c>
      <c r="S366" s="840">
        <v>0</v>
      </c>
      <c r="T366" s="840">
        <v>0</v>
      </c>
      <c r="U366" s="161">
        <f t="shared" si="71"/>
        <v>0</v>
      </c>
      <c r="V366" s="840">
        <v>0</v>
      </c>
      <c r="W366" s="840">
        <v>0</v>
      </c>
      <c r="X366" s="841">
        <f t="shared" si="76"/>
        <v>0</v>
      </c>
      <c r="Y366" s="231">
        <v>0</v>
      </c>
      <c r="Z366" s="231">
        <v>0</v>
      </c>
      <c r="AA366" s="232">
        <f t="shared" si="77"/>
        <v>0</v>
      </c>
      <c r="AB366" s="214" t="s">
        <v>367</v>
      </c>
      <c r="AD366" s="232">
        <f t="shared" si="72"/>
        <v>0</v>
      </c>
      <c r="AE366" s="232">
        <f t="shared" si="73"/>
        <v>0</v>
      </c>
      <c r="AF366" s="232">
        <f t="shared" si="78"/>
        <v>0</v>
      </c>
      <c r="AG366" s="232">
        <f t="shared" si="65"/>
        <v>0</v>
      </c>
      <c r="AH366" s="232">
        <f t="shared" si="66"/>
        <v>0</v>
      </c>
      <c r="AI366" s="232">
        <f t="shared" si="67"/>
        <v>0</v>
      </c>
    </row>
    <row r="367" spans="1:35" ht="27.6" x14ac:dyDescent="0.3">
      <c r="A367" s="46">
        <v>43</v>
      </c>
      <c r="B367" s="46" t="s">
        <v>129</v>
      </c>
      <c r="C367" s="46" t="s">
        <v>671</v>
      </c>
      <c r="D367" s="214" t="str">
        <f t="shared" si="75"/>
        <v>Do Not Print</v>
      </c>
      <c r="E367" s="214" t="s">
        <v>389</v>
      </c>
      <c r="F367" s="214" t="s">
        <v>403</v>
      </c>
      <c r="G367" s="214" t="s">
        <v>368</v>
      </c>
      <c r="H367" s="214" t="s">
        <v>368</v>
      </c>
      <c r="I367" s="230"/>
      <c r="J367" s="840">
        <v>0</v>
      </c>
      <c r="K367" s="840">
        <v>0</v>
      </c>
      <c r="L367" s="841">
        <f t="shared" si="68"/>
        <v>0</v>
      </c>
      <c r="M367" s="840">
        <v>0</v>
      </c>
      <c r="N367" s="840">
        <v>0</v>
      </c>
      <c r="O367" s="161">
        <f t="shared" si="69"/>
        <v>0</v>
      </c>
      <c r="P367" s="840">
        <v>0</v>
      </c>
      <c r="Q367" s="840">
        <v>0</v>
      </c>
      <c r="R367" s="841">
        <f t="shared" si="70"/>
        <v>0</v>
      </c>
      <c r="S367" s="840">
        <v>0</v>
      </c>
      <c r="T367" s="840">
        <v>0</v>
      </c>
      <c r="U367" s="161">
        <f t="shared" si="71"/>
        <v>0</v>
      </c>
      <c r="V367" s="840">
        <v>0</v>
      </c>
      <c r="W367" s="840">
        <v>0</v>
      </c>
      <c r="X367" s="841">
        <f t="shared" si="76"/>
        <v>0</v>
      </c>
      <c r="Y367" s="231">
        <v>0</v>
      </c>
      <c r="Z367" s="231">
        <v>0</v>
      </c>
      <c r="AA367" s="232">
        <f t="shared" si="77"/>
        <v>0</v>
      </c>
      <c r="AB367" s="214" t="s">
        <v>368</v>
      </c>
      <c r="AD367" s="232">
        <f t="shared" si="72"/>
        <v>0</v>
      </c>
      <c r="AE367" s="232">
        <f t="shared" si="73"/>
        <v>0</v>
      </c>
      <c r="AF367" s="232">
        <f t="shared" si="78"/>
        <v>0</v>
      </c>
      <c r="AG367" s="232">
        <f t="shared" si="65"/>
        <v>0</v>
      </c>
      <c r="AH367" s="232">
        <f t="shared" si="66"/>
        <v>0</v>
      </c>
      <c r="AI367" s="232">
        <f t="shared" si="67"/>
        <v>0</v>
      </c>
    </row>
    <row r="368" spans="1:35" ht="27.6" x14ac:dyDescent="0.3">
      <c r="A368" s="46">
        <v>43</v>
      </c>
      <c r="B368" s="46" t="s">
        <v>129</v>
      </c>
      <c r="C368" s="46" t="s">
        <v>671</v>
      </c>
      <c r="D368" s="214" t="str">
        <f t="shared" si="75"/>
        <v>Do Not Print</v>
      </c>
      <c r="E368" s="214" t="s">
        <v>389</v>
      </c>
      <c r="F368" s="214" t="s">
        <v>403</v>
      </c>
      <c r="G368" s="214" t="s">
        <v>397</v>
      </c>
      <c r="H368" s="214" t="s">
        <v>397</v>
      </c>
      <c r="I368" s="230"/>
      <c r="J368" s="840">
        <v>0</v>
      </c>
      <c r="K368" s="840">
        <v>0</v>
      </c>
      <c r="L368" s="841">
        <f t="shared" si="68"/>
        <v>0</v>
      </c>
      <c r="M368" s="840">
        <v>0</v>
      </c>
      <c r="N368" s="840">
        <v>0</v>
      </c>
      <c r="O368" s="161">
        <f t="shared" si="69"/>
        <v>0</v>
      </c>
      <c r="P368" s="840">
        <v>0</v>
      </c>
      <c r="Q368" s="840">
        <v>0</v>
      </c>
      <c r="R368" s="841">
        <f t="shared" si="70"/>
        <v>0</v>
      </c>
      <c r="S368" s="840">
        <v>0</v>
      </c>
      <c r="T368" s="840">
        <v>0</v>
      </c>
      <c r="U368" s="161">
        <f t="shared" si="71"/>
        <v>0</v>
      </c>
      <c r="V368" s="840">
        <v>0</v>
      </c>
      <c r="W368" s="840">
        <v>0</v>
      </c>
      <c r="X368" s="841">
        <f t="shared" si="76"/>
        <v>0</v>
      </c>
      <c r="Y368" s="231">
        <v>0</v>
      </c>
      <c r="Z368" s="231">
        <v>0</v>
      </c>
      <c r="AA368" s="232">
        <f t="shared" si="77"/>
        <v>0</v>
      </c>
      <c r="AB368" s="214" t="s">
        <v>397</v>
      </c>
      <c r="AD368" s="232">
        <f t="shared" si="72"/>
        <v>0</v>
      </c>
      <c r="AE368" s="232">
        <f t="shared" si="73"/>
        <v>0</v>
      </c>
      <c r="AF368" s="232">
        <f t="shared" si="78"/>
        <v>0</v>
      </c>
      <c r="AG368" s="232">
        <f t="shared" si="65"/>
        <v>0</v>
      </c>
      <c r="AH368" s="232">
        <f t="shared" si="66"/>
        <v>0</v>
      </c>
      <c r="AI368" s="232">
        <f t="shared" si="67"/>
        <v>0</v>
      </c>
    </row>
    <row r="369" spans="1:35" ht="27.6" x14ac:dyDescent="0.3">
      <c r="A369" s="46">
        <v>43</v>
      </c>
      <c r="B369" s="46" t="s">
        <v>129</v>
      </c>
      <c r="C369" s="46" t="s">
        <v>671</v>
      </c>
      <c r="D369" s="214" t="str">
        <f t="shared" si="75"/>
        <v>Do Not Print</v>
      </c>
      <c r="E369" s="214" t="s">
        <v>389</v>
      </c>
      <c r="F369" s="214" t="s">
        <v>403</v>
      </c>
      <c r="G369" s="214" t="s">
        <v>398</v>
      </c>
      <c r="H369" s="213" t="s">
        <v>398</v>
      </c>
      <c r="I369" s="230"/>
      <c r="J369" s="840">
        <v>0</v>
      </c>
      <c r="K369" s="840">
        <v>0</v>
      </c>
      <c r="L369" s="841">
        <f t="shared" si="68"/>
        <v>0</v>
      </c>
      <c r="M369" s="840">
        <v>0</v>
      </c>
      <c r="N369" s="840">
        <v>0</v>
      </c>
      <c r="O369" s="161">
        <f t="shared" si="69"/>
        <v>0</v>
      </c>
      <c r="P369" s="840">
        <v>0</v>
      </c>
      <c r="Q369" s="840">
        <v>0</v>
      </c>
      <c r="R369" s="841">
        <f t="shared" si="70"/>
        <v>0</v>
      </c>
      <c r="S369" s="840">
        <v>0</v>
      </c>
      <c r="T369" s="840">
        <v>0</v>
      </c>
      <c r="U369" s="161">
        <f t="shared" si="71"/>
        <v>0</v>
      </c>
      <c r="V369" s="840">
        <v>0</v>
      </c>
      <c r="W369" s="840">
        <v>0</v>
      </c>
      <c r="X369" s="841">
        <f t="shared" si="76"/>
        <v>0</v>
      </c>
      <c r="Y369" s="231">
        <v>0</v>
      </c>
      <c r="Z369" s="231">
        <v>0</v>
      </c>
      <c r="AA369" s="232">
        <f t="shared" si="77"/>
        <v>0</v>
      </c>
      <c r="AB369" s="213" t="s">
        <v>398</v>
      </c>
      <c r="AD369" s="232">
        <f t="shared" si="72"/>
        <v>0</v>
      </c>
      <c r="AE369" s="232">
        <f t="shared" si="73"/>
        <v>0</v>
      </c>
      <c r="AF369" s="232">
        <f t="shared" si="78"/>
        <v>0</v>
      </c>
      <c r="AG369" s="232">
        <f t="shared" si="65"/>
        <v>0</v>
      </c>
      <c r="AH369" s="232">
        <f t="shared" si="66"/>
        <v>0</v>
      </c>
      <c r="AI369" s="232">
        <f t="shared" si="67"/>
        <v>0</v>
      </c>
    </row>
    <row r="370" spans="1:35" ht="27.6" x14ac:dyDescent="0.3">
      <c r="A370" s="46">
        <v>43</v>
      </c>
      <c r="B370" s="46" t="s">
        <v>129</v>
      </c>
      <c r="C370" s="46" t="s">
        <v>671</v>
      </c>
      <c r="D370" s="214" t="str">
        <f t="shared" si="75"/>
        <v>Do Not Print</v>
      </c>
      <c r="E370" s="214" t="s">
        <v>389</v>
      </c>
      <c r="F370" s="214" t="s">
        <v>403</v>
      </c>
      <c r="G370" s="214" t="s">
        <v>399</v>
      </c>
      <c r="H370" s="213" t="s">
        <v>399</v>
      </c>
      <c r="I370" s="230"/>
      <c r="J370" s="840">
        <v>0</v>
      </c>
      <c r="K370" s="840">
        <v>0</v>
      </c>
      <c r="L370" s="841">
        <f t="shared" si="68"/>
        <v>0</v>
      </c>
      <c r="M370" s="840">
        <v>0</v>
      </c>
      <c r="N370" s="840">
        <v>0</v>
      </c>
      <c r="O370" s="161">
        <f t="shared" si="69"/>
        <v>0</v>
      </c>
      <c r="P370" s="840">
        <v>0</v>
      </c>
      <c r="Q370" s="840">
        <v>0</v>
      </c>
      <c r="R370" s="841">
        <f t="shared" si="70"/>
        <v>0</v>
      </c>
      <c r="S370" s="840">
        <v>0</v>
      </c>
      <c r="T370" s="840">
        <v>0</v>
      </c>
      <c r="U370" s="161">
        <f t="shared" si="71"/>
        <v>0</v>
      </c>
      <c r="V370" s="840">
        <v>0</v>
      </c>
      <c r="W370" s="840">
        <v>0</v>
      </c>
      <c r="X370" s="841">
        <f t="shared" si="76"/>
        <v>0</v>
      </c>
      <c r="Y370" s="231">
        <v>0</v>
      </c>
      <c r="Z370" s="231">
        <v>0</v>
      </c>
      <c r="AA370" s="232">
        <f t="shared" si="77"/>
        <v>0</v>
      </c>
      <c r="AB370" s="213" t="s">
        <v>399</v>
      </c>
      <c r="AD370" s="232">
        <f t="shared" si="72"/>
        <v>0</v>
      </c>
      <c r="AE370" s="232">
        <f t="shared" si="73"/>
        <v>0</v>
      </c>
      <c r="AF370" s="232">
        <f t="shared" si="78"/>
        <v>0</v>
      </c>
      <c r="AG370" s="232">
        <f t="shared" si="65"/>
        <v>0</v>
      </c>
      <c r="AH370" s="232">
        <f t="shared" si="66"/>
        <v>0</v>
      </c>
      <c r="AI370" s="232">
        <f t="shared" si="67"/>
        <v>0</v>
      </c>
    </row>
    <row r="371" spans="1:35" ht="27.6" x14ac:dyDescent="0.3">
      <c r="A371" s="46">
        <v>43</v>
      </c>
      <c r="B371" s="46" t="s">
        <v>129</v>
      </c>
      <c r="C371" s="46" t="s">
        <v>671</v>
      </c>
      <c r="D371" s="214" t="str">
        <f t="shared" si="75"/>
        <v>Do Not Print</v>
      </c>
      <c r="E371" s="214" t="s">
        <v>389</v>
      </c>
      <c r="F371" s="214" t="s">
        <v>403</v>
      </c>
      <c r="G371" s="214" t="s">
        <v>400</v>
      </c>
      <c r="H371" s="213" t="s">
        <v>400</v>
      </c>
      <c r="I371" s="230"/>
      <c r="J371" s="840">
        <v>0</v>
      </c>
      <c r="K371" s="840">
        <v>0</v>
      </c>
      <c r="L371" s="841">
        <f t="shared" si="68"/>
        <v>0</v>
      </c>
      <c r="M371" s="840">
        <v>0</v>
      </c>
      <c r="N371" s="840">
        <v>0</v>
      </c>
      <c r="O371" s="161">
        <f t="shared" si="69"/>
        <v>0</v>
      </c>
      <c r="P371" s="840">
        <v>0</v>
      </c>
      <c r="Q371" s="840">
        <v>0</v>
      </c>
      <c r="R371" s="841">
        <f t="shared" si="70"/>
        <v>0</v>
      </c>
      <c r="S371" s="840">
        <v>0</v>
      </c>
      <c r="T371" s="840">
        <v>0</v>
      </c>
      <c r="U371" s="161">
        <f t="shared" si="71"/>
        <v>0</v>
      </c>
      <c r="V371" s="840">
        <v>0</v>
      </c>
      <c r="W371" s="840">
        <v>0</v>
      </c>
      <c r="X371" s="841">
        <f t="shared" si="76"/>
        <v>0</v>
      </c>
      <c r="Y371" s="231">
        <v>0</v>
      </c>
      <c r="Z371" s="231">
        <v>0</v>
      </c>
      <c r="AA371" s="232">
        <f t="shared" si="77"/>
        <v>0</v>
      </c>
      <c r="AB371" s="213" t="s">
        <v>400</v>
      </c>
      <c r="AD371" s="232">
        <f t="shared" si="72"/>
        <v>0</v>
      </c>
      <c r="AE371" s="232">
        <f t="shared" si="73"/>
        <v>0</v>
      </c>
      <c r="AF371" s="232">
        <f t="shared" si="78"/>
        <v>0</v>
      </c>
      <c r="AG371" s="232">
        <f t="shared" si="65"/>
        <v>0</v>
      </c>
      <c r="AH371" s="232">
        <f t="shared" si="66"/>
        <v>0</v>
      </c>
      <c r="AI371" s="232">
        <f t="shared" si="67"/>
        <v>0</v>
      </c>
    </row>
    <row r="372" spans="1:35" ht="27.6" x14ac:dyDescent="0.3">
      <c r="A372" s="46">
        <v>43</v>
      </c>
      <c r="B372" s="46" t="s">
        <v>129</v>
      </c>
      <c r="C372" s="46" t="s">
        <v>671</v>
      </c>
      <c r="D372" s="214" t="str">
        <f t="shared" si="75"/>
        <v>Do Not Print</v>
      </c>
      <c r="E372" s="214" t="s">
        <v>389</v>
      </c>
      <c r="F372" s="214" t="s">
        <v>403</v>
      </c>
      <c r="G372" s="214" t="s">
        <v>401</v>
      </c>
      <c r="H372" s="213" t="s">
        <v>401</v>
      </c>
      <c r="I372" s="230"/>
      <c r="J372" s="840">
        <v>0</v>
      </c>
      <c r="K372" s="840">
        <v>0</v>
      </c>
      <c r="L372" s="841">
        <f t="shared" si="68"/>
        <v>0</v>
      </c>
      <c r="M372" s="840">
        <v>0</v>
      </c>
      <c r="N372" s="840">
        <v>0</v>
      </c>
      <c r="O372" s="161">
        <f t="shared" si="69"/>
        <v>0</v>
      </c>
      <c r="P372" s="840">
        <v>0</v>
      </c>
      <c r="Q372" s="840">
        <v>0</v>
      </c>
      <c r="R372" s="841">
        <f t="shared" si="70"/>
        <v>0</v>
      </c>
      <c r="S372" s="840">
        <v>0</v>
      </c>
      <c r="T372" s="840">
        <v>0</v>
      </c>
      <c r="U372" s="161">
        <f t="shared" si="71"/>
        <v>0</v>
      </c>
      <c r="V372" s="840">
        <v>0</v>
      </c>
      <c r="W372" s="840">
        <v>0</v>
      </c>
      <c r="X372" s="841">
        <f t="shared" si="76"/>
        <v>0</v>
      </c>
      <c r="Y372" s="231">
        <v>0</v>
      </c>
      <c r="Z372" s="231">
        <v>0</v>
      </c>
      <c r="AA372" s="232">
        <f t="shared" si="77"/>
        <v>0</v>
      </c>
      <c r="AB372" s="213" t="s">
        <v>401</v>
      </c>
      <c r="AD372" s="232">
        <f t="shared" si="72"/>
        <v>0</v>
      </c>
      <c r="AE372" s="232">
        <f t="shared" si="73"/>
        <v>0</v>
      </c>
      <c r="AF372" s="232">
        <f t="shared" si="78"/>
        <v>0</v>
      </c>
      <c r="AG372" s="232">
        <f t="shared" si="65"/>
        <v>0</v>
      </c>
      <c r="AH372" s="232">
        <f t="shared" si="66"/>
        <v>0</v>
      </c>
      <c r="AI372" s="232">
        <f t="shared" si="67"/>
        <v>0</v>
      </c>
    </row>
    <row r="373" spans="1:35" ht="27.6" x14ac:dyDescent="0.3">
      <c r="A373" s="46">
        <v>43</v>
      </c>
      <c r="B373" s="46" t="s">
        <v>129</v>
      </c>
      <c r="C373" s="46" t="s">
        <v>671</v>
      </c>
      <c r="D373" s="214" t="str">
        <f t="shared" si="75"/>
        <v>Do Not Print</v>
      </c>
      <c r="E373" s="214" t="s">
        <v>389</v>
      </c>
      <c r="F373" s="214" t="s">
        <v>403</v>
      </c>
      <c r="G373" s="214" t="s">
        <v>379</v>
      </c>
      <c r="H373" s="214" t="s">
        <v>379</v>
      </c>
      <c r="I373" s="230"/>
      <c r="J373" s="840">
        <v>0</v>
      </c>
      <c r="K373" s="840">
        <v>0</v>
      </c>
      <c r="L373" s="841">
        <f t="shared" si="68"/>
        <v>0</v>
      </c>
      <c r="M373" s="840">
        <v>0</v>
      </c>
      <c r="N373" s="840">
        <v>0</v>
      </c>
      <c r="O373" s="161">
        <f t="shared" si="69"/>
        <v>0</v>
      </c>
      <c r="P373" s="840">
        <v>0</v>
      </c>
      <c r="Q373" s="840">
        <v>0</v>
      </c>
      <c r="R373" s="841">
        <f t="shared" si="70"/>
        <v>0</v>
      </c>
      <c r="S373" s="840">
        <v>0</v>
      </c>
      <c r="T373" s="840">
        <v>0</v>
      </c>
      <c r="U373" s="161">
        <f t="shared" si="71"/>
        <v>0</v>
      </c>
      <c r="V373" s="840">
        <v>0</v>
      </c>
      <c r="W373" s="840">
        <v>0</v>
      </c>
      <c r="X373" s="841">
        <f t="shared" si="76"/>
        <v>0</v>
      </c>
      <c r="Y373" s="231">
        <v>0</v>
      </c>
      <c r="Z373" s="231">
        <v>0</v>
      </c>
      <c r="AA373" s="232">
        <f t="shared" si="77"/>
        <v>0</v>
      </c>
      <c r="AB373" s="214" t="s">
        <v>379</v>
      </c>
      <c r="AD373" s="232">
        <f t="shared" si="72"/>
        <v>0</v>
      </c>
      <c r="AE373" s="232">
        <f t="shared" si="73"/>
        <v>0</v>
      </c>
      <c r="AF373" s="232">
        <f t="shared" si="78"/>
        <v>0</v>
      </c>
      <c r="AG373" s="232">
        <f t="shared" si="65"/>
        <v>0</v>
      </c>
      <c r="AH373" s="232">
        <f t="shared" si="66"/>
        <v>0</v>
      </c>
      <c r="AI373" s="232">
        <f t="shared" si="67"/>
        <v>0</v>
      </c>
    </row>
    <row r="374" spans="1:35" ht="27.6" x14ac:dyDescent="0.3">
      <c r="A374" s="46">
        <v>43</v>
      </c>
      <c r="B374" s="46" t="s">
        <v>129</v>
      </c>
      <c r="C374" s="46" t="s">
        <v>671</v>
      </c>
      <c r="D374" s="214" t="str">
        <f t="shared" si="75"/>
        <v>Do Not Print</v>
      </c>
      <c r="E374" s="214" t="s">
        <v>389</v>
      </c>
      <c r="F374" s="214" t="s">
        <v>403</v>
      </c>
      <c r="G374" s="214" t="s">
        <v>2751</v>
      </c>
      <c r="H374" s="214" t="s">
        <v>2751</v>
      </c>
      <c r="I374" s="230"/>
      <c r="J374" s="840"/>
      <c r="K374" s="840"/>
      <c r="L374" s="841"/>
      <c r="M374" s="840"/>
      <c r="N374" s="840"/>
      <c r="O374" s="161"/>
      <c r="P374" s="840"/>
      <c r="Q374" s="840"/>
      <c r="R374" s="841"/>
      <c r="S374" s="840"/>
      <c r="T374" s="840"/>
      <c r="U374" s="161"/>
      <c r="V374" s="840"/>
      <c r="W374" s="840"/>
      <c r="X374" s="841"/>
      <c r="Y374" s="231"/>
      <c r="Z374" s="231"/>
      <c r="AA374" s="232"/>
      <c r="AD374" s="232"/>
      <c r="AE374" s="232"/>
      <c r="AF374" s="232"/>
      <c r="AG374" s="232"/>
      <c r="AH374" s="232"/>
      <c r="AI374" s="232"/>
    </row>
    <row r="375" spans="1:35" ht="27.6" x14ac:dyDescent="0.3">
      <c r="B375" s="46" t="s">
        <v>2756</v>
      </c>
      <c r="C375" s="46" t="s">
        <v>671</v>
      </c>
      <c r="D375" s="214" t="str">
        <f t="shared" si="75"/>
        <v>Do Not Print</v>
      </c>
      <c r="E375" s="214" t="s">
        <v>389</v>
      </c>
      <c r="F375" s="214" t="s">
        <v>389</v>
      </c>
      <c r="G375" s="214" t="s">
        <v>2364</v>
      </c>
      <c r="H375" s="214" t="s">
        <v>2364</v>
      </c>
      <c r="I375" s="230"/>
      <c r="J375" s="840"/>
      <c r="K375" s="840"/>
      <c r="L375" s="841"/>
      <c r="M375" s="840"/>
      <c r="N375" s="840"/>
      <c r="O375" s="161"/>
      <c r="P375" s="840"/>
      <c r="Q375" s="840"/>
      <c r="R375" s="841"/>
      <c r="S375" s="840"/>
      <c r="T375" s="840"/>
      <c r="U375" s="161"/>
      <c r="V375" s="840"/>
      <c r="W375" s="840"/>
      <c r="X375" s="841"/>
      <c r="Y375" s="231"/>
      <c r="Z375" s="231"/>
      <c r="AA375" s="232"/>
      <c r="AD375" s="232"/>
      <c r="AE375" s="232"/>
      <c r="AF375" s="232"/>
      <c r="AG375" s="232"/>
      <c r="AH375" s="232"/>
      <c r="AI375" s="232"/>
    </row>
    <row r="376" spans="1:35" ht="27.6" x14ac:dyDescent="0.3">
      <c r="A376" s="46">
        <v>44</v>
      </c>
      <c r="B376" s="46" t="s">
        <v>93</v>
      </c>
      <c r="C376" s="46" t="s">
        <v>671</v>
      </c>
      <c r="D376" s="214" t="str">
        <f t="shared" si="75"/>
        <v>Do Not Print</v>
      </c>
      <c r="E376" s="214" t="s">
        <v>389</v>
      </c>
      <c r="F376" s="214" t="s">
        <v>582</v>
      </c>
      <c r="G376" s="214" t="str">
        <f>G343</f>
        <v>Outstanding legal cases</v>
      </c>
      <c r="H376" s="214" t="s">
        <v>402</v>
      </c>
      <c r="I376" s="230"/>
      <c r="J376" s="839">
        <f>P376+P377-P378-P379+P380+SUM(Q376:Q380)</f>
        <v>0</v>
      </c>
      <c r="K376" s="840">
        <v>0</v>
      </c>
      <c r="L376" s="841">
        <f t="shared" si="68"/>
        <v>0</v>
      </c>
      <c r="M376" s="839">
        <f>S376+S377-S378-S379+S380+SUM(T376:T380)</f>
        <v>0</v>
      </c>
      <c r="N376" s="840">
        <v>0</v>
      </c>
      <c r="O376" s="161">
        <f t="shared" si="69"/>
        <v>0</v>
      </c>
      <c r="P376" s="840">
        <v>0</v>
      </c>
      <c r="Q376" s="840">
        <v>0</v>
      </c>
      <c r="R376" s="841">
        <f t="shared" si="70"/>
        <v>0</v>
      </c>
      <c r="S376" s="840">
        <v>0</v>
      </c>
      <c r="T376" s="840">
        <v>0</v>
      </c>
      <c r="U376" s="161">
        <f t="shared" si="71"/>
        <v>0</v>
      </c>
      <c r="V376" s="841"/>
      <c r="W376" s="841"/>
      <c r="X376" s="841"/>
      <c r="Y376" s="233"/>
      <c r="Z376" s="233"/>
      <c r="AA376" s="233"/>
      <c r="AB376" s="214" t="s">
        <v>402</v>
      </c>
      <c r="AD376" s="232">
        <f t="shared" si="72"/>
        <v>0</v>
      </c>
      <c r="AE376" s="232">
        <f t="shared" si="73"/>
        <v>0</v>
      </c>
      <c r="AG376" s="232">
        <f t="shared" ref="AG376:AG407" si="79">ROUND(O376,0)</f>
        <v>0</v>
      </c>
      <c r="AH376" s="232">
        <f t="shared" ref="AH376:AH416" si="80">ROUND(U376,0)</f>
        <v>0</v>
      </c>
      <c r="AI376" s="232"/>
    </row>
    <row r="377" spans="1:35" ht="27.6" x14ac:dyDescent="0.3">
      <c r="A377" s="46">
        <v>44</v>
      </c>
      <c r="B377" s="46" t="s">
        <v>93</v>
      </c>
      <c r="C377" s="46" t="s">
        <v>671</v>
      </c>
      <c r="D377" s="214" t="str">
        <f t="shared" si="75"/>
        <v>Do Not Print</v>
      </c>
      <c r="E377" s="214" t="s">
        <v>389</v>
      </c>
      <c r="F377" s="214" t="s">
        <v>582</v>
      </c>
      <c r="G377" s="214" t="str">
        <f>G376</f>
        <v>Outstanding legal cases</v>
      </c>
      <c r="H377" s="213" t="s">
        <v>652</v>
      </c>
      <c r="I377" s="230"/>
      <c r="J377" s="840">
        <v>0</v>
      </c>
      <c r="K377" s="840">
        <v>0</v>
      </c>
      <c r="L377" s="841">
        <f t="shared" si="68"/>
        <v>0</v>
      </c>
      <c r="M377" s="840">
        <v>0</v>
      </c>
      <c r="N377" s="840">
        <v>0</v>
      </c>
      <c r="O377" s="161">
        <f t="shared" si="69"/>
        <v>0</v>
      </c>
      <c r="P377" s="840">
        <v>0</v>
      </c>
      <c r="Q377" s="840">
        <v>0</v>
      </c>
      <c r="R377" s="841">
        <f t="shared" si="70"/>
        <v>0</v>
      </c>
      <c r="S377" s="840">
        <v>0</v>
      </c>
      <c r="T377" s="840">
        <v>0</v>
      </c>
      <c r="U377" s="161">
        <f t="shared" si="71"/>
        <v>0</v>
      </c>
      <c r="V377" s="841"/>
      <c r="W377" s="841"/>
      <c r="X377" s="841"/>
      <c r="Y377" s="233"/>
      <c r="Z377" s="233"/>
      <c r="AA377" s="233"/>
      <c r="AB377" s="213" t="s">
        <v>652</v>
      </c>
      <c r="AD377" s="232">
        <f t="shared" si="72"/>
        <v>0</v>
      </c>
      <c r="AE377" s="232">
        <f t="shared" si="73"/>
        <v>0</v>
      </c>
      <c r="AG377" s="232">
        <f t="shared" si="79"/>
        <v>0</v>
      </c>
      <c r="AH377" s="232">
        <f t="shared" si="80"/>
        <v>0</v>
      </c>
      <c r="AI377" s="232"/>
    </row>
    <row r="378" spans="1:35" ht="27.6" x14ac:dyDescent="0.3">
      <c r="A378" s="46">
        <v>44</v>
      </c>
      <c r="B378" s="46" t="s">
        <v>93</v>
      </c>
      <c r="C378" s="46" t="s">
        <v>671</v>
      </c>
      <c r="D378" s="214" t="str">
        <f t="shared" si="75"/>
        <v>Do Not Print</v>
      </c>
      <c r="E378" s="214" t="s">
        <v>389</v>
      </c>
      <c r="F378" s="214" t="s">
        <v>582</v>
      </c>
      <c r="G378" s="214" t="str">
        <f>G376</f>
        <v>Outstanding legal cases</v>
      </c>
      <c r="H378" s="213" t="s">
        <v>1115</v>
      </c>
      <c r="I378" s="230"/>
      <c r="J378" s="840">
        <v>0</v>
      </c>
      <c r="K378" s="840">
        <v>0</v>
      </c>
      <c r="L378" s="841">
        <f t="shared" si="68"/>
        <v>0</v>
      </c>
      <c r="M378" s="840">
        <v>0</v>
      </c>
      <c r="N378" s="840">
        <v>0</v>
      </c>
      <c r="O378" s="161">
        <f t="shared" si="69"/>
        <v>0</v>
      </c>
      <c r="P378" s="840">
        <v>0</v>
      </c>
      <c r="Q378" s="840">
        <v>0</v>
      </c>
      <c r="R378" s="841">
        <f t="shared" si="70"/>
        <v>0</v>
      </c>
      <c r="S378" s="840">
        <v>0</v>
      </c>
      <c r="T378" s="840">
        <v>0</v>
      </c>
      <c r="U378" s="161">
        <f t="shared" si="71"/>
        <v>0</v>
      </c>
      <c r="V378" s="841"/>
      <c r="W378" s="841"/>
      <c r="X378" s="841"/>
      <c r="Y378" s="233"/>
      <c r="Z378" s="233"/>
      <c r="AA378" s="233"/>
      <c r="AB378" s="213" t="s">
        <v>1115</v>
      </c>
      <c r="AD378" s="232">
        <f t="shared" si="72"/>
        <v>0</v>
      </c>
      <c r="AE378" s="232">
        <f t="shared" si="73"/>
        <v>0</v>
      </c>
      <c r="AG378" s="232">
        <f t="shared" si="79"/>
        <v>0</v>
      </c>
      <c r="AH378" s="232">
        <f t="shared" si="80"/>
        <v>0</v>
      </c>
      <c r="AI378" s="232"/>
    </row>
    <row r="379" spans="1:35" ht="27.6" x14ac:dyDescent="0.3">
      <c r="A379" s="46">
        <v>44</v>
      </c>
      <c r="B379" s="46" t="s">
        <v>93</v>
      </c>
      <c r="C379" s="46" t="s">
        <v>671</v>
      </c>
      <c r="D379" s="214" t="str">
        <f t="shared" si="75"/>
        <v>Do Not Print</v>
      </c>
      <c r="E379" s="214" t="s">
        <v>389</v>
      </c>
      <c r="F379" s="214" t="s">
        <v>582</v>
      </c>
      <c r="G379" s="214" t="str">
        <f>G376</f>
        <v>Outstanding legal cases</v>
      </c>
      <c r="H379" s="213" t="s">
        <v>654</v>
      </c>
      <c r="I379" s="230"/>
      <c r="J379" s="840">
        <v>0</v>
      </c>
      <c r="K379" s="840">
        <v>0</v>
      </c>
      <c r="L379" s="841">
        <f t="shared" si="68"/>
        <v>0</v>
      </c>
      <c r="M379" s="840">
        <v>0</v>
      </c>
      <c r="N379" s="840">
        <v>0</v>
      </c>
      <c r="O379" s="161">
        <f t="shared" si="69"/>
        <v>0</v>
      </c>
      <c r="P379" s="840">
        <v>0</v>
      </c>
      <c r="Q379" s="840">
        <v>0</v>
      </c>
      <c r="R379" s="841">
        <f t="shared" si="70"/>
        <v>0</v>
      </c>
      <c r="S379" s="840">
        <v>0</v>
      </c>
      <c r="T379" s="840">
        <v>0</v>
      </c>
      <c r="U379" s="161">
        <f t="shared" si="71"/>
        <v>0</v>
      </c>
      <c r="V379" s="841"/>
      <c r="W379" s="841"/>
      <c r="X379" s="841"/>
      <c r="Y379" s="233"/>
      <c r="Z379" s="233"/>
      <c r="AA379" s="233"/>
      <c r="AB379" s="213" t="s">
        <v>654</v>
      </c>
      <c r="AD379" s="232">
        <f t="shared" si="72"/>
        <v>0</v>
      </c>
      <c r="AE379" s="232">
        <f t="shared" si="73"/>
        <v>0</v>
      </c>
      <c r="AG379" s="232">
        <f t="shared" si="79"/>
        <v>0</v>
      </c>
      <c r="AH379" s="232">
        <f t="shared" si="80"/>
        <v>0</v>
      </c>
      <c r="AI379" s="232"/>
    </row>
    <row r="380" spans="1:35" ht="27.6" x14ac:dyDescent="0.3">
      <c r="A380" s="46">
        <v>44</v>
      </c>
      <c r="B380" s="46" t="s">
        <v>93</v>
      </c>
      <c r="C380" s="46" t="s">
        <v>671</v>
      </c>
      <c r="D380" s="214" t="str">
        <f t="shared" si="75"/>
        <v>Do Not Print</v>
      </c>
      <c r="E380" s="214" t="s">
        <v>389</v>
      </c>
      <c r="F380" s="214" t="s">
        <v>582</v>
      </c>
      <c r="G380" s="214" t="str">
        <f>G376</f>
        <v>Outstanding legal cases</v>
      </c>
      <c r="H380" s="214" t="s">
        <v>655</v>
      </c>
      <c r="I380" s="230"/>
      <c r="J380" s="840">
        <v>0</v>
      </c>
      <c r="K380" s="840">
        <v>0</v>
      </c>
      <c r="L380" s="841">
        <f t="shared" si="68"/>
        <v>0</v>
      </c>
      <c r="M380" s="841">
        <v>0</v>
      </c>
      <c r="N380" s="841">
        <v>0</v>
      </c>
      <c r="O380" s="161">
        <f t="shared" si="69"/>
        <v>0</v>
      </c>
      <c r="P380" s="840">
        <v>0</v>
      </c>
      <c r="Q380" s="840">
        <v>0</v>
      </c>
      <c r="R380" s="841">
        <f t="shared" si="70"/>
        <v>0</v>
      </c>
      <c r="S380" s="840">
        <v>0</v>
      </c>
      <c r="T380" s="840">
        <v>0</v>
      </c>
      <c r="U380" s="161">
        <f t="shared" si="71"/>
        <v>0</v>
      </c>
      <c r="V380" s="841"/>
      <c r="W380" s="841"/>
      <c r="X380" s="841"/>
      <c r="Y380" s="233"/>
      <c r="Z380" s="233"/>
      <c r="AA380" s="233"/>
      <c r="AB380" s="214" t="s">
        <v>655</v>
      </c>
      <c r="AD380" s="232">
        <f t="shared" si="72"/>
        <v>0</v>
      </c>
      <c r="AE380" s="232">
        <f t="shared" si="73"/>
        <v>0</v>
      </c>
      <c r="AG380" s="232">
        <f t="shared" si="79"/>
        <v>0</v>
      </c>
      <c r="AH380" s="232">
        <f t="shared" si="80"/>
        <v>0</v>
      </c>
      <c r="AI380" s="232"/>
    </row>
    <row r="381" spans="1:35" ht="27.6" x14ac:dyDescent="0.3">
      <c r="A381" s="46">
        <v>44</v>
      </c>
      <c r="B381" s="46" t="s">
        <v>831</v>
      </c>
      <c r="C381" s="46" t="s">
        <v>671</v>
      </c>
      <c r="D381" s="214" t="str">
        <f t="shared" si="75"/>
        <v>Do Not Print</v>
      </c>
      <c r="E381" s="214" t="s">
        <v>389</v>
      </c>
      <c r="F381" s="214" t="s">
        <v>582</v>
      </c>
      <c r="G381" s="214" t="str">
        <f>G348</f>
        <v>Injury and Damage Compensation claims</v>
      </c>
      <c r="H381" s="214" t="s">
        <v>402</v>
      </c>
      <c r="I381" s="230"/>
      <c r="J381" s="839">
        <f>P381+P382-P383-P384+P385+SUM(Q381:Q385)</f>
        <v>0</v>
      </c>
      <c r="K381" s="840">
        <v>0</v>
      </c>
      <c r="L381" s="841">
        <f t="shared" si="68"/>
        <v>0</v>
      </c>
      <c r="M381" s="839">
        <f>S381+S382-S383-S384+S385+SUM(T381:T385)</f>
        <v>0</v>
      </c>
      <c r="N381" s="840">
        <v>0</v>
      </c>
      <c r="O381" s="161">
        <f t="shared" si="69"/>
        <v>0</v>
      </c>
      <c r="P381" s="843">
        <v>0</v>
      </c>
      <c r="Q381" s="840">
        <v>0</v>
      </c>
      <c r="R381" s="841">
        <f t="shared" si="70"/>
        <v>0</v>
      </c>
      <c r="S381" s="840">
        <v>0</v>
      </c>
      <c r="T381" s="840">
        <v>0</v>
      </c>
      <c r="U381" s="161">
        <f t="shared" si="71"/>
        <v>0</v>
      </c>
      <c r="V381" s="841"/>
      <c r="W381" s="841"/>
      <c r="X381" s="841"/>
      <c r="Y381" s="233"/>
      <c r="Z381" s="233"/>
      <c r="AA381" s="233"/>
      <c r="AB381" s="214" t="s">
        <v>402</v>
      </c>
      <c r="AD381" s="232">
        <f t="shared" si="72"/>
        <v>0</v>
      </c>
      <c r="AE381" s="232">
        <f t="shared" si="73"/>
        <v>0</v>
      </c>
      <c r="AG381" s="232">
        <f t="shared" si="79"/>
        <v>0</v>
      </c>
      <c r="AH381" s="232">
        <f t="shared" si="80"/>
        <v>0</v>
      </c>
      <c r="AI381" s="232"/>
    </row>
    <row r="382" spans="1:35" ht="27.6" x14ac:dyDescent="0.3">
      <c r="A382" s="46">
        <v>44</v>
      </c>
      <c r="B382" s="46" t="s">
        <v>831</v>
      </c>
      <c r="C382" s="46" t="s">
        <v>671</v>
      </c>
      <c r="D382" s="214" t="str">
        <f t="shared" si="75"/>
        <v>Do Not Print</v>
      </c>
      <c r="E382" s="214" t="s">
        <v>389</v>
      </c>
      <c r="F382" s="214" t="s">
        <v>582</v>
      </c>
      <c r="G382" s="214" t="str">
        <f>G381</f>
        <v>Injury and Damage Compensation claims</v>
      </c>
      <c r="H382" s="213" t="s">
        <v>652</v>
      </c>
      <c r="I382" s="230"/>
      <c r="J382" s="840">
        <v>0</v>
      </c>
      <c r="K382" s="840">
        <v>0</v>
      </c>
      <c r="L382" s="841">
        <f t="shared" si="68"/>
        <v>0</v>
      </c>
      <c r="M382" s="840">
        <v>0</v>
      </c>
      <c r="N382" s="840">
        <v>0</v>
      </c>
      <c r="O382" s="161">
        <f t="shared" si="69"/>
        <v>0</v>
      </c>
      <c r="P382" s="840">
        <v>0</v>
      </c>
      <c r="Q382" s="840">
        <v>0</v>
      </c>
      <c r="R382" s="841">
        <f t="shared" si="70"/>
        <v>0</v>
      </c>
      <c r="S382" s="840">
        <v>0</v>
      </c>
      <c r="T382" s="840">
        <v>0</v>
      </c>
      <c r="U382" s="161">
        <f t="shared" si="71"/>
        <v>0</v>
      </c>
      <c r="V382" s="841"/>
      <c r="W382" s="841"/>
      <c r="X382" s="841"/>
      <c r="Y382" s="233"/>
      <c r="Z382" s="233"/>
      <c r="AA382" s="233"/>
      <c r="AB382" s="213" t="s">
        <v>652</v>
      </c>
      <c r="AD382" s="232">
        <f t="shared" si="72"/>
        <v>0</v>
      </c>
      <c r="AE382" s="232">
        <f t="shared" si="73"/>
        <v>0</v>
      </c>
      <c r="AG382" s="232">
        <f t="shared" si="79"/>
        <v>0</v>
      </c>
      <c r="AH382" s="232">
        <f t="shared" si="80"/>
        <v>0</v>
      </c>
      <c r="AI382" s="232"/>
    </row>
    <row r="383" spans="1:35" ht="27.6" x14ac:dyDescent="0.3">
      <c r="A383" s="46">
        <v>44</v>
      </c>
      <c r="B383" s="46" t="s">
        <v>831</v>
      </c>
      <c r="C383" s="46" t="s">
        <v>671</v>
      </c>
      <c r="D383" s="214" t="str">
        <f t="shared" si="75"/>
        <v>Do Not Print</v>
      </c>
      <c r="E383" s="214" t="s">
        <v>389</v>
      </c>
      <c r="F383" s="214" t="s">
        <v>582</v>
      </c>
      <c r="G383" s="214" t="str">
        <f>G381</f>
        <v>Injury and Damage Compensation claims</v>
      </c>
      <c r="H383" s="213" t="s">
        <v>1115</v>
      </c>
      <c r="I383" s="230"/>
      <c r="J383" s="840">
        <v>0</v>
      </c>
      <c r="K383" s="840">
        <v>0</v>
      </c>
      <c r="L383" s="841">
        <f t="shared" si="68"/>
        <v>0</v>
      </c>
      <c r="M383" s="840">
        <v>0</v>
      </c>
      <c r="N383" s="840">
        <v>0</v>
      </c>
      <c r="O383" s="161">
        <f t="shared" si="69"/>
        <v>0</v>
      </c>
      <c r="P383" s="840">
        <v>0</v>
      </c>
      <c r="Q383" s="840">
        <v>0</v>
      </c>
      <c r="R383" s="841">
        <f t="shared" si="70"/>
        <v>0</v>
      </c>
      <c r="S383" s="840">
        <v>0</v>
      </c>
      <c r="T383" s="840">
        <v>0</v>
      </c>
      <c r="U383" s="161">
        <f t="shared" si="71"/>
        <v>0</v>
      </c>
      <c r="V383" s="841"/>
      <c r="W383" s="841"/>
      <c r="X383" s="841"/>
      <c r="Y383" s="233"/>
      <c r="Z383" s="233"/>
      <c r="AA383" s="233"/>
      <c r="AB383" s="213" t="s">
        <v>1115</v>
      </c>
      <c r="AD383" s="232">
        <f t="shared" si="72"/>
        <v>0</v>
      </c>
      <c r="AE383" s="232">
        <f t="shared" si="73"/>
        <v>0</v>
      </c>
      <c r="AG383" s="232">
        <f t="shared" si="79"/>
        <v>0</v>
      </c>
      <c r="AH383" s="232">
        <f t="shared" si="80"/>
        <v>0</v>
      </c>
      <c r="AI383" s="232"/>
    </row>
    <row r="384" spans="1:35" ht="27.6" x14ac:dyDescent="0.3">
      <c r="A384" s="46">
        <v>44</v>
      </c>
      <c r="B384" s="46" t="s">
        <v>831</v>
      </c>
      <c r="C384" s="46" t="s">
        <v>671</v>
      </c>
      <c r="D384" s="214" t="str">
        <f t="shared" si="75"/>
        <v>Do Not Print</v>
      </c>
      <c r="E384" s="214" t="s">
        <v>389</v>
      </c>
      <c r="F384" s="214" t="s">
        <v>582</v>
      </c>
      <c r="G384" s="214" t="str">
        <f>G381</f>
        <v>Injury and Damage Compensation claims</v>
      </c>
      <c r="H384" s="213" t="s">
        <v>654</v>
      </c>
      <c r="I384" s="230"/>
      <c r="J384" s="840">
        <v>0</v>
      </c>
      <c r="K384" s="840">
        <v>0</v>
      </c>
      <c r="L384" s="841">
        <f t="shared" si="68"/>
        <v>0</v>
      </c>
      <c r="M384" s="840">
        <v>0</v>
      </c>
      <c r="N384" s="840">
        <v>0</v>
      </c>
      <c r="O384" s="161">
        <f t="shared" si="69"/>
        <v>0</v>
      </c>
      <c r="P384" s="840">
        <v>0</v>
      </c>
      <c r="Q384" s="840">
        <v>0</v>
      </c>
      <c r="R384" s="841">
        <f t="shared" si="70"/>
        <v>0</v>
      </c>
      <c r="S384" s="840">
        <v>0</v>
      </c>
      <c r="T384" s="840">
        <v>0</v>
      </c>
      <c r="U384" s="161">
        <f t="shared" si="71"/>
        <v>0</v>
      </c>
      <c r="V384" s="841"/>
      <c r="W384" s="841"/>
      <c r="X384" s="841"/>
      <c r="Y384" s="233"/>
      <c r="Z384" s="233"/>
      <c r="AA384" s="233"/>
      <c r="AB384" s="213" t="s">
        <v>654</v>
      </c>
      <c r="AD384" s="232">
        <f t="shared" si="72"/>
        <v>0</v>
      </c>
      <c r="AE384" s="232">
        <f t="shared" si="73"/>
        <v>0</v>
      </c>
      <c r="AG384" s="232">
        <f t="shared" si="79"/>
        <v>0</v>
      </c>
      <c r="AH384" s="232">
        <f t="shared" si="80"/>
        <v>0</v>
      </c>
      <c r="AI384" s="232"/>
    </row>
    <row r="385" spans="1:35" ht="27.6" x14ac:dyDescent="0.3">
      <c r="A385" s="46">
        <v>44</v>
      </c>
      <c r="B385" s="46" t="s">
        <v>831</v>
      </c>
      <c r="C385" s="46" t="s">
        <v>671</v>
      </c>
      <c r="D385" s="214" t="str">
        <f t="shared" si="75"/>
        <v>Do Not Print</v>
      </c>
      <c r="E385" s="214" t="s">
        <v>389</v>
      </c>
      <c r="F385" s="214" t="s">
        <v>582</v>
      </c>
      <c r="G385" s="214" t="str">
        <f>G381</f>
        <v>Injury and Damage Compensation claims</v>
      </c>
      <c r="H385" s="214" t="s">
        <v>655</v>
      </c>
      <c r="I385" s="230"/>
      <c r="J385" s="840">
        <v>0</v>
      </c>
      <c r="K385" s="840">
        <v>0</v>
      </c>
      <c r="L385" s="841">
        <f t="shared" si="68"/>
        <v>0</v>
      </c>
      <c r="M385" s="841">
        <v>0</v>
      </c>
      <c r="N385" s="841">
        <v>0</v>
      </c>
      <c r="O385" s="161">
        <f t="shared" si="69"/>
        <v>0</v>
      </c>
      <c r="P385" s="840">
        <v>0</v>
      </c>
      <c r="Q385" s="840">
        <v>0</v>
      </c>
      <c r="R385" s="841">
        <f t="shared" si="70"/>
        <v>0</v>
      </c>
      <c r="S385" s="840">
        <v>0</v>
      </c>
      <c r="T385" s="840">
        <v>0</v>
      </c>
      <c r="U385" s="161">
        <f t="shared" si="71"/>
        <v>0</v>
      </c>
      <c r="V385" s="841"/>
      <c r="W385" s="841"/>
      <c r="X385" s="841"/>
      <c r="Y385" s="233"/>
      <c r="Z385" s="233"/>
      <c r="AA385" s="233"/>
      <c r="AB385" s="214" t="s">
        <v>655</v>
      </c>
      <c r="AD385" s="232">
        <f t="shared" si="72"/>
        <v>0</v>
      </c>
      <c r="AE385" s="232">
        <f t="shared" si="73"/>
        <v>0</v>
      </c>
      <c r="AG385" s="232">
        <f t="shared" si="79"/>
        <v>0</v>
      </c>
      <c r="AH385" s="232">
        <f t="shared" si="80"/>
        <v>0</v>
      </c>
      <c r="AI385" s="232"/>
    </row>
    <row r="386" spans="1:35" ht="27.6" x14ac:dyDescent="0.3">
      <c r="A386" s="46">
        <v>44</v>
      </c>
      <c r="B386" s="46" t="s">
        <v>832</v>
      </c>
      <c r="C386" s="46" t="s">
        <v>671</v>
      </c>
      <c r="D386" s="214" t="str">
        <f t="shared" si="75"/>
        <v>Do Not Print</v>
      </c>
      <c r="E386" s="214" t="s">
        <v>389</v>
      </c>
      <c r="F386" s="214" t="s">
        <v>582</v>
      </c>
      <c r="G386" s="214" t="str">
        <f>G353</f>
        <v>Provision 2</v>
      </c>
      <c r="H386" s="214" t="s">
        <v>402</v>
      </c>
      <c r="I386" s="230"/>
      <c r="J386" s="839">
        <f>P386+P387-P388-P389+P390+SUM(Q386:Q390)</f>
        <v>0</v>
      </c>
      <c r="K386" s="840">
        <v>0</v>
      </c>
      <c r="L386" s="841">
        <f t="shared" ref="L386:L437" si="81">SUM(J386:K386)</f>
        <v>0</v>
      </c>
      <c r="M386" s="839">
        <f>S386+S387-S388-S389+S390+SUM(T386:T390)</f>
        <v>0</v>
      </c>
      <c r="N386" s="840">
        <v>0</v>
      </c>
      <c r="O386" s="161">
        <f t="shared" ref="O386:O437" si="82">SUM(M386:N386)+L386</f>
        <v>0</v>
      </c>
      <c r="P386" s="840">
        <v>0</v>
      </c>
      <c r="Q386" s="840">
        <v>0</v>
      </c>
      <c r="R386" s="841">
        <f t="shared" ref="R386:R437" si="83">SUM(P386:Q386)</f>
        <v>0</v>
      </c>
      <c r="S386" s="840">
        <v>0</v>
      </c>
      <c r="T386" s="840">
        <v>0</v>
      </c>
      <c r="U386" s="161">
        <f t="shared" ref="U386:U437" si="84">R386+SUM(S386:T386)</f>
        <v>0</v>
      </c>
      <c r="V386" s="841"/>
      <c r="W386" s="841"/>
      <c r="X386" s="841"/>
      <c r="Y386" s="233"/>
      <c r="Z386" s="233"/>
      <c r="AA386" s="233"/>
      <c r="AB386" s="214" t="s">
        <v>402</v>
      </c>
      <c r="AD386" s="232">
        <f t="shared" ref="AD386:AD437" si="85">ROUND(L386,0)</f>
        <v>0</v>
      </c>
      <c r="AE386" s="232">
        <f t="shared" ref="AE386:AE437" si="86">ROUND(R386,0)</f>
        <v>0</v>
      </c>
      <c r="AG386" s="232">
        <f t="shared" si="79"/>
        <v>0</v>
      </c>
      <c r="AH386" s="232">
        <f t="shared" si="80"/>
        <v>0</v>
      </c>
      <c r="AI386" s="232"/>
    </row>
    <row r="387" spans="1:35" ht="27.6" x14ac:dyDescent="0.3">
      <c r="A387" s="46">
        <v>44</v>
      </c>
      <c r="B387" s="46" t="s">
        <v>832</v>
      </c>
      <c r="C387" s="46" t="s">
        <v>671</v>
      </c>
      <c r="D387" s="214" t="str">
        <f t="shared" si="75"/>
        <v>Do Not Print</v>
      </c>
      <c r="E387" s="214" t="s">
        <v>389</v>
      </c>
      <c r="F387" s="214" t="s">
        <v>582</v>
      </c>
      <c r="G387" s="214" t="str">
        <f>G386</f>
        <v>Provision 2</v>
      </c>
      <c r="H387" s="213" t="s">
        <v>652</v>
      </c>
      <c r="I387" s="230"/>
      <c r="J387" s="840">
        <v>0</v>
      </c>
      <c r="K387" s="840">
        <v>0</v>
      </c>
      <c r="L387" s="841">
        <f t="shared" si="81"/>
        <v>0</v>
      </c>
      <c r="M387" s="840">
        <v>0</v>
      </c>
      <c r="N387" s="840">
        <v>0</v>
      </c>
      <c r="O387" s="161">
        <f t="shared" si="82"/>
        <v>0</v>
      </c>
      <c r="P387" s="840">
        <v>0</v>
      </c>
      <c r="Q387" s="840">
        <v>0</v>
      </c>
      <c r="R387" s="841">
        <f t="shared" si="83"/>
        <v>0</v>
      </c>
      <c r="S387" s="840">
        <v>0</v>
      </c>
      <c r="T387" s="840">
        <v>0</v>
      </c>
      <c r="U387" s="161">
        <f t="shared" si="84"/>
        <v>0</v>
      </c>
      <c r="V387" s="841"/>
      <c r="W387" s="841"/>
      <c r="X387" s="841"/>
      <c r="Y387" s="233"/>
      <c r="Z387" s="233"/>
      <c r="AA387" s="233"/>
      <c r="AB387" s="213" t="s">
        <v>652</v>
      </c>
      <c r="AD387" s="232">
        <f t="shared" si="85"/>
        <v>0</v>
      </c>
      <c r="AE387" s="232">
        <f t="shared" si="86"/>
        <v>0</v>
      </c>
      <c r="AG387" s="232">
        <f t="shared" si="79"/>
        <v>0</v>
      </c>
      <c r="AH387" s="232">
        <f t="shared" si="80"/>
        <v>0</v>
      </c>
      <c r="AI387" s="232"/>
    </row>
    <row r="388" spans="1:35" ht="27.6" x14ac:dyDescent="0.3">
      <c r="A388" s="46">
        <v>44</v>
      </c>
      <c r="B388" s="46" t="s">
        <v>832</v>
      </c>
      <c r="C388" s="46" t="s">
        <v>671</v>
      </c>
      <c r="D388" s="214" t="str">
        <f t="shared" si="75"/>
        <v>Do Not Print</v>
      </c>
      <c r="E388" s="214" t="s">
        <v>389</v>
      </c>
      <c r="F388" s="214" t="s">
        <v>582</v>
      </c>
      <c r="G388" s="214" t="str">
        <f>G386</f>
        <v>Provision 2</v>
      </c>
      <c r="H388" s="213" t="s">
        <v>1115</v>
      </c>
      <c r="I388" s="230"/>
      <c r="J388" s="840">
        <v>0</v>
      </c>
      <c r="K388" s="840">
        <v>0</v>
      </c>
      <c r="L388" s="841">
        <f t="shared" si="81"/>
        <v>0</v>
      </c>
      <c r="M388" s="840">
        <v>0</v>
      </c>
      <c r="N388" s="840">
        <v>0</v>
      </c>
      <c r="O388" s="161">
        <f t="shared" si="82"/>
        <v>0</v>
      </c>
      <c r="P388" s="840">
        <v>0</v>
      </c>
      <c r="Q388" s="840">
        <v>0</v>
      </c>
      <c r="R388" s="841">
        <f t="shared" si="83"/>
        <v>0</v>
      </c>
      <c r="S388" s="840">
        <v>0</v>
      </c>
      <c r="T388" s="840">
        <v>0</v>
      </c>
      <c r="U388" s="161">
        <f t="shared" si="84"/>
        <v>0</v>
      </c>
      <c r="V388" s="841"/>
      <c r="W388" s="841"/>
      <c r="X388" s="841"/>
      <c r="Y388" s="233"/>
      <c r="Z388" s="233"/>
      <c r="AA388" s="233"/>
      <c r="AB388" s="213" t="s">
        <v>1115</v>
      </c>
      <c r="AD388" s="232">
        <f t="shared" si="85"/>
        <v>0</v>
      </c>
      <c r="AE388" s="232">
        <f t="shared" si="86"/>
        <v>0</v>
      </c>
      <c r="AG388" s="232">
        <f t="shared" si="79"/>
        <v>0</v>
      </c>
      <c r="AH388" s="232">
        <f t="shared" si="80"/>
        <v>0</v>
      </c>
      <c r="AI388" s="232"/>
    </row>
    <row r="389" spans="1:35" ht="27.6" x14ac:dyDescent="0.3">
      <c r="A389" s="46">
        <v>44</v>
      </c>
      <c r="B389" s="46" t="s">
        <v>832</v>
      </c>
      <c r="C389" s="46" t="s">
        <v>671</v>
      </c>
      <c r="D389" s="214" t="str">
        <f t="shared" si="75"/>
        <v>Do Not Print</v>
      </c>
      <c r="E389" s="214" t="s">
        <v>389</v>
      </c>
      <c r="F389" s="214" t="s">
        <v>582</v>
      </c>
      <c r="G389" s="214" t="str">
        <f>G386</f>
        <v>Provision 2</v>
      </c>
      <c r="H389" s="213" t="s">
        <v>654</v>
      </c>
      <c r="I389" s="230"/>
      <c r="J389" s="840">
        <v>0</v>
      </c>
      <c r="K389" s="840">
        <v>0</v>
      </c>
      <c r="L389" s="841">
        <f t="shared" si="81"/>
        <v>0</v>
      </c>
      <c r="M389" s="840">
        <v>0</v>
      </c>
      <c r="N389" s="840">
        <v>0</v>
      </c>
      <c r="O389" s="161">
        <f t="shared" si="82"/>
        <v>0</v>
      </c>
      <c r="P389" s="840">
        <v>0</v>
      </c>
      <c r="Q389" s="840">
        <v>0</v>
      </c>
      <c r="R389" s="841">
        <f t="shared" si="83"/>
        <v>0</v>
      </c>
      <c r="S389" s="840">
        <v>0</v>
      </c>
      <c r="T389" s="840">
        <v>0</v>
      </c>
      <c r="U389" s="161">
        <f t="shared" si="84"/>
        <v>0</v>
      </c>
      <c r="V389" s="841"/>
      <c r="W389" s="841"/>
      <c r="X389" s="841"/>
      <c r="Y389" s="233"/>
      <c r="Z389" s="233"/>
      <c r="AA389" s="233"/>
      <c r="AB389" s="213" t="s">
        <v>654</v>
      </c>
      <c r="AD389" s="232">
        <f t="shared" si="85"/>
        <v>0</v>
      </c>
      <c r="AE389" s="232">
        <f t="shared" si="86"/>
        <v>0</v>
      </c>
      <c r="AG389" s="232">
        <f t="shared" si="79"/>
        <v>0</v>
      </c>
      <c r="AH389" s="232">
        <f t="shared" si="80"/>
        <v>0</v>
      </c>
      <c r="AI389" s="232"/>
    </row>
    <row r="390" spans="1:35" ht="27.6" x14ac:dyDescent="0.3">
      <c r="A390" s="46">
        <v>44</v>
      </c>
      <c r="B390" s="46" t="s">
        <v>832</v>
      </c>
      <c r="C390" s="46" t="s">
        <v>671</v>
      </c>
      <c r="D390" s="214" t="str">
        <f t="shared" si="75"/>
        <v>Do Not Print</v>
      </c>
      <c r="E390" s="214" t="s">
        <v>389</v>
      </c>
      <c r="F390" s="214" t="s">
        <v>582</v>
      </c>
      <c r="G390" s="214" t="str">
        <f>G386</f>
        <v>Provision 2</v>
      </c>
      <c r="H390" s="214" t="s">
        <v>655</v>
      </c>
      <c r="I390" s="230"/>
      <c r="J390" s="841">
        <v>0</v>
      </c>
      <c r="K390" s="841">
        <v>0</v>
      </c>
      <c r="L390" s="841">
        <f t="shared" si="81"/>
        <v>0</v>
      </c>
      <c r="M390" s="841">
        <v>0</v>
      </c>
      <c r="N390" s="841">
        <v>0</v>
      </c>
      <c r="O390" s="161">
        <f t="shared" si="82"/>
        <v>0</v>
      </c>
      <c r="P390" s="841">
        <v>0</v>
      </c>
      <c r="Q390" s="841">
        <v>0</v>
      </c>
      <c r="R390" s="841">
        <f t="shared" si="83"/>
        <v>0</v>
      </c>
      <c r="S390" s="841">
        <v>0</v>
      </c>
      <c r="T390" s="841">
        <v>0</v>
      </c>
      <c r="U390" s="161">
        <f t="shared" si="84"/>
        <v>0</v>
      </c>
      <c r="V390" s="841"/>
      <c r="W390" s="841"/>
      <c r="X390" s="841"/>
      <c r="Y390" s="233"/>
      <c r="Z390" s="233"/>
      <c r="AA390" s="233"/>
      <c r="AB390" s="214" t="s">
        <v>655</v>
      </c>
      <c r="AD390" s="232">
        <f t="shared" si="85"/>
        <v>0</v>
      </c>
      <c r="AE390" s="232">
        <f t="shared" si="86"/>
        <v>0</v>
      </c>
      <c r="AG390" s="232">
        <f t="shared" si="79"/>
        <v>0</v>
      </c>
      <c r="AH390" s="232">
        <f t="shared" si="80"/>
        <v>0</v>
      </c>
      <c r="AI390" s="232"/>
    </row>
    <row r="391" spans="1:35" ht="27.6" x14ac:dyDescent="0.3">
      <c r="A391" s="46">
        <v>44</v>
      </c>
      <c r="B391" s="46" t="s">
        <v>833</v>
      </c>
      <c r="C391" s="46" t="s">
        <v>671</v>
      </c>
      <c r="D391" s="214" t="str">
        <f t="shared" si="75"/>
        <v>Do Not Print</v>
      </c>
      <c r="E391" s="214" t="s">
        <v>389</v>
      </c>
      <c r="F391" s="214" t="s">
        <v>582</v>
      </c>
      <c r="G391" s="214" t="str">
        <f>G358</f>
        <v>Other</v>
      </c>
      <c r="H391" s="214" t="s">
        <v>402</v>
      </c>
      <c r="I391" s="230"/>
      <c r="J391" s="839">
        <f>P391+P392-P393-P394+P395+SUM(Q391:Q395)</f>
        <v>0</v>
      </c>
      <c r="K391" s="840">
        <v>0</v>
      </c>
      <c r="L391" s="841">
        <f t="shared" si="81"/>
        <v>0</v>
      </c>
      <c r="M391" s="839">
        <f>S391+S392-S393-S394+S395+SUM(T391:T395)</f>
        <v>0</v>
      </c>
      <c r="N391" s="840">
        <v>0</v>
      </c>
      <c r="O391" s="161">
        <f t="shared" si="82"/>
        <v>0</v>
      </c>
      <c r="P391" s="840">
        <v>0</v>
      </c>
      <c r="Q391" s="840">
        <v>0</v>
      </c>
      <c r="R391" s="841">
        <f t="shared" si="83"/>
        <v>0</v>
      </c>
      <c r="S391" s="840">
        <v>0</v>
      </c>
      <c r="T391" s="840">
        <v>0</v>
      </c>
      <c r="U391" s="161">
        <f t="shared" si="84"/>
        <v>0</v>
      </c>
      <c r="V391" s="841"/>
      <c r="W391" s="841"/>
      <c r="X391" s="841"/>
      <c r="Y391" s="233"/>
      <c r="Z391" s="233"/>
      <c r="AA391" s="233"/>
      <c r="AB391" s="214" t="s">
        <v>402</v>
      </c>
      <c r="AD391" s="232">
        <f t="shared" si="85"/>
        <v>0</v>
      </c>
      <c r="AE391" s="232">
        <f t="shared" si="86"/>
        <v>0</v>
      </c>
      <c r="AG391" s="232">
        <f t="shared" si="79"/>
        <v>0</v>
      </c>
      <c r="AH391" s="232">
        <f t="shared" si="80"/>
        <v>0</v>
      </c>
      <c r="AI391" s="232"/>
    </row>
    <row r="392" spans="1:35" ht="27.6" x14ac:dyDescent="0.3">
      <c r="A392" s="46">
        <v>44</v>
      </c>
      <c r="B392" s="46" t="s">
        <v>833</v>
      </c>
      <c r="C392" s="46" t="s">
        <v>671</v>
      </c>
      <c r="D392" s="214" t="str">
        <f t="shared" si="75"/>
        <v>Do Not Print</v>
      </c>
      <c r="E392" s="214" t="s">
        <v>389</v>
      </c>
      <c r="F392" s="214" t="s">
        <v>582</v>
      </c>
      <c r="G392" s="214" t="str">
        <f>G391</f>
        <v>Other</v>
      </c>
      <c r="H392" s="213" t="s">
        <v>652</v>
      </c>
      <c r="I392" s="230"/>
      <c r="J392" s="840">
        <v>0</v>
      </c>
      <c r="K392" s="840">
        <v>0</v>
      </c>
      <c r="L392" s="841">
        <f t="shared" si="81"/>
        <v>0</v>
      </c>
      <c r="M392" s="840">
        <v>0</v>
      </c>
      <c r="N392" s="840">
        <v>0</v>
      </c>
      <c r="O392" s="161">
        <f t="shared" si="82"/>
        <v>0</v>
      </c>
      <c r="P392" s="840">
        <v>0</v>
      </c>
      <c r="Q392" s="840">
        <v>0</v>
      </c>
      <c r="R392" s="841">
        <f t="shared" si="83"/>
        <v>0</v>
      </c>
      <c r="S392" s="840">
        <v>0</v>
      </c>
      <c r="T392" s="840">
        <v>0</v>
      </c>
      <c r="U392" s="161">
        <f t="shared" si="84"/>
        <v>0</v>
      </c>
      <c r="V392" s="841"/>
      <c r="W392" s="841"/>
      <c r="X392" s="841"/>
      <c r="Y392" s="233"/>
      <c r="Z392" s="233"/>
      <c r="AA392" s="233"/>
      <c r="AB392" s="213" t="s">
        <v>652</v>
      </c>
      <c r="AD392" s="232">
        <f t="shared" si="85"/>
        <v>0</v>
      </c>
      <c r="AE392" s="232">
        <f t="shared" si="86"/>
        <v>0</v>
      </c>
      <c r="AG392" s="232">
        <f t="shared" si="79"/>
        <v>0</v>
      </c>
      <c r="AH392" s="232">
        <f t="shared" si="80"/>
        <v>0</v>
      </c>
      <c r="AI392" s="232"/>
    </row>
    <row r="393" spans="1:35" ht="27.6" x14ac:dyDescent="0.3">
      <c r="A393" s="46">
        <v>44</v>
      </c>
      <c r="B393" s="46" t="s">
        <v>833</v>
      </c>
      <c r="C393" s="46" t="s">
        <v>671</v>
      </c>
      <c r="D393" s="214" t="str">
        <f t="shared" si="75"/>
        <v>Do Not Print</v>
      </c>
      <c r="E393" s="214" t="s">
        <v>389</v>
      </c>
      <c r="F393" s="214" t="s">
        <v>582</v>
      </c>
      <c r="G393" s="214" t="str">
        <f>G391</f>
        <v>Other</v>
      </c>
      <c r="H393" s="213" t="s">
        <v>1115</v>
      </c>
      <c r="I393" s="230"/>
      <c r="J393" s="840">
        <v>0</v>
      </c>
      <c r="K393" s="840">
        <v>0</v>
      </c>
      <c r="L393" s="841">
        <f t="shared" si="81"/>
        <v>0</v>
      </c>
      <c r="M393" s="840">
        <v>0</v>
      </c>
      <c r="N393" s="840">
        <v>0</v>
      </c>
      <c r="O393" s="161">
        <f t="shared" si="82"/>
        <v>0</v>
      </c>
      <c r="P393" s="840">
        <v>0</v>
      </c>
      <c r="Q393" s="840">
        <v>0</v>
      </c>
      <c r="R393" s="841">
        <f t="shared" si="83"/>
        <v>0</v>
      </c>
      <c r="S393" s="840">
        <v>0</v>
      </c>
      <c r="T393" s="840">
        <v>0</v>
      </c>
      <c r="U393" s="161">
        <f t="shared" si="84"/>
        <v>0</v>
      </c>
      <c r="V393" s="841"/>
      <c r="W393" s="841"/>
      <c r="X393" s="841"/>
      <c r="Y393" s="233"/>
      <c r="Z393" s="233"/>
      <c r="AA393" s="233"/>
      <c r="AB393" s="213" t="s">
        <v>1115</v>
      </c>
      <c r="AD393" s="232">
        <f t="shared" si="85"/>
        <v>0</v>
      </c>
      <c r="AE393" s="232">
        <f t="shared" si="86"/>
        <v>0</v>
      </c>
      <c r="AG393" s="232">
        <f t="shared" si="79"/>
        <v>0</v>
      </c>
      <c r="AH393" s="232">
        <f t="shared" si="80"/>
        <v>0</v>
      </c>
      <c r="AI393" s="232"/>
    </row>
    <row r="394" spans="1:35" ht="27.6" x14ac:dyDescent="0.3">
      <c r="A394" s="46">
        <v>44</v>
      </c>
      <c r="B394" s="46" t="s">
        <v>833</v>
      </c>
      <c r="C394" s="46" t="s">
        <v>671</v>
      </c>
      <c r="D394" s="214" t="str">
        <f t="shared" si="75"/>
        <v>Do Not Print</v>
      </c>
      <c r="E394" s="214" t="s">
        <v>389</v>
      </c>
      <c r="F394" s="214" t="s">
        <v>582</v>
      </c>
      <c r="G394" s="214" t="str">
        <f>G391</f>
        <v>Other</v>
      </c>
      <c r="H394" s="213" t="s">
        <v>654</v>
      </c>
      <c r="I394" s="230"/>
      <c r="J394" s="840">
        <v>0</v>
      </c>
      <c r="K394" s="840">
        <v>0</v>
      </c>
      <c r="L394" s="841">
        <f t="shared" si="81"/>
        <v>0</v>
      </c>
      <c r="M394" s="840">
        <v>0</v>
      </c>
      <c r="N394" s="840">
        <v>0</v>
      </c>
      <c r="O394" s="161">
        <f t="shared" si="82"/>
        <v>0</v>
      </c>
      <c r="P394" s="840">
        <v>0</v>
      </c>
      <c r="Q394" s="840">
        <v>0</v>
      </c>
      <c r="R394" s="841">
        <f t="shared" si="83"/>
        <v>0</v>
      </c>
      <c r="S394" s="840">
        <v>0</v>
      </c>
      <c r="T394" s="840">
        <v>0</v>
      </c>
      <c r="U394" s="161">
        <f t="shared" si="84"/>
        <v>0</v>
      </c>
      <c r="V394" s="841"/>
      <c r="W394" s="841"/>
      <c r="X394" s="841"/>
      <c r="Y394" s="233"/>
      <c r="Z394" s="233"/>
      <c r="AA394" s="233"/>
      <c r="AB394" s="213" t="s">
        <v>654</v>
      </c>
      <c r="AD394" s="232">
        <f t="shared" si="85"/>
        <v>0</v>
      </c>
      <c r="AE394" s="232">
        <f t="shared" si="86"/>
        <v>0</v>
      </c>
      <c r="AG394" s="232">
        <f t="shared" si="79"/>
        <v>0</v>
      </c>
      <c r="AH394" s="232">
        <f t="shared" si="80"/>
        <v>0</v>
      </c>
      <c r="AI394" s="232"/>
    </row>
    <row r="395" spans="1:35" ht="27.6" x14ac:dyDescent="0.3">
      <c r="A395" s="46">
        <v>44</v>
      </c>
      <c r="B395" s="46" t="s">
        <v>833</v>
      </c>
      <c r="C395" s="46" t="s">
        <v>671</v>
      </c>
      <c r="D395" s="214" t="str">
        <f t="shared" si="75"/>
        <v>Do Not Print</v>
      </c>
      <c r="E395" s="214" t="s">
        <v>389</v>
      </c>
      <c r="F395" s="214" t="s">
        <v>582</v>
      </c>
      <c r="G395" s="214" t="str">
        <f>G391</f>
        <v>Other</v>
      </c>
      <c r="H395" s="214" t="s">
        <v>655</v>
      </c>
      <c r="I395" s="230"/>
      <c r="J395" s="841">
        <v>0</v>
      </c>
      <c r="K395" s="841">
        <v>0</v>
      </c>
      <c r="L395" s="841">
        <f t="shared" si="81"/>
        <v>0</v>
      </c>
      <c r="M395" s="841">
        <v>0</v>
      </c>
      <c r="N395" s="841">
        <v>0</v>
      </c>
      <c r="O395" s="161">
        <f t="shared" si="82"/>
        <v>0</v>
      </c>
      <c r="P395" s="841">
        <v>0</v>
      </c>
      <c r="Q395" s="841">
        <v>0</v>
      </c>
      <c r="R395" s="841">
        <f t="shared" si="83"/>
        <v>0</v>
      </c>
      <c r="S395" s="841">
        <v>0</v>
      </c>
      <c r="T395" s="841">
        <v>0</v>
      </c>
      <c r="U395" s="161">
        <f t="shared" si="84"/>
        <v>0</v>
      </c>
      <c r="V395" s="841"/>
      <c r="W395" s="841"/>
      <c r="X395" s="841"/>
      <c r="Y395" s="233"/>
      <c r="Z395" s="233"/>
      <c r="AA395" s="233"/>
      <c r="AB395" s="214" t="s">
        <v>655</v>
      </c>
      <c r="AD395" s="232">
        <f t="shared" si="85"/>
        <v>0</v>
      </c>
      <c r="AE395" s="232">
        <f t="shared" si="86"/>
        <v>0</v>
      </c>
      <c r="AG395" s="232">
        <f t="shared" si="79"/>
        <v>0</v>
      </c>
      <c r="AH395" s="232">
        <f t="shared" si="80"/>
        <v>0</v>
      </c>
      <c r="AI395" s="232"/>
    </row>
    <row r="396" spans="1:35" ht="27.6" x14ac:dyDescent="0.3">
      <c r="A396" s="46">
        <v>45</v>
      </c>
      <c r="B396" s="46" t="s">
        <v>94</v>
      </c>
      <c r="C396" s="46" t="s">
        <v>671</v>
      </c>
      <c r="D396" s="214" t="str">
        <f t="shared" ref="D396:D428" si="87">IF(AND(O396=0,U396=0,V396=0),"Do Not Print","Print")</f>
        <v>Do Not Print</v>
      </c>
      <c r="E396" s="214" t="s">
        <v>389</v>
      </c>
      <c r="F396" s="214" t="s">
        <v>404</v>
      </c>
      <c r="G396" s="214" t="s">
        <v>405</v>
      </c>
      <c r="H396" s="214" t="s">
        <v>406</v>
      </c>
      <c r="I396" s="230"/>
      <c r="J396" s="839">
        <f>SUM(P396:P409)+SUM(Q396:Q409)-P404-Q404</f>
        <v>0</v>
      </c>
      <c r="K396" s="840">
        <v>0</v>
      </c>
      <c r="L396" s="841">
        <f t="shared" si="81"/>
        <v>0</v>
      </c>
      <c r="M396" s="839">
        <f>SUM(S396:S408)+SUM(T396:T408)</f>
        <v>0</v>
      </c>
      <c r="N396" s="840">
        <v>0</v>
      </c>
      <c r="O396" s="161">
        <f t="shared" si="82"/>
        <v>0</v>
      </c>
      <c r="P396" s="840">
        <v>0</v>
      </c>
      <c r="Q396" s="840">
        <v>0</v>
      </c>
      <c r="R396" s="841">
        <f t="shared" si="83"/>
        <v>0</v>
      </c>
      <c r="S396" s="840">
        <v>0</v>
      </c>
      <c r="T396" s="840">
        <v>0</v>
      </c>
      <c r="U396" s="161">
        <f t="shared" si="84"/>
        <v>0</v>
      </c>
      <c r="V396" s="841"/>
      <c r="W396" s="841"/>
      <c r="X396" s="841"/>
      <c r="Y396" s="233"/>
      <c r="Z396" s="233"/>
      <c r="AA396" s="233"/>
      <c r="AB396" s="214" t="s">
        <v>406</v>
      </c>
      <c r="AD396" s="232">
        <f t="shared" si="85"/>
        <v>0</v>
      </c>
      <c r="AE396" s="232">
        <f t="shared" si="86"/>
        <v>0</v>
      </c>
      <c r="AG396" s="232">
        <f t="shared" si="79"/>
        <v>0</v>
      </c>
      <c r="AH396" s="232">
        <f t="shared" si="80"/>
        <v>0</v>
      </c>
      <c r="AI396" s="232"/>
    </row>
    <row r="397" spans="1:35" ht="27.6" x14ac:dyDescent="0.3">
      <c r="A397" s="46">
        <v>45</v>
      </c>
      <c r="B397" s="46" t="s">
        <v>94</v>
      </c>
      <c r="C397" s="46" t="s">
        <v>671</v>
      </c>
      <c r="D397" s="214" t="str">
        <f t="shared" si="87"/>
        <v>Do Not Print</v>
      </c>
      <c r="E397" s="214" t="s">
        <v>389</v>
      </c>
      <c r="F397" s="214" t="s">
        <v>404</v>
      </c>
      <c r="G397" s="214" t="s">
        <v>405</v>
      </c>
      <c r="H397" s="214" t="s">
        <v>407</v>
      </c>
      <c r="I397" s="230"/>
      <c r="J397" s="840">
        <v>0</v>
      </c>
      <c r="K397" s="840">
        <v>0</v>
      </c>
      <c r="L397" s="841">
        <f t="shared" si="81"/>
        <v>0</v>
      </c>
      <c r="M397" s="840">
        <v>0</v>
      </c>
      <c r="N397" s="840">
        <v>0</v>
      </c>
      <c r="O397" s="161">
        <f t="shared" si="82"/>
        <v>0</v>
      </c>
      <c r="P397" s="840">
        <v>0</v>
      </c>
      <c r="Q397" s="840">
        <v>0</v>
      </c>
      <c r="R397" s="841">
        <f t="shared" si="83"/>
        <v>0</v>
      </c>
      <c r="S397" s="840">
        <v>0</v>
      </c>
      <c r="T397" s="840">
        <v>0</v>
      </c>
      <c r="U397" s="161">
        <f t="shared" si="84"/>
        <v>0</v>
      </c>
      <c r="V397" s="841"/>
      <c r="W397" s="841"/>
      <c r="X397" s="841"/>
      <c r="Y397" s="233"/>
      <c r="Z397" s="233"/>
      <c r="AA397" s="233"/>
      <c r="AB397" s="214" t="s">
        <v>407</v>
      </c>
      <c r="AD397" s="232">
        <f t="shared" si="85"/>
        <v>0</v>
      </c>
      <c r="AE397" s="232">
        <f t="shared" si="86"/>
        <v>0</v>
      </c>
      <c r="AG397" s="232">
        <f t="shared" si="79"/>
        <v>0</v>
      </c>
      <c r="AH397" s="232">
        <f t="shared" si="80"/>
        <v>0</v>
      </c>
      <c r="AI397" s="232"/>
    </row>
    <row r="398" spans="1:35" ht="27.6" x14ac:dyDescent="0.3">
      <c r="A398" s="46">
        <v>45</v>
      </c>
      <c r="B398" s="46" t="s">
        <v>94</v>
      </c>
      <c r="C398" s="46" t="s">
        <v>671</v>
      </c>
      <c r="D398" s="214" t="str">
        <f t="shared" si="87"/>
        <v>Do Not Print</v>
      </c>
      <c r="E398" s="214" t="s">
        <v>389</v>
      </c>
      <c r="F398" s="214" t="s">
        <v>404</v>
      </c>
      <c r="G398" s="214" t="s">
        <v>405</v>
      </c>
      <c r="H398" s="214" t="s">
        <v>408</v>
      </c>
      <c r="I398" s="230"/>
      <c r="J398" s="840">
        <v>0</v>
      </c>
      <c r="K398" s="840">
        <v>0</v>
      </c>
      <c r="L398" s="841">
        <f t="shared" si="81"/>
        <v>0</v>
      </c>
      <c r="M398" s="840">
        <v>0</v>
      </c>
      <c r="N398" s="840">
        <v>0</v>
      </c>
      <c r="O398" s="161">
        <f t="shared" si="82"/>
        <v>0</v>
      </c>
      <c r="P398" s="840">
        <v>0</v>
      </c>
      <c r="Q398" s="840">
        <v>0</v>
      </c>
      <c r="R398" s="841">
        <f t="shared" si="83"/>
        <v>0</v>
      </c>
      <c r="S398" s="840">
        <v>0</v>
      </c>
      <c r="T398" s="840">
        <v>0</v>
      </c>
      <c r="U398" s="161">
        <f t="shared" si="84"/>
        <v>0</v>
      </c>
      <c r="V398" s="841"/>
      <c r="W398" s="841"/>
      <c r="X398" s="841"/>
      <c r="Y398" s="233"/>
      <c r="Z398" s="233"/>
      <c r="AA398" s="233"/>
      <c r="AB398" s="214" t="s">
        <v>408</v>
      </c>
      <c r="AD398" s="232">
        <f t="shared" si="85"/>
        <v>0</v>
      </c>
      <c r="AE398" s="232">
        <f t="shared" si="86"/>
        <v>0</v>
      </c>
      <c r="AG398" s="232">
        <f t="shared" si="79"/>
        <v>0</v>
      </c>
      <c r="AH398" s="232">
        <f t="shared" si="80"/>
        <v>0</v>
      </c>
      <c r="AI398" s="232"/>
    </row>
    <row r="399" spans="1:35" ht="27.6" x14ac:dyDescent="0.3">
      <c r="A399" s="46">
        <v>45</v>
      </c>
      <c r="B399" s="46" t="s">
        <v>94</v>
      </c>
      <c r="C399" s="46" t="s">
        <v>671</v>
      </c>
      <c r="D399" s="214" t="str">
        <f t="shared" si="87"/>
        <v>Do Not Print</v>
      </c>
      <c r="E399" s="214" t="s">
        <v>389</v>
      </c>
      <c r="F399" s="214" t="s">
        <v>404</v>
      </c>
      <c r="G399" s="214" t="s">
        <v>405</v>
      </c>
      <c r="H399" s="214" t="s">
        <v>409</v>
      </c>
      <c r="I399" s="230"/>
      <c r="J399" s="840">
        <v>0</v>
      </c>
      <c r="K399" s="840">
        <v>0</v>
      </c>
      <c r="L399" s="841">
        <f t="shared" si="81"/>
        <v>0</v>
      </c>
      <c r="M399" s="840">
        <v>0</v>
      </c>
      <c r="N399" s="840">
        <v>0</v>
      </c>
      <c r="O399" s="161">
        <f t="shared" si="82"/>
        <v>0</v>
      </c>
      <c r="P399" s="840">
        <v>0</v>
      </c>
      <c r="Q399" s="840">
        <v>0</v>
      </c>
      <c r="R399" s="841">
        <f t="shared" si="83"/>
        <v>0</v>
      </c>
      <c r="S399" s="840">
        <v>0</v>
      </c>
      <c r="T399" s="840">
        <v>0</v>
      </c>
      <c r="U399" s="161">
        <f t="shared" si="84"/>
        <v>0</v>
      </c>
      <c r="V399" s="841"/>
      <c r="W399" s="841"/>
      <c r="X399" s="841"/>
      <c r="Y399" s="233"/>
      <c r="Z399" s="233"/>
      <c r="AA399" s="233"/>
      <c r="AB399" s="214" t="s">
        <v>409</v>
      </c>
      <c r="AD399" s="232">
        <f t="shared" si="85"/>
        <v>0</v>
      </c>
      <c r="AE399" s="232">
        <f t="shared" si="86"/>
        <v>0</v>
      </c>
      <c r="AG399" s="232">
        <f t="shared" si="79"/>
        <v>0</v>
      </c>
      <c r="AH399" s="232">
        <f t="shared" si="80"/>
        <v>0</v>
      </c>
      <c r="AI399" s="232"/>
    </row>
    <row r="400" spans="1:35" ht="27.6" x14ac:dyDescent="0.3">
      <c r="A400" s="46">
        <v>45</v>
      </c>
      <c r="B400" s="46" t="s">
        <v>94</v>
      </c>
      <c r="C400" s="46" t="s">
        <v>671</v>
      </c>
      <c r="D400" s="214" t="str">
        <f t="shared" si="87"/>
        <v>Do Not Print</v>
      </c>
      <c r="E400" s="214" t="s">
        <v>389</v>
      </c>
      <c r="F400" s="214" t="s">
        <v>404</v>
      </c>
      <c r="G400" s="214" t="s">
        <v>405</v>
      </c>
      <c r="H400" s="214" t="s">
        <v>2971</v>
      </c>
      <c r="I400" s="230"/>
      <c r="J400" s="840">
        <v>0</v>
      </c>
      <c r="K400" s="840">
        <v>0</v>
      </c>
      <c r="L400" s="841">
        <f t="shared" si="81"/>
        <v>0</v>
      </c>
      <c r="M400" s="840">
        <v>0</v>
      </c>
      <c r="N400" s="840">
        <v>0</v>
      </c>
      <c r="O400" s="161">
        <f t="shared" si="82"/>
        <v>0</v>
      </c>
      <c r="P400" s="840">
        <v>0</v>
      </c>
      <c r="Q400" s="840">
        <v>0</v>
      </c>
      <c r="R400" s="841">
        <f t="shared" si="83"/>
        <v>0</v>
      </c>
      <c r="S400" s="840">
        <v>0</v>
      </c>
      <c r="T400" s="840">
        <v>0</v>
      </c>
      <c r="U400" s="161">
        <f t="shared" si="84"/>
        <v>0</v>
      </c>
      <c r="V400" s="841"/>
      <c r="W400" s="841"/>
      <c r="X400" s="841"/>
      <c r="Y400" s="233"/>
      <c r="Z400" s="233"/>
      <c r="AA400" s="233"/>
      <c r="AB400" s="214" t="s">
        <v>2971</v>
      </c>
      <c r="AD400" s="232">
        <f t="shared" si="85"/>
        <v>0</v>
      </c>
      <c r="AE400" s="232">
        <f t="shared" si="86"/>
        <v>0</v>
      </c>
      <c r="AG400" s="232">
        <f t="shared" si="79"/>
        <v>0</v>
      </c>
      <c r="AH400" s="232">
        <f t="shared" si="80"/>
        <v>0</v>
      </c>
      <c r="AI400" s="232"/>
    </row>
    <row r="401" spans="1:35" ht="27.6" x14ac:dyDescent="0.3">
      <c r="A401" s="46">
        <v>45</v>
      </c>
      <c r="B401" s="46" t="s">
        <v>94</v>
      </c>
      <c r="C401" s="46" t="s">
        <v>671</v>
      </c>
      <c r="D401" s="214" t="str">
        <f t="shared" si="87"/>
        <v>Do Not Print</v>
      </c>
      <c r="E401" s="214" t="s">
        <v>389</v>
      </c>
      <c r="F401" s="214" t="s">
        <v>404</v>
      </c>
      <c r="G401" s="214" t="s">
        <v>405</v>
      </c>
      <c r="H401" s="214" t="s">
        <v>2972</v>
      </c>
      <c r="I401" s="230"/>
      <c r="J401" s="840">
        <v>0</v>
      </c>
      <c r="K401" s="840">
        <v>0</v>
      </c>
      <c r="L401" s="841">
        <f t="shared" si="81"/>
        <v>0</v>
      </c>
      <c r="M401" s="840">
        <v>0</v>
      </c>
      <c r="N401" s="840">
        <v>0</v>
      </c>
      <c r="O401" s="161">
        <f t="shared" si="82"/>
        <v>0</v>
      </c>
      <c r="P401" s="840">
        <v>0</v>
      </c>
      <c r="Q401" s="840">
        <v>0</v>
      </c>
      <c r="R401" s="841">
        <f t="shared" si="83"/>
        <v>0</v>
      </c>
      <c r="S401" s="840">
        <v>0</v>
      </c>
      <c r="T401" s="840">
        <v>0</v>
      </c>
      <c r="U401" s="161">
        <f t="shared" si="84"/>
        <v>0</v>
      </c>
      <c r="V401" s="841"/>
      <c r="W401" s="841"/>
      <c r="X401" s="841"/>
      <c r="Y401" s="233"/>
      <c r="Z401" s="233"/>
      <c r="AA401" s="233"/>
      <c r="AB401" s="214" t="s">
        <v>2972</v>
      </c>
      <c r="AD401" s="232">
        <f t="shared" si="85"/>
        <v>0</v>
      </c>
      <c r="AE401" s="232">
        <f t="shared" si="86"/>
        <v>0</v>
      </c>
      <c r="AG401" s="232">
        <f t="shared" si="79"/>
        <v>0</v>
      </c>
      <c r="AH401" s="232">
        <f t="shared" si="80"/>
        <v>0</v>
      </c>
      <c r="AI401" s="232"/>
    </row>
    <row r="402" spans="1:35" ht="27.6" x14ac:dyDescent="0.3">
      <c r="A402" s="46">
        <v>45</v>
      </c>
      <c r="B402" s="46" t="s">
        <v>94</v>
      </c>
      <c r="C402" s="46" t="s">
        <v>671</v>
      </c>
      <c r="D402" s="214" t="str">
        <f t="shared" si="87"/>
        <v>Do Not Print</v>
      </c>
      <c r="E402" s="214" t="s">
        <v>389</v>
      </c>
      <c r="F402" s="214" t="s">
        <v>404</v>
      </c>
      <c r="G402" s="214" t="s">
        <v>405</v>
      </c>
      <c r="H402" s="214" t="s">
        <v>2973</v>
      </c>
      <c r="I402" s="230"/>
      <c r="J402" s="840">
        <v>0</v>
      </c>
      <c r="K402" s="840">
        <v>0</v>
      </c>
      <c r="L402" s="841">
        <f t="shared" si="81"/>
        <v>0</v>
      </c>
      <c r="M402" s="840">
        <v>0</v>
      </c>
      <c r="N402" s="840">
        <v>0</v>
      </c>
      <c r="O402" s="161">
        <f t="shared" si="82"/>
        <v>0</v>
      </c>
      <c r="P402" s="840">
        <v>0</v>
      </c>
      <c r="Q402" s="840">
        <v>0</v>
      </c>
      <c r="R402" s="841">
        <f t="shared" si="83"/>
        <v>0</v>
      </c>
      <c r="S402" s="840">
        <v>0</v>
      </c>
      <c r="T402" s="840">
        <v>0</v>
      </c>
      <c r="U402" s="161">
        <f t="shared" si="84"/>
        <v>0</v>
      </c>
      <c r="V402" s="841"/>
      <c r="W402" s="841"/>
      <c r="X402" s="841"/>
      <c r="Y402" s="233"/>
      <c r="Z402" s="233"/>
      <c r="AA402" s="233"/>
      <c r="AB402" s="214" t="s">
        <v>2973</v>
      </c>
      <c r="AD402" s="232">
        <f t="shared" si="85"/>
        <v>0</v>
      </c>
      <c r="AE402" s="232">
        <f t="shared" si="86"/>
        <v>0</v>
      </c>
      <c r="AG402" s="232">
        <f t="shared" si="79"/>
        <v>0</v>
      </c>
      <c r="AH402" s="232">
        <f t="shared" si="80"/>
        <v>0</v>
      </c>
      <c r="AI402" s="232"/>
    </row>
    <row r="403" spans="1:35" ht="27.6" x14ac:dyDescent="0.3">
      <c r="A403" s="46">
        <v>45</v>
      </c>
      <c r="B403" s="46" t="s">
        <v>94</v>
      </c>
      <c r="C403" s="46" t="s">
        <v>671</v>
      </c>
      <c r="D403" s="214" t="str">
        <f t="shared" si="87"/>
        <v>Do Not Print</v>
      </c>
      <c r="E403" s="214" t="s">
        <v>389</v>
      </c>
      <c r="F403" s="214" t="s">
        <v>404</v>
      </c>
      <c r="G403" s="214" t="s">
        <v>405</v>
      </c>
      <c r="H403" s="237" t="s">
        <v>496</v>
      </c>
      <c r="I403" s="230"/>
      <c r="J403" s="840">
        <v>0</v>
      </c>
      <c r="K403" s="840">
        <v>0</v>
      </c>
      <c r="L403" s="841">
        <f t="shared" si="81"/>
        <v>0</v>
      </c>
      <c r="M403" s="840">
        <v>0</v>
      </c>
      <c r="N403" s="840">
        <v>0</v>
      </c>
      <c r="O403" s="161">
        <f t="shared" si="82"/>
        <v>0</v>
      </c>
      <c r="P403" s="840">
        <v>0</v>
      </c>
      <c r="Q403" s="840">
        <v>0</v>
      </c>
      <c r="R403" s="841">
        <f t="shared" si="83"/>
        <v>0</v>
      </c>
      <c r="S403" s="840">
        <v>0</v>
      </c>
      <c r="T403" s="840">
        <v>0</v>
      </c>
      <c r="U403" s="161">
        <f t="shared" si="84"/>
        <v>0</v>
      </c>
      <c r="V403" s="841"/>
      <c r="W403" s="841"/>
      <c r="X403" s="841"/>
      <c r="Y403" s="233"/>
      <c r="Z403" s="233"/>
      <c r="AA403" s="233"/>
      <c r="AB403" s="213" t="s">
        <v>861</v>
      </c>
      <c r="AD403" s="232">
        <f t="shared" si="85"/>
        <v>0</v>
      </c>
      <c r="AE403" s="232">
        <f t="shared" si="86"/>
        <v>0</v>
      </c>
      <c r="AG403" s="232">
        <f t="shared" si="79"/>
        <v>0</v>
      </c>
      <c r="AH403" s="232">
        <f t="shared" si="80"/>
        <v>0</v>
      </c>
      <c r="AI403" s="232"/>
    </row>
    <row r="404" spans="1:35" ht="27.6" x14ac:dyDescent="0.3">
      <c r="A404" s="46">
        <v>45</v>
      </c>
      <c r="B404" s="46" t="s">
        <v>94</v>
      </c>
      <c r="C404" s="46" t="s">
        <v>671</v>
      </c>
      <c r="D404" s="214" t="str">
        <f>IF(AND(O404=0,U404=0,V404=0),"Do Not Print","Print")</f>
        <v>Do Not Print</v>
      </c>
      <c r="E404" s="214" t="s">
        <v>389</v>
      </c>
      <c r="F404" s="214" t="s">
        <v>404</v>
      </c>
      <c r="G404" s="214" t="s">
        <v>405</v>
      </c>
      <c r="H404" s="213" t="s">
        <v>1568</v>
      </c>
      <c r="I404" s="230"/>
      <c r="J404" s="840">
        <v>0</v>
      </c>
      <c r="K404" s="840">
        <v>0</v>
      </c>
      <c r="L404" s="841">
        <f t="shared" si="81"/>
        <v>0</v>
      </c>
      <c r="M404" s="840">
        <v>0</v>
      </c>
      <c r="N404" s="840">
        <v>0</v>
      </c>
      <c r="O404" s="161">
        <f t="shared" si="82"/>
        <v>0</v>
      </c>
      <c r="P404" s="840">
        <v>0</v>
      </c>
      <c r="Q404" s="840">
        <v>0</v>
      </c>
      <c r="R404" s="841">
        <f t="shared" si="83"/>
        <v>0</v>
      </c>
      <c r="S404" s="840">
        <v>0</v>
      </c>
      <c r="T404" s="840">
        <v>0</v>
      </c>
      <c r="U404" s="161">
        <f t="shared" si="84"/>
        <v>0</v>
      </c>
      <c r="V404" s="841"/>
      <c r="W404" s="841"/>
      <c r="X404" s="841"/>
      <c r="Y404" s="233"/>
      <c r="Z404" s="233"/>
      <c r="AA404" s="233"/>
      <c r="AB404" s="213" t="s">
        <v>1568</v>
      </c>
      <c r="AD404" s="232">
        <f t="shared" si="85"/>
        <v>0</v>
      </c>
      <c r="AE404" s="232">
        <f t="shared" si="86"/>
        <v>0</v>
      </c>
      <c r="AG404" s="232">
        <f t="shared" si="79"/>
        <v>0</v>
      </c>
      <c r="AH404" s="232">
        <f t="shared" si="80"/>
        <v>0</v>
      </c>
      <c r="AI404" s="232"/>
    </row>
    <row r="405" spans="1:35" ht="27.6" x14ac:dyDescent="0.3">
      <c r="A405" s="46">
        <v>45</v>
      </c>
      <c r="B405" s="46" t="s">
        <v>94</v>
      </c>
      <c r="C405" s="46" t="s">
        <v>671</v>
      </c>
      <c r="D405" s="214" t="str">
        <f t="shared" si="87"/>
        <v>Do Not Print</v>
      </c>
      <c r="E405" s="214" t="s">
        <v>389</v>
      </c>
      <c r="F405" s="214" t="s">
        <v>404</v>
      </c>
      <c r="G405" s="214" t="s">
        <v>405</v>
      </c>
      <c r="H405" s="214" t="s">
        <v>410</v>
      </c>
      <c r="I405" s="230"/>
      <c r="J405" s="840">
        <v>0</v>
      </c>
      <c r="K405" s="840">
        <v>0</v>
      </c>
      <c r="L405" s="841">
        <f t="shared" si="81"/>
        <v>0</v>
      </c>
      <c r="M405" s="840">
        <v>0</v>
      </c>
      <c r="N405" s="840">
        <v>0</v>
      </c>
      <c r="O405" s="161">
        <f t="shared" si="82"/>
        <v>0</v>
      </c>
      <c r="P405" s="840">
        <v>0</v>
      </c>
      <c r="Q405" s="840">
        <v>0</v>
      </c>
      <c r="R405" s="841">
        <f t="shared" si="83"/>
        <v>0</v>
      </c>
      <c r="S405" s="840">
        <v>0</v>
      </c>
      <c r="T405" s="840">
        <v>0</v>
      </c>
      <c r="U405" s="161">
        <f t="shared" si="84"/>
        <v>0</v>
      </c>
      <c r="V405" s="841"/>
      <c r="W405" s="841"/>
      <c r="X405" s="841"/>
      <c r="Y405" s="233"/>
      <c r="Z405" s="233"/>
      <c r="AA405" s="233"/>
      <c r="AB405" s="214" t="s">
        <v>410</v>
      </c>
      <c r="AD405" s="232">
        <f t="shared" si="85"/>
        <v>0</v>
      </c>
      <c r="AE405" s="232">
        <f t="shared" si="86"/>
        <v>0</v>
      </c>
      <c r="AG405" s="232">
        <f t="shared" si="79"/>
        <v>0</v>
      </c>
      <c r="AH405" s="232">
        <f t="shared" si="80"/>
        <v>0</v>
      </c>
      <c r="AI405" s="232"/>
    </row>
    <row r="406" spans="1:35" ht="27.6" x14ac:dyDescent="0.3">
      <c r="A406" s="46">
        <v>45</v>
      </c>
      <c r="B406" s="46" t="s">
        <v>94</v>
      </c>
      <c r="C406" s="46" t="s">
        <v>671</v>
      </c>
      <c r="D406" s="214" t="str">
        <f t="shared" si="87"/>
        <v>Do Not Print</v>
      </c>
      <c r="E406" s="214" t="s">
        <v>389</v>
      </c>
      <c r="F406" s="214" t="s">
        <v>404</v>
      </c>
      <c r="G406" s="214" t="s">
        <v>405</v>
      </c>
      <c r="H406" s="214" t="s">
        <v>498</v>
      </c>
      <c r="I406" s="230"/>
      <c r="J406" s="840">
        <v>0</v>
      </c>
      <c r="K406" s="840">
        <v>0</v>
      </c>
      <c r="L406" s="841">
        <f t="shared" si="81"/>
        <v>0</v>
      </c>
      <c r="M406" s="840">
        <v>0</v>
      </c>
      <c r="N406" s="840">
        <v>0</v>
      </c>
      <c r="O406" s="161">
        <f t="shared" si="82"/>
        <v>0</v>
      </c>
      <c r="P406" s="840">
        <v>0</v>
      </c>
      <c r="Q406" s="840">
        <v>0</v>
      </c>
      <c r="R406" s="841">
        <f t="shared" si="83"/>
        <v>0</v>
      </c>
      <c r="S406" s="840">
        <v>0</v>
      </c>
      <c r="T406" s="840">
        <v>0</v>
      </c>
      <c r="U406" s="161">
        <f t="shared" si="84"/>
        <v>0</v>
      </c>
      <c r="V406" s="841"/>
      <c r="W406" s="841"/>
      <c r="X406" s="841"/>
      <c r="Y406" s="233"/>
      <c r="Z406" s="233"/>
      <c r="AA406" s="233"/>
      <c r="AB406" s="214" t="s">
        <v>498</v>
      </c>
      <c r="AD406" s="232">
        <f t="shared" si="85"/>
        <v>0</v>
      </c>
      <c r="AE406" s="232">
        <f t="shared" si="86"/>
        <v>0</v>
      </c>
      <c r="AG406" s="232">
        <f t="shared" si="79"/>
        <v>0</v>
      </c>
      <c r="AH406" s="232">
        <f t="shared" si="80"/>
        <v>0</v>
      </c>
      <c r="AI406" s="232"/>
    </row>
    <row r="407" spans="1:35" ht="27.6" x14ac:dyDescent="0.3">
      <c r="A407" s="46">
        <v>45</v>
      </c>
      <c r="B407" s="46" t="s">
        <v>94</v>
      </c>
      <c r="C407" s="46" t="s">
        <v>671</v>
      </c>
      <c r="D407" s="214" t="str">
        <f t="shared" si="87"/>
        <v>Do Not Print</v>
      </c>
      <c r="E407" s="214" t="s">
        <v>389</v>
      </c>
      <c r="F407" s="214" t="s">
        <v>404</v>
      </c>
      <c r="G407" s="214" t="s">
        <v>405</v>
      </c>
      <c r="H407" s="214" t="s">
        <v>499</v>
      </c>
      <c r="I407" s="230"/>
      <c r="J407" s="840">
        <v>0</v>
      </c>
      <c r="K407" s="840">
        <v>0</v>
      </c>
      <c r="L407" s="841">
        <f t="shared" si="81"/>
        <v>0</v>
      </c>
      <c r="M407" s="840">
        <v>0</v>
      </c>
      <c r="N407" s="840">
        <v>0</v>
      </c>
      <c r="O407" s="161">
        <f t="shared" si="82"/>
        <v>0</v>
      </c>
      <c r="P407" s="840">
        <v>0</v>
      </c>
      <c r="Q407" s="840">
        <v>0</v>
      </c>
      <c r="R407" s="841">
        <f t="shared" si="83"/>
        <v>0</v>
      </c>
      <c r="S407" s="840">
        <v>0</v>
      </c>
      <c r="T407" s="840">
        <v>0</v>
      </c>
      <c r="U407" s="161">
        <f t="shared" si="84"/>
        <v>0</v>
      </c>
      <c r="V407" s="841"/>
      <c r="W407" s="841"/>
      <c r="X407" s="841"/>
      <c r="Y407" s="233"/>
      <c r="Z407" s="233"/>
      <c r="AA407" s="233"/>
      <c r="AB407" s="214" t="s">
        <v>499</v>
      </c>
      <c r="AD407" s="232">
        <f t="shared" si="85"/>
        <v>0</v>
      </c>
      <c r="AE407" s="232">
        <f t="shared" si="86"/>
        <v>0</v>
      </c>
      <c r="AG407" s="232">
        <f t="shared" si="79"/>
        <v>0</v>
      </c>
      <c r="AH407" s="232">
        <f t="shared" si="80"/>
        <v>0</v>
      </c>
      <c r="AI407" s="232"/>
    </row>
    <row r="408" spans="1:35" ht="27.6" x14ac:dyDescent="0.3">
      <c r="A408" s="46">
        <v>45</v>
      </c>
      <c r="B408" s="46" t="s">
        <v>94</v>
      </c>
      <c r="C408" s="46" t="s">
        <v>671</v>
      </c>
      <c r="D408" s="214" t="str">
        <f t="shared" si="87"/>
        <v>Do Not Print</v>
      </c>
      <c r="E408" s="214" t="s">
        <v>389</v>
      </c>
      <c r="F408" s="214" t="s">
        <v>404</v>
      </c>
      <c r="G408" s="214" t="s">
        <v>405</v>
      </c>
      <c r="H408" s="214" t="s">
        <v>411</v>
      </c>
      <c r="I408" s="230"/>
      <c r="J408" s="844">
        <v>0</v>
      </c>
      <c r="K408" s="840">
        <v>0</v>
      </c>
      <c r="L408" s="841">
        <f t="shared" si="81"/>
        <v>0</v>
      </c>
      <c r="M408" s="844">
        <v>0</v>
      </c>
      <c r="N408" s="840">
        <v>0</v>
      </c>
      <c r="O408" s="161">
        <f t="shared" si="82"/>
        <v>0</v>
      </c>
      <c r="P408" s="844">
        <v>0</v>
      </c>
      <c r="Q408" s="840">
        <v>0</v>
      </c>
      <c r="R408" s="841">
        <f t="shared" si="83"/>
        <v>0</v>
      </c>
      <c r="S408" s="844">
        <v>0</v>
      </c>
      <c r="T408" s="840">
        <v>0</v>
      </c>
      <c r="U408" s="161">
        <f t="shared" si="84"/>
        <v>0</v>
      </c>
      <c r="V408" s="841"/>
      <c r="W408" s="841"/>
      <c r="X408" s="841"/>
      <c r="Y408" s="233"/>
      <c r="Z408" s="233"/>
      <c r="AA408" s="233"/>
      <c r="AB408" s="214" t="s">
        <v>411</v>
      </c>
      <c r="AD408" s="232">
        <f t="shared" si="85"/>
        <v>0</v>
      </c>
      <c r="AE408" s="232">
        <f t="shared" si="86"/>
        <v>0</v>
      </c>
      <c r="AG408" s="232">
        <f t="shared" ref="AG408:AG437" si="88">ROUND(O408,0)</f>
        <v>0</v>
      </c>
      <c r="AH408" s="232">
        <f t="shared" si="80"/>
        <v>0</v>
      </c>
      <c r="AI408" s="232"/>
    </row>
    <row r="409" spans="1:35" ht="27.6" x14ac:dyDescent="0.3">
      <c r="A409" s="46">
        <v>45</v>
      </c>
      <c r="B409" s="46" t="s">
        <v>94</v>
      </c>
      <c r="C409" s="46" t="s">
        <v>671</v>
      </c>
      <c r="D409" s="214" t="str">
        <f t="shared" si="87"/>
        <v>Do Not Print</v>
      </c>
      <c r="E409" s="214" t="s">
        <v>389</v>
      </c>
      <c r="F409" s="214" t="s">
        <v>404</v>
      </c>
      <c r="G409" s="214" t="s">
        <v>405</v>
      </c>
      <c r="H409" s="214" t="s">
        <v>412</v>
      </c>
      <c r="I409" s="230"/>
      <c r="J409" s="844">
        <v>0</v>
      </c>
      <c r="K409" s="840">
        <v>0</v>
      </c>
      <c r="L409" s="841">
        <f t="shared" si="81"/>
        <v>0</v>
      </c>
      <c r="M409" s="844">
        <v>0</v>
      </c>
      <c r="N409" s="840">
        <v>0</v>
      </c>
      <c r="O409" s="161">
        <f t="shared" si="82"/>
        <v>0</v>
      </c>
      <c r="P409" s="844">
        <v>0</v>
      </c>
      <c r="Q409" s="840">
        <v>0</v>
      </c>
      <c r="R409" s="841">
        <f t="shared" si="83"/>
        <v>0</v>
      </c>
      <c r="S409" s="844">
        <v>0</v>
      </c>
      <c r="T409" s="840">
        <v>0</v>
      </c>
      <c r="U409" s="161">
        <f t="shared" si="84"/>
        <v>0</v>
      </c>
      <c r="V409" s="841"/>
      <c r="W409" s="841"/>
      <c r="X409" s="841"/>
      <c r="Y409" s="233"/>
      <c r="Z409" s="233"/>
      <c r="AA409" s="233"/>
      <c r="AB409" s="214" t="s">
        <v>412</v>
      </c>
      <c r="AD409" s="232">
        <f t="shared" si="85"/>
        <v>0</v>
      </c>
      <c r="AE409" s="232">
        <f t="shared" si="86"/>
        <v>0</v>
      </c>
      <c r="AG409" s="232">
        <f t="shared" si="88"/>
        <v>0</v>
      </c>
      <c r="AH409" s="232">
        <f t="shared" si="80"/>
        <v>0</v>
      </c>
      <c r="AI409" s="232"/>
    </row>
    <row r="410" spans="1:35" ht="27.6" x14ac:dyDescent="0.3">
      <c r="A410" s="46">
        <v>46</v>
      </c>
      <c r="B410" s="46" t="s">
        <v>95</v>
      </c>
      <c r="C410" s="46" t="s">
        <v>671</v>
      </c>
      <c r="D410" s="214" t="str">
        <f t="shared" si="87"/>
        <v>Do Not Print</v>
      </c>
      <c r="E410" s="214" t="s">
        <v>389</v>
      </c>
      <c r="F410" s="214" t="s">
        <v>404</v>
      </c>
      <c r="G410" s="214" t="s">
        <v>413</v>
      </c>
      <c r="H410" s="214" t="s">
        <v>406</v>
      </c>
      <c r="I410" s="230"/>
      <c r="J410" s="839">
        <f>SUM(P410:P418)+SUM(Q410:Q418)</f>
        <v>0</v>
      </c>
      <c r="K410" s="840">
        <v>0</v>
      </c>
      <c r="L410" s="841">
        <f t="shared" si="81"/>
        <v>0</v>
      </c>
      <c r="M410" s="839">
        <f>SUM(S410:S418)+SUM(T410:T418)</f>
        <v>0</v>
      </c>
      <c r="N410" s="840">
        <v>0</v>
      </c>
      <c r="O410" s="161">
        <f t="shared" si="82"/>
        <v>0</v>
      </c>
      <c r="P410" s="840">
        <v>0</v>
      </c>
      <c r="Q410" s="840">
        <v>0</v>
      </c>
      <c r="R410" s="841">
        <f t="shared" si="83"/>
        <v>0</v>
      </c>
      <c r="S410" s="840">
        <v>0</v>
      </c>
      <c r="T410" s="840">
        <v>0</v>
      </c>
      <c r="U410" s="161">
        <f t="shared" si="84"/>
        <v>0</v>
      </c>
      <c r="V410" s="841"/>
      <c r="W410" s="841"/>
      <c r="X410" s="841"/>
      <c r="Y410" s="233"/>
      <c r="Z410" s="233"/>
      <c r="AA410" s="233"/>
      <c r="AB410" s="214" t="s">
        <v>406</v>
      </c>
      <c r="AD410" s="232">
        <f t="shared" si="85"/>
        <v>0</v>
      </c>
      <c r="AE410" s="232">
        <f t="shared" si="86"/>
        <v>0</v>
      </c>
      <c r="AG410" s="232">
        <f t="shared" si="88"/>
        <v>0</v>
      </c>
      <c r="AH410" s="232">
        <f t="shared" si="80"/>
        <v>0</v>
      </c>
      <c r="AI410" s="232"/>
    </row>
    <row r="411" spans="1:35" ht="27.6" x14ac:dyDescent="0.3">
      <c r="A411" s="46">
        <v>46</v>
      </c>
      <c r="B411" s="46" t="s">
        <v>95</v>
      </c>
      <c r="C411" s="46" t="s">
        <v>671</v>
      </c>
      <c r="D411" s="214" t="str">
        <f t="shared" si="87"/>
        <v>Do Not Print</v>
      </c>
      <c r="E411" s="214" t="s">
        <v>389</v>
      </c>
      <c r="F411" s="214" t="s">
        <v>404</v>
      </c>
      <c r="G411" s="214" t="s">
        <v>413</v>
      </c>
      <c r="H411" s="213" t="s">
        <v>1585</v>
      </c>
      <c r="I411" s="230"/>
      <c r="J411" s="840">
        <v>0</v>
      </c>
      <c r="K411" s="840">
        <v>0</v>
      </c>
      <c r="L411" s="841">
        <f t="shared" si="81"/>
        <v>0</v>
      </c>
      <c r="M411" s="840">
        <v>0</v>
      </c>
      <c r="N411" s="840">
        <v>0</v>
      </c>
      <c r="O411" s="161">
        <f t="shared" si="82"/>
        <v>0</v>
      </c>
      <c r="P411" s="840">
        <v>0</v>
      </c>
      <c r="Q411" s="840">
        <v>0</v>
      </c>
      <c r="R411" s="841">
        <f t="shared" si="83"/>
        <v>0</v>
      </c>
      <c r="S411" s="840">
        <v>0</v>
      </c>
      <c r="T411" s="840">
        <v>0</v>
      </c>
      <c r="U411" s="161">
        <f t="shared" si="84"/>
        <v>0</v>
      </c>
      <c r="V411" s="841"/>
      <c r="W411" s="841"/>
      <c r="X411" s="841"/>
      <c r="Y411" s="233"/>
      <c r="Z411" s="233"/>
      <c r="AA411" s="233"/>
      <c r="AB411" s="214" t="s">
        <v>414</v>
      </c>
      <c r="AD411" s="232">
        <f t="shared" si="85"/>
        <v>0</v>
      </c>
      <c r="AE411" s="232">
        <f t="shared" si="86"/>
        <v>0</v>
      </c>
      <c r="AG411" s="232">
        <f t="shared" si="88"/>
        <v>0</v>
      </c>
      <c r="AH411" s="232">
        <f t="shared" si="80"/>
        <v>0</v>
      </c>
      <c r="AI411" s="232"/>
    </row>
    <row r="412" spans="1:35" ht="27.6" x14ac:dyDescent="0.3">
      <c r="A412" s="46">
        <v>46</v>
      </c>
      <c r="B412" s="46" t="s">
        <v>95</v>
      </c>
      <c r="C412" s="46" t="s">
        <v>671</v>
      </c>
      <c r="D412" s="214" t="str">
        <f t="shared" si="87"/>
        <v>Do Not Print</v>
      </c>
      <c r="E412" s="214" t="s">
        <v>389</v>
      </c>
      <c r="F412" s="214" t="s">
        <v>404</v>
      </c>
      <c r="G412" s="214" t="s">
        <v>413</v>
      </c>
      <c r="H412" s="214" t="s">
        <v>409</v>
      </c>
      <c r="I412" s="230"/>
      <c r="J412" s="839">
        <f>J399+K399</f>
        <v>0</v>
      </c>
      <c r="K412" s="840">
        <v>0</v>
      </c>
      <c r="L412" s="841">
        <f t="shared" si="81"/>
        <v>0</v>
      </c>
      <c r="M412" s="839">
        <f>M399+N399</f>
        <v>0</v>
      </c>
      <c r="N412" s="840">
        <v>0</v>
      </c>
      <c r="O412" s="161">
        <f t="shared" si="82"/>
        <v>0</v>
      </c>
      <c r="P412" s="840">
        <v>0</v>
      </c>
      <c r="Q412" s="840">
        <v>0</v>
      </c>
      <c r="R412" s="841">
        <f t="shared" si="83"/>
        <v>0</v>
      </c>
      <c r="S412" s="840">
        <v>0</v>
      </c>
      <c r="T412" s="840">
        <v>0</v>
      </c>
      <c r="U412" s="161">
        <f t="shared" si="84"/>
        <v>0</v>
      </c>
      <c r="V412" s="841"/>
      <c r="W412" s="841"/>
      <c r="X412" s="841"/>
      <c r="Y412" s="233"/>
      <c r="Z412" s="233"/>
      <c r="AA412" s="233"/>
      <c r="AB412" s="214" t="s">
        <v>409</v>
      </c>
      <c r="AD412" s="232">
        <f t="shared" si="85"/>
        <v>0</v>
      </c>
      <c r="AE412" s="232">
        <f t="shared" si="86"/>
        <v>0</v>
      </c>
      <c r="AG412" s="232">
        <f t="shared" si="88"/>
        <v>0</v>
      </c>
      <c r="AH412" s="232">
        <f t="shared" si="80"/>
        <v>0</v>
      </c>
      <c r="AI412" s="232"/>
    </row>
    <row r="413" spans="1:35" ht="27.6" x14ac:dyDescent="0.3">
      <c r="A413" s="46">
        <v>46</v>
      </c>
      <c r="B413" s="46" t="s">
        <v>95</v>
      </c>
      <c r="C413" s="46" t="s">
        <v>671</v>
      </c>
      <c r="D413" s="214" t="str">
        <f t="shared" si="87"/>
        <v>Do Not Print</v>
      </c>
      <c r="E413" s="214" t="s">
        <v>389</v>
      </c>
      <c r="F413" s="214" t="s">
        <v>404</v>
      </c>
      <c r="G413" s="214" t="s">
        <v>413</v>
      </c>
      <c r="H413" s="214" t="s">
        <v>415</v>
      </c>
      <c r="I413" s="230"/>
      <c r="J413" s="840">
        <v>0</v>
      </c>
      <c r="K413" s="840">
        <v>0</v>
      </c>
      <c r="L413" s="841">
        <f t="shared" si="81"/>
        <v>0</v>
      </c>
      <c r="M413" s="840">
        <v>0</v>
      </c>
      <c r="N413" s="840">
        <v>0</v>
      </c>
      <c r="O413" s="161">
        <f t="shared" si="82"/>
        <v>0</v>
      </c>
      <c r="P413" s="840">
        <v>0</v>
      </c>
      <c r="Q413" s="840">
        <v>0</v>
      </c>
      <c r="R413" s="841">
        <f t="shared" si="83"/>
        <v>0</v>
      </c>
      <c r="S413" s="840">
        <v>0</v>
      </c>
      <c r="T413" s="840">
        <v>0</v>
      </c>
      <c r="U413" s="161">
        <f t="shared" si="84"/>
        <v>0</v>
      </c>
      <c r="V413" s="841"/>
      <c r="W413" s="841"/>
      <c r="X413" s="841"/>
      <c r="Y413" s="233"/>
      <c r="Z413" s="233"/>
      <c r="AA413" s="233"/>
      <c r="AB413" s="214" t="s">
        <v>415</v>
      </c>
      <c r="AD413" s="232">
        <f t="shared" si="85"/>
        <v>0</v>
      </c>
      <c r="AE413" s="232">
        <f t="shared" si="86"/>
        <v>0</v>
      </c>
      <c r="AG413" s="232">
        <f t="shared" si="88"/>
        <v>0</v>
      </c>
      <c r="AH413" s="232">
        <f t="shared" si="80"/>
        <v>0</v>
      </c>
      <c r="AI413" s="232"/>
    </row>
    <row r="414" spans="1:35" ht="27.6" x14ac:dyDescent="0.3">
      <c r="A414" s="46">
        <v>46</v>
      </c>
      <c r="B414" s="46" t="s">
        <v>95</v>
      </c>
      <c r="C414" s="46" t="s">
        <v>671</v>
      </c>
      <c r="D414" s="214" t="str">
        <f t="shared" si="87"/>
        <v>Do Not Print</v>
      </c>
      <c r="E414" s="214" t="s">
        <v>389</v>
      </c>
      <c r="F414" s="214" t="s">
        <v>404</v>
      </c>
      <c r="G414" s="214" t="s">
        <v>413</v>
      </c>
      <c r="H414" s="214" t="s">
        <v>416</v>
      </c>
      <c r="I414" s="230"/>
      <c r="J414" s="840">
        <v>0</v>
      </c>
      <c r="K414" s="840">
        <v>0</v>
      </c>
      <c r="L414" s="841">
        <f t="shared" si="81"/>
        <v>0</v>
      </c>
      <c r="M414" s="840">
        <v>0</v>
      </c>
      <c r="N414" s="840">
        <v>0</v>
      </c>
      <c r="O414" s="161">
        <f t="shared" si="82"/>
        <v>0</v>
      </c>
      <c r="P414" s="840">
        <v>0</v>
      </c>
      <c r="Q414" s="840">
        <v>0</v>
      </c>
      <c r="R414" s="841">
        <f t="shared" si="83"/>
        <v>0</v>
      </c>
      <c r="S414" s="840">
        <v>0</v>
      </c>
      <c r="T414" s="840">
        <v>0</v>
      </c>
      <c r="U414" s="161">
        <f t="shared" si="84"/>
        <v>0</v>
      </c>
      <c r="V414" s="841"/>
      <c r="W414" s="841"/>
      <c r="X414" s="841"/>
      <c r="Y414" s="233"/>
      <c r="Z414" s="233"/>
      <c r="AA414" s="233"/>
      <c r="AB414" s="214" t="s">
        <v>416</v>
      </c>
      <c r="AD414" s="232">
        <f t="shared" si="85"/>
        <v>0</v>
      </c>
      <c r="AE414" s="232">
        <f t="shared" si="86"/>
        <v>0</v>
      </c>
      <c r="AG414" s="232">
        <f t="shared" si="88"/>
        <v>0</v>
      </c>
      <c r="AH414" s="232">
        <f t="shared" si="80"/>
        <v>0</v>
      </c>
      <c r="AI414" s="232"/>
    </row>
    <row r="415" spans="1:35" ht="27.6" x14ac:dyDescent="0.3">
      <c r="A415" s="46">
        <v>46</v>
      </c>
      <c r="B415" s="46" t="s">
        <v>95</v>
      </c>
      <c r="C415" s="46" t="s">
        <v>671</v>
      </c>
      <c r="D415" s="214" t="str">
        <f t="shared" si="87"/>
        <v>Do Not Print</v>
      </c>
      <c r="E415" s="214" t="s">
        <v>389</v>
      </c>
      <c r="F415" s="214" t="s">
        <v>404</v>
      </c>
      <c r="G415" s="214" t="s">
        <v>413</v>
      </c>
      <c r="H415" s="213" t="s">
        <v>2974</v>
      </c>
      <c r="I415" s="230"/>
      <c r="J415" s="840">
        <v>0</v>
      </c>
      <c r="K415" s="840">
        <v>0</v>
      </c>
      <c r="L415" s="841">
        <f t="shared" si="81"/>
        <v>0</v>
      </c>
      <c r="M415" s="840">
        <v>0</v>
      </c>
      <c r="N415" s="840">
        <v>0</v>
      </c>
      <c r="O415" s="161">
        <f t="shared" si="82"/>
        <v>0</v>
      </c>
      <c r="P415" s="840">
        <v>0</v>
      </c>
      <c r="Q415" s="840">
        <v>0</v>
      </c>
      <c r="R415" s="841">
        <f t="shared" si="83"/>
        <v>0</v>
      </c>
      <c r="S415" s="840">
        <v>0</v>
      </c>
      <c r="T415" s="840">
        <v>0</v>
      </c>
      <c r="U415" s="161">
        <f t="shared" si="84"/>
        <v>0</v>
      </c>
      <c r="V415" s="841"/>
      <c r="W415" s="841"/>
      <c r="X415" s="841"/>
      <c r="Y415" s="233"/>
      <c r="Z415" s="233"/>
      <c r="AA415" s="233"/>
      <c r="AB415" s="214" t="s">
        <v>761</v>
      </c>
      <c r="AD415" s="232">
        <f t="shared" si="85"/>
        <v>0</v>
      </c>
      <c r="AE415" s="232">
        <f t="shared" si="86"/>
        <v>0</v>
      </c>
      <c r="AG415" s="232">
        <f t="shared" si="88"/>
        <v>0</v>
      </c>
      <c r="AH415" s="232">
        <f t="shared" si="80"/>
        <v>0</v>
      </c>
      <c r="AI415" s="232"/>
    </row>
    <row r="416" spans="1:35" ht="27.6" x14ac:dyDescent="0.3">
      <c r="A416" s="46">
        <v>46</v>
      </c>
      <c r="B416" s="46" t="s">
        <v>95</v>
      </c>
      <c r="C416" s="46" t="s">
        <v>671</v>
      </c>
      <c r="D416" s="214" t="str">
        <f t="shared" si="87"/>
        <v>Do Not Print</v>
      </c>
      <c r="E416" s="214" t="s">
        <v>389</v>
      </c>
      <c r="F416" s="214" t="s">
        <v>404</v>
      </c>
      <c r="G416" s="214" t="s">
        <v>413</v>
      </c>
      <c r="H416" s="214" t="s">
        <v>504</v>
      </c>
      <c r="I416" s="230"/>
      <c r="J416" s="840">
        <v>0</v>
      </c>
      <c r="K416" s="840">
        <v>0</v>
      </c>
      <c r="L416" s="841">
        <f t="shared" si="81"/>
        <v>0</v>
      </c>
      <c r="M416" s="840">
        <v>0</v>
      </c>
      <c r="N416" s="840">
        <v>0</v>
      </c>
      <c r="O416" s="161">
        <f t="shared" si="82"/>
        <v>0</v>
      </c>
      <c r="P416" s="840">
        <v>0</v>
      </c>
      <c r="Q416" s="840">
        <v>0</v>
      </c>
      <c r="R416" s="841">
        <f t="shared" si="83"/>
        <v>0</v>
      </c>
      <c r="S416" s="840">
        <v>0</v>
      </c>
      <c r="T416" s="840">
        <v>0</v>
      </c>
      <c r="U416" s="161">
        <f t="shared" si="84"/>
        <v>0</v>
      </c>
      <c r="V416" s="841"/>
      <c r="W416" s="841"/>
      <c r="X416" s="841"/>
      <c r="Y416" s="233"/>
      <c r="Z416" s="233"/>
      <c r="AA416" s="233"/>
      <c r="AB416" s="214" t="s">
        <v>504</v>
      </c>
      <c r="AD416" s="232">
        <f t="shared" si="85"/>
        <v>0</v>
      </c>
      <c r="AE416" s="232">
        <f t="shared" si="86"/>
        <v>0</v>
      </c>
      <c r="AG416" s="232">
        <f t="shared" si="88"/>
        <v>0</v>
      </c>
      <c r="AH416" s="232">
        <f t="shared" si="80"/>
        <v>0</v>
      </c>
      <c r="AI416" s="232"/>
    </row>
    <row r="417" spans="1:35" ht="27.6" x14ac:dyDescent="0.3">
      <c r="A417" s="46">
        <v>46</v>
      </c>
      <c r="B417" s="46" t="s">
        <v>95</v>
      </c>
      <c r="C417" s="46" t="s">
        <v>671</v>
      </c>
      <c r="D417" s="214" t="str">
        <f t="shared" si="87"/>
        <v>Do Not Print</v>
      </c>
      <c r="E417" s="214" t="s">
        <v>389</v>
      </c>
      <c r="F417" s="214" t="s">
        <v>404</v>
      </c>
      <c r="G417" s="214" t="s">
        <v>413</v>
      </c>
      <c r="H417" s="214" t="s">
        <v>417</v>
      </c>
      <c r="I417" s="230"/>
      <c r="J417" s="839">
        <f>J408+K408</f>
        <v>0</v>
      </c>
      <c r="K417" s="840">
        <v>0</v>
      </c>
      <c r="L417" s="841">
        <f t="shared" si="81"/>
        <v>0</v>
      </c>
      <c r="M417" s="839">
        <f>M408+N408</f>
        <v>0</v>
      </c>
      <c r="N417" s="840">
        <v>0</v>
      </c>
      <c r="O417" s="161">
        <f t="shared" si="82"/>
        <v>0</v>
      </c>
      <c r="P417" s="842">
        <v>0</v>
      </c>
      <c r="Q417" s="840">
        <v>0</v>
      </c>
      <c r="R417" s="841">
        <f t="shared" si="83"/>
        <v>0</v>
      </c>
      <c r="S417" s="842">
        <v>0</v>
      </c>
      <c r="T417" s="840">
        <v>0</v>
      </c>
      <c r="U417" s="161">
        <f t="shared" si="84"/>
        <v>0</v>
      </c>
      <c r="V417" s="841"/>
      <c r="W417" s="841"/>
      <c r="X417" s="841"/>
      <c r="Y417" s="233"/>
      <c r="Z417" s="233"/>
      <c r="AA417" s="233"/>
      <c r="AB417" s="214" t="s">
        <v>417</v>
      </c>
      <c r="AD417" s="232">
        <f t="shared" si="85"/>
        <v>0</v>
      </c>
      <c r="AE417" s="232">
        <f t="shared" si="86"/>
        <v>0</v>
      </c>
      <c r="AG417" s="232">
        <f t="shared" si="88"/>
        <v>0</v>
      </c>
      <c r="AH417" s="232">
        <f t="shared" ref="AH417:AH437" si="89">ROUND(U417,0)</f>
        <v>0</v>
      </c>
      <c r="AI417" s="232"/>
    </row>
    <row r="418" spans="1:35" ht="27.6" x14ac:dyDescent="0.3">
      <c r="A418" s="46">
        <v>46</v>
      </c>
      <c r="B418" s="46" t="s">
        <v>95</v>
      </c>
      <c r="C418" s="46" t="s">
        <v>671</v>
      </c>
      <c r="D418" s="214" t="str">
        <f t="shared" si="87"/>
        <v>Do Not Print</v>
      </c>
      <c r="E418" s="214" t="s">
        <v>389</v>
      </c>
      <c r="F418" s="214" t="s">
        <v>404</v>
      </c>
      <c r="G418" s="214" t="s">
        <v>413</v>
      </c>
      <c r="H418" s="214" t="s">
        <v>418</v>
      </c>
      <c r="I418" s="230"/>
      <c r="J418" s="839">
        <f>J409+K409</f>
        <v>0</v>
      </c>
      <c r="K418" s="840">
        <v>0</v>
      </c>
      <c r="L418" s="841">
        <f t="shared" si="81"/>
        <v>0</v>
      </c>
      <c r="M418" s="839">
        <f>M409+N409</f>
        <v>0</v>
      </c>
      <c r="N418" s="840">
        <v>0</v>
      </c>
      <c r="O418" s="161">
        <f t="shared" si="82"/>
        <v>0</v>
      </c>
      <c r="P418" s="842">
        <v>0</v>
      </c>
      <c r="Q418" s="840">
        <v>0</v>
      </c>
      <c r="R418" s="841">
        <f t="shared" si="83"/>
        <v>0</v>
      </c>
      <c r="S418" s="842">
        <v>0</v>
      </c>
      <c r="T418" s="840">
        <v>0</v>
      </c>
      <c r="U418" s="161">
        <f t="shared" si="84"/>
        <v>0</v>
      </c>
      <c r="V418" s="841"/>
      <c r="W418" s="841"/>
      <c r="X418" s="841"/>
      <c r="Y418" s="233"/>
      <c r="Z418" s="233"/>
      <c r="AA418" s="233"/>
      <c r="AB418" s="214" t="s">
        <v>418</v>
      </c>
      <c r="AD418" s="232">
        <f t="shared" si="85"/>
        <v>0</v>
      </c>
      <c r="AE418" s="232">
        <f t="shared" si="86"/>
        <v>0</v>
      </c>
      <c r="AG418" s="232">
        <f t="shared" si="88"/>
        <v>0</v>
      </c>
      <c r="AH418" s="232">
        <f t="shared" si="89"/>
        <v>0</v>
      </c>
      <c r="AI418" s="232"/>
    </row>
    <row r="419" spans="1:35" ht="27.6" x14ac:dyDescent="0.3">
      <c r="A419" s="46">
        <v>47</v>
      </c>
      <c r="B419" s="46" t="s">
        <v>1592</v>
      </c>
      <c r="C419" s="46" t="s">
        <v>671</v>
      </c>
      <c r="D419" s="214" t="str">
        <f>IF(AND(O419=0,U419=0,V419=0),"Do Not Print","Print")</f>
        <v>Do Not Print</v>
      </c>
      <c r="E419" s="214" t="s">
        <v>389</v>
      </c>
      <c r="F419" s="213" t="s">
        <v>1132</v>
      </c>
      <c r="G419" s="214" t="s">
        <v>402</v>
      </c>
      <c r="H419" s="214" t="s">
        <v>402</v>
      </c>
      <c r="I419" s="230"/>
      <c r="J419" s="839">
        <f>'Notes 11c to 24'!K1274</f>
        <v>0</v>
      </c>
      <c r="K419" s="840">
        <v>0</v>
      </c>
      <c r="L419" s="841">
        <f t="shared" si="81"/>
        <v>0</v>
      </c>
      <c r="M419" s="840">
        <v>0</v>
      </c>
      <c r="N419" s="840">
        <v>0</v>
      </c>
      <c r="O419" s="161">
        <f t="shared" si="82"/>
        <v>0</v>
      </c>
      <c r="P419" s="840">
        <v>0</v>
      </c>
      <c r="Q419" s="840">
        <v>0</v>
      </c>
      <c r="R419" s="841">
        <f t="shared" si="83"/>
        <v>0</v>
      </c>
      <c r="S419" s="840">
        <v>0</v>
      </c>
      <c r="T419" s="840">
        <v>0</v>
      </c>
      <c r="U419" s="161">
        <f t="shared" si="84"/>
        <v>0</v>
      </c>
      <c r="V419" s="841"/>
      <c r="W419" s="841"/>
      <c r="X419" s="841"/>
      <c r="Y419" s="233"/>
      <c r="Z419" s="233"/>
      <c r="AA419" s="233"/>
      <c r="AB419" s="214" t="s">
        <v>402</v>
      </c>
      <c r="AD419" s="232">
        <f t="shared" si="85"/>
        <v>0</v>
      </c>
      <c r="AE419" s="232">
        <f t="shared" si="86"/>
        <v>0</v>
      </c>
      <c r="AG419" s="232">
        <f t="shared" si="88"/>
        <v>0</v>
      </c>
      <c r="AH419" s="232">
        <f t="shared" si="89"/>
        <v>0</v>
      </c>
      <c r="AI419" s="232"/>
    </row>
    <row r="420" spans="1:35" ht="41.4" x14ac:dyDescent="0.3">
      <c r="A420" s="46">
        <v>48</v>
      </c>
      <c r="B420" s="46" t="s">
        <v>130</v>
      </c>
      <c r="C420" s="46" t="s">
        <v>671</v>
      </c>
      <c r="D420" s="214" t="str">
        <f t="shared" si="87"/>
        <v>Do Not Print</v>
      </c>
      <c r="E420" s="214" t="s">
        <v>389</v>
      </c>
      <c r="F420" s="214" t="s">
        <v>419</v>
      </c>
      <c r="G420" s="214" t="s">
        <v>402</v>
      </c>
      <c r="H420" s="214" t="s">
        <v>402</v>
      </c>
      <c r="I420" s="230"/>
      <c r="J420" s="839">
        <f>'Notes 11c to 24'!K1296</f>
        <v>0</v>
      </c>
      <c r="K420" s="840">
        <v>0</v>
      </c>
      <c r="L420" s="841">
        <f t="shared" si="81"/>
        <v>0</v>
      </c>
      <c r="M420" s="840">
        <v>0</v>
      </c>
      <c r="N420" s="840">
        <v>0</v>
      </c>
      <c r="O420" s="161">
        <f t="shared" si="82"/>
        <v>0</v>
      </c>
      <c r="P420" s="840">
        <v>0</v>
      </c>
      <c r="Q420" s="840">
        <v>0</v>
      </c>
      <c r="R420" s="841">
        <f t="shared" si="83"/>
        <v>0</v>
      </c>
      <c r="S420" s="840">
        <v>0</v>
      </c>
      <c r="T420" s="840">
        <v>0</v>
      </c>
      <c r="U420" s="161">
        <f t="shared" si="84"/>
        <v>0</v>
      </c>
      <c r="V420" s="841"/>
      <c r="W420" s="841"/>
      <c r="X420" s="841"/>
      <c r="Y420" s="233"/>
      <c r="Z420" s="233"/>
      <c r="AA420" s="233"/>
      <c r="AB420" s="214" t="s">
        <v>402</v>
      </c>
      <c r="AD420" s="232">
        <f t="shared" si="85"/>
        <v>0</v>
      </c>
      <c r="AE420" s="232">
        <f t="shared" si="86"/>
        <v>0</v>
      </c>
      <c r="AG420" s="232">
        <f t="shared" si="88"/>
        <v>0</v>
      </c>
      <c r="AH420" s="232">
        <f t="shared" si="89"/>
        <v>0</v>
      </c>
      <c r="AI420" s="232"/>
    </row>
    <row r="421" spans="1:35" ht="27.6" x14ac:dyDescent="0.3">
      <c r="A421" s="46">
        <v>49</v>
      </c>
      <c r="B421" s="46" t="s">
        <v>131</v>
      </c>
      <c r="C421" s="46" t="s">
        <v>671</v>
      </c>
      <c r="D421" s="214" t="str">
        <f t="shared" si="87"/>
        <v>Do Not Print</v>
      </c>
      <c r="E421" s="214" t="s">
        <v>420</v>
      </c>
      <c r="F421" s="214" t="s">
        <v>421</v>
      </c>
      <c r="G421" s="214" t="s">
        <v>421</v>
      </c>
      <c r="H421" s="213" t="s">
        <v>402</v>
      </c>
      <c r="I421" s="230"/>
      <c r="J421" s="839">
        <f>'Note 25 to end'!K111</f>
        <v>0</v>
      </c>
      <c r="K421" s="840">
        <v>0</v>
      </c>
      <c r="L421" s="841">
        <f t="shared" si="81"/>
        <v>0</v>
      </c>
      <c r="M421" s="840">
        <v>0</v>
      </c>
      <c r="N421" s="840">
        <v>0</v>
      </c>
      <c r="O421" s="161">
        <f t="shared" si="82"/>
        <v>0</v>
      </c>
      <c r="P421" s="840">
        <v>0</v>
      </c>
      <c r="Q421" s="840">
        <v>0</v>
      </c>
      <c r="R421" s="841">
        <f t="shared" si="83"/>
        <v>0</v>
      </c>
      <c r="S421" s="840">
        <v>0</v>
      </c>
      <c r="T421" s="840">
        <v>0</v>
      </c>
      <c r="U421" s="161">
        <f t="shared" si="84"/>
        <v>0</v>
      </c>
      <c r="V421" s="841"/>
      <c r="W421" s="841"/>
      <c r="X421" s="841"/>
      <c r="Y421" s="233"/>
      <c r="Z421" s="233"/>
      <c r="AA421" s="233"/>
      <c r="AB421" s="214" t="s">
        <v>421</v>
      </c>
      <c r="AD421" s="232">
        <f t="shared" si="85"/>
        <v>0</v>
      </c>
      <c r="AE421" s="232">
        <f t="shared" si="86"/>
        <v>0</v>
      </c>
      <c r="AG421" s="232">
        <f t="shared" si="88"/>
        <v>0</v>
      </c>
      <c r="AH421" s="232">
        <f t="shared" si="89"/>
        <v>0</v>
      </c>
      <c r="AI421" s="232"/>
    </row>
    <row r="422" spans="1:35" ht="41.4" x14ac:dyDescent="0.3">
      <c r="A422" s="46">
        <v>50</v>
      </c>
      <c r="B422" s="46" t="s">
        <v>132</v>
      </c>
      <c r="C422" s="46" t="s">
        <v>671</v>
      </c>
      <c r="D422" s="214" t="str">
        <f t="shared" si="87"/>
        <v>Do Not Print</v>
      </c>
      <c r="E422" s="214" t="s">
        <v>420</v>
      </c>
      <c r="F422" s="214" t="s">
        <v>422</v>
      </c>
      <c r="G422" s="214" t="s">
        <v>422</v>
      </c>
      <c r="H422" s="213" t="s">
        <v>402</v>
      </c>
      <c r="I422" s="230"/>
      <c r="J422" s="839">
        <f>'Note 25 to end'!K125</f>
        <v>0</v>
      </c>
      <c r="K422" s="840">
        <v>0</v>
      </c>
      <c r="L422" s="841">
        <f t="shared" si="81"/>
        <v>0</v>
      </c>
      <c r="M422" s="840">
        <v>0</v>
      </c>
      <c r="N422" s="840">
        <v>0</v>
      </c>
      <c r="O422" s="161">
        <f t="shared" si="82"/>
        <v>0</v>
      </c>
      <c r="P422" s="840">
        <v>0</v>
      </c>
      <c r="Q422" s="840">
        <v>0</v>
      </c>
      <c r="R422" s="841">
        <f t="shared" si="83"/>
        <v>0</v>
      </c>
      <c r="S422" s="840">
        <v>0</v>
      </c>
      <c r="T422" s="840">
        <v>0</v>
      </c>
      <c r="U422" s="161">
        <f t="shared" si="84"/>
        <v>0</v>
      </c>
      <c r="V422" s="841"/>
      <c r="W422" s="841"/>
      <c r="X422" s="841"/>
      <c r="Y422" s="233"/>
      <c r="Z422" s="233"/>
      <c r="AA422" s="233"/>
      <c r="AB422" s="214" t="s">
        <v>422</v>
      </c>
      <c r="AD422" s="232">
        <f t="shared" si="85"/>
        <v>0</v>
      </c>
      <c r="AE422" s="232">
        <f t="shared" si="86"/>
        <v>0</v>
      </c>
      <c r="AG422" s="232">
        <f t="shared" si="88"/>
        <v>0</v>
      </c>
      <c r="AH422" s="232">
        <f t="shared" si="89"/>
        <v>0</v>
      </c>
      <c r="AI422" s="232"/>
    </row>
    <row r="423" spans="1:35" ht="27.6" x14ac:dyDescent="0.3">
      <c r="A423" s="46">
        <v>51</v>
      </c>
      <c r="B423" s="46" t="s">
        <v>133</v>
      </c>
      <c r="C423" s="46" t="s">
        <v>671</v>
      </c>
      <c r="D423" s="214" t="str">
        <f t="shared" si="87"/>
        <v>Do Not Print</v>
      </c>
      <c r="E423" s="214" t="s">
        <v>420</v>
      </c>
      <c r="F423" s="214" t="s">
        <v>423</v>
      </c>
      <c r="G423" s="214" t="s">
        <v>423</v>
      </c>
      <c r="H423" s="213" t="s">
        <v>402</v>
      </c>
      <c r="I423" s="230"/>
      <c r="J423" s="839">
        <f>'Note 25 to end'!K137</f>
        <v>0</v>
      </c>
      <c r="K423" s="840">
        <v>0</v>
      </c>
      <c r="L423" s="841">
        <f t="shared" si="81"/>
        <v>0</v>
      </c>
      <c r="M423" s="840">
        <v>0</v>
      </c>
      <c r="N423" s="840">
        <v>0</v>
      </c>
      <c r="O423" s="161">
        <f t="shared" si="82"/>
        <v>0</v>
      </c>
      <c r="P423" s="840">
        <v>0</v>
      </c>
      <c r="Q423" s="840">
        <v>0</v>
      </c>
      <c r="R423" s="841">
        <f t="shared" si="83"/>
        <v>0</v>
      </c>
      <c r="S423" s="840">
        <v>0</v>
      </c>
      <c r="T423" s="840">
        <v>0</v>
      </c>
      <c r="U423" s="161">
        <f t="shared" si="84"/>
        <v>0</v>
      </c>
      <c r="V423" s="841"/>
      <c r="W423" s="841"/>
      <c r="X423" s="841"/>
      <c r="Y423" s="233"/>
      <c r="Z423" s="233"/>
      <c r="AA423" s="233"/>
      <c r="AB423" s="214" t="s">
        <v>423</v>
      </c>
      <c r="AD423" s="232">
        <f t="shared" si="85"/>
        <v>0</v>
      </c>
      <c r="AE423" s="232">
        <f t="shared" si="86"/>
        <v>0</v>
      </c>
      <c r="AG423" s="232">
        <f t="shared" si="88"/>
        <v>0</v>
      </c>
      <c r="AH423" s="232">
        <f t="shared" si="89"/>
        <v>0</v>
      </c>
      <c r="AI423" s="232"/>
    </row>
    <row r="424" spans="1:35" ht="27.6" x14ac:dyDescent="0.3">
      <c r="A424" s="46">
        <v>52</v>
      </c>
      <c r="B424" s="46" t="s">
        <v>134</v>
      </c>
      <c r="C424" s="46" t="s">
        <v>671</v>
      </c>
      <c r="D424" s="214" t="str">
        <f t="shared" si="87"/>
        <v>Do Not Print</v>
      </c>
      <c r="E424" s="214" t="s">
        <v>420</v>
      </c>
      <c r="F424" s="214" t="s">
        <v>424</v>
      </c>
      <c r="G424" s="214" t="s">
        <v>424</v>
      </c>
      <c r="H424" s="213" t="s">
        <v>402</v>
      </c>
      <c r="I424" s="230"/>
      <c r="J424" s="839">
        <f>'Note 25 to end'!K156</f>
        <v>0</v>
      </c>
      <c r="K424" s="840">
        <v>0</v>
      </c>
      <c r="L424" s="841">
        <f t="shared" si="81"/>
        <v>0</v>
      </c>
      <c r="M424" s="840">
        <v>0</v>
      </c>
      <c r="N424" s="840">
        <v>0</v>
      </c>
      <c r="O424" s="161">
        <f t="shared" si="82"/>
        <v>0</v>
      </c>
      <c r="P424" s="840">
        <v>0</v>
      </c>
      <c r="Q424" s="840">
        <v>0</v>
      </c>
      <c r="R424" s="841">
        <f t="shared" si="83"/>
        <v>0</v>
      </c>
      <c r="S424" s="840">
        <v>0</v>
      </c>
      <c r="T424" s="840">
        <v>0</v>
      </c>
      <c r="U424" s="161">
        <f t="shared" si="84"/>
        <v>0</v>
      </c>
      <c r="V424" s="841"/>
      <c r="W424" s="841"/>
      <c r="X424" s="841"/>
      <c r="Y424" s="233"/>
      <c r="Z424" s="233"/>
      <c r="AA424" s="233"/>
      <c r="AB424" s="214" t="s">
        <v>424</v>
      </c>
      <c r="AD424" s="232">
        <f t="shared" si="85"/>
        <v>0</v>
      </c>
      <c r="AE424" s="232">
        <f t="shared" si="86"/>
        <v>0</v>
      </c>
      <c r="AG424" s="232">
        <f t="shared" si="88"/>
        <v>0</v>
      </c>
      <c r="AH424" s="232">
        <f t="shared" si="89"/>
        <v>0</v>
      </c>
      <c r="AI424" s="232"/>
    </row>
    <row r="425" spans="1:35" ht="27.6" x14ac:dyDescent="0.3">
      <c r="A425" s="46">
        <v>53</v>
      </c>
      <c r="B425" s="46" t="s">
        <v>135</v>
      </c>
      <c r="C425" s="46" t="s">
        <v>671</v>
      </c>
      <c r="D425" s="214" t="str">
        <f t="shared" si="87"/>
        <v>Do Not Print</v>
      </c>
      <c r="E425" s="214" t="s">
        <v>420</v>
      </c>
      <c r="F425" s="214" t="s">
        <v>425</v>
      </c>
      <c r="G425" s="214" t="s">
        <v>425</v>
      </c>
      <c r="H425" s="213" t="s">
        <v>402</v>
      </c>
      <c r="I425" s="230"/>
      <c r="J425" s="839">
        <f>'Note 25 to end'!K173</f>
        <v>0</v>
      </c>
      <c r="K425" s="840">
        <v>0</v>
      </c>
      <c r="L425" s="841">
        <f t="shared" si="81"/>
        <v>0</v>
      </c>
      <c r="M425" s="840">
        <v>0</v>
      </c>
      <c r="N425" s="840">
        <v>0</v>
      </c>
      <c r="O425" s="161">
        <f t="shared" si="82"/>
        <v>0</v>
      </c>
      <c r="P425" s="840">
        <v>0</v>
      </c>
      <c r="Q425" s="840">
        <v>0</v>
      </c>
      <c r="R425" s="841">
        <f t="shared" si="83"/>
        <v>0</v>
      </c>
      <c r="S425" s="840">
        <v>0</v>
      </c>
      <c r="T425" s="840">
        <v>0</v>
      </c>
      <c r="U425" s="161">
        <f t="shared" si="84"/>
        <v>0</v>
      </c>
      <c r="V425" s="841"/>
      <c r="W425" s="841"/>
      <c r="X425" s="841"/>
      <c r="Y425" s="233"/>
      <c r="Z425" s="233"/>
      <c r="AA425" s="233"/>
      <c r="AB425" s="214" t="s">
        <v>425</v>
      </c>
      <c r="AD425" s="232">
        <f t="shared" si="85"/>
        <v>0</v>
      </c>
      <c r="AE425" s="232">
        <f t="shared" si="86"/>
        <v>0</v>
      </c>
      <c r="AG425" s="232">
        <f t="shared" si="88"/>
        <v>0</v>
      </c>
      <c r="AH425" s="232">
        <f t="shared" si="89"/>
        <v>0</v>
      </c>
      <c r="AI425" s="232"/>
    </row>
    <row r="426" spans="1:35" ht="27.6" x14ac:dyDescent="0.3">
      <c r="A426" s="46">
        <v>54</v>
      </c>
      <c r="B426" s="46" t="s">
        <v>136</v>
      </c>
      <c r="C426" s="46" t="s">
        <v>671</v>
      </c>
      <c r="D426" s="214" t="str">
        <f t="shared" si="87"/>
        <v>Do Not Print</v>
      </c>
      <c r="E426" s="214" t="s">
        <v>420</v>
      </c>
      <c r="F426" s="214" t="s">
        <v>426</v>
      </c>
      <c r="G426" s="214" t="s">
        <v>426</v>
      </c>
      <c r="H426" s="213" t="s">
        <v>402</v>
      </c>
      <c r="I426" s="230"/>
      <c r="J426" s="839">
        <f>'Note 25 to end'!K198</f>
        <v>0</v>
      </c>
      <c r="K426" s="840">
        <v>0</v>
      </c>
      <c r="L426" s="841">
        <f t="shared" si="81"/>
        <v>0</v>
      </c>
      <c r="M426" s="840">
        <v>0</v>
      </c>
      <c r="N426" s="840">
        <v>0</v>
      </c>
      <c r="O426" s="161">
        <f t="shared" si="82"/>
        <v>0</v>
      </c>
      <c r="P426" s="840">
        <v>0</v>
      </c>
      <c r="Q426" s="840">
        <v>0</v>
      </c>
      <c r="R426" s="841">
        <f t="shared" si="83"/>
        <v>0</v>
      </c>
      <c r="S426" s="840">
        <v>0</v>
      </c>
      <c r="T426" s="840">
        <v>0</v>
      </c>
      <c r="U426" s="161">
        <f t="shared" si="84"/>
        <v>0</v>
      </c>
      <c r="V426" s="841"/>
      <c r="W426" s="841"/>
      <c r="X426" s="841"/>
      <c r="Y426" s="233"/>
      <c r="Z426" s="233"/>
      <c r="AA426" s="233"/>
      <c r="AB426" s="214" t="s">
        <v>426</v>
      </c>
      <c r="AD426" s="232">
        <f t="shared" si="85"/>
        <v>0</v>
      </c>
      <c r="AE426" s="232">
        <f t="shared" si="86"/>
        <v>0</v>
      </c>
      <c r="AG426" s="232">
        <f t="shared" si="88"/>
        <v>0</v>
      </c>
      <c r="AH426" s="232">
        <f t="shared" si="89"/>
        <v>0</v>
      </c>
      <c r="AI426" s="232"/>
    </row>
    <row r="427" spans="1:35" ht="27.6" x14ac:dyDescent="0.3">
      <c r="A427" s="46">
        <v>55</v>
      </c>
      <c r="B427" s="46" t="s">
        <v>1836</v>
      </c>
      <c r="C427" s="46" t="s">
        <v>671</v>
      </c>
      <c r="D427" s="214" t="str">
        <f t="shared" si="87"/>
        <v>Do Not Print</v>
      </c>
      <c r="E427" s="214" t="s">
        <v>420</v>
      </c>
      <c r="F427" s="214" t="s">
        <v>1834</v>
      </c>
      <c r="G427" s="214" t="s">
        <v>1834</v>
      </c>
      <c r="H427" s="213" t="s">
        <v>402</v>
      </c>
      <c r="I427" s="230"/>
      <c r="J427" s="839">
        <f>'Note 25 to end'!K225</f>
        <v>0</v>
      </c>
      <c r="K427" s="840">
        <v>0</v>
      </c>
      <c r="L427" s="841">
        <f t="shared" si="81"/>
        <v>0</v>
      </c>
      <c r="M427" s="840">
        <v>0</v>
      </c>
      <c r="N427" s="840">
        <v>0</v>
      </c>
      <c r="O427" s="161">
        <f t="shared" si="82"/>
        <v>0</v>
      </c>
      <c r="P427" s="840">
        <v>0</v>
      </c>
      <c r="Q427" s="840">
        <v>0</v>
      </c>
      <c r="R427" s="841">
        <f t="shared" si="83"/>
        <v>0</v>
      </c>
      <c r="S427" s="840">
        <v>0</v>
      </c>
      <c r="T427" s="840">
        <v>0</v>
      </c>
      <c r="U427" s="161">
        <f t="shared" si="84"/>
        <v>0</v>
      </c>
      <c r="V427" s="841"/>
      <c r="W427" s="841"/>
      <c r="X427" s="841"/>
      <c r="Y427" s="233"/>
      <c r="Z427" s="233"/>
      <c r="AA427" s="233"/>
      <c r="AB427" s="214" t="s">
        <v>1835</v>
      </c>
      <c r="AD427" s="232">
        <f t="shared" si="85"/>
        <v>0</v>
      </c>
      <c r="AE427" s="232">
        <f t="shared" si="86"/>
        <v>0</v>
      </c>
      <c r="AG427" s="232">
        <f>ROUND(O427,0)</f>
        <v>0</v>
      </c>
      <c r="AH427" s="232">
        <f>ROUND(U427,0)</f>
        <v>0</v>
      </c>
      <c r="AI427" s="232"/>
    </row>
    <row r="428" spans="1:35" ht="41.4" x14ac:dyDescent="0.3">
      <c r="A428" s="46">
        <v>56</v>
      </c>
      <c r="B428" s="46" t="s">
        <v>137</v>
      </c>
      <c r="C428" s="46" t="s">
        <v>671</v>
      </c>
      <c r="D428" s="214" t="str">
        <f t="shared" si="87"/>
        <v>Do Not Print</v>
      </c>
      <c r="E428" s="214" t="s">
        <v>427</v>
      </c>
      <c r="F428" s="214" t="s">
        <v>428</v>
      </c>
      <c r="G428" s="214" t="s">
        <v>428</v>
      </c>
      <c r="H428" s="213" t="s">
        <v>402</v>
      </c>
      <c r="I428" s="230"/>
      <c r="J428" s="839">
        <f>'Note 25 to end'!K256</f>
        <v>0</v>
      </c>
      <c r="K428" s="840">
        <v>0</v>
      </c>
      <c r="L428" s="841">
        <f t="shared" si="81"/>
        <v>0</v>
      </c>
      <c r="M428" s="840">
        <v>0</v>
      </c>
      <c r="N428" s="840">
        <v>0</v>
      </c>
      <c r="O428" s="161">
        <f t="shared" si="82"/>
        <v>0</v>
      </c>
      <c r="P428" s="840">
        <v>0</v>
      </c>
      <c r="Q428" s="840">
        <v>0</v>
      </c>
      <c r="R428" s="841">
        <f t="shared" si="83"/>
        <v>0</v>
      </c>
      <c r="S428" s="840">
        <v>0</v>
      </c>
      <c r="T428" s="840">
        <v>0</v>
      </c>
      <c r="U428" s="161">
        <f t="shared" si="84"/>
        <v>0</v>
      </c>
      <c r="V428" s="841"/>
      <c r="W428" s="841"/>
      <c r="X428" s="841"/>
      <c r="Y428" s="233"/>
      <c r="Z428" s="233"/>
      <c r="AA428" s="233"/>
      <c r="AB428" s="214" t="s">
        <v>428</v>
      </c>
      <c r="AD428" s="232">
        <f t="shared" si="85"/>
        <v>0</v>
      </c>
      <c r="AE428" s="232">
        <f t="shared" si="86"/>
        <v>0</v>
      </c>
      <c r="AG428" s="232">
        <f t="shared" si="88"/>
        <v>0</v>
      </c>
      <c r="AH428" s="232">
        <f t="shared" si="89"/>
        <v>0</v>
      </c>
      <c r="AI428" s="232"/>
    </row>
    <row r="429" spans="1:35" ht="55.2" x14ac:dyDescent="0.3">
      <c r="A429" s="46">
        <v>57</v>
      </c>
      <c r="B429" s="46" t="s">
        <v>138</v>
      </c>
      <c r="C429" s="46" t="s">
        <v>671</v>
      </c>
      <c r="D429" s="214" t="str">
        <f t="shared" ref="D429:D437" si="90">IF(AND(O429=0,U429=0,V429=0),"Do Not Print","Print")</f>
        <v>Do Not Print</v>
      </c>
      <c r="E429" s="214" t="s">
        <v>427</v>
      </c>
      <c r="F429" s="214" t="s">
        <v>429</v>
      </c>
      <c r="G429" s="214" t="s">
        <v>429</v>
      </c>
      <c r="H429" s="213" t="s">
        <v>402</v>
      </c>
      <c r="I429" s="230"/>
      <c r="J429" s="839">
        <f>'Note 25 to end'!K266</f>
        <v>0</v>
      </c>
      <c r="K429" s="840">
        <v>0</v>
      </c>
      <c r="L429" s="841">
        <f t="shared" si="81"/>
        <v>0</v>
      </c>
      <c r="M429" s="840">
        <v>0</v>
      </c>
      <c r="N429" s="840">
        <v>0</v>
      </c>
      <c r="O429" s="161">
        <f t="shared" si="82"/>
        <v>0</v>
      </c>
      <c r="P429" s="840">
        <v>0</v>
      </c>
      <c r="Q429" s="840">
        <v>0</v>
      </c>
      <c r="R429" s="841">
        <f t="shared" si="83"/>
        <v>0</v>
      </c>
      <c r="S429" s="840">
        <v>0</v>
      </c>
      <c r="T429" s="840">
        <v>0</v>
      </c>
      <c r="U429" s="161">
        <f t="shared" si="84"/>
        <v>0</v>
      </c>
      <c r="V429" s="841"/>
      <c r="W429" s="841"/>
      <c r="X429" s="841"/>
      <c r="Y429" s="233"/>
      <c r="Z429" s="233"/>
      <c r="AA429" s="233"/>
      <c r="AB429" s="214" t="s">
        <v>429</v>
      </c>
      <c r="AD429" s="232">
        <f t="shared" si="85"/>
        <v>0</v>
      </c>
      <c r="AE429" s="232">
        <f t="shared" si="86"/>
        <v>0</v>
      </c>
      <c r="AG429" s="232">
        <f t="shared" si="88"/>
        <v>0</v>
      </c>
      <c r="AH429" s="232">
        <f t="shared" si="89"/>
        <v>0</v>
      </c>
      <c r="AI429" s="232"/>
    </row>
    <row r="430" spans="1:35" ht="27.6" x14ac:dyDescent="0.3">
      <c r="A430" s="46">
        <v>58</v>
      </c>
      <c r="B430" s="46" t="s">
        <v>139</v>
      </c>
      <c r="C430" s="46" t="s">
        <v>671</v>
      </c>
      <c r="D430" s="214" t="str">
        <f t="shared" si="90"/>
        <v>Do Not Print</v>
      </c>
      <c r="E430" s="214" t="s">
        <v>427</v>
      </c>
      <c r="F430" s="214" t="s">
        <v>430</v>
      </c>
      <c r="G430" s="214" t="s">
        <v>430</v>
      </c>
      <c r="H430" s="213" t="s">
        <v>402</v>
      </c>
      <c r="I430" s="230"/>
      <c r="J430" s="839">
        <f>'Note 25 to end'!K287</f>
        <v>0</v>
      </c>
      <c r="K430" s="840">
        <v>0</v>
      </c>
      <c r="L430" s="841">
        <f t="shared" si="81"/>
        <v>0</v>
      </c>
      <c r="M430" s="840">
        <v>0</v>
      </c>
      <c r="N430" s="840">
        <v>0</v>
      </c>
      <c r="O430" s="161">
        <f t="shared" si="82"/>
        <v>0</v>
      </c>
      <c r="P430" s="840">
        <v>0</v>
      </c>
      <c r="Q430" s="840">
        <v>0</v>
      </c>
      <c r="R430" s="841">
        <f t="shared" si="83"/>
        <v>0</v>
      </c>
      <c r="S430" s="840">
        <v>0</v>
      </c>
      <c r="T430" s="840">
        <v>0</v>
      </c>
      <c r="U430" s="161">
        <f t="shared" si="84"/>
        <v>0</v>
      </c>
      <c r="V430" s="841"/>
      <c r="W430" s="841"/>
      <c r="X430" s="841"/>
      <c r="Y430" s="233"/>
      <c r="Z430" s="233"/>
      <c r="AA430" s="233"/>
      <c r="AB430" s="214" t="s">
        <v>430</v>
      </c>
      <c r="AD430" s="232">
        <f t="shared" si="85"/>
        <v>0</v>
      </c>
      <c r="AE430" s="232">
        <f t="shared" si="86"/>
        <v>0</v>
      </c>
      <c r="AG430" s="232">
        <f t="shared" si="88"/>
        <v>0</v>
      </c>
      <c r="AH430" s="232">
        <f t="shared" si="89"/>
        <v>0</v>
      </c>
      <c r="AI430" s="232"/>
    </row>
    <row r="431" spans="1:35" ht="54.75" customHeight="1" x14ac:dyDescent="0.3">
      <c r="A431" s="46">
        <v>59</v>
      </c>
      <c r="B431" s="46" t="s">
        <v>140</v>
      </c>
      <c r="C431" s="46" t="s">
        <v>671</v>
      </c>
      <c r="D431" s="214" t="str">
        <f t="shared" si="90"/>
        <v>Do Not Print</v>
      </c>
      <c r="E431" s="214" t="s">
        <v>427</v>
      </c>
      <c r="F431" s="214" t="s">
        <v>431</v>
      </c>
      <c r="G431" s="214" t="s">
        <v>431</v>
      </c>
      <c r="H431" s="213" t="s">
        <v>402</v>
      </c>
      <c r="I431" s="230"/>
      <c r="J431" s="839">
        <f>'Note 25 to end'!K299</f>
        <v>0</v>
      </c>
      <c r="K431" s="840">
        <v>0</v>
      </c>
      <c r="L431" s="841">
        <f t="shared" si="81"/>
        <v>0</v>
      </c>
      <c r="M431" s="840">
        <v>0</v>
      </c>
      <c r="N431" s="840">
        <v>0</v>
      </c>
      <c r="O431" s="161">
        <f t="shared" si="82"/>
        <v>0</v>
      </c>
      <c r="P431" s="840">
        <v>0</v>
      </c>
      <c r="Q431" s="840">
        <v>0</v>
      </c>
      <c r="R431" s="841">
        <f t="shared" si="83"/>
        <v>0</v>
      </c>
      <c r="S431" s="840">
        <v>0</v>
      </c>
      <c r="T431" s="840">
        <v>0</v>
      </c>
      <c r="U431" s="161">
        <f t="shared" si="84"/>
        <v>0</v>
      </c>
      <c r="V431" s="841"/>
      <c r="W431" s="841"/>
      <c r="X431" s="841"/>
      <c r="Y431" s="233"/>
      <c r="Z431" s="233"/>
      <c r="AA431" s="233"/>
      <c r="AB431" s="214" t="s">
        <v>431</v>
      </c>
      <c r="AD431" s="232">
        <f t="shared" si="85"/>
        <v>0</v>
      </c>
      <c r="AE431" s="232">
        <f t="shared" si="86"/>
        <v>0</v>
      </c>
      <c r="AG431" s="232">
        <f t="shared" si="88"/>
        <v>0</v>
      </c>
      <c r="AH431" s="232">
        <f t="shared" si="89"/>
        <v>0</v>
      </c>
      <c r="AI431" s="232"/>
    </row>
    <row r="432" spans="1:35" ht="54.75" customHeight="1" x14ac:dyDescent="0.3">
      <c r="A432" s="46">
        <v>60</v>
      </c>
      <c r="B432" s="46" t="s">
        <v>2770</v>
      </c>
      <c r="C432" s="46" t="s">
        <v>671</v>
      </c>
      <c r="D432" s="214" t="str">
        <f t="shared" ref="D432" si="91">IF(AND(O432=0,U432=0,V432=0),"Do Not Print","Print")</f>
        <v>Do Not Print</v>
      </c>
      <c r="E432" s="214" t="s">
        <v>427</v>
      </c>
      <c r="F432" s="214" t="s">
        <v>2769</v>
      </c>
      <c r="G432" s="214" t="s">
        <v>2769</v>
      </c>
      <c r="H432" s="213" t="s">
        <v>402</v>
      </c>
      <c r="I432" s="230"/>
      <c r="J432" s="839">
        <f>'Note 25 to end'!K308</f>
        <v>0</v>
      </c>
      <c r="K432" s="840">
        <v>0</v>
      </c>
      <c r="L432" s="841">
        <f t="shared" ref="L432" si="92">SUM(J432:K432)</f>
        <v>0</v>
      </c>
      <c r="M432" s="840">
        <v>0</v>
      </c>
      <c r="N432" s="840">
        <v>0</v>
      </c>
      <c r="O432" s="161">
        <f t="shared" ref="O432" si="93">SUM(M432:N432)+L432</f>
        <v>0</v>
      </c>
      <c r="P432" s="840">
        <v>0</v>
      </c>
      <c r="Q432" s="840">
        <v>0</v>
      </c>
      <c r="R432" s="841">
        <f t="shared" ref="R432" si="94">SUM(P432:Q432)</f>
        <v>0</v>
      </c>
      <c r="S432" s="840">
        <v>0</v>
      </c>
      <c r="T432" s="840">
        <v>0</v>
      </c>
      <c r="U432" s="161">
        <f t="shared" ref="U432" si="95">R432+SUM(S432:T432)</f>
        <v>0</v>
      </c>
      <c r="V432" s="841"/>
      <c r="W432" s="841"/>
      <c r="X432" s="841"/>
      <c r="Y432" s="233"/>
      <c r="Z432" s="233"/>
      <c r="AA432" s="233"/>
      <c r="AB432" s="214" t="s">
        <v>431</v>
      </c>
      <c r="AD432" s="232">
        <f t="shared" ref="AD432" si="96">ROUND(L432,0)</f>
        <v>0</v>
      </c>
      <c r="AE432" s="232">
        <f t="shared" ref="AE432" si="97">ROUND(R432,0)</f>
        <v>0</v>
      </c>
      <c r="AG432" s="232">
        <f t="shared" ref="AG432" si="98">ROUND(O432,0)</f>
        <v>0</v>
      </c>
      <c r="AH432" s="232">
        <f t="shared" ref="AH432" si="99">ROUND(U432,0)</f>
        <v>0</v>
      </c>
      <c r="AI432" s="232"/>
    </row>
    <row r="433" spans="1:35" ht="27.6" x14ac:dyDescent="0.3">
      <c r="A433" s="46">
        <v>61</v>
      </c>
      <c r="B433" s="46" t="s">
        <v>141</v>
      </c>
      <c r="C433" s="46" t="s">
        <v>671</v>
      </c>
      <c r="D433" s="214" t="str">
        <f t="shared" si="90"/>
        <v>Do Not Print</v>
      </c>
      <c r="E433" s="214" t="s">
        <v>427</v>
      </c>
      <c r="F433" s="214" t="s">
        <v>432</v>
      </c>
      <c r="G433" s="214" t="s">
        <v>432</v>
      </c>
      <c r="H433" s="213" t="s">
        <v>402</v>
      </c>
      <c r="I433" s="230"/>
      <c r="J433" s="839">
        <f>'Note 25 to end'!K317</f>
        <v>0</v>
      </c>
      <c r="K433" s="840">
        <v>0</v>
      </c>
      <c r="L433" s="841">
        <f t="shared" si="81"/>
        <v>0</v>
      </c>
      <c r="M433" s="840">
        <v>0</v>
      </c>
      <c r="N433" s="840">
        <v>0</v>
      </c>
      <c r="O433" s="161">
        <f t="shared" si="82"/>
        <v>0</v>
      </c>
      <c r="P433" s="840">
        <v>0</v>
      </c>
      <c r="Q433" s="840">
        <v>0</v>
      </c>
      <c r="R433" s="841">
        <f t="shared" si="83"/>
        <v>0</v>
      </c>
      <c r="S433" s="840">
        <v>0</v>
      </c>
      <c r="T433" s="840">
        <v>0</v>
      </c>
      <c r="U433" s="161">
        <f t="shared" si="84"/>
        <v>0</v>
      </c>
      <c r="V433" s="841"/>
      <c r="W433" s="841"/>
      <c r="X433" s="841"/>
      <c r="Y433" s="233"/>
      <c r="Z433" s="233"/>
      <c r="AA433" s="233"/>
      <c r="AB433" s="214" t="s">
        <v>432</v>
      </c>
      <c r="AD433" s="232">
        <f t="shared" si="85"/>
        <v>0</v>
      </c>
      <c r="AE433" s="232">
        <f t="shared" si="86"/>
        <v>0</v>
      </c>
      <c r="AG433" s="232">
        <f t="shared" si="88"/>
        <v>0</v>
      </c>
      <c r="AH433" s="232">
        <f t="shared" si="89"/>
        <v>0</v>
      </c>
      <c r="AI433" s="232"/>
    </row>
    <row r="434" spans="1:35" ht="41.4" x14ac:dyDescent="0.3">
      <c r="A434" s="46">
        <v>62</v>
      </c>
      <c r="B434" s="46" t="s">
        <v>142</v>
      </c>
      <c r="C434" s="46" t="s">
        <v>671</v>
      </c>
      <c r="D434" s="214" t="str">
        <f t="shared" si="90"/>
        <v>Do Not Print</v>
      </c>
      <c r="E434" s="214" t="s">
        <v>427</v>
      </c>
      <c r="F434" s="214" t="s">
        <v>433</v>
      </c>
      <c r="G434" s="214" t="s">
        <v>433</v>
      </c>
      <c r="H434" s="213" t="s">
        <v>402</v>
      </c>
      <c r="I434" s="230"/>
      <c r="J434" s="839">
        <f>'Note 25 to end'!K332</f>
        <v>0</v>
      </c>
      <c r="K434" s="840">
        <v>0</v>
      </c>
      <c r="L434" s="841">
        <f t="shared" si="81"/>
        <v>0</v>
      </c>
      <c r="M434" s="840">
        <v>0</v>
      </c>
      <c r="N434" s="840">
        <v>0</v>
      </c>
      <c r="O434" s="161">
        <f t="shared" si="82"/>
        <v>0</v>
      </c>
      <c r="P434" s="840">
        <v>0</v>
      </c>
      <c r="Q434" s="840">
        <v>0</v>
      </c>
      <c r="R434" s="841">
        <f t="shared" si="83"/>
        <v>0</v>
      </c>
      <c r="S434" s="840">
        <v>0</v>
      </c>
      <c r="T434" s="840">
        <v>0</v>
      </c>
      <c r="U434" s="161">
        <f t="shared" si="84"/>
        <v>0</v>
      </c>
      <c r="V434" s="841"/>
      <c r="W434" s="841"/>
      <c r="X434" s="841"/>
      <c r="Y434" s="233"/>
      <c r="Z434" s="233"/>
      <c r="AA434" s="233"/>
      <c r="AB434" s="214" t="s">
        <v>433</v>
      </c>
      <c r="AD434" s="232">
        <f t="shared" si="85"/>
        <v>0</v>
      </c>
      <c r="AE434" s="232">
        <f t="shared" si="86"/>
        <v>0</v>
      </c>
      <c r="AG434" s="232">
        <f t="shared" si="88"/>
        <v>0</v>
      </c>
      <c r="AH434" s="232">
        <f t="shared" si="89"/>
        <v>0</v>
      </c>
      <c r="AI434" s="232"/>
    </row>
    <row r="435" spans="1:35" ht="41.4" x14ac:dyDescent="0.3">
      <c r="A435" s="46">
        <v>63</v>
      </c>
      <c r="B435" s="46" t="s">
        <v>143</v>
      </c>
      <c r="C435" s="46" t="s">
        <v>671</v>
      </c>
      <c r="D435" s="214" t="str">
        <f t="shared" si="90"/>
        <v>Do Not Print</v>
      </c>
      <c r="E435" s="214" t="s">
        <v>427</v>
      </c>
      <c r="F435" s="214" t="s">
        <v>434</v>
      </c>
      <c r="G435" s="214" t="s">
        <v>434</v>
      </c>
      <c r="H435" s="213" t="s">
        <v>402</v>
      </c>
      <c r="I435" s="230"/>
      <c r="J435" s="839">
        <f>'Note 25 to end'!K343</f>
        <v>0</v>
      </c>
      <c r="K435" s="840">
        <v>0</v>
      </c>
      <c r="L435" s="841">
        <f>SUM(J435:K435)</f>
        <v>0</v>
      </c>
      <c r="M435" s="840">
        <v>0</v>
      </c>
      <c r="N435" s="840">
        <v>0</v>
      </c>
      <c r="O435" s="161">
        <f>SUM(M435:N435)+L435</f>
        <v>0</v>
      </c>
      <c r="P435" s="840">
        <v>0</v>
      </c>
      <c r="Q435" s="840">
        <v>0</v>
      </c>
      <c r="R435" s="841">
        <f t="shared" si="83"/>
        <v>0</v>
      </c>
      <c r="S435" s="840">
        <v>0</v>
      </c>
      <c r="T435" s="840">
        <v>0</v>
      </c>
      <c r="U435" s="161">
        <f t="shared" si="84"/>
        <v>0</v>
      </c>
      <c r="V435" s="841"/>
      <c r="W435" s="841"/>
      <c r="X435" s="841"/>
      <c r="Y435" s="233"/>
      <c r="Z435" s="233"/>
      <c r="AA435" s="233"/>
      <c r="AB435" s="214" t="s">
        <v>434</v>
      </c>
      <c r="AD435" s="232">
        <f t="shared" si="85"/>
        <v>0</v>
      </c>
      <c r="AE435" s="232">
        <f t="shared" si="86"/>
        <v>0</v>
      </c>
      <c r="AG435" s="232">
        <f t="shared" si="88"/>
        <v>0</v>
      </c>
      <c r="AH435" s="232">
        <f t="shared" si="89"/>
        <v>0</v>
      </c>
      <c r="AI435" s="232"/>
    </row>
    <row r="436" spans="1:35" ht="41.4" x14ac:dyDescent="0.3">
      <c r="A436" s="46">
        <v>64</v>
      </c>
      <c r="B436" s="46" t="s">
        <v>963</v>
      </c>
      <c r="C436" s="46" t="s">
        <v>671</v>
      </c>
      <c r="D436" s="214" t="str">
        <f t="shared" si="90"/>
        <v>Do Not Print</v>
      </c>
      <c r="E436" s="214" t="s">
        <v>427</v>
      </c>
      <c r="F436" s="214" t="s">
        <v>328</v>
      </c>
      <c r="G436" s="214" t="s">
        <v>328</v>
      </c>
      <c r="H436" s="213" t="s">
        <v>402</v>
      </c>
      <c r="I436" s="230"/>
      <c r="J436" s="839">
        <f>'Note 25 to end'!K372</f>
        <v>0</v>
      </c>
      <c r="K436" s="840">
        <v>0</v>
      </c>
      <c r="L436" s="841">
        <f t="shared" si="81"/>
        <v>0</v>
      </c>
      <c r="M436" s="840">
        <v>0</v>
      </c>
      <c r="N436" s="840">
        <v>0</v>
      </c>
      <c r="O436" s="161">
        <f t="shared" si="82"/>
        <v>0</v>
      </c>
      <c r="P436" s="840">
        <v>0</v>
      </c>
      <c r="Q436" s="840">
        <v>0</v>
      </c>
      <c r="R436" s="841">
        <f t="shared" si="83"/>
        <v>0</v>
      </c>
      <c r="S436" s="840">
        <v>0</v>
      </c>
      <c r="T436" s="840">
        <v>0</v>
      </c>
      <c r="U436" s="161">
        <f t="shared" si="84"/>
        <v>0</v>
      </c>
      <c r="V436" s="841"/>
      <c r="W436" s="841"/>
      <c r="X436" s="841"/>
      <c r="Y436" s="233"/>
      <c r="Z436" s="233"/>
      <c r="AA436" s="233"/>
      <c r="AB436" s="214" t="s">
        <v>328</v>
      </c>
      <c r="AD436" s="232">
        <f t="shared" si="85"/>
        <v>0</v>
      </c>
      <c r="AE436" s="232">
        <f t="shared" si="86"/>
        <v>0</v>
      </c>
      <c r="AG436" s="232">
        <f t="shared" si="88"/>
        <v>0</v>
      </c>
      <c r="AH436" s="232">
        <f t="shared" si="89"/>
        <v>0</v>
      </c>
      <c r="AI436" s="232"/>
    </row>
    <row r="437" spans="1:35" ht="41.4" x14ac:dyDescent="0.3">
      <c r="A437" s="46">
        <v>65</v>
      </c>
      <c r="B437" s="46" t="s">
        <v>964</v>
      </c>
      <c r="C437" s="46" t="s">
        <v>671</v>
      </c>
      <c r="D437" s="214" t="str">
        <f t="shared" si="90"/>
        <v>Do Not Print</v>
      </c>
      <c r="E437" s="214" t="s">
        <v>427</v>
      </c>
      <c r="F437" s="214" t="s">
        <v>965</v>
      </c>
      <c r="G437" s="214" t="s">
        <v>965</v>
      </c>
      <c r="H437" s="213" t="s">
        <v>402</v>
      </c>
      <c r="I437" s="230"/>
      <c r="J437" s="839">
        <f>'Note 25 to end'!K357</f>
        <v>0</v>
      </c>
      <c r="K437" s="840">
        <v>0</v>
      </c>
      <c r="L437" s="841">
        <f t="shared" si="81"/>
        <v>0</v>
      </c>
      <c r="M437" s="840">
        <v>0</v>
      </c>
      <c r="N437" s="840">
        <v>0</v>
      </c>
      <c r="O437" s="161">
        <f t="shared" si="82"/>
        <v>0</v>
      </c>
      <c r="P437" s="840">
        <v>0</v>
      </c>
      <c r="Q437" s="840">
        <v>0</v>
      </c>
      <c r="R437" s="841">
        <f t="shared" si="83"/>
        <v>0</v>
      </c>
      <c r="S437" s="840">
        <v>0</v>
      </c>
      <c r="T437" s="840">
        <v>0</v>
      </c>
      <c r="U437" s="161">
        <f t="shared" si="84"/>
        <v>0</v>
      </c>
      <c r="V437" s="841"/>
      <c r="W437" s="841"/>
      <c r="X437" s="841"/>
      <c r="Y437" s="233"/>
      <c r="Z437" s="233"/>
      <c r="AA437" s="233"/>
      <c r="AB437" s="214" t="s">
        <v>965</v>
      </c>
      <c r="AD437" s="232">
        <f t="shared" si="85"/>
        <v>0</v>
      </c>
      <c r="AE437" s="232">
        <f t="shared" si="86"/>
        <v>0</v>
      </c>
      <c r="AG437" s="232">
        <f t="shared" si="88"/>
        <v>0</v>
      </c>
      <c r="AH437" s="232">
        <f t="shared" si="89"/>
        <v>0</v>
      </c>
      <c r="AI437" s="232"/>
    </row>
    <row r="438" spans="1:35" ht="62.4" x14ac:dyDescent="0.3">
      <c r="A438" s="238"/>
      <c r="B438" s="238"/>
      <c r="C438" s="238"/>
      <c r="D438" s="223"/>
      <c r="E438" s="239" t="s">
        <v>73</v>
      </c>
      <c r="F438" s="223"/>
      <c r="G438" s="238"/>
      <c r="H438" s="223"/>
      <c r="I438" s="238"/>
      <c r="J438" s="845"/>
      <c r="K438" s="845"/>
      <c r="L438" s="845"/>
      <c r="M438" s="845"/>
      <c r="N438" s="845"/>
      <c r="O438" s="846"/>
      <c r="P438" s="846"/>
      <c r="Q438" s="846"/>
      <c r="R438" s="846"/>
      <c r="S438" s="846"/>
      <c r="T438" s="846"/>
      <c r="U438" s="846"/>
      <c r="V438" s="846"/>
      <c r="W438" s="846"/>
      <c r="X438" s="846"/>
      <c r="Y438" s="240"/>
      <c r="Z438" s="240"/>
      <c r="AA438" s="240"/>
      <c r="AB438" s="229"/>
      <c r="AC438" s="240"/>
      <c r="AD438" s="240"/>
      <c r="AE438" s="240"/>
      <c r="AF438" s="240"/>
      <c r="AG438" s="240"/>
      <c r="AH438" s="240"/>
    </row>
  </sheetData>
  <autoFilter ref="A5:AI438" xr:uid="{00000000-0009-0000-0000-000005000000}"/>
  <mergeCells count="6">
    <mergeCell ref="Y4:Z4"/>
    <mergeCell ref="J4:K4"/>
    <mergeCell ref="M4:N4"/>
    <mergeCell ref="P4:Q4"/>
    <mergeCell ref="S4:T4"/>
    <mergeCell ref="V4:W4"/>
  </mergeCells>
  <pageMargins left="0.7" right="0.7" top="0.75" bottom="0.75" header="0.3" footer="0.3"/>
  <pageSetup paperSize="8" orientation="portrait" r:id="rId1"/>
  <ignoredErrors>
    <ignoredError sqref="M376 J6 M6" formulaRange="1"/>
    <ignoredError sqref="M396 M410" formulaRange="1" unlockedFormula="1"/>
    <ignoredError sqref="J412 M412 M417:M418 J433:J437 J417:J425 X433:X437 L433:L434 L436:L437 L323:L341 R433:R437 R6:R277 L6:L277 R281:R302 L281:L302 X281:X302 R304:R320 L304:L320 X304:X320 R343:R362 L344:L362 X343:X362 R364:R373 L364:L373 X364:X373 X323:X341 R323:R341 R376:R431 L376:L431 X376:X431 J428:J430" unlocked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Q509"/>
  <sheetViews>
    <sheetView topLeftCell="A467" workbookViewId="0">
      <selection activeCell="H471" sqref="H471"/>
    </sheetView>
  </sheetViews>
  <sheetFormatPr defaultColWidth="9.109375" defaultRowHeight="13.8" x14ac:dyDescent="0.3"/>
  <cols>
    <col min="1" max="1" width="6" customWidth="1"/>
    <col min="2" max="2" width="22.33203125" style="39" customWidth="1"/>
    <col min="3" max="3" width="10.44140625" customWidth="1"/>
    <col min="4" max="4" width="11.44140625" customWidth="1"/>
    <col min="5" max="5" width="15.109375" style="47" customWidth="1"/>
    <col min="6" max="6" width="13.33203125" style="214" bestFit="1" customWidth="1"/>
    <col min="7" max="7" width="14.5546875" style="214" customWidth="1"/>
    <col min="8" max="8" width="18" style="214" customWidth="1"/>
    <col min="9" max="9" width="13" customWidth="1"/>
    <col min="10" max="10" width="17" customWidth="1"/>
    <col min="11" max="11" width="9.5546875" customWidth="1"/>
    <col min="12" max="12" width="11.6640625" customWidth="1"/>
    <col min="13" max="13" width="16.88671875" style="4" customWidth="1"/>
    <col min="14" max="14" width="13.109375" style="4" customWidth="1"/>
    <col min="15" max="15" width="11.33203125" style="4" bestFit="1" customWidth="1"/>
    <col min="16" max="16" width="6.109375" style="4" customWidth="1"/>
  </cols>
  <sheetData>
    <row r="1" spans="1:17" x14ac:dyDescent="0.3">
      <c r="A1" t="s">
        <v>1965</v>
      </c>
    </row>
    <row r="2" spans="1:17" x14ac:dyDescent="0.3">
      <c r="M2" s="36"/>
      <c r="N2" s="36"/>
      <c r="O2" s="36"/>
    </row>
    <row r="3" spans="1:17" x14ac:dyDescent="0.3">
      <c r="M3" s="36"/>
      <c r="N3" s="36"/>
      <c r="O3" s="36"/>
    </row>
    <row r="4" spans="1:17" x14ac:dyDescent="0.3">
      <c r="M4" s="36"/>
      <c r="N4" s="36"/>
      <c r="O4" s="36"/>
    </row>
    <row r="5" spans="1:17" ht="14.4" x14ac:dyDescent="0.3">
      <c r="J5" s="1286" t="str">
        <f>'Standing Data'!D4</f>
        <v>NAME OF COUNCIL</v>
      </c>
      <c r="K5" s="1286"/>
      <c r="L5" s="258" t="s">
        <v>1599</v>
      </c>
      <c r="M5" s="1288" t="str">
        <f>'Standing Data'!D4</f>
        <v>NAME OF COUNCIL</v>
      </c>
      <c r="N5" s="1288"/>
      <c r="O5" s="701" t="s">
        <v>1599</v>
      </c>
      <c r="P5" s="36"/>
    </row>
    <row r="6" spans="1:17" s="119" customFormat="1" ht="28.8" x14ac:dyDescent="0.3">
      <c r="A6" s="123" t="s">
        <v>439</v>
      </c>
      <c r="B6" s="122" t="s">
        <v>445</v>
      </c>
      <c r="C6" s="122" t="s">
        <v>474</v>
      </c>
      <c r="D6" s="123" t="s">
        <v>448</v>
      </c>
      <c r="E6" s="122" t="s">
        <v>440</v>
      </c>
      <c r="F6" s="122" t="s">
        <v>441</v>
      </c>
      <c r="G6" s="122" t="s">
        <v>442</v>
      </c>
      <c r="H6" s="122" t="s">
        <v>443</v>
      </c>
      <c r="I6" s="120" t="s">
        <v>1589</v>
      </c>
      <c r="J6" s="120" t="s">
        <v>1252</v>
      </c>
      <c r="K6" s="120" t="s">
        <v>1253</v>
      </c>
      <c r="L6" s="120" t="str">
        <f>'Standing Data'!D34</f>
        <v>2025/26</v>
      </c>
      <c r="M6" s="120" t="s">
        <v>1252</v>
      </c>
      <c r="N6" s="120" t="s">
        <v>1253</v>
      </c>
      <c r="O6" s="120" t="str">
        <f>'Standing Data'!D52</f>
        <v>2024/25</v>
      </c>
      <c r="P6" s="121"/>
    </row>
    <row r="7" spans="1:17" ht="55.2" x14ac:dyDescent="0.3">
      <c r="A7" s="31">
        <v>1</v>
      </c>
      <c r="B7" s="47"/>
      <c r="C7" s="75" t="s">
        <v>251</v>
      </c>
      <c r="D7" s="31" t="str">
        <f>IF(AND(L7=0,O7=0),"Do Not Print","Print")</f>
        <v>Do Not Print</v>
      </c>
      <c r="E7" s="1003" t="str">
        <f>'Input -CIES'!E7</f>
        <v>CIES Line 1</v>
      </c>
      <c r="F7" s="213" t="s">
        <v>1966</v>
      </c>
      <c r="G7" s="213" t="s">
        <v>1972</v>
      </c>
      <c r="H7" s="213" t="s">
        <v>1967</v>
      </c>
      <c r="I7" s="2"/>
      <c r="J7" s="163">
        <v>0</v>
      </c>
      <c r="K7" s="163">
        <v>0</v>
      </c>
      <c r="L7" s="165">
        <f>SUM(J7:K7)</f>
        <v>0</v>
      </c>
      <c r="M7" s="163">
        <v>0</v>
      </c>
      <c r="N7" s="163">
        <v>0</v>
      </c>
      <c r="O7" s="165">
        <f>SUM(M7:N7)</f>
        <v>0</v>
      </c>
    </row>
    <row r="8" spans="1:17" ht="55.2" x14ac:dyDescent="0.3">
      <c r="A8" s="31">
        <v>1</v>
      </c>
      <c r="B8" s="47"/>
      <c r="C8" s="75" t="s">
        <v>251</v>
      </c>
      <c r="D8" s="31" t="str">
        <f t="shared" ref="D8:D71" si="0">IF(AND(L8=0,O8=0),"Do Not Print","Print")</f>
        <v>Do Not Print</v>
      </c>
      <c r="E8" s="1003" t="str">
        <f>E7</f>
        <v>CIES Line 1</v>
      </c>
      <c r="F8" s="213" t="s">
        <v>1966</v>
      </c>
      <c r="G8" s="213" t="s">
        <v>1972</v>
      </c>
      <c r="H8" s="213" t="s">
        <v>1968</v>
      </c>
      <c r="I8" s="2"/>
      <c r="J8" s="163">
        <v>0</v>
      </c>
      <c r="K8" s="163">
        <v>0</v>
      </c>
      <c r="L8" s="165">
        <f t="shared" ref="L8:L71" si="1">SUM(J8:K8)</f>
        <v>0</v>
      </c>
      <c r="M8" s="163">
        <v>0</v>
      </c>
      <c r="N8" s="163">
        <v>0</v>
      </c>
      <c r="O8" s="165">
        <f t="shared" ref="O8:O71" si="2">SUM(M8:N8)</f>
        <v>0</v>
      </c>
    </row>
    <row r="9" spans="1:17" ht="55.2" x14ac:dyDescent="0.3">
      <c r="A9" s="31">
        <v>1</v>
      </c>
      <c r="B9" s="47"/>
      <c r="C9" s="75" t="s">
        <v>251</v>
      </c>
      <c r="D9" s="31" t="str">
        <f t="shared" si="0"/>
        <v>Do Not Print</v>
      </c>
      <c r="E9" s="1003" t="str">
        <f>E7</f>
        <v>CIES Line 1</v>
      </c>
      <c r="F9" s="213" t="s">
        <v>1966</v>
      </c>
      <c r="G9" s="213" t="s">
        <v>1972</v>
      </c>
      <c r="H9" s="213" t="s">
        <v>1969</v>
      </c>
      <c r="I9" s="2"/>
      <c r="J9" s="163">
        <v>0</v>
      </c>
      <c r="K9" s="163">
        <v>0</v>
      </c>
      <c r="L9" s="165">
        <f t="shared" si="1"/>
        <v>0</v>
      </c>
      <c r="M9" s="163">
        <v>0</v>
      </c>
      <c r="N9" s="163">
        <v>0</v>
      </c>
      <c r="O9" s="165">
        <f t="shared" si="2"/>
        <v>0</v>
      </c>
    </row>
    <row r="10" spans="1:17" ht="55.2" x14ac:dyDescent="0.3">
      <c r="A10" s="31">
        <v>1</v>
      </c>
      <c r="B10" s="47"/>
      <c r="C10" s="75" t="s">
        <v>251</v>
      </c>
      <c r="D10" s="31" t="str">
        <f t="shared" si="0"/>
        <v>Do Not Print</v>
      </c>
      <c r="E10" s="1003" t="str">
        <f>E7</f>
        <v>CIES Line 1</v>
      </c>
      <c r="F10" s="213" t="s">
        <v>1966</v>
      </c>
      <c r="G10" s="213" t="s">
        <v>1972</v>
      </c>
      <c r="H10" s="213" t="s">
        <v>1970</v>
      </c>
      <c r="I10" s="2"/>
      <c r="J10" s="163">
        <v>0</v>
      </c>
      <c r="K10" s="163">
        <v>0</v>
      </c>
      <c r="L10" s="165">
        <f t="shared" si="1"/>
        <v>0</v>
      </c>
      <c r="M10" s="163">
        <v>0</v>
      </c>
      <c r="N10" s="163">
        <v>0</v>
      </c>
      <c r="O10" s="165">
        <f t="shared" si="2"/>
        <v>0</v>
      </c>
    </row>
    <row r="11" spans="1:17" ht="55.2" x14ac:dyDescent="0.3">
      <c r="A11" s="31">
        <v>2</v>
      </c>
      <c r="B11" s="47"/>
      <c r="C11" s="75" t="s">
        <v>251</v>
      </c>
      <c r="D11" s="31" t="str">
        <f t="shared" si="0"/>
        <v>Do Not Print</v>
      </c>
      <c r="E11" s="1003" t="str">
        <f>'Input -CIES'!E8</f>
        <v>CIES Line 2</v>
      </c>
      <c r="F11" s="213" t="s">
        <v>1966</v>
      </c>
      <c r="G11" s="213" t="s">
        <v>1972</v>
      </c>
      <c r="H11" s="213" t="s">
        <v>1967</v>
      </c>
      <c r="I11" s="1"/>
      <c r="J11" s="163">
        <v>0</v>
      </c>
      <c r="K11" s="163">
        <v>0</v>
      </c>
      <c r="L11" s="165">
        <f t="shared" si="1"/>
        <v>0</v>
      </c>
      <c r="M11" s="163">
        <v>0</v>
      </c>
      <c r="N11" s="163">
        <v>0</v>
      </c>
      <c r="O11" s="165">
        <f t="shared" si="2"/>
        <v>0</v>
      </c>
      <c r="Q11" s="4"/>
    </row>
    <row r="12" spans="1:17" ht="55.2" x14ac:dyDescent="0.3">
      <c r="A12" s="31">
        <v>2</v>
      </c>
      <c r="B12" s="47"/>
      <c r="C12" s="75" t="s">
        <v>251</v>
      </c>
      <c r="D12" s="31" t="str">
        <f t="shared" si="0"/>
        <v>Do Not Print</v>
      </c>
      <c r="E12" s="1003" t="str">
        <f>E11</f>
        <v>CIES Line 2</v>
      </c>
      <c r="F12" s="213" t="s">
        <v>1966</v>
      </c>
      <c r="G12" s="213" t="s">
        <v>1972</v>
      </c>
      <c r="H12" s="213" t="s">
        <v>1968</v>
      </c>
      <c r="I12" s="1"/>
      <c r="J12" s="163">
        <v>0</v>
      </c>
      <c r="K12" s="163">
        <v>0</v>
      </c>
      <c r="L12" s="165">
        <f t="shared" si="1"/>
        <v>0</v>
      </c>
      <c r="M12" s="163">
        <v>0</v>
      </c>
      <c r="N12" s="163">
        <v>0</v>
      </c>
      <c r="O12" s="165">
        <f t="shared" si="2"/>
        <v>0</v>
      </c>
      <c r="Q12" s="4"/>
    </row>
    <row r="13" spans="1:17" ht="55.2" x14ac:dyDescent="0.3">
      <c r="A13" s="31">
        <v>2</v>
      </c>
      <c r="B13" s="47"/>
      <c r="C13" s="75" t="s">
        <v>251</v>
      </c>
      <c r="D13" s="31" t="str">
        <f t="shared" si="0"/>
        <v>Do Not Print</v>
      </c>
      <c r="E13" s="1003" t="str">
        <f>E11</f>
        <v>CIES Line 2</v>
      </c>
      <c r="F13" s="213" t="s">
        <v>1966</v>
      </c>
      <c r="G13" s="213" t="s">
        <v>1972</v>
      </c>
      <c r="H13" s="213" t="s">
        <v>1969</v>
      </c>
      <c r="I13" s="1"/>
      <c r="J13" s="163">
        <v>0</v>
      </c>
      <c r="K13" s="163">
        <v>0</v>
      </c>
      <c r="L13" s="165">
        <f t="shared" si="1"/>
        <v>0</v>
      </c>
      <c r="M13" s="163">
        <v>0</v>
      </c>
      <c r="N13" s="163">
        <v>0</v>
      </c>
      <c r="O13" s="165">
        <f t="shared" si="2"/>
        <v>0</v>
      </c>
      <c r="Q13" s="4"/>
    </row>
    <row r="14" spans="1:17" ht="55.2" x14ac:dyDescent="0.3">
      <c r="A14" s="31">
        <v>2</v>
      </c>
      <c r="B14" s="47"/>
      <c r="C14" s="75" t="s">
        <v>251</v>
      </c>
      <c r="D14" s="31" t="str">
        <f t="shared" si="0"/>
        <v>Do Not Print</v>
      </c>
      <c r="E14" s="1003" t="str">
        <f>E11</f>
        <v>CIES Line 2</v>
      </c>
      <c r="F14" s="213" t="s">
        <v>1966</v>
      </c>
      <c r="G14" s="213" t="s">
        <v>1972</v>
      </c>
      <c r="H14" s="213" t="s">
        <v>1970</v>
      </c>
      <c r="I14" s="1"/>
      <c r="J14" s="163">
        <v>0</v>
      </c>
      <c r="K14" s="163">
        <v>0</v>
      </c>
      <c r="L14" s="165">
        <f t="shared" si="1"/>
        <v>0</v>
      </c>
      <c r="M14" s="163">
        <v>0</v>
      </c>
      <c r="N14" s="163">
        <v>0</v>
      </c>
      <c r="O14" s="165">
        <f t="shared" si="2"/>
        <v>0</v>
      </c>
      <c r="Q14" s="4"/>
    </row>
    <row r="15" spans="1:17" ht="55.2" x14ac:dyDescent="0.3">
      <c r="A15" s="31">
        <v>3</v>
      </c>
      <c r="B15" s="47"/>
      <c r="C15" s="75" t="s">
        <v>251</v>
      </c>
      <c r="D15" s="31" t="str">
        <f t="shared" si="0"/>
        <v>Do Not Print</v>
      </c>
      <c r="E15" s="1003" t="str">
        <f>'Input -CIES'!E9</f>
        <v>CIES Line 3</v>
      </c>
      <c r="F15" s="213" t="s">
        <v>1966</v>
      </c>
      <c r="G15" s="213" t="s">
        <v>1972</v>
      </c>
      <c r="H15" s="213" t="s">
        <v>1967</v>
      </c>
      <c r="I15" s="1"/>
      <c r="J15" s="163">
        <v>0</v>
      </c>
      <c r="K15" s="163">
        <v>0</v>
      </c>
      <c r="L15" s="165">
        <f t="shared" si="1"/>
        <v>0</v>
      </c>
      <c r="M15" s="163">
        <v>0</v>
      </c>
      <c r="N15" s="163">
        <v>0</v>
      </c>
      <c r="O15" s="165">
        <f t="shared" si="2"/>
        <v>0</v>
      </c>
      <c r="Q15" s="4"/>
    </row>
    <row r="16" spans="1:17" ht="55.2" x14ac:dyDescent="0.3">
      <c r="A16" s="31">
        <v>3</v>
      </c>
      <c r="B16" s="47"/>
      <c r="C16" s="75" t="s">
        <v>251</v>
      </c>
      <c r="D16" s="31" t="str">
        <f t="shared" si="0"/>
        <v>Do Not Print</v>
      </c>
      <c r="E16" s="1003" t="str">
        <f>E15</f>
        <v>CIES Line 3</v>
      </c>
      <c r="F16" s="213" t="s">
        <v>1966</v>
      </c>
      <c r="G16" s="213" t="s">
        <v>1972</v>
      </c>
      <c r="H16" s="213" t="s">
        <v>1968</v>
      </c>
      <c r="I16" s="1"/>
      <c r="J16" s="163">
        <v>0</v>
      </c>
      <c r="K16" s="163">
        <v>0</v>
      </c>
      <c r="L16" s="165">
        <f t="shared" si="1"/>
        <v>0</v>
      </c>
      <c r="M16" s="163">
        <v>0</v>
      </c>
      <c r="N16" s="163">
        <v>0</v>
      </c>
      <c r="O16" s="165">
        <f t="shared" si="2"/>
        <v>0</v>
      </c>
      <c r="Q16" s="4"/>
    </row>
    <row r="17" spans="1:17" ht="55.2" x14ac:dyDescent="0.3">
      <c r="A17" s="31">
        <v>3</v>
      </c>
      <c r="B17" s="47"/>
      <c r="C17" s="75" t="s">
        <v>251</v>
      </c>
      <c r="D17" s="31" t="str">
        <f t="shared" si="0"/>
        <v>Do Not Print</v>
      </c>
      <c r="E17" s="1003" t="str">
        <f>E15</f>
        <v>CIES Line 3</v>
      </c>
      <c r="F17" s="213" t="s">
        <v>1966</v>
      </c>
      <c r="G17" s="213" t="s">
        <v>1972</v>
      </c>
      <c r="H17" s="213" t="s">
        <v>1969</v>
      </c>
      <c r="I17" s="1"/>
      <c r="J17" s="163">
        <v>0</v>
      </c>
      <c r="K17" s="163">
        <v>0</v>
      </c>
      <c r="L17" s="165">
        <f t="shared" si="1"/>
        <v>0</v>
      </c>
      <c r="M17" s="163">
        <v>0</v>
      </c>
      <c r="N17" s="163">
        <v>0</v>
      </c>
      <c r="O17" s="165">
        <f t="shared" si="2"/>
        <v>0</v>
      </c>
      <c r="Q17" s="4"/>
    </row>
    <row r="18" spans="1:17" ht="55.2" x14ac:dyDescent="0.3">
      <c r="A18" s="31">
        <v>3</v>
      </c>
      <c r="B18" s="47"/>
      <c r="C18" s="75" t="s">
        <v>251</v>
      </c>
      <c r="D18" s="31" t="str">
        <f t="shared" si="0"/>
        <v>Do Not Print</v>
      </c>
      <c r="E18" s="1003" t="str">
        <f>E15</f>
        <v>CIES Line 3</v>
      </c>
      <c r="F18" s="213" t="s">
        <v>1966</v>
      </c>
      <c r="G18" s="213" t="s">
        <v>1972</v>
      </c>
      <c r="H18" s="213" t="s">
        <v>1970</v>
      </c>
      <c r="I18" s="1"/>
      <c r="J18" s="163">
        <v>0</v>
      </c>
      <c r="K18" s="163">
        <v>0</v>
      </c>
      <c r="L18" s="165">
        <f t="shared" si="1"/>
        <v>0</v>
      </c>
      <c r="M18" s="163">
        <v>0</v>
      </c>
      <c r="N18" s="163">
        <v>0</v>
      </c>
      <c r="O18" s="165">
        <f t="shared" si="2"/>
        <v>0</v>
      </c>
      <c r="Q18" s="4"/>
    </row>
    <row r="19" spans="1:17" ht="55.2" x14ac:dyDescent="0.3">
      <c r="A19" s="31">
        <v>4</v>
      </c>
      <c r="B19" s="47"/>
      <c r="C19" s="75" t="s">
        <v>251</v>
      </c>
      <c r="D19" s="31" t="str">
        <f t="shared" si="0"/>
        <v>Do Not Print</v>
      </c>
      <c r="E19" s="1003" t="str">
        <f>'Input -CIES'!E10</f>
        <v>CIES Line 4</v>
      </c>
      <c r="F19" s="213" t="s">
        <v>1966</v>
      </c>
      <c r="G19" s="213" t="s">
        <v>1972</v>
      </c>
      <c r="H19" s="213" t="s">
        <v>1967</v>
      </c>
      <c r="I19" s="1"/>
      <c r="J19" s="163">
        <v>0</v>
      </c>
      <c r="K19" s="163">
        <v>0</v>
      </c>
      <c r="L19" s="165">
        <f t="shared" si="1"/>
        <v>0</v>
      </c>
      <c r="M19" s="163">
        <v>0</v>
      </c>
      <c r="N19" s="163">
        <v>0</v>
      </c>
      <c r="O19" s="165">
        <f t="shared" si="2"/>
        <v>0</v>
      </c>
      <c r="Q19" s="4"/>
    </row>
    <row r="20" spans="1:17" ht="55.2" x14ac:dyDescent="0.3">
      <c r="A20" s="31">
        <v>4</v>
      </c>
      <c r="B20" s="47"/>
      <c r="C20" s="75" t="s">
        <v>251</v>
      </c>
      <c r="D20" s="31" t="str">
        <f t="shared" si="0"/>
        <v>Do Not Print</v>
      </c>
      <c r="E20" s="1003" t="str">
        <f>E19</f>
        <v>CIES Line 4</v>
      </c>
      <c r="F20" s="213" t="s">
        <v>1966</v>
      </c>
      <c r="G20" s="213" t="s">
        <v>1972</v>
      </c>
      <c r="H20" s="213" t="s">
        <v>1968</v>
      </c>
      <c r="I20" s="1"/>
      <c r="J20" s="163">
        <v>0</v>
      </c>
      <c r="K20" s="163">
        <v>0</v>
      </c>
      <c r="L20" s="165">
        <f t="shared" si="1"/>
        <v>0</v>
      </c>
      <c r="M20" s="163">
        <v>0</v>
      </c>
      <c r="N20" s="163">
        <v>0</v>
      </c>
      <c r="O20" s="165">
        <f t="shared" si="2"/>
        <v>0</v>
      </c>
      <c r="Q20" s="4"/>
    </row>
    <row r="21" spans="1:17" ht="55.2" x14ac:dyDescent="0.3">
      <c r="A21" s="31">
        <v>4</v>
      </c>
      <c r="B21" s="47"/>
      <c r="C21" s="75" t="s">
        <v>251</v>
      </c>
      <c r="D21" s="31" t="str">
        <f t="shared" si="0"/>
        <v>Do Not Print</v>
      </c>
      <c r="E21" s="1003" t="str">
        <f>E19</f>
        <v>CIES Line 4</v>
      </c>
      <c r="F21" s="213" t="s">
        <v>1966</v>
      </c>
      <c r="G21" s="213" t="s">
        <v>1972</v>
      </c>
      <c r="H21" s="213" t="s">
        <v>1969</v>
      </c>
      <c r="I21" s="1"/>
      <c r="J21" s="163">
        <v>0</v>
      </c>
      <c r="K21" s="163">
        <v>0</v>
      </c>
      <c r="L21" s="165">
        <f t="shared" si="1"/>
        <v>0</v>
      </c>
      <c r="M21" s="163">
        <v>0</v>
      </c>
      <c r="N21" s="163">
        <v>0</v>
      </c>
      <c r="O21" s="165">
        <f t="shared" si="2"/>
        <v>0</v>
      </c>
      <c r="Q21" s="4"/>
    </row>
    <row r="22" spans="1:17" ht="55.2" x14ac:dyDescent="0.3">
      <c r="A22" s="31">
        <v>4</v>
      </c>
      <c r="B22" s="47"/>
      <c r="C22" s="75" t="s">
        <v>251</v>
      </c>
      <c r="D22" s="31" t="str">
        <f t="shared" si="0"/>
        <v>Do Not Print</v>
      </c>
      <c r="E22" s="1003" t="str">
        <f>E19</f>
        <v>CIES Line 4</v>
      </c>
      <c r="F22" s="213" t="s">
        <v>1966</v>
      </c>
      <c r="G22" s="213" t="s">
        <v>1972</v>
      </c>
      <c r="H22" s="213" t="s">
        <v>1970</v>
      </c>
      <c r="I22" s="1"/>
      <c r="J22" s="163">
        <v>0</v>
      </c>
      <c r="K22" s="163">
        <v>0</v>
      </c>
      <c r="L22" s="165">
        <f t="shared" si="1"/>
        <v>0</v>
      </c>
      <c r="M22" s="163">
        <v>0</v>
      </c>
      <c r="N22" s="163">
        <v>0</v>
      </c>
      <c r="O22" s="165">
        <f t="shared" si="2"/>
        <v>0</v>
      </c>
      <c r="Q22" s="4"/>
    </row>
    <row r="23" spans="1:17" ht="55.2" x14ac:dyDescent="0.3">
      <c r="A23" s="31">
        <v>5</v>
      </c>
      <c r="B23" s="47"/>
      <c r="C23" s="75" t="s">
        <v>251</v>
      </c>
      <c r="D23" s="31" t="str">
        <f t="shared" si="0"/>
        <v>Do Not Print</v>
      </c>
      <c r="E23" s="1003" t="str">
        <f>'Input -CIES'!E11</f>
        <v>CIES Line 5</v>
      </c>
      <c r="F23" s="213" t="s">
        <v>1966</v>
      </c>
      <c r="G23" s="213" t="s">
        <v>1972</v>
      </c>
      <c r="H23" s="213" t="s">
        <v>1967</v>
      </c>
      <c r="I23" s="1"/>
      <c r="J23" s="163">
        <v>0</v>
      </c>
      <c r="K23" s="163">
        <v>0</v>
      </c>
      <c r="L23" s="165">
        <f t="shared" si="1"/>
        <v>0</v>
      </c>
      <c r="M23" s="163">
        <v>0</v>
      </c>
      <c r="N23" s="163">
        <v>0</v>
      </c>
      <c r="O23" s="165">
        <f t="shared" si="2"/>
        <v>0</v>
      </c>
      <c r="Q23" s="4"/>
    </row>
    <row r="24" spans="1:17" ht="55.2" x14ac:dyDescent="0.3">
      <c r="A24" s="31">
        <v>5</v>
      </c>
      <c r="B24" s="47"/>
      <c r="C24" s="75" t="s">
        <v>251</v>
      </c>
      <c r="D24" s="31" t="str">
        <f t="shared" si="0"/>
        <v>Do Not Print</v>
      </c>
      <c r="E24" s="1003" t="str">
        <f>E23</f>
        <v>CIES Line 5</v>
      </c>
      <c r="F24" s="213" t="s">
        <v>1966</v>
      </c>
      <c r="G24" s="213" t="s">
        <v>1972</v>
      </c>
      <c r="H24" s="213" t="s">
        <v>1968</v>
      </c>
      <c r="I24" s="1"/>
      <c r="J24" s="163">
        <v>0</v>
      </c>
      <c r="K24" s="163">
        <v>0</v>
      </c>
      <c r="L24" s="165">
        <f t="shared" si="1"/>
        <v>0</v>
      </c>
      <c r="M24" s="163">
        <v>0</v>
      </c>
      <c r="N24" s="163">
        <v>0</v>
      </c>
      <c r="O24" s="165">
        <f t="shared" si="2"/>
        <v>0</v>
      </c>
      <c r="Q24" s="4"/>
    </row>
    <row r="25" spans="1:17" ht="55.2" x14ac:dyDescent="0.3">
      <c r="A25" s="31">
        <v>5</v>
      </c>
      <c r="B25" s="47"/>
      <c r="C25" s="75" t="s">
        <v>251</v>
      </c>
      <c r="D25" s="31" t="str">
        <f t="shared" si="0"/>
        <v>Do Not Print</v>
      </c>
      <c r="E25" s="1003" t="str">
        <f>E23</f>
        <v>CIES Line 5</v>
      </c>
      <c r="F25" s="213" t="s">
        <v>1966</v>
      </c>
      <c r="G25" s="213" t="s">
        <v>1972</v>
      </c>
      <c r="H25" s="213" t="s">
        <v>1969</v>
      </c>
      <c r="I25" s="1"/>
      <c r="J25" s="163">
        <v>0</v>
      </c>
      <c r="K25" s="163">
        <v>0</v>
      </c>
      <c r="L25" s="165">
        <f t="shared" si="1"/>
        <v>0</v>
      </c>
      <c r="M25" s="163">
        <v>0</v>
      </c>
      <c r="N25" s="163">
        <v>0</v>
      </c>
      <c r="O25" s="165">
        <f t="shared" si="2"/>
        <v>0</v>
      </c>
      <c r="Q25" s="4"/>
    </row>
    <row r="26" spans="1:17" ht="55.2" x14ac:dyDescent="0.3">
      <c r="A26" s="31">
        <v>5</v>
      </c>
      <c r="B26" s="47"/>
      <c r="C26" s="75" t="s">
        <v>251</v>
      </c>
      <c r="D26" s="31" t="str">
        <f t="shared" si="0"/>
        <v>Do Not Print</v>
      </c>
      <c r="E26" s="1003" t="str">
        <f>E23</f>
        <v>CIES Line 5</v>
      </c>
      <c r="F26" s="213" t="s">
        <v>1966</v>
      </c>
      <c r="G26" s="213" t="s">
        <v>1972</v>
      </c>
      <c r="H26" s="213" t="s">
        <v>1970</v>
      </c>
      <c r="I26" s="1"/>
      <c r="J26" s="163">
        <v>0</v>
      </c>
      <c r="K26" s="163">
        <v>0</v>
      </c>
      <c r="L26" s="165">
        <f t="shared" si="1"/>
        <v>0</v>
      </c>
      <c r="M26" s="163">
        <v>0</v>
      </c>
      <c r="N26" s="163">
        <v>0</v>
      </c>
      <c r="O26" s="165">
        <f t="shared" si="2"/>
        <v>0</v>
      </c>
      <c r="Q26" s="4"/>
    </row>
    <row r="27" spans="1:17" ht="55.2" x14ac:dyDescent="0.3">
      <c r="A27" s="31">
        <v>6</v>
      </c>
      <c r="B27" s="47"/>
      <c r="C27" s="75" t="s">
        <v>251</v>
      </c>
      <c r="D27" s="31" t="str">
        <f t="shared" si="0"/>
        <v>Do Not Print</v>
      </c>
      <c r="E27" s="1003" t="str">
        <f>'Input -CIES'!E12</f>
        <v>CIES Line 6</v>
      </c>
      <c r="F27" s="213" t="s">
        <v>1966</v>
      </c>
      <c r="G27" s="213" t="s">
        <v>1972</v>
      </c>
      <c r="H27" s="213" t="s">
        <v>1967</v>
      </c>
      <c r="I27" s="1"/>
      <c r="J27" s="163">
        <v>0</v>
      </c>
      <c r="K27" s="163">
        <v>0</v>
      </c>
      <c r="L27" s="165">
        <f t="shared" si="1"/>
        <v>0</v>
      </c>
      <c r="M27" s="163">
        <v>0</v>
      </c>
      <c r="N27" s="163">
        <v>0</v>
      </c>
      <c r="O27" s="165">
        <f t="shared" si="2"/>
        <v>0</v>
      </c>
      <c r="P27" s="36"/>
      <c r="Q27" s="4"/>
    </row>
    <row r="28" spans="1:17" ht="55.2" x14ac:dyDescent="0.3">
      <c r="A28" s="31">
        <v>6</v>
      </c>
      <c r="B28" s="47"/>
      <c r="C28" s="75" t="s">
        <v>251</v>
      </c>
      <c r="D28" s="31" t="str">
        <f t="shared" si="0"/>
        <v>Do Not Print</v>
      </c>
      <c r="E28" s="1003" t="str">
        <f>E27</f>
        <v>CIES Line 6</v>
      </c>
      <c r="F28" s="213" t="s">
        <v>1966</v>
      </c>
      <c r="G28" s="213" t="s">
        <v>1972</v>
      </c>
      <c r="H28" s="213" t="s">
        <v>1968</v>
      </c>
      <c r="I28" s="1"/>
      <c r="J28" s="163">
        <v>0</v>
      </c>
      <c r="K28" s="163">
        <v>0</v>
      </c>
      <c r="L28" s="165">
        <f t="shared" si="1"/>
        <v>0</v>
      </c>
      <c r="M28" s="163">
        <v>0</v>
      </c>
      <c r="N28" s="163">
        <v>0</v>
      </c>
      <c r="O28" s="165">
        <f t="shared" si="2"/>
        <v>0</v>
      </c>
      <c r="P28" s="36"/>
      <c r="Q28" s="4"/>
    </row>
    <row r="29" spans="1:17" ht="55.2" x14ac:dyDescent="0.3">
      <c r="A29" s="31">
        <v>6</v>
      </c>
      <c r="B29" s="47"/>
      <c r="C29" s="75" t="s">
        <v>251</v>
      </c>
      <c r="D29" s="31" t="str">
        <f t="shared" si="0"/>
        <v>Do Not Print</v>
      </c>
      <c r="E29" s="1003" t="str">
        <f>E27</f>
        <v>CIES Line 6</v>
      </c>
      <c r="F29" s="213" t="s">
        <v>1966</v>
      </c>
      <c r="G29" s="213" t="s">
        <v>1972</v>
      </c>
      <c r="H29" s="213" t="s">
        <v>1969</v>
      </c>
      <c r="I29" s="1"/>
      <c r="J29" s="163">
        <v>0</v>
      </c>
      <c r="K29" s="163">
        <v>0</v>
      </c>
      <c r="L29" s="165">
        <f t="shared" si="1"/>
        <v>0</v>
      </c>
      <c r="M29" s="163">
        <v>0</v>
      </c>
      <c r="N29" s="163">
        <v>0</v>
      </c>
      <c r="O29" s="165">
        <f t="shared" si="2"/>
        <v>0</v>
      </c>
      <c r="P29" s="36"/>
      <c r="Q29" s="4"/>
    </row>
    <row r="30" spans="1:17" ht="55.2" x14ac:dyDescent="0.3">
      <c r="A30" s="31">
        <v>6</v>
      </c>
      <c r="B30" s="47"/>
      <c r="C30" s="75" t="s">
        <v>251</v>
      </c>
      <c r="D30" s="31" t="str">
        <f t="shared" si="0"/>
        <v>Do Not Print</v>
      </c>
      <c r="E30" s="1003" t="str">
        <f>E27</f>
        <v>CIES Line 6</v>
      </c>
      <c r="F30" s="213" t="s">
        <v>1966</v>
      </c>
      <c r="G30" s="213" t="s">
        <v>1972</v>
      </c>
      <c r="H30" s="213" t="s">
        <v>1970</v>
      </c>
      <c r="I30" s="1"/>
      <c r="J30" s="163">
        <v>0</v>
      </c>
      <c r="K30" s="163">
        <v>0</v>
      </c>
      <c r="L30" s="165">
        <f t="shared" si="1"/>
        <v>0</v>
      </c>
      <c r="M30" s="163">
        <v>0</v>
      </c>
      <c r="N30" s="163">
        <v>0</v>
      </c>
      <c r="O30" s="165">
        <f t="shared" si="2"/>
        <v>0</v>
      </c>
      <c r="P30" s="36"/>
      <c r="Q30" s="4"/>
    </row>
    <row r="31" spans="1:17" ht="55.2" x14ac:dyDescent="0.3">
      <c r="A31" s="31">
        <v>7</v>
      </c>
      <c r="B31" s="47"/>
      <c r="C31" s="75" t="s">
        <v>251</v>
      </c>
      <c r="D31" s="31" t="str">
        <f t="shared" si="0"/>
        <v>Do Not Print</v>
      </c>
      <c r="E31" s="1003" t="str">
        <f>'Input -CIES'!E13</f>
        <v>CIES Line 7</v>
      </c>
      <c r="F31" s="213" t="s">
        <v>1966</v>
      </c>
      <c r="G31" s="213" t="s">
        <v>1972</v>
      </c>
      <c r="H31" s="213" t="s">
        <v>1967</v>
      </c>
      <c r="I31" s="1"/>
      <c r="J31" s="163">
        <v>0</v>
      </c>
      <c r="K31" s="163">
        <v>0</v>
      </c>
      <c r="L31" s="165">
        <f t="shared" si="1"/>
        <v>0</v>
      </c>
      <c r="M31" s="163">
        <v>0</v>
      </c>
      <c r="N31" s="163">
        <v>0</v>
      </c>
      <c r="O31" s="165">
        <f t="shared" si="2"/>
        <v>0</v>
      </c>
      <c r="P31" s="36"/>
      <c r="Q31" s="4"/>
    </row>
    <row r="32" spans="1:17" ht="55.2" x14ac:dyDescent="0.3">
      <c r="A32" s="31">
        <v>7</v>
      </c>
      <c r="B32" s="47"/>
      <c r="C32" s="75" t="s">
        <v>251</v>
      </c>
      <c r="D32" s="31" t="str">
        <f t="shared" si="0"/>
        <v>Do Not Print</v>
      </c>
      <c r="E32" s="1003" t="str">
        <f>E31</f>
        <v>CIES Line 7</v>
      </c>
      <c r="F32" s="213" t="s">
        <v>1966</v>
      </c>
      <c r="G32" s="213" t="s">
        <v>1972</v>
      </c>
      <c r="H32" s="213" t="s">
        <v>1968</v>
      </c>
      <c r="I32" s="1"/>
      <c r="J32" s="163">
        <v>0</v>
      </c>
      <c r="K32" s="163">
        <v>0</v>
      </c>
      <c r="L32" s="165">
        <f t="shared" si="1"/>
        <v>0</v>
      </c>
      <c r="M32" s="163">
        <v>0</v>
      </c>
      <c r="N32" s="163">
        <v>0</v>
      </c>
      <c r="O32" s="165">
        <f t="shared" si="2"/>
        <v>0</v>
      </c>
      <c r="P32" s="36"/>
      <c r="Q32" s="4"/>
    </row>
    <row r="33" spans="1:17" ht="55.2" x14ac:dyDescent="0.3">
      <c r="A33" s="31">
        <v>7</v>
      </c>
      <c r="B33" s="47"/>
      <c r="C33" s="75" t="s">
        <v>251</v>
      </c>
      <c r="D33" s="31" t="str">
        <f t="shared" si="0"/>
        <v>Do Not Print</v>
      </c>
      <c r="E33" s="1003" t="str">
        <f>E31</f>
        <v>CIES Line 7</v>
      </c>
      <c r="F33" s="213" t="s">
        <v>1966</v>
      </c>
      <c r="G33" s="213" t="s">
        <v>1972</v>
      </c>
      <c r="H33" s="213" t="s">
        <v>1969</v>
      </c>
      <c r="I33" s="1"/>
      <c r="J33" s="163">
        <v>0</v>
      </c>
      <c r="K33" s="163">
        <v>0</v>
      </c>
      <c r="L33" s="165">
        <f t="shared" si="1"/>
        <v>0</v>
      </c>
      <c r="M33" s="163">
        <v>0</v>
      </c>
      <c r="N33" s="163">
        <v>0</v>
      </c>
      <c r="O33" s="165">
        <f t="shared" si="2"/>
        <v>0</v>
      </c>
      <c r="P33" s="36"/>
      <c r="Q33" s="4"/>
    </row>
    <row r="34" spans="1:17" ht="55.2" x14ac:dyDescent="0.3">
      <c r="A34" s="31">
        <v>7</v>
      </c>
      <c r="B34" s="47"/>
      <c r="C34" s="75" t="s">
        <v>251</v>
      </c>
      <c r="D34" s="31" t="str">
        <f t="shared" si="0"/>
        <v>Do Not Print</v>
      </c>
      <c r="E34" s="1003" t="str">
        <f>E31</f>
        <v>CIES Line 7</v>
      </c>
      <c r="F34" s="213" t="s">
        <v>1966</v>
      </c>
      <c r="G34" s="213" t="s">
        <v>1972</v>
      </c>
      <c r="H34" s="213" t="s">
        <v>1970</v>
      </c>
      <c r="I34" s="1"/>
      <c r="J34" s="163">
        <v>0</v>
      </c>
      <c r="K34" s="163">
        <v>0</v>
      </c>
      <c r="L34" s="165">
        <f t="shared" si="1"/>
        <v>0</v>
      </c>
      <c r="M34" s="163">
        <v>0</v>
      </c>
      <c r="N34" s="163">
        <v>0</v>
      </c>
      <c r="O34" s="165">
        <f t="shared" si="2"/>
        <v>0</v>
      </c>
      <c r="P34" s="36"/>
      <c r="Q34" s="4"/>
    </row>
    <row r="35" spans="1:17" ht="55.2" x14ac:dyDescent="0.3">
      <c r="A35" s="31">
        <v>8</v>
      </c>
      <c r="B35" s="47"/>
      <c r="C35" s="75" t="s">
        <v>251</v>
      </c>
      <c r="D35" s="31" t="str">
        <f t="shared" si="0"/>
        <v>Do Not Print</v>
      </c>
      <c r="E35" s="1003" t="str">
        <f>'Input -CIES'!E14</f>
        <v>CIES Line 8</v>
      </c>
      <c r="F35" s="213" t="s">
        <v>1966</v>
      </c>
      <c r="G35" s="213" t="s">
        <v>1972</v>
      </c>
      <c r="H35" s="213" t="s">
        <v>1967</v>
      </c>
      <c r="I35" s="1"/>
      <c r="J35" s="163">
        <v>0</v>
      </c>
      <c r="K35" s="163">
        <v>0</v>
      </c>
      <c r="L35" s="165">
        <f t="shared" si="1"/>
        <v>0</v>
      </c>
      <c r="M35" s="163">
        <v>0</v>
      </c>
      <c r="N35" s="163">
        <v>0</v>
      </c>
      <c r="O35" s="165">
        <f t="shared" si="2"/>
        <v>0</v>
      </c>
      <c r="P35" s="36"/>
      <c r="Q35" s="4"/>
    </row>
    <row r="36" spans="1:17" ht="55.2" x14ac:dyDescent="0.3">
      <c r="A36" s="31">
        <v>8</v>
      </c>
      <c r="B36" s="47"/>
      <c r="C36" s="75" t="s">
        <v>251</v>
      </c>
      <c r="D36" s="31" t="str">
        <f t="shared" si="0"/>
        <v>Do Not Print</v>
      </c>
      <c r="E36" s="1003" t="str">
        <f>E35</f>
        <v>CIES Line 8</v>
      </c>
      <c r="F36" s="213" t="s">
        <v>1966</v>
      </c>
      <c r="G36" s="213" t="s">
        <v>1972</v>
      </c>
      <c r="H36" s="213" t="s">
        <v>1968</v>
      </c>
      <c r="I36" s="1"/>
      <c r="J36" s="163">
        <v>0</v>
      </c>
      <c r="K36" s="163">
        <v>0</v>
      </c>
      <c r="L36" s="165">
        <f t="shared" si="1"/>
        <v>0</v>
      </c>
      <c r="M36" s="163">
        <v>0</v>
      </c>
      <c r="N36" s="163">
        <v>0</v>
      </c>
      <c r="O36" s="165">
        <f t="shared" si="2"/>
        <v>0</v>
      </c>
      <c r="P36" s="36"/>
      <c r="Q36" s="4"/>
    </row>
    <row r="37" spans="1:17" ht="55.2" x14ac:dyDescent="0.3">
      <c r="A37" s="31">
        <v>8</v>
      </c>
      <c r="B37" s="47"/>
      <c r="C37" s="75" t="s">
        <v>251</v>
      </c>
      <c r="D37" s="31" t="str">
        <f t="shared" si="0"/>
        <v>Do Not Print</v>
      </c>
      <c r="E37" s="1003" t="str">
        <f>E35</f>
        <v>CIES Line 8</v>
      </c>
      <c r="F37" s="213" t="s">
        <v>1966</v>
      </c>
      <c r="G37" s="213" t="s">
        <v>1972</v>
      </c>
      <c r="H37" s="213" t="s">
        <v>1969</v>
      </c>
      <c r="I37" s="1"/>
      <c r="J37" s="163">
        <v>0</v>
      </c>
      <c r="K37" s="163">
        <v>0</v>
      </c>
      <c r="L37" s="165">
        <f t="shared" si="1"/>
        <v>0</v>
      </c>
      <c r="M37" s="163">
        <v>0</v>
      </c>
      <c r="N37" s="163">
        <v>0</v>
      </c>
      <c r="O37" s="165">
        <f t="shared" si="2"/>
        <v>0</v>
      </c>
      <c r="P37" s="36"/>
      <c r="Q37" s="4"/>
    </row>
    <row r="38" spans="1:17" ht="55.2" x14ac:dyDescent="0.3">
      <c r="A38" s="31">
        <v>8</v>
      </c>
      <c r="B38" s="47"/>
      <c r="C38" s="75" t="s">
        <v>251</v>
      </c>
      <c r="D38" s="31" t="str">
        <f t="shared" si="0"/>
        <v>Do Not Print</v>
      </c>
      <c r="E38" s="1003" t="str">
        <f>E35</f>
        <v>CIES Line 8</v>
      </c>
      <c r="F38" s="213" t="s">
        <v>1966</v>
      </c>
      <c r="G38" s="213" t="s">
        <v>1972</v>
      </c>
      <c r="H38" s="213" t="s">
        <v>1970</v>
      </c>
      <c r="I38" s="1"/>
      <c r="J38" s="163">
        <v>0</v>
      </c>
      <c r="K38" s="163">
        <v>0</v>
      </c>
      <c r="L38" s="165">
        <f t="shared" si="1"/>
        <v>0</v>
      </c>
      <c r="M38" s="163">
        <v>0</v>
      </c>
      <c r="N38" s="163">
        <v>0</v>
      </c>
      <c r="O38" s="165">
        <f t="shared" si="2"/>
        <v>0</v>
      </c>
      <c r="P38" s="36"/>
      <c r="Q38" s="4"/>
    </row>
    <row r="39" spans="1:17" ht="55.2" x14ac:dyDescent="0.3">
      <c r="A39" s="31">
        <v>9</v>
      </c>
      <c r="B39" s="47"/>
      <c r="C39" s="75" t="s">
        <v>251</v>
      </c>
      <c r="D39" s="31" t="str">
        <f t="shared" si="0"/>
        <v>Do Not Print</v>
      </c>
      <c r="E39" s="1003" t="str">
        <f>'Input -CIES'!E15</f>
        <v>CIES Line 9</v>
      </c>
      <c r="F39" s="213" t="s">
        <v>1966</v>
      </c>
      <c r="G39" s="213" t="s">
        <v>1972</v>
      </c>
      <c r="H39" s="213" t="s">
        <v>1967</v>
      </c>
      <c r="I39" s="1"/>
      <c r="J39" s="163">
        <v>0</v>
      </c>
      <c r="K39" s="163">
        <v>0</v>
      </c>
      <c r="L39" s="165">
        <f t="shared" si="1"/>
        <v>0</v>
      </c>
      <c r="M39" s="163">
        <v>0</v>
      </c>
      <c r="N39" s="163">
        <v>0</v>
      </c>
      <c r="O39" s="165">
        <f t="shared" si="2"/>
        <v>0</v>
      </c>
      <c r="P39" s="36"/>
      <c r="Q39" s="4"/>
    </row>
    <row r="40" spans="1:17" ht="55.2" x14ac:dyDescent="0.3">
      <c r="A40" s="31">
        <v>9</v>
      </c>
      <c r="B40" s="47"/>
      <c r="C40" s="75" t="s">
        <v>251</v>
      </c>
      <c r="D40" s="31" t="str">
        <f t="shared" si="0"/>
        <v>Do Not Print</v>
      </c>
      <c r="E40" s="1003" t="str">
        <f>E39</f>
        <v>CIES Line 9</v>
      </c>
      <c r="F40" s="213" t="s">
        <v>1966</v>
      </c>
      <c r="G40" s="213" t="s">
        <v>1972</v>
      </c>
      <c r="H40" s="213" t="s">
        <v>1968</v>
      </c>
      <c r="I40" s="1"/>
      <c r="J40" s="163">
        <v>0</v>
      </c>
      <c r="K40" s="163">
        <v>0</v>
      </c>
      <c r="L40" s="165">
        <f t="shared" si="1"/>
        <v>0</v>
      </c>
      <c r="M40" s="163">
        <v>0</v>
      </c>
      <c r="N40" s="163">
        <v>0</v>
      </c>
      <c r="O40" s="165">
        <f t="shared" si="2"/>
        <v>0</v>
      </c>
      <c r="P40" s="36"/>
      <c r="Q40" s="4"/>
    </row>
    <row r="41" spans="1:17" ht="55.2" x14ac:dyDescent="0.3">
      <c r="A41" s="31">
        <v>9</v>
      </c>
      <c r="B41" s="47"/>
      <c r="C41" s="75" t="s">
        <v>251</v>
      </c>
      <c r="D41" s="31" t="str">
        <f t="shared" si="0"/>
        <v>Do Not Print</v>
      </c>
      <c r="E41" s="1003" t="str">
        <f>E39</f>
        <v>CIES Line 9</v>
      </c>
      <c r="F41" s="213" t="s">
        <v>1966</v>
      </c>
      <c r="G41" s="213" t="s">
        <v>1972</v>
      </c>
      <c r="H41" s="213" t="s">
        <v>1969</v>
      </c>
      <c r="I41" s="1"/>
      <c r="J41" s="163">
        <v>0</v>
      </c>
      <c r="K41" s="163">
        <v>0</v>
      </c>
      <c r="L41" s="165">
        <f t="shared" si="1"/>
        <v>0</v>
      </c>
      <c r="M41" s="163">
        <v>0</v>
      </c>
      <c r="N41" s="163">
        <v>0</v>
      </c>
      <c r="O41" s="165">
        <f t="shared" si="2"/>
        <v>0</v>
      </c>
      <c r="P41" s="36"/>
      <c r="Q41" s="4"/>
    </row>
    <row r="42" spans="1:17" ht="55.2" x14ac:dyDescent="0.3">
      <c r="A42" s="31">
        <v>9</v>
      </c>
      <c r="B42" s="47"/>
      <c r="C42" s="75" t="s">
        <v>251</v>
      </c>
      <c r="D42" s="31" t="str">
        <f t="shared" si="0"/>
        <v>Do Not Print</v>
      </c>
      <c r="E42" s="1003" t="str">
        <f>E39</f>
        <v>CIES Line 9</v>
      </c>
      <c r="F42" s="213" t="s">
        <v>1966</v>
      </c>
      <c r="G42" s="213" t="s">
        <v>1972</v>
      </c>
      <c r="H42" s="213" t="s">
        <v>1970</v>
      </c>
      <c r="I42" s="1"/>
      <c r="J42" s="163">
        <v>0</v>
      </c>
      <c r="K42" s="163">
        <v>0</v>
      </c>
      <c r="L42" s="165">
        <f t="shared" si="1"/>
        <v>0</v>
      </c>
      <c r="M42" s="163">
        <v>0</v>
      </c>
      <c r="N42" s="163">
        <v>0</v>
      </c>
      <c r="O42" s="165">
        <f t="shared" si="2"/>
        <v>0</v>
      </c>
      <c r="P42" s="36"/>
      <c r="Q42" s="4"/>
    </row>
    <row r="43" spans="1:17" ht="55.2" x14ac:dyDescent="0.3">
      <c r="A43" s="31">
        <v>10</v>
      </c>
      <c r="B43" s="47"/>
      <c r="C43" s="75" t="s">
        <v>251</v>
      </c>
      <c r="D43" s="31" t="str">
        <f t="shared" si="0"/>
        <v>Do Not Print</v>
      </c>
      <c r="E43" s="1003" t="str">
        <f>'Input -CIES'!E16</f>
        <v>CIES Line 10</v>
      </c>
      <c r="F43" s="213" t="s">
        <v>1966</v>
      </c>
      <c r="G43" s="213" t="s">
        <v>1972</v>
      </c>
      <c r="H43" s="213" t="s">
        <v>1967</v>
      </c>
      <c r="I43" s="1"/>
      <c r="J43" s="163">
        <v>0</v>
      </c>
      <c r="K43" s="163">
        <v>0</v>
      </c>
      <c r="L43" s="165">
        <f t="shared" si="1"/>
        <v>0</v>
      </c>
      <c r="M43" s="163">
        <v>0</v>
      </c>
      <c r="N43" s="163">
        <v>0</v>
      </c>
      <c r="O43" s="165">
        <f t="shared" si="2"/>
        <v>0</v>
      </c>
      <c r="P43" s="36"/>
      <c r="Q43" s="4"/>
    </row>
    <row r="44" spans="1:17" ht="55.2" x14ac:dyDescent="0.3">
      <c r="A44" s="31">
        <v>10</v>
      </c>
      <c r="B44" s="47"/>
      <c r="C44" s="75" t="s">
        <v>251</v>
      </c>
      <c r="D44" s="31" t="str">
        <f t="shared" si="0"/>
        <v>Do Not Print</v>
      </c>
      <c r="E44" s="1003" t="str">
        <f>E43</f>
        <v>CIES Line 10</v>
      </c>
      <c r="F44" s="213" t="s">
        <v>1966</v>
      </c>
      <c r="G44" s="213" t="s">
        <v>1972</v>
      </c>
      <c r="H44" s="213" t="s">
        <v>1968</v>
      </c>
      <c r="I44" s="1"/>
      <c r="J44" s="163">
        <v>0</v>
      </c>
      <c r="K44" s="163">
        <v>0</v>
      </c>
      <c r="L44" s="165">
        <f t="shared" si="1"/>
        <v>0</v>
      </c>
      <c r="M44" s="163">
        <v>0</v>
      </c>
      <c r="N44" s="163">
        <v>0</v>
      </c>
      <c r="O44" s="165">
        <f t="shared" si="2"/>
        <v>0</v>
      </c>
      <c r="P44" s="36"/>
      <c r="Q44" s="4"/>
    </row>
    <row r="45" spans="1:17" ht="55.2" x14ac:dyDescent="0.3">
      <c r="A45" s="31">
        <v>10</v>
      </c>
      <c r="B45" s="47"/>
      <c r="C45" s="75" t="s">
        <v>251</v>
      </c>
      <c r="D45" s="31" t="str">
        <f t="shared" si="0"/>
        <v>Do Not Print</v>
      </c>
      <c r="E45" s="1003" t="str">
        <f>E43</f>
        <v>CIES Line 10</v>
      </c>
      <c r="F45" s="213" t="s">
        <v>1966</v>
      </c>
      <c r="G45" s="213" t="s">
        <v>1972</v>
      </c>
      <c r="H45" s="213" t="s">
        <v>1969</v>
      </c>
      <c r="I45" s="1"/>
      <c r="J45" s="163">
        <v>0</v>
      </c>
      <c r="K45" s="163">
        <v>0</v>
      </c>
      <c r="L45" s="165">
        <f t="shared" si="1"/>
        <v>0</v>
      </c>
      <c r="M45" s="163">
        <v>0</v>
      </c>
      <c r="N45" s="163">
        <v>0</v>
      </c>
      <c r="O45" s="165">
        <f t="shared" si="2"/>
        <v>0</v>
      </c>
      <c r="P45" s="36"/>
      <c r="Q45" s="4"/>
    </row>
    <row r="46" spans="1:17" ht="55.2" x14ac:dyDescent="0.3">
      <c r="A46" s="31">
        <v>10</v>
      </c>
      <c r="B46" s="47"/>
      <c r="C46" s="75" t="s">
        <v>251</v>
      </c>
      <c r="D46" s="31" t="str">
        <f t="shared" si="0"/>
        <v>Do Not Print</v>
      </c>
      <c r="E46" s="1003" t="str">
        <f>E43</f>
        <v>CIES Line 10</v>
      </c>
      <c r="F46" s="213" t="s">
        <v>1966</v>
      </c>
      <c r="G46" s="213" t="s">
        <v>1972</v>
      </c>
      <c r="H46" s="213" t="s">
        <v>1970</v>
      </c>
      <c r="I46" s="1"/>
      <c r="J46" s="163">
        <v>0</v>
      </c>
      <c r="K46" s="163">
        <v>0</v>
      </c>
      <c r="L46" s="165">
        <f t="shared" si="1"/>
        <v>0</v>
      </c>
      <c r="M46" s="163">
        <v>0</v>
      </c>
      <c r="N46" s="163">
        <v>0</v>
      </c>
      <c r="O46" s="165">
        <f t="shared" si="2"/>
        <v>0</v>
      </c>
      <c r="P46" s="36"/>
      <c r="Q46" s="4"/>
    </row>
    <row r="47" spans="1:17" ht="55.2" x14ac:dyDescent="0.3">
      <c r="A47" s="31">
        <v>11</v>
      </c>
      <c r="B47" s="47"/>
      <c r="C47" s="75" t="s">
        <v>251</v>
      </c>
      <c r="D47" s="31" t="str">
        <f t="shared" si="0"/>
        <v>Do Not Print</v>
      </c>
      <c r="E47" s="1003" t="str">
        <f>'Input -CIES'!E17</f>
        <v>CIES Line 11</v>
      </c>
      <c r="F47" s="213" t="s">
        <v>1966</v>
      </c>
      <c r="G47" s="213" t="s">
        <v>1972</v>
      </c>
      <c r="H47" s="213" t="s">
        <v>1967</v>
      </c>
      <c r="I47" s="1"/>
      <c r="J47" s="163">
        <v>0</v>
      </c>
      <c r="K47" s="163">
        <v>0</v>
      </c>
      <c r="L47" s="165">
        <f t="shared" si="1"/>
        <v>0</v>
      </c>
      <c r="M47" s="163">
        <v>0</v>
      </c>
      <c r="N47" s="163">
        <v>0</v>
      </c>
      <c r="O47" s="165">
        <f t="shared" si="2"/>
        <v>0</v>
      </c>
      <c r="P47" s="36"/>
      <c r="Q47" s="4"/>
    </row>
    <row r="48" spans="1:17" ht="55.2" x14ac:dyDescent="0.3">
      <c r="A48" s="31">
        <v>11</v>
      </c>
      <c r="B48" s="47"/>
      <c r="C48" s="75" t="s">
        <v>251</v>
      </c>
      <c r="D48" s="31" t="str">
        <f t="shared" si="0"/>
        <v>Do Not Print</v>
      </c>
      <c r="E48" s="1003" t="str">
        <f>E47</f>
        <v>CIES Line 11</v>
      </c>
      <c r="F48" s="213" t="s">
        <v>1966</v>
      </c>
      <c r="G48" s="213" t="s">
        <v>1972</v>
      </c>
      <c r="H48" s="213" t="s">
        <v>1968</v>
      </c>
      <c r="I48" s="1"/>
      <c r="J48" s="163">
        <v>0</v>
      </c>
      <c r="K48" s="163">
        <v>0</v>
      </c>
      <c r="L48" s="165">
        <f t="shared" si="1"/>
        <v>0</v>
      </c>
      <c r="M48" s="163">
        <v>0</v>
      </c>
      <c r="N48" s="163">
        <v>0</v>
      </c>
      <c r="O48" s="165">
        <f t="shared" si="2"/>
        <v>0</v>
      </c>
      <c r="P48" s="36"/>
      <c r="Q48" s="4"/>
    </row>
    <row r="49" spans="1:17" ht="55.2" x14ac:dyDescent="0.3">
      <c r="A49" s="31">
        <v>11</v>
      </c>
      <c r="B49" s="47"/>
      <c r="C49" s="75" t="s">
        <v>251</v>
      </c>
      <c r="D49" s="31" t="str">
        <f t="shared" si="0"/>
        <v>Do Not Print</v>
      </c>
      <c r="E49" s="1003" t="str">
        <f>E47</f>
        <v>CIES Line 11</v>
      </c>
      <c r="F49" s="213" t="s">
        <v>1966</v>
      </c>
      <c r="G49" s="213" t="s">
        <v>1972</v>
      </c>
      <c r="H49" s="213" t="s">
        <v>1969</v>
      </c>
      <c r="I49" s="1"/>
      <c r="J49" s="163">
        <v>0</v>
      </c>
      <c r="K49" s="163">
        <v>0</v>
      </c>
      <c r="L49" s="165">
        <f t="shared" si="1"/>
        <v>0</v>
      </c>
      <c r="M49" s="163">
        <v>0</v>
      </c>
      <c r="N49" s="163">
        <v>0</v>
      </c>
      <c r="O49" s="165">
        <f t="shared" si="2"/>
        <v>0</v>
      </c>
      <c r="P49" s="36"/>
      <c r="Q49" s="4"/>
    </row>
    <row r="50" spans="1:17" ht="55.2" x14ac:dyDescent="0.3">
      <c r="A50" s="31">
        <v>11</v>
      </c>
      <c r="B50" s="47"/>
      <c r="C50" s="75" t="s">
        <v>251</v>
      </c>
      <c r="D50" s="31" t="str">
        <f t="shared" si="0"/>
        <v>Do Not Print</v>
      </c>
      <c r="E50" s="1003" t="str">
        <f>E47</f>
        <v>CIES Line 11</v>
      </c>
      <c r="F50" s="213" t="s">
        <v>1966</v>
      </c>
      <c r="G50" s="213" t="s">
        <v>1972</v>
      </c>
      <c r="H50" s="213" t="s">
        <v>1970</v>
      </c>
      <c r="I50" s="1"/>
      <c r="J50" s="163">
        <v>0</v>
      </c>
      <c r="K50" s="163">
        <v>0</v>
      </c>
      <c r="L50" s="165">
        <f t="shared" si="1"/>
        <v>0</v>
      </c>
      <c r="M50" s="163">
        <v>0</v>
      </c>
      <c r="N50" s="163">
        <v>0</v>
      </c>
      <c r="O50" s="165">
        <f t="shared" si="2"/>
        <v>0</v>
      </c>
      <c r="P50" s="36"/>
      <c r="Q50" s="4"/>
    </row>
    <row r="51" spans="1:17" ht="55.2" x14ac:dyDescent="0.3">
      <c r="A51" s="31">
        <v>12</v>
      </c>
      <c r="B51" s="47"/>
      <c r="C51" s="75" t="s">
        <v>251</v>
      </c>
      <c r="D51" s="31" t="str">
        <f t="shared" si="0"/>
        <v>Do Not Print</v>
      </c>
      <c r="E51" s="1003" t="str">
        <f>'Input -CIES'!E18</f>
        <v>CIES Line 12</v>
      </c>
      <c r="F51" s="213" t="s">
        <v>1966</v>
      </c>
      <c r="G51" s="213" t="s">
        <v>1972</v>
      </c>
      <c r="H51" s="213" t="s">
        <v>1967</v>
      </c>
      <c r="I51" s="1"/>
      <c r="J51" s="163">
        <v>0</v>
      </c>
      <c r="K51" s="163">
        <v>0</v>
      </c>
      <c r="L51" s="165">
        <f t="shared" si="1"/>
        <v>0</v>
      </c>
      <c r="M51" s="163">
        <v>0</v>
      </c>
      <c r="N51" s="163">
        <v>0</v>
      </c>
      <c r="O51" s="165">
        <f t="shared" si="2"/>
        <v>0</v>
      </c>
      <c r="P51" s="36"/>
      <c r="Q51" s="4"/>
    </row>
    <row r="52" spans="1:17" ht="55.2" x14ac:dyDescent="0.3">
      <c r="A52" s="31">
        <v>12</v>
      </c>
      <c r="B52" s="47"/>
      <c r="C52" s="75" t="s">
        <v>251</v>
      </c>
      <c r="D52" s="31" t="str">
        <f t="shared" si="0"/>
        <v>Do Not Print</v>
      </c>
      <c r="E52" s="1003" t="str">
        <f>E51</f>
        <v>CIES Line 12</v>
      </c>
      <c r="F52" s="213" t="s">
        <v>1966</v>
      </c>
      <c r="G52" s="213" t="s">
        <v>1972</v>
      </c>
      <c r="H52" s="213" t="s">
        <v>1968</v>
      </c>
      <c r="I52" s="1"/>
      <c r="J52" s="163">
        <v>0</v>
      </c>
      <c r="K52" s="163">
        <v>0</v>
      </c>
      <c r="L52" s="165">
        <f t="shared" si="1"/>
        <v>0</v>
      </c>
      <c r="M52" s="163">
        <v>0</v>
      </c>
      <c r="N52" s="163">
        <v>0</v>
      </c>
      <c r="O52" s="165">
        <f t="shared" si="2"/>
        <v>0</v>
      </c>
      <c r="P52" s="36"/>
      <c r="Q52" s="4"/>
    </row>
    <row r="53" spans="1:17" ht="55.2" x14ac:dyDescent="0.3">
      <c r="A53" s="31">
        <v>12</v>
      </c>
      <c r="B53" s="47"/>
      <c r="C53" s="75" t="s">
        <v>251</v>
      </c>
      <c r="D53" s="31" t="str">
        <f t="shared" si="0"/>
        <v>Do Not Print</v>
      </c>
      <c r="E53" s="1003" t="str">
        <f>E51</f>
        <v>CIES Line 12</v>
      </c>
      <c r="F53" s="213" t="s">
        <v>1966</v>
      </c>
      <c r="G53" s="213" t="s">
        <v>1972</v>
      </c>
      <c r="H53" s="213" t="s">
        <v>1969</v>
      </c>
      <c r="I53" s="1"/>
      <c r="J53" s="163">
        <v>0</v>
      </c>
      <c r="K53" s="163">
        <v>0</v>
      </c>
      <c r="L53" s="165">
        <f t="shared" si="1"/>
        <v>0</v>
      </c>
      <c r="M53" s="163">
        <v>0</v>
      </c>
      <c r="N53" s="163">
        <v>0</v>
      </c>
      <c r="O53" s="165">
        <f t="shared" si="2"/>
        <v>0</v>
      </c>
      <c r="P53" s="36"/>
      <c r="Q53" s="4"/>
    </row>
    <row r="54" spans="1:17" ht="55.2" x14ac:dyDescent="0.3">
      <c r="A54" s="31">
        <v>12</v>
      </c>
      <c r="B54" s="47"/>
      <c r="C54" s="75" t="s">
        <v>251</v>
      </c>
      <c r="D54" s="31" t="str">
        <f t="shared" si="0"/>
        <v>Do Not Print</v>
      </c>
      <c r="E54" s="1003" t="str">
        <f>E51</f>
        <v>CIES Line 12</v>
      </c>
      <c r="F54" s="213" t="s">
        <v>1966</v>
      </c>
      <c r="G54" s="213" t="s">
        <v>1972</v>
      </c>
      <c r="H54" s="213" t="s">
        <v>1970</v>
      </c>
      <c r="I54" s="1"/>
      <c r="J54" s="163">
        <v>0</v>
      </c>
      <c r="K54" s="163">
        <v>0</v>
      </c>
      <c r="L54" s="165">
        <f t="shared" si="1"/>
        <v>0</v>
      </c>
      <c r="M54" s="163">
        <v>0</v>
      </c>
      <c r="N54" s="163">
        <v>0</v>
      </c>
      <c r="O54" s="165">
        <f t="shared" si="2"/>
        <v>0</v>
      </c>
      <c r="P54" s="36"/>
      <c r="Q54" s="4"/>
    </row>
    <row r="55" spans="1:17" ht="55.2" x14ac:dyDescent="0.3">
      <c r="A55" s="31">
        <v>13</v>
      </c>
      <c r="B55" s="47"/>
      <c r="C55" s="75" t="s">
        <v>251</v>
      </c>
      <c r="D55" s="31" t="str">
        <f t="shared" si="0"/>
        <v>Do Not Print</v>
      </c>
      <c r="E55" s="1003" t="str">
        <f>'Input -CIES'!E19</f>
        <v>CIES Line 13</v>
      </c>
      <c r="F55" s="213" t="s">
        <v>1966</v>
      </c>
      <c r="G55" s="213" t="s">
        <v>1972</v>
      </c>
      <c r="H55" s="213" t="s">
        <v>1967</v>
      </c>
      <c r="I55" s="1"/>
      <c r="J55" s="163">
        <v>0</v>
      </c>
      <c r="K55" s="163">
        <v>0</v>
      </c>
      <c r="L55" s="165">
        <f t="shared" si="1"/>
        <v>0</v>
      </c>
      <c r="M55" s="163">
        <v>0</v>
      </c>
      <c r="N55" s="163">
        <v>0</v>
      </c>
      <c r="O55" s="165">
        <f t="shared" si="2"/>
        <v>0</v>
      </c>
      <c r="P55" s="36"/>
      <c r="Q55" s="4"/>
    </row>
    <row r="56" spans="1:17" ht="55.2" x14ac:dyDescent="0.3">
      <c r="A56" s="31">
        <v>13</v>
      </c>
      <c r="B56" s="47"/>
      <c r="C56" s="75" t="s">
        <v>251</v>
      </c>
      <c r="D56" s="31" t="str">
        <f t="shared" si="0"/>
        <v>Do Not Print</v>
      </c>
      <c r="E56" s="1003" t="str">
        <f>E55</f>
        <v>CIES Line 13</v>
      </c>
      <c r="F56" s="213" t="s">
        <v>1966</v>
      </c>
      <c r="G56" s="213" t="s">
        <v>1972</v>
      </c>
      <c r="H56" s="213" t="s">
        <v>1968</v>
      </c>
      <c r="I56" s="1"/>
      <c r="J56" s="163">
        <v>0</v>
      </c>
      <c r="K56" s="163">
        <v>0</v>
      </c>
      <c r="L56" s="165">
        <f t="shared" si="1"/>
        <v>0</v>
      </c>
      <c r="M56" s="163">
        <v>0</v>
      </c>
      <c r="N56" s="163">
        <v>0</v>
      </c>
      <c r="O56" s="165">
        <f t="shared" si="2"/>
        <v>0</v>
      </c>
      <c r="P56" s="36"/>
      <c r="Q56" s="4"/>
    </row>
    <row r="57" spans="1:17" ht="55.2" x14ac:dyDescent="0.3">
      <c r="A57" s="31">
        <v>13</v>
      </c>
      <c r="B57" s="47"/>
      <c r="C57" s="75" t="s">
        <v>251</v>
      </c>
      <c r="D57" s="31" t="str">
        <f t="shared" si="0"/>
        <v>Do Not Print</v>
      </c>
      <c r="E57" s="1003" t="str">
        <f>E55</f>
        <v>CIES Line 13</v>
      </c>
      <c r="F57" s="213" t="s">
        <v>1966</v>
      </c>
      <c r="G57" s="213" t="s">
        <v>1972</v>
      </c>
      <c r="H57" s="213" t="s">
        <v>1969</v>
      </c>
      <c r="I57" s="1"/>
      <c r="J57" s="163">
        <v>0</v>
      </c>
      <c r="K57" s="163">
        <v>0</v>
      </c>
      <c r="L57" s="165">
        <f t="shared" si="1"/>
        <v>0</v>
      </c>
      <c r="M57" s="163">
        <v>0</v>
      </c>
      <c r="N57" s="163">
        <v>0</v>
      </c>
      <c r="O57" s="165">
        <f t="shared" si="2"/>
        <v>0</v>
      </c>
      <c r="P57" s="36"/>
      <c r="Q57" s="4"/>
    </row>
    <row r="58" spans="1:17" ht="55.2" x14ac:dyDescent="0.3">
      <c r="A58" s="31">
        <v>13</v>
      </c>
      <c r="B58" s="47"/>
      <c r="C58" s="75" t="s">
        <v>251</v>
      </c>
      <c r="D58" s="31" t="str">
        <f t="shared" si="0"/>
        <v>Do Not Print</v>
      </c>
      <c r="E58" s="1003" t="str">
        <f>E55</f>
        <v>CIES Line 13</v>
      </c>
      <c r="F58" s="213" t="s">
        <v>1966</v>
      </c>
      <c r="G58" s="213" t="s">
        <v>1972</v>
      </c>
      <c r="H58" s="213" t="s">
        <v>1970</v>
      </c>
      <c r="I58" s="1"/>
      <c r="J58" s="163">
        <v>0</v>
      </c>
      <c r="K58" s="163">
        <v>0</v>
      </c>
      <c r="L58" s="165">
        <f t="shared" si="1"/>
        <v>0</v>
      </c>
      <c r="M58" s="163">
        <v>0</v>
      </c>
      <c r="N58" s="163">
        <v>0</v>
      </c>
      <c r="O58" s="165">
        <f t="shared" si="2"/>
        <v>0</v>
      </c>
      <c r="P58" s="36"/>
      <c r="Q58" s="4"/>
    </row>
    <row r="59" spans="1:17" ht="55.2" x14ac:dyDescent="0.3">
      <c r="A59" s="31">
        <v>14</v>
      </c>
      <c r="B59" s="47"/>
      <c r="C59" s="75" t="s">
        <v>251</v>
      </c>
      <c r="D59" s="31" t="str">
        <f t="shared" si="0"/>
        <v>Do Not Print</v>
      </c>
      <c r="E59" s="1003" t="str">
        <f>'Input -CIES'!E20</f>
        <v>CIES Line 14</v>
      </c>
      <c r="F59" s="213" t="s">
        <v>1966</v>
      </c>
      <c r="G59" s="213" t="s">
        <v>1972</v>
      </c>
      <c r="H59" s="213" t="s">
        <v>1967</v>
      </c>
      <c r="I59" s="1"/>
      <c r="J59" s="163">
        <v>0</v>
      </c>
      <c r="K59" s="163">
        <v>0</v>
      </c>
      <c r="L59" s="165">
        <f t="shared" si="1"/>
        <v>0</v>
      </c>
      <c r="M59" s="163">
        <v>0</v>
      </c>
      <c r="N59" s="163">
        <v>0</v>
      </c>
      <c r="O59" s="165">
        <f t="shared" si="2"/>
        <v>0</v>
      </c>
      <c r="P59" s="36"/>
      <c r="Q59" s="4"/>
    </row>
    <row r="60" spans="1:17" ht="55.2" x14ac:dyDescent="0.3">
      <c r="A60" s="31">
        <v>14</v>
      </c>
      <c r="B60" s="47"/>
      <c r="C60" s="75" t="s">
        <v>251</v>
      </c>
      <c r="D60" s="31" t="str">
        <f t="shared" si="0"/>
        <v>Do Not Print</v>
      </c>
      <c r="E60" s="1003" t="str">
        <f>E59</f>
        <v>CIES Line 14</v>
      </c>
      <c r="F60" s="213" t="s">
        <v>1966</v>
      </c>
      <c r="G60" s="213" t="s">
        <v>1972</v>
      </c>
      <c r="H60" s="213" t="s">
        <v>1968</v>
      </c>
      <c r="I60" s="1"/>
      <c r="J60" s="163">
        <v>0</v>
      </c>
      <c r="K60" s="163">
        <v>0</v>
      </c>
      <c r="L60" s="165">
        <f t="shared" si="1"/>
        <v>0</v>
      </c>
      <c r="M60" s="163">
        <v>0</v>
      </c>
      <c r="N60" s="163">
        <v>0</v>
      </c>
      <c r="O60" s="165">
        <f t="shared" si="2"/>
        <v>0</v>
      </c>
      <c r="P60" s="36"/>
      <c r="Q60" s="4"/>
    </row>
    <row r="61" spans="1:17" ht="55.2" x14ac:dyDescent="0.3">
      <c r="A61" s="31">
        <v>14</v>
      </c>
      <c r="B61" s="47"/>
      <c r="C61" s="75" t="s">
        <v>251</v>
      </c>
      <c r="D61" s="31" t="str">
        <f t="shared" si="0"/>
        <v>Do Not Print</v>
      </c>
      <c r="E61" s="1003" t="str">
        <f>E59</f>
        <v>CIES Line 14</v>
      </c>
      <c r="F61" s="213" t="s">
        <v>1966</v>
      </c>
      <c r="G61" s="213" t="s">
        <v>1972</v>
      </c>
      <c r="H61" s="213" t="s">
        <v>1969</v>
      </c>
      <c r="I61" s="1"/>
      <c r="J61" s="163">
        <v>0</v>
      </c>
      <c r="K61" s="163">
        <v>0</v>
      </c>
      <c r="L61" s="165">
        <f t="shared" si="1"/>
        <v>0</v>
      </c>
      <c r="M61" s="163">
        <v>0</v>
      </c>
      <c r="N61" s="163">
        <v>0</v>
      </c>
      <c r="O61" s="165">
        <f t="shared" si="2"/>
        <v>0</v>
      </c>
      <c r="P61" s="36"/>
      <c r="Q61" s="4"/>
    </row>
    <row r="62" spans="1:17" ht="55.2" x14ac:dyDescent="0.3">
      <c r="A62" s="31">
        <v>14</v>
      </c>
      <c r="B62" s="47"/>
      <c r="C62" s="75" t="s">
        <v>251</v>
      </c>
      <c r="D62" s="31" t="str">
        <f t="shared" si="0"/>
        <v>Do Not Print</v>
      </c>
      <c r="E62" s="1003" t="str">
        <f>E59</f>
        <v>CIES Line 14</v>
      </c>
      <c r="F62" s="213" t="s">
        <v>1966</v>
      </c>
      <c r="G62" s="213" t="s">
        <v>1972</v>
      </c>
      <c r="H62" s="213" t="s">
        <v>1970</v>
      </c>
      <c r="I62" s="1"/>
      <c r="J62" s="163">
        <v>0</v>
      </c>
      <c r="K62" s="163">
        <v>0</v>
      </c>
      <c r="L62" s="165">
        <f t="shared" si="1"/>
        <v>0</v>
      </c>
      <c r="M62" s="163">
        <v>0</v>
      </c>
      <c r="N62" s="163">
        <v>0</v>
      </c>
      <c r="O62" s="165">
        <f t="shared" si="2"/>
        <v>0</v>
      </c>
      <c r="P62" s="36"/>
      <c r="Q62" s="4"/>
    </row>
    <row r="63" spans="1:17" ht="55.2" x14ac:dyDescent="0.3">
      <c r="A63" s="31">
        <v>15</v>
      </c>
      <c r="B63" s="47"/>
      <c r="C63" s="75" t="s">
        <v>251</v>
      </c>
      <c r="D63" s="31" t="str">
        <f t="shared" si="0"/>
        <v>Do Not Print</v>
      </c>
      <c r="E63" s="1003" t="str">
        <f>'Input -CIES'!E21</f>
        <v>CIES Line 15</v>
      </c>
      <c r="F63" s="213" t="s">
        <v>1966</v>
      </c>
      <c r="G63" s="213" t="s">
        <v>1972</v>
      </c>
      <c r="H63" s="213" t="s">
        <v>1967</v>
      </c>
      <c r="I63" s="1"/>
      <c r="J63" s="163">
        <v>0</v>
      </c>
      <c r="K63" s="163">
        <v>0</v>
      </c>
      <c r="L63" s="165">
        <f t="shared" si="1"/>
        <v>0</v>
      </c>
      <c r="M63" s="163">
        <v>0</v>
      </c>
      <c r="N63" s="163">
        <v>0</v>
      </c>
      <c r="O63" s="165">
        <f t="shared" si="2"/>
        <v>0</v>
      </c>
      <c r="P63" s="36"/>
      <c r="Q63" s="4"/>
    </row>
    <row r="64" spans="1:17" ht="55.2" x14ac:dyDescent="0.3">
      <c r="A64" s="31">
        <v>15</v>
      </c>
      <c r="B64" s="47"/>
      <c r="C64" s="75" t="s">
        <v>251</v>
      </c>
      <c r="D64" s="31" t="str">
        <f t="shared" si="0"/>
        <v>Do Not Print</v>
      </c>
      <c r="E64" s="1003" t="str">
        <f>E63</f>
        <v>CIES Line 15</v>
      </c>
      <c r="F64" s="213" t="s">
        <v>1966</v>
      </c>
      <c r="G64" s="213" t="s">
        <v>1972</v>
      </c>
      <c r="H64" s="213" t="s">
        <v>1968</v>
      </c>
      <c r="I64" s="1"/>
      <c r="J64" s="163">
        <v>0</v>
      </c>
      <c r="K64" s="163">
        <v>0</v>
      </c>
      <c r="L64" s="165">
        <f t="shared" si="1"/>
        <v>0</v>
      </c>
      <c r="M64" s="163">
        <v>0</v>
      </c>
      <c r="N64" s="163">
        <v>0</v>
      </c>
      <c r="O64" s="165">
        <f t="shared" si="2"/>
        <v>0</v>
      </c>
      <c r="P64" s="36"/>
      <c r="Q64" s="4"/>
    </row>
    <row r="65" spans="1:17" ht="55.2" x14ac:dyDescent="0.3">
      <c r="A65" s="31">
        <v>15</v>
      </c>
      <c r="B65" s="47"/>
      <c r="C65" s="75" t="s">
        <v>251</v>
      </c>
      <c r="D65" s="31" t="str">
        <f t="shared" si="0"/>
        <v>Do Not Print</v>
      </c>
      <c r="E65" s="1003" t="str">
        <f>E63</f>
        <v>CIES Line 15</v>
      </c>
      <c r="F65" s="213" t="s">
        <v>1966</v>
      </c>
      <c r="G65" s="213" t="s">
        <v>1972</v>
      </c>
      <c r="H65" s="213" t="s">
        <v>1969</v>
      </c>
      <c r="I65" s="1"/>
      <c r="J65" s="163">
        <v>0</v>
      </c>
      <c r="K65" s="163">
        <v>0</v>
      </c>
      <c r="L65" s="165">
        <f t="shared" si="1"/>
        <v>0</v>
      </c>
      <c r="M65" s="163">
        <v>0</v>
      </c>
      <c r="N65" s="163">
        <v>0</v>
      </c>
      <c r="O65" s="165">
        <f t="shared" si="2"/>
        <v>0</v>
      </c>
      <c r="P65" s="36"/>
      <c r="Q65" s="4"/>
    </row>
    <row r="66" spans="1:17" ht="55.2" x14ac:dyDescent="0.3">
      <c r="A66" s="31">
        <v>15</v>
      </c>
      <c r="B66" s="47"/>
      <c r="C66" s="75" t="s">
        <v>251</v>
      </c>
      <c r="D66" s="31" t="str">
        <f t="shared" si="0"/>
        <v>Do Not Print</v>
      </c>
      <c r="E66" s="1003" t="str">
        <f>E63</f>
        <v>CIES Line 15</v>
      </c>
      <c r="F66" s="213" t="s">
        <v>1966</v>
      </c>
      <c r="G66" s="213" t="s">
        <v>1972</v>
      </c>
      <c r="H66" s="213" t="s">
        <v>1970</v>
      </c>
      <c r="I66" s="1"/>
      <c r="J66" s="163">
        <v>0</v>
      </c>
      <c r="K66" s="163">
        <v>0</v>
      </c>
      <c r="L66" s="165">
        <f t="shared" si="1"/>
        <v>0</v>
      </c>
      <c r="M66" s="163">
        <v>0</v>
      </c>
      <c r="N66" s="163">
        <v>0</v>
      </c>
      <c r="O66" s="165">
        <f t="shared" si="2"/>
        <v>0</v>
      </c>
      <c r="P66" s="36"/>
      <c r="Q66" s="4"/>
    </row>
    <row r="67" spans="1:17" ht="55.2" x14ac:dyDescent="0.3">
      <c r="A67" s="31">
        <v>16</v>
      </c>
      <c r="B67" s="47"/>
      <c r="C67" s="75" t="s">
        <v>251</v>
      </c>
      <c r="D67" s="31" t="str">
        <f t="shared" si="0"/>
        <v>Do Not Print</v>
      </c>
      <c r="E67" s="1003" t="str">
        <f>'Input -CIES'!E22</f>
        <v>CIES Line 16</v>
      </c>
      <c r="F67" s="213" t="s">
        <v>1966</v>
      </c>
      <c r="G67" s="213" t="s">
        <v>1972</v>
      </c>
      <c r="H67" s="213" t="s">
        <v>1967</v>
      </c>
      <c r="I67" s="1"/>
      <c r="J67" s="163">
        <v>0</v>
      </c>
      <c r="K67" s="163">
        <v>0</v>
      </c>
      <c r="L67" s="165">
        <f t="shared" si="1"/>
        <v>0</v>
      </c>
      <c r="M67" s="163">
        <v>0</v>
      </c>
      <c r="N67" s="163">
        <v>0</v>
      </c>
      <c r="O67" s="165">
        <f t="shared" si="2"/>
        <v>0</v>
      </c>
      <c r="P67" s="36"/>
      <c r="Q67" s="4"/>
    </row>
    <row r="68" spans="1:17" ht="55.2" x14ac:dyDescent="0.3">
      <c r="A68" s="31">
        <v>16</v>
      </c>
      <c r="B68" s="47"/>
      <c r="C68" s="75" t="s">
        <v>251</v>
      </c>
      <c r="D68" s="31" t="str">
        <f t="shared" si="0"/>
        <v>Do Not Print</v>
      </c>
      <c r="E68" s="1003" t="str">
        <f>E67</f>
        <v>CIES Line 16</v>
      </c>
      <c r="F68" s="213" t="s">
        <v>1966</v>
      </c>
      <c r="G68" s="213" t="s">
        <v>1972</v>
      </c>
      <c r="H68" s="213" t="s">
        <v>1968</v>
      </c>
      <c r="I68" s="1"/>
      <c r="J68" s="163">
        <v>0</v>
      </c>
      <c r="K68" s="163">
        <v>0</v>
      </c>
      <c r="L68" s="165">
        <f t="shared" si="1"/>
        <v>0</v>
      </c>
      <c r="M68" s="163">
        <v>0</v>
      </c>
      <c r="N68" s="163">
        <v>0</v>
      </c>
      <c r="O68" s="165">
        <f t="shared" si="2"/>
        <v>0</v>
      </c>
      <c r="P68" s="36"/>
      <c r="Q68" s="4"/>
    </row>
    <row r="69" spans="1:17" ht="55.2" x14ac:dyDescent="0.3">
      <c r="A69" s="31">
        <v>16</v>
      </c>
      <c r="B69" s="47"/>
      <c r="C69" s="75" t="s">
        <v>251</v>
      </c>
      <c r="D69" s="31" t="str">
        <f t="shared" si="0"/>
        <v>Do Not Print</v>
      </c>
      <c r="E69" s="1003" t="str">
        <f>E67</f>
        <v>CIES Line 16</v>
      </c>
      <c r="F69" s="213" t="s">
        <v>1966</v>
      </c>
      <c r="G69" s="213" t="s">
        <v>1972</v>
      </c>
      <c r="H69" s="213" t="s">
        <v>1969</v>
      </c>
      <c r="I69" s="1"/>
      <c r="J69" s="163">
        <v>0</v>
      </c>
      <c r="K69" s="163">
        <v>0</v>
      </c>
      <c r="L69" s="165">
        <f t="shared" si="1"/>
        <v>0</v>
      </c>
      <c r="M69" s="163">
        <v>0</v>
      </c>
      <c r="N69" s="163">
        <v>0</v>
      </c>
      <c r="O69" s="165">
        <f t="shared" si="2"/>
        <v>0</v>
      </c>
      <c r="P69" s="36"/>
      <c r="Q69" s="4"/>
    </row>
    <row r="70" spans="1:17" ht="55.2" x14ac:dyDescent="0.3">
      <c r="A70" s="31">
        <v>16</v>
      </c>
      <c r="B70" s="47"/>
      <c r="C70" s="75" t="s">
        <v>251</v>
      </c>
      <c r="D70" s="31" t="str">
        <f t="shared" si="0"/>
        <v>Do Not Print</v>
      </c>
      <c r="E70" s="1003" t="str">
        <f>E67</f>
        <v>CIES Line 16</v>
      </c>
      <c r="F70" s="213" t="s">
        <v>1966</v>
      </c>
      <c r="G70" s="213" t="s">
        <v>1972</v>
      </c>
      <c r="H70" s="213" t="s">
        <v>1970</v>
      </c>
      <c r="I70" s="1"/>
      <c r="J70" s="163">
        <v>0</v>
      </c>
      <c r="K70" s="163">
        <v>0</v>
      </c>
      <c r="L70" s="165">
        <f t="shared" si="1"/>
        <v>0</v>
      </c>
      <c r="M70" s="163">
        <v>0</v>
      </c>
      <c r="N70" s="163">
        <v>0</v>
      </c>
      <c r="O70" s="165">
        <f t="shared" si="2"/>
        <v>0</v>
      </c>
      <c r="P70" s="36"/>
      <c r="Q70" s="4"/>
    </row>
    <row r="71" spans="1:17" ht="55.2" x14ac:dyDescent="0.3">
      <c r="A71" s="31">
        <v>17</v>
      </c>
      <c r="B71" s="47"/>
      <c r="C71" s="75" t="s">
        <v>251</v>
      </c>
      <c r="D71" s="31" t="str">
        <f t="shared" si="0"/>
        <v>Do Not Print</v>
      </c>
      <c r="E71" s="1003" t="str">
        <f>'Input -CIES'!E23</f>
        <v>CIES Line 17</v>
      </c>
      <c r="F71" s="213" t="s">
        <v>1966</v>
      </c>
      <c r="G71" s="213" t="s">
        <v>1972</v>
      </c>
      <c r="H71" s="213" t="s">
        <v>1967</v>
      </c>
      <c r="I71" s="1"/>
      <c r="J71" s="163">
        <v>0</v>
      </c>
      <c r="K71" s="163">
        <v>0</v>
      </c>
      <c r="L71" s="165">
        <f t="shared" si="1"/>
        <v>0</v>
      </c>
      <c r="M71" s="163">
        <v>0</v>
      </c>
      <c r="N71" s="163">
        <v>0</v>
      </c>
      <c r="O71" s="165">
        <f t="shared" si="2"/>
        <v>0</v>
      </c>
      <c r="P71" s="36"/>
      <c r="Q71" s="4"/>
    </row>
    <row r="72" spans="1:17" ht="55.2" x14ac:dyDescent="0.3">
      <c r="A72" s="31">
        <v>17</v>
      </c>
      <c r="B72" s="47"/>
      <c r="C72" s="75" t="s">
        <v>251</v>
      </c>
      <c r="D72" s="31" t="str">
        <f t="shared" ref="D72:D195" si="3">IF(AND(L72=0,O72=0),"Do Not Print","Print")</f>
        <v>Do Not Print</v>
      </c>
      <c r="E72" s="1003" t="str">
        <f>E71</f>
        <v>CIES Line 17</v>
      </c>
      <c r="F72" s="213" t="s">
        <v>1966</v>
      </c>
      <c r="G72" s="213" t="s">
        <v>1972</v>
      </c>
      <c r="H72" s="213" t="s">
        <v>1968</v>
      </c>
      <c r="I72" s="1"/>
      <c r="J72" s="163">
        <v>0</v>
      </c>
      <c r="K72" s="163">
        <v>0</v>
      </c>
      <c r="L72" s="165">
        <f t="shared" ref="L72:L195" si="4">SUM(J72:K72)</f>
        <v>0</v>
      </c>
      <c r="M72" s="163">
        <v>0</v>
      </c>
      <c r="N72" s="163">
        <v>0</v>
      </c>
      <c r="O72" s="165">
        <f t="shared" ref="O72:O195" si="5">SUM(M72:N72)</f>
        <v>0</v>
      </c>
      <c r="P72" s="36"/>
      <c r="Q72" s="4"/>
    </row>
    <row r="73" spans="1:17" ht="55.2" x14ac:dyDescent="0.3">
      <c r="A73" s="31">
        <v>17</v>
      </c>
      <c r="B73" s="47"/>
      <c r="C73" s="75" t="s">
        <v>251</v>
      </c>
      <c r="D73" s="31" t="str">
        <f t="shared" si="3"/>
        <v>Do Not Print</v>
      </c>
      <c r="E73" s="1003" t="str">
        <f>E71</f>
        <v>CIES Line 17</v>
      </c>
      <c r="F73" s="213" t="s">
        <v>1966</v>
      </c>
      <c r="G73" s="213" t="s">
        <v>1972</v>
      </c>
      <c r="H73" s="213" t="s">
        <v>1969</v>
      </c>
      <c r="I73" s="1"/>
      <c r="J73" s="163">
        <v>0</v>
      </c>
      <c r="K73" s="163">
        <v>0</v>
      </c>
      <c r="L73" s="165">
        <f t="shared" si="4"/>
        <v>0</v>
      </c>
      <c r="M73" s="163">
        <v>0</v>
      </c>
      <c r="N73" s="163">
        <v>0</v>
      </c>
      <c r="O73" s="165">
        <f t="shared" si="5"/>
        <v>0</v>
      </c>
      <c r="P73" s="36"/>
      <c r="Q73" s="4"/>
    </row>
    <row r="74" spans="1:17" ht="55.2" x14ac:dyDescent="0.3">
      <c r="A74" s="31">
        <v>17</v>
      </c>
      <c r="B74" s="47"/>
      <c r="C74" s="75" t="s">
        <v>251</v>
      </c>
      <c r="D74" s="31" t="str">
        <f t="shared" si="3"/>
        <v>Do Not Print</v>
      </c>
      <c r="E74" s="1003" t="str">
        <f>E71</f>
        <v>CIES Line 17</v>
      </c>
      <c r="F74" s="213" t="s">
        <v>1966</v>
      </c>
      <c r="G74" s="213" t="s">
        <v>1972</v>
      </c>
      <c r="H74" s="213" t="s">
        <v>1970</v>
      </c>
      <c r="I74" s="1"/>
      <c r="J74" s="163">
        <v>0</v>
      </c>
      <c r="K74" s="163">
        <v>0</v>
      </c>
      <c r="L74" s="165">
        <f t="shared" si="4"/>
        <v>0</v>
      </c>
      <c r="M74" s="163">
        <v>0</v>
      </c>
      <c r="N74" s="163">
        <v>0</v>
      </c>
      <c r="O74" s="165">
        <f t="shared" si="5"/>
        <v>0</v>
      </c>
      <c r="P74" s="36"/>
      <c r="Q74" s="4"/>
    </row>
    <row r="75" spans="1:17" ht="55.2" x14ac:dyDescent="0.3">
      <c r="A75" s="31">
        <v>18</v>
      </c>
      <c r="B75" s="47"/>
      <c r="C75" s="75" t="s">
        <v>251</v>
      </c>
      <c r="D75" s="31" t="str">
        <f t="shared" si="3"/>
        <v>Do Not Print</v>
      </c>
      <c r="E75" s="1003" t="str">
        <f>'Input -CIES'!E24</f>
        <v>CIES Line 18</v>
      </c>
      <c r="F75" s="213" t="s">
        <v>1966</v>
      </c>
      <c r="G75" s="213" t="s">
        <v>1972</v>
      </c>
      <c r="H75" s="213" t="s">
        <v>1967</v>
      </c>
      <c r="I75" s="1"/>
      <c r="J75" s="163">
        <v>0</v>
      </c>
      <c r="K75" s="163">
        <v>0</v>
      </c>
      <c r="L75" s="165">
        <f t="shared" si="4"/>
        <v>0</v>
      </c>
      <c r="M75" s="163">
        <v>0</v>
      </c>
      <c r="N75" s="163">
        <v>0</v>
      </c>
      <c r="O75" s="165">
        <f t="shared" si="5"/>
        <v>0</v>
      </c>
      <c r="P75" s="36"/>
      <c r="Q75" s="4"/>
    </row>
    <row r="76" spans="1:17" ht="55.2" x14ac:dyDescent="0.3">
      <c r="A76" s="31">
        <v>18</v>
      </c>
      <c r="B76" s="47"/>
      <c r="C76" s="75" t="s">
        <v>251</v>
      </c>
      <c r="D76" s="31" t="str">
        <f t="shared" si="3"/>
        <v>Do Not Print</v>
      </c>
      <c r="E76" s="1003" t="str">
        <f>E75</f>
        <v>CIES Line 18</v>
      </c>
      <c r="F76" s="213" t="s">
        <v>1966</v>
      </c>
      <c r="G76" s="213" t="s">
        <v>1972</v>
      </c>
      <c r="H76" s="213" t="s">
        <v>1968</v>
      </c>
      <c r="I76" s="1"/>
      <c r="J76" s="163">
        <v>0</v>
      </c>
      <c r="K76" s="163">
        <v>0</v>
      </c>
      <c r="L76" s="165">
        <f t="shared" si="4"/>
        <v>0</v>
      </c>
      <c r="M76" s="163">
        <v>0</v>
      </c>
      <c r="N76" s="163">
        <v>0</v>
      </c>
      <c r="O76" s="165">
        <f t="shared" si="5"/>
        <v>0</v>
      </c>
      <c r="P76" s="36"/>
      <c r="Q76" s="4"/>
    </row>
    <row r="77" spans="1:17" ht="55.2" x14ac:dyDescent="0.3">
      <c r="A77" s="31">
        <v>18</v>
      </c>
      <c r="B77" s="47"/>
      <c r="C77" s="75" t="s">
        <v>251</v>
      </c>
      <c r="D77" s="31" t="str">
        <f t="shared" si="3"/>
        <v>Do Not Print</v>
      </c>
      <c r="E77" s="1003" t="str">
        <f>E75</f>
        <v>CIES Line 18</v>
      </c>
      <c r="F77" s="213" t="s">
        <v>1966</v>
      </c>
      <c r="G77" s="213" t="s">
        <v>1972</v>
      </c>
      <c r="H77" s="213" t="s">
        <v>1969</v>
      </c>
      <c r="I77" s="1"/>
      <c r="J77" s="163">
        <v>0</v>
      </c>
      <c r="K77" s="163">
        <v>0</v>
      </c>
      <c r="L77" s="165">
        <f t="shared" si="4"/>
        <v>0</v>
      </c>
      <c r="M77" s="163">
        <v>0</v>
      </c>
      <c r="N77" s="163">
        <v>0</v>
      </c>
      <c r="O77" s="165">
        <f t="shared" si="5"/>
        <v>0</v>
      </c>
      <c r="P77" s="36"/>
      <c r="Q77" s="4"/>
    </row>
    <row r="78" spans="1:17" ht="55.2" x14ac:dyDescent="0.3">
      <c r="A78" s="31">
        <v>18</v>
      </c>
      <c r="B78" s="47"/>
      <c r="C78" s="75" t="s">
        <v>251</v>
      </c>
      <c r="D78" s="31" t="str">
        <f t="shared" si="3"/>
        <v>Do Not Print</v>
      </c>
      <c r="E78" s="1003" t="str">
        <f>E75</f>
        <v>CIES Line 18</v>
      </c>
      <c r="F78" s="213" t="s">
        <v>1966</v>
      </c>
      <c r="G78" s="213" t="s">
        <v>1972</v>
      </c>
      <c r="H78" s="213" t="s">
        <v>1970</v>
      </c>
      <c r="I78" s="1"/>
      <c r="J78" s="163">
        <v>0</v>
      </c>
      <c r="K78" s="163">
        <v>0</v>
      </c>
      <c r="L78" s="165">
        <f t="shared" si="4"/>
        <v>0</v>
      </c>
      <c r="M78" s="163">
        <v>0</v>
      </c>
      <c r="N78" s="163">
        <v>0</v>
      </c>
      <c r="O78" s="165">
        <f t="shared" si="5"/>
        <v>0</v>
      </c>
      <c r="P78" s="36"/>
      <c r="Q78" s="4"/>
    </row>
    <row r="79" spans="1:17" ht="55.2" x14ac:dyDescent="0.3">
      <c r="A79" s="31">
        <v>19</v>
      </c>
      <c r="B79" s="47"/>
      <c r="C79" s="75" t="s">
        <v>251</v>
      </c>
      <c r="D79" s="31" t="str">
        <f t="shared" si="3"/>
        <v>Do Not Print</v>
      </c>
      <c r="E79" s="1003" t="str">
        <f>'Input -CIES'!E25</f>
        <v>CIES Line 19</v>
      </c>
      <c r="F79" s="213" t="s">
        <v>1966</v>
      </c>
      <c r="G79" s="213" t="s">
        <v>1972</v>
      </c>
      <c r="H79" s="213" t="s">
        <v>1967</v>
      </c>
      <c r="I79" s="1"/>
      <c r="J79" s="163">
        <v>0</v>
      </c>
      <c r="K79" s="163">
        <v>0</v>
      </c>
      <c r="L79" s="165">
        <f t="shared" si="4"/>
        <v>0</v>
      </c>
      <c r="M79" s="163">
        <v>0</v>
      </c>
      <c r="N79" s="163">
        <v>0</v>
      </c>
      <c r="O79" s="165">
        <f t="shared" si="5"/>
        <v>0</v>
      </c>
      <c r="P79" s="36"/>
      <c r="Q79" s="4"/>
    </row>
    <row r="80" spans="1:17" ht="55.2" x14ac:dyDescent="0.3">
      <c r="A80" s="31">
        <v>19</v>
      </c>
      <c r="B80" s="47"/>
      <c r="C80" s="75" t="s">
        <v>251</v>
      </c>
      <c r="D80" s="31" t="str">
        <f t="shared" si="3"/>
        <v>Do Not Print</v>
      </c>
      <c r="E80" s="1003" t="str">
        <f>E79</f>
        <v>CIES Line 19</v>
      </c>
      <c r="F80" s="213" t="s">
        <v>1966</v>
      </c>
      <c r="G80" s="213" t="s">
        <v>1972</v>
      </c>
      <c r="H80" s="213" t="s">
        <v>1968</v>
      </c>
      <c r="I80" s="1"/>
      <c r="J80" s="163">
        <v>0</v>
      </c>
      <c r="K80" s="163">
        <v>0</v>
      </c>
      <c r="L80" s="165">
        <f t="shared" si="4"/>
        <v>0</v>
      </c>
      <c r="M80" s="163">
        <v>0</v>
      </c>
      <c r="N80" s="163">
        <v>0</v>
      </c>
      <c r="O80" s="165">
        <f t="shared" si="5"/>
        <v>0</v>
      </c>
      <c r="P80" s="36"/>
      <c r="Q80" s="4"/>
    </row>
    <row r="81" spans="1:17" ht="55.2" x14ac:dyDescent="0.3">
      <c r="A81" s="31">
        <v>19</v>
      </c>
      <c r="B81" s="47"/>
      <c r="C81" s="75" t="s">
        <v>251</v>
      </c>
      <c r="D81" s="31" t="str">
        <f t="shared" si="3"/>
        <v>Do Not Print</v>
      </c>
      <c r="E81" s="1003" t="str">
        <f>E79</f>
        <v>CIES Line 19</v>
      </c>
      <c r="F81" s="213" t="s">
        <v>1966</v>
      </c>
      <c r="G81" s="213" t="s">
        <v>1972</v>
      </c>
      <c r="H81" s="213" t="s">
        <v>1969</v>
      </c>
      <c r="I81" s="1"/>
      <c r="J81" s="163">
        <v>0</v>
      </c>
      <c r="K81" s="163">
        <v>0</v>
      </c>
      <c r="L81" s="165">
        <f t="shared" si="4"/>
        <v>0</v>
      </c>
      <c r="M81" s="163">
        <v>0</v>
      </c>
      <c r="N81" s="163">
        <v>0</v>
      </c>
      <c r="O81" s="165">
        <f t="shared" si="5"/>
        <v>0</v>
      </c>
      <c r="P81" s="36"/>
      <c r="Q81" s="4"/>
    </row>
    <row r="82" spans="1:17" ht="55.2" x14ac:dyDescent="0.3">
      <c r="A82" s="31">
        <v>19</v>
      </c>
      <c r="B82" s="47"/>
      <c r="C82" s="75" t="s">
        <v>251</v>
      </c>
      <c r="D82" s="31" t="str">
        <f t="shared" si="3"/>
        <v>Do Not Print</v>
      </c>
      <c r="E82" s="1003" t="str">
        <f>E79</f>
        <v>CIES Line 19</v>
      </c>
      <c r="F82" s="213" t="s">
        <v>1966</v>
      </c>
      <c r="G82" s="213" t="s">
        <v>1972</v>
      </c>
      <c r="H82" s="213" t="s">
        <v>1970</v>
      </c>
      <c r="I82" s="1"/>
      <c r="J82" s="163">
        <v>0</v>
      </c>
      <c r="K82" s="163">
        <v>0</v>
      </c>
      <c r="L82" s="165">
        <f t="shared" si="4"/>
        <v>0</v>
      </c>
      <c r="M82" s="163">
        <v>0</v>
      </c>
      <c r="N82" s="163">
        <v>0</v>
      </c>
      <c r="O82" s="165">
        <f t="shared" si="5"/>
        <v>0</v>
      </c>
      <c r="P82" s="36"/>
      <c r="Q82" s="4"/>
    </row>
    <row r="83" spans="1:17" ht="55.2" x14ac:dyDescent="0.3">
      <c r="A83" s="31">
        <v>20</v>
      </c>
      <c r="B83" s="47"/>
      <c r="C83" s="75" t="s">
        <v>251</v>
      </c>
      <c r="D83" s="31" t="str">
        <f t="shared" si="3"/>
        <v>Do Not Print</v>
      </c>
      <c r="E83" s="1003" t="str">
        <f>'Input -CIES'!E26</f>
        <v>CIES Line 20</v>
      </c>
      <c r="F83" s="213" t="s">
        <v>1966</v>
      </c>
      <c r="G83" s="213" t="s">
        <v>1972</v>
      </c>
      <c r="H83" s="213" t="s">
        <v>1967</v>
      </c>
      <c r="I83" s="1"/>
      <c r="J83" s="163">
        <v>0</v>
      </c>
      <c r="K83" s="163">
        <v>0</v>
      </c>
      <c r="L83" s="165">
        <f t="shared" si="4"/>
        <v>0</v>
      </c>
      <c r="M83" s="163">
        <v>0</v>
      </c>
      <c r="N83" s="163">
        <v>0</v>
      </c>
      <c r="O83" s="165">
        <f t="shared" si="5"/>
        <v>0</v>
      </c>
      <c r="P83" s="36"/>
      <c r="Q83" s="4"/>
    </row>
    <row r="84" spans="1:17" ht="55.2" x14ac:dyDescent="0.3">
      <c r="A84" s="31">
        <v>20</v>
      </c>
      <c r="B84" s="47"/>
      <c r="C84" s="75" t="s">
        <v>251</v>
      </c>
      <c r="D84" s="31" t="str">
        <f t="shared" si="3"/>
        <v>Do Not Print</v>
      </c>
      <c r="E84" s="1003" t="str">
        <f>E83</f>
        <v>CIES Line 20</v>
      </c>
      <c r="F84" s="213" t="s">
        <v>1966</v>
      </c>
      <c r="G84" s="213" t="s">
        <v>1972</v>
      </c>
      <c r="H84" s="213" t="s">
        <v>1968</v>
      </c>
      <c r="I84" s="1"/>
      <c r="J84" s="163">
        <v>0</v>
      </c>
      <c r="K84" s="163">
        <v>0</v>
      </c>
      <c r="L84" s="165">
        <f t="shared" si="4"/>
        <v>0</v>
      </c>
      <c r="M84" s="163">
        <v>0</v>
      </c>
      <c r="N84" s="163">
        <v>0</v>
      </c>
      <c r="O84" s="165">
        <f t="shared" si="5"/>
        <v>0</v>
      </c>
      <c r="P84" s="36"/>
      <c r="Q84" s="4"/>
    </row>
    <row r="85" spans="1:17" ht="55.2" x14ac:dyDescent="0.3">
      <c r="A85" s="31">
        <v>20</v>
      </c>
      <c r="B85" s="47"/>
      <c r="C85" s="75" t="s">
        <v>251</v>
      </c>
      <c r="D85" s="31" t="str">
        <f t="shared" si="3"/>
        <v>Do Not Print</v>
      </c>
      <c r="E85" s="1003" t="str">
        <f>E83</f>
        <v>CIES Line 20</v>
      </c>
      <c r="F85" s="213" t="s">
        <v>1966</v>
      </c>
      <c r="G85" s="213" t="s">
        <v>1972</v>
      </c>
      <c r="H85" s="213" t="s">
        <v>1969</v>
      </c>
      <c r="I85" s="1"/>
      <c r="J85" s="163">
        <v>0</v>
      </c>
      <c r="K85" s="163">
        <v>0</v>
      </c>
      <c r="L85" s="165">
        <f t="shared" si="4"/>
        <v>0</v>
      </c>
      <c r="M85" s="163">
        <v>0</v>
      </c>
      <c r="N85" s="163">
        <v>0</v>
      </c>
      <c r="O85" s="165">
        <f t="shared" si="5"/>
        <v>0</v>
      </c>
      <c r="P85" s="36"/>
      <c r="Q85" s="4"/>
    </row>
    <row r="86" spans="1:17" ht="55.2" x14ac:dyDescent="0.3">
      <c r="A86" s="31">
        <v>20</v>
      </c>
      <c r="B86" s="47"/>
      <c r="C86" s="75" t="s">
        <v>251</v>
      </c>
      <c r="D86" s="31" t="str">
        <f t="shared" si="3"/>
        <v>Do Not Print</v>
      </c>
      <c r="E86" s="1003" t="str">
        <f>E83</f>
        <v>CIES Line 20</v>
      </c>
      <c r="F86" s="213" t="s">
        <v>1966</v>
      </c>
      <c r="G86" s="213" t="s">
        <v>1972</v>
      </c>
      <c r="H86" s="213" t="s">
        <v>1970</v>
      </c>
      <c r="I86" s="1"/>
      <c r="J86" s="163">
        <v>0</v>
      </c>
      <c r="K86" s="163">
        <v>0</v>
      </c>
      <c r="L86" s="165">
        <f t="shared" si="4"/>
        <v>0</v>
      </c>
      <c r="M86" s="163">
        <v>0</v>
      </c>
      <c r="N86" s="163">
        <v>0</v>
      </c>
      <c r="O86" s="165">
        <f t="shared" si="5"/>
        <v>0</v>
      </c>
      <c r="P86" s="36"/>
      <c r="Q86" s="4"/>
    </row>
    <row r="87" spans="1:17" ht="55.2" x14ac:dyDescent="0.3">
      <c r="A87" s="31">
        <v>21</v>
      </c>
      <c r="B87" s="47"/>
      <c r="C87" s="75" t="s">
        <v>251</v>
      </c>
      <c r="D87" s="31" t="str">
        <f t="shared" ref="D87:D146" si="6">IF(AND(L87=0,O87=0),"Do Not Print","Print")</f>
        <v>Do Not Print</v>
      </c>
      <c r="E87" s="1003" t="str">
        <f>'Input -CIES'!E27</f>
        <v>CIES Line 21</v>
      </c>
      <c r="F87" s="213" t="s">
        <v>1966</v>
      </c>
      <c r="G87" s="213" t="s">
        <v>1972</v>
      </c>
      <c r="H87" s="213" t="s">
        <v>1967</v>
      </c>
      <c r="I87" s="1"/>
      <c r="J87" s="163">
        <v>0</v>
      </c>
      <c r="K87" s="163">
        <v>0</v>
      </c>
      <c r="L87" s="165">
        <f t="shared" ref="L87:L146" si="7">SUM(J87:K87)</f>
        <v>0</v>
      </c>
      <c r="M87" s="163">
        <v>0</v>
      </c>
      <c r="N87" s="163">
        <v>0</v>
      </c>
      <c r="O87" s="165">
        <f t="shared" ref="O87:O146" si="8">SUM(M87:N87)</f>
        <v>0</v>
      </c>
      <c r="P87" s="36"/>
      <c r="Q87" s="4"/>
    </row>
    <row r="88" spans="1:17" ht="55.2" x14ac:dyDescent="0.3">
      <c r="A88" s="31">
        <v>21</v>
      </c>
      <c r="B88" s="47"/>
      <c r="C88" s="75" t="s">
        <v>251</v>
      </c>
      <c r="D88" s="31" t="str">
        <f t="shared" si="6"/>
        <v>Do Not Print</v>
      </c>
      <c r="E88" s="1003" t="str">
        <f>E87</f>
        <v>CIES Line 21</v>
      </c>
      <c r="F88" s="213" t="s">
        <v>1966</v>
      </c>
      <c r="G88" s="213" t="s">
        <v>1972</v>
      </c>
      <c r="H88" s="213" t="s">
        <v>1968</v>
      </c>
      <c r="I88" s="1"/>
      <c r="J88" s="163">
        <v>0</v>
      </c>
      <c r="K88" s="163">
        <v>0</v>
      </c>
      <c r="L88" s="165">
        <f t="shared" si="7"/>
        <v>0</v>
      </c>
      <c r="M88" s="163">
        <v>0</v>
      </c>
      <c r="N88" s="163">
        <v>0</v>
      </c>
      <c r="O88" s="165">
        <f t="shared" si="8"/>
        <v>0</v>
      </c>
      <c r="P88" s="36"/>
      <c r="Q88" s="4"/>
    </row>
    <row r="89" spans="1:17" ht="55.2" x14ac:dyDescent="0.3">
      <c r="A89" s="31">
        <v>21</v>
      </c>
      <c r="B89" s="47"/>
      <c r="C89" s="75" t="s">
        <v>251</v>
      </c>
      <c r="D89" s="31" t="str">
        <f t="shared" si="6"/>
        <v>Do Not Print</v>
      </c>
      <c r="E89" s="1003" t="str">
        <f>E87</f>
        <v>CIES Line 21</v>
      </c>
      <c r="F89" s="213" t="s">
        <v>1966</v>
      </c>
      <c r="G89" s="213" t="s">
        <v>1972</v>
      </c>
      <c r="H89" s="213" t="s">
        <v>1969</v>
      </c>
      <c r="I89" s="1"/>
      <c r="J89" s="163">
        <v>0</v>
      </c>
      <c r="K89" s="163">
        <v>0</v>
      </c>
      <c r="L89" s="165">
        <f t="shared" si="7"/>
        <v>0</v>
      </c>
      <c r="M89" s="163">
        <v>0</v>
      </c>
      <c r="N89" s="163">
        <v>0</v>
      </c>
      <c r="O89" s="165">
        <f t="shared" si="8"/>
        <v>0</v>
      </c>
      <c r="P89" s="36"/>
      <c r="Q89" s="4"/>
    </row>
    <row r="90" spans="1:17" ht="55.2" x14ac:dyDescent="0.3">
      <c r="A90" s="31">
        <v>21</v>
      </c>
      <c r="B90" s="47"/>
      <c r="C90" s="75" t="s">
        <v>251</v>
      </c>
      <c r="D90" s="31" t="str">
        <f t="shared" si="6"/>
        <v>Do Not Print</v>
      </c>
      <c r="E90" s="1003" t="str">
        <f>E87</f>
        <v>CIES Line 21</v>
      </c>
      <c r="F90" s="213" t="s">
        <v>1966</v>
      </c>
      <c r="G90" s="213" t="s">
        <v>1972</v>
      </c>
      <c r="H90" s="213" t="s">
        <v>1970</v>
      </c>
      <c r="I90" s="1"/>
      <c r="J90" s="163">
        <v>0</v>
      </c>
      <c r="K90" s="163">
        <v>0</v>
      </c>
      <c r="L90" s="165">
        <f t="shared" si="7"/>
        <v>0</v>
      </c>
      <c r="M90" s="163">
        <v>0</v>
      </c>
      <c r="N90" s="163">
        <v>0</v>
      </c>
      <c r="O90" s="165">
        <f t="shared" si="8"/>
        <v>0</v>
      </c>
      <c r="P90" s="36"/>
      <c r="Q90" s="4"/>
    </row>
    <row r="91" spans="1:17" ht="55.2" x14ac:dyDescent="0.3">
      <c r="A91" s="31">
        <v>22</v>
      </c>
      <c r="B91" s="47"/>
      <c r="C91" s="75" t="s">
        <v>251</v>
      </c>
      <c r="D91" s="31" t="str">
        <f t="shared" si="6"/>
        <v>Do Not Print</v>
      </c>
      <c r="E91" s="1003" t="str">
        <f>'Input -CIES'!E28</f>
        <v>CIES Line 22</v>
      </c>
      <c r="F91" s="213" t="s">
        <v>1966</v>
      </c>
      <c r="G91" s="213" t="s">
        <v>1972</v>
      </c>
      <c r="H91" s="213" t="s">
        <v>1967</v>
      </c>
      <c r="I91" s="1"/>
      <c r="J91" s="163">
        <v>0</v>
      </c>
      <c r="K91" s="163">
        <v>0</v>
      </c>
      <c r="L91" s="165">
        <f t="shared" si="7"/>
        <v>0</v>
      </c>
      <c r="M91" s="163">
        <v>0</v>
      </c>
      <c r="N91" s="163">
        <v>0</v>
      </c>
      <c r="O91" s="165">
        <f t="shared" si="8"/>
        <v>0</v>
      </c>
      <c r="P91" s="36"/>
      <c r="Q91" s="4"/>
    </row>
    <row r="92" spans="1:17" ht="55.2" x14ac:dyDescent="0.3">
      <c r="A92" s="31">
        <v>22</v>
      </c>
      <c r="B92" s="47"/>
      <c r="C92" s="75" t="s">
        <v>251</v>
      </c>
      <c r="D92" s="31" t="str">
        <f t="shared" si="6"/>
        <v>Do Not Print</v>
      </c>
      <c r="E92" s="1003" t="str">
        <f>E91</f>
        <v>CIES Line 22</v>
      </c>
      <c r="F92" s="213" t="s">
        <v>1966</v>
      </c>
      <c r="G92" s="213" t="s">
        <v>1972</v>
      </c>
      <c r="H92" s="213" t="s">
        <v>1968</v>
      </c>
      <c r="I92" s="1"/>
      <c r="J92" s="163">
        <v>0</v>
      </c>
      <c r="K92" s="163">
        <v>0</v>
      </c>
      <c r="L92" s="165">
        <f t="shared" si="7"/>
        <v>0</v>
      </c>
      <c r="M92" s="163">
        <v>0</v>
      </c>
      <c r="N92" s="163">
        <v>0</v>
      </c>
      <c r="O92" s="165">
        <f t="shared" si="8"/>
        <v>0</v>
      </c>
      <c r="P92" s="36"/>
      <c r="Q92" s="4"/>
    </row>
    <row r="93" spans="1:17" ht="55.2" x14ac:dyDescent="0.3">
      <c r="A93" s="31">
        <v>22</v>
      </c>
      <c r="B93" s="47"/>
      <c r="C93" s="75" t="s">
        <v>251</v>
      </c>
      <c r="D93" s="31" t="str">
        <f t="shared" si="6"/>
        <v>Do Not Print</v>
      </c>
      <c r="E93" s="1003" t="str">
        <f>E91</f>
        <v>CIES Line 22</v>
      </c>
      <c r="F93" s="213" t="s">
        <v>1966</v>
      </c>
      <c r="G93" s="213" t="s">
        <v>1972</v>
      </c>
      <c r="H93" s="213" t="s">
        <v>1969</v>
      </c>
      <c r="I93" s="1"/>
      <c r="J93" s="163">
        <v>0</v>
      </c>
      <c r="K93" s="163">
        <v>0</v>
      </c>
      <c r="L93" s="165">
        <f t="shared" si="7"/>
        <v>0</v>
      </c>
      <c r="M93" s="163">
        <v>0</v>
      </c>
      <c r="N93" s="163">
        <v>0</v>
      </c>
      <c r="O93" s="165">
        <f t="shared" si="8"/>
        <v>0</v>
      </c>
      <c r="P93" s="36"/>
      <c r="Q93" s="4"/>
    </row>
    <row r="94" spans="1:17" ht="55.2" x14ac:dyDescent="0.3">
      <c r="A94" s="31">
        <v>22</v>
      </c>
      <c r="B94" s="47"/>
      <c r="C94" s="75" t="s">
        <v>251</v>
      </c>
      <c r="D94" s="31" t="str">
        <f t="shared" si="6"/>
        <v>Do Not Print</v>
      </c>
      <c r="E94" s="1003" t="str">
        <f>E91</f>
        <v>CIES Line 22</v>
      </c>
      <c r="F94" s="213" t="s">
        <v>1966</v>
      </c>
      <c r="G94" s="213" t="s">
        <v>1972</v>
      </c>
      <c r="H94" s="213" t="s">
        <v>1970</v>
      </c>
      <c r="I94" s="1"/>
      <c r="J94" s="163">
        <v>0</v>
      </c>
      <c r="K94" s="163">
        <v>0</v>
      </c>
      <c r="L94" s="165">
        <f t="shared" si="7"/>
        <v>0</v>
      </c>
      <c r="M94" s="163">
        <v>0</v>
      </c>
      <c r="N94" s="163">
        <v>0</v>
      </c>
      <c r="O94" s="165">
        <f t="shared" si="8"/>
        <v>0</v>
      </c>
      <c r="P94" s="36"/>
      <c r="Q94" s="4"/>
    </row>
    <row r="95" spans="1:17" ht="55.2" x14ac:dyDescent="0.3">
      <c r="A95" s="31">
        <v>23</v>
      </c>
      <c r="B95" s="47"/>
      <c r="C95" s="75" t="s">
        <v>251</v>
      </c>
      <c r="D95" s="31" t="str">
        <f t="shared" si="6"/>
        <v>Do Not Print</v>
      </c>
      <c r="E95" s="1003" t="str">
        <f>'Input -CIES'!E29</f>
        <v>CIES Line 23</v>
      </c>
      <c r="F95" s="213" t="s">
        <v>1966</v>
      </c>
      <c r="G95" s="213" t="s">
        <v>1972</v>
      </c>
      <c r="H95" s="213" t="s">
        <v>1967</v>
      </c>
      <c r="I95" s="1"/>
      <c r="J95" s="163">
        <v>0</v>
      </c>
      <c r="K95" s="163">
        <v>0</v>
      </c>
      <c r="L95" s="165">
        <f t="shared" si="7"/>
        <v>0</v>
      </c>
      <c r="M95" s="163">
        <v>0</v>
      </c>
      <c r="N95" s="163">
        <v>0</v>
      </c>
      <c r="O95" s="165">
        <f t="shared" si="8"/>
        <v>0</v>
      </c>
      <c r="P95" s="36"/>
      <c r="Q95" s="4"/>
    </row>
    <row r="96" spans="1:17" ht="55.2" x14ac:dyDescent="0.3">
      <c r="A96" s="31">
        <v>23</v>
      </c>
      <c r="B96" s="47"/>
      <c r="C96" s="75" t="s">
        <v>251</v>
      </c>
      <c r="D96" s="31" t="str">
        <f t="shared" si="6"/>
        <v>Do Not Print</v>
      </c>
      <c r="E96" s="1003" t="str">
        <f>E95</f>
        <v>CIES Line 23</v>
      </c>
      <c r="F96" s="213" t="s">
        <v>1966</v>
      </c>
      <c r="G96" s="213" t="s">
        <v>1972</v>
      </c>
      <c r="H96" s="213" t="s">
        <v>1968</v>
      </c>
      <c r="I96" s="1"/>
      <c r="J96" s="163">
        <v>0</v>
      </c>
      <c r="K96" s="163">
        <v>0</v>
      </c>
      <c r="L96" s="165">
        <f t="shared" si="7"/>
        <v>0</v>
      </c>
      <c r="M96" s="163">
        <v>0</v>
      </c>
      <c r="N96" s="163">
        <v>0</v>
      </c>
      <c r="O96" s="165">
        <f t="shared" si="8"/>
        <v>0</v>
      </c>
      <c r="P96" s="36"/>
      <c r="Q96" s="4"/>
    </row>
    <row r="97" spans="1:17" ht="55.2" x14ac:dyDescent="0.3">
      <c r="A97" s="31">
        <v>23</v>
      </c>
      <c r="B97" s="47"/>
      <c r="C97" s="75" t="s">
        <v>251</v>
      </c>
      <c r="D97" s="31" t="str">
        <f t="shared" si="6"/>
        <v>Do Not Print</v>
      </c>
      <c r="E97" s="1003" t="str">
        <f>E96</f>
        <v>CIES Line 23</v>
      </c>
      <c r="F97" s="213" t="s">
        <v>1966</v>
      </c>
      <c r="G97" s="213" t="s">
        <v>1972</v>
      </c>
      <c r="H97" s="213" t="s">
        <v>1969</v>
      </c>
      <c r="I97" s="1"/>
      <c r="J97" s="163">
        <v>0</v>
      </c>
      <c r="K97" s="163">
        <v>0</v>
      </c>
      <c r="L97" s="165">
        <f t="shared" si="7"/>
        <v>0</v>
      </c>
      <c r="M97" s="163">
        <v>0</v>
      </c>
      <c r="N97" s="163">
        <v>0</v>
      </c>
      <c r="O97" s="165">
        <f t="shared" si="8"/>
        <v>0</v>
      </c>
      <c r="P97" s="36"/>
      <c r="Q97" s="4"/>
    </row>
    <row r="98" spans="1:17" ht="55.2" x14ac:dyDescent="0.3">
      <c r="A98" s="31">
        <v>23</v>
      </c>
      <c r="B98" s="47"/>
      <c r="C98" s="75" t="s">
        <v>251</v>
      </c>
      <c r="D98" s="31" t="str">
        <f t="shared" si="6"/>
        <v>Do Not Print</v>
      </c>
      <c r="E98" s="1003" t="str">
        <f>E95</f>
        <v>CIES Line 23</v>
      </c>
      <c r="F98" s="213" t="s">
        <v>1966</v>
      </c>
      <c r="G98" s="213" t="s">
        <v>1972</v>
      </c>
      <c r="H98" s="213" t="s">
        <v>1970</v>
      </c>
      <c r="I98" s="1"/>
      <c r="J98" s="163">
        <v>0</v>
      </c>
      <c r="K98" s="163">
        <v>0</v>
      </c>
      <c r="L98" s="165">
        <f t="shared" si="7"/>
        <v>0</v>
      </c>
      <c r="M98" s="163">
        <v>0</v>
      </c>
      <c r="N98" s="163">
        <v>0</v>
      </c>
      <c r="O98" s="165">
        <f t="shared" si="8"/>
        <v>0</v>
      </c>
      <c r="P98" s="36"/>
      <c r="Q98" s="4"/>
    </row>
    <row r="99" spans="1:17" ht="55.2" x14ac:dyDescent="0.3">
      <c r="A99" s="31">
        <v>24</v>
      </c>
      <c r="B99" s="47"/>
      <c r="C99" s="75" t="s">
        <v>251</v>
      </c>
      <c r="D99" s="31" t="str">
        <f t="shared" si="6"/>
        <v>Do Not Print</v>
      </c>
      <c r="E99" s="1003" t="str">
        <f>'Input -CIES'!E30</f>
        <v>CIES Line 24</v>
      </c>
      <c r="F99" s="213" t="s">
        <v>1966</v>
      </c>
      <c r="G99" s="213" t="s">
        <v>1972</v>
      </c>
      <c r="H99" s="213" t="s">
        <v>1967</v>
      </c>
      <c r="I99" s="1"/>
      <c r="J99" s="163">
        <v>0</v>
      </c>
      <c r="K99" s="163">
        <v>0</v>
      </c>
      <c r="L99" s="165">
        <f t="shared" si="7"/>
        <v>0</v>
      </c>
      <c r="M99" s="163">
        <v>0</v>
      </c>
      <c r="N99" s="163">
        <v>0</v>
      </c>
      <c r="O99" s="165">
        <f t="shared" si="8"/>
        <v>0</v>
      </c>
      <c r="P99" s="36"/>
      <c r="Q99" s="4"/>
    </row>
    <row r="100" spans="1:17" ht="55.2" x14ac:dyDescent="0.3">
      <c r="A100" s="31">
        <v>24</v>
      </c>
      <c r="B100" s="47"/>
      <c r="C100" s="75" t="s">
        <v>251</v>
      </c>
      <c r="D100" s="31" t="str">
        <f t="shared" si="6"/>
        <v>Do Not Print</v>
      </c>
      <c r="E100" s="1003" t="str">
        <f>E99</f>
        <v>CIES Line 24</v>
      </c>
      <c r="F100" s="213" t="s">
        <v>1966</v>
      </c>
      <c r="G100" s="213" t="s">
        <v>1972</v>
      </c>
      <c r="H100" s="213" t="s">
        <v>1968</v>
      </c>
      <c r="I100" s="1"/>
      <c r="J100" s="163">
        <v>0</v>
      </c>
      <c r="K100" s="163">
        <v>0</v>
      </c>
      <c r="L100" s="165">
        <f t="shared" si="7"/>
        <v>0</v>
      </c>
      <c r="M100" s="163">
        <v>0</v>
      </c>
      <c r="N100" s="163">
        <v>0</v>
      </c>
      <c r="O100" s="165">
        <f t="shared" si="8"/>
        <v>0</v>
      </c>
      <c r="P100" s="36"/>
      <c r="Q100" s="4"/>
    </row>
    <row r="101" spans="1:17" ht="55.2" x14ac:dyDescent="0.3">
      <c r="A101" s="31">
        <v>24</v>
      </c>
      <c r="B101" s="47"/>
      <c r="C101" s="75" t="s">
        <v>251</v>
      </c>
      <c r="D101" s="31" t="str">
        <f t="shared" si="6"/>
        <v>Do Not Print</v>
      </c>
      <c r="E101" s="1003" t="str">
        <f>E99</f>
        <v>CIES Line 24</v>
      </c>
      <c r="F101" s="213" t="s">
        <v>1966</v>
      </c>
      <c r="G101" s="213" t="s">
        <v>1972</v>
      </c>
      <c r="H101" s="213" t="s">
        <v>1969</v>
      </c>
      <c r="I101" s="1"/>
      <c r="J101" s="163">
        <v>0</v>
      </c>
      <c r="K101" s="163">
        <v>0</v>
      </c>
      <c r="L101" s="165">
        <f t="shared" si="7"/>
        <v>0</v>
      </c>
      <c r="M101" s="163">
        <v>0</v>
      </c>
      <c r="N101" s="163">
        <v>0</v>
      </c>
      <c r="O101" s="165">
        <f t="shared" si="8"/>
        <v>0</v>
      </c>
      <c r="P101" s="36"/>
      <c r="Q101" s="4"/>
    </row>
    <row r="102" spans="1:17" ht="55.2" x14ac:dyDescent="0.3">
      <c r="A102" s="31">
        <v>24</v>
      </c>
      <c r="B102" s="47"/>
      <c r="C102" s="75" t="s">
        <v>251</v>
      </c>
      <c r="D102" s="31" t="str">
        <f t="shared" si="6"/>
        <v>Do Not Print</v>
      </c>
      <c r="E102" s="1003" t="str">
        <f>E99</f>
        <v>CIES Line 24</v>
      </c>
      <c r="F102" s="213" t="s">
        <v>1966</v>
      </c>
      <c r="G102" s="213" t="s">
        <v>1972</v>
      </c>
      <c r="H102" s="213" t="s">
        <v>1970</v>
      </c>
      <c r="I102" s="1"/>
      <c r="J102" s="163">
        <v>0</v>
      </c>
      <c r="K102" s="163">
        <v>0</v>
      </c>
      <c r="L102" s="165">
        <f t="shared" si="7"/>
        <v>0</v>
      </c>
      <c r="M102" s="163">
        <v>0</v>
      </c>
      <c r="N102" s="163">
        <v>0</v>
      </c>
      <c r="O102" s="165">
        <f t="shared" si="8"/>
        <v>0</v>
      </c>
      <c r="P102" s="36"/>
      <c r="Q102" s="4"/>
    </row>
    <row r="103" spans="1:17" ht="55.2" x14ac:dyDescent="0.3">
      <c r="A103" s="31">
        <v>25</v>
      </c>
      <c r="B103" s="47"/>
      <c r="C103" s="75" t="s">
        <v>251</v>
      </c>
      <c r="D103" s="31" t="str">
        <f t="shared" si="6"/>
        <v>Do Not Print</v>
      </c>
      <c r="E103" s="1003" t="str">
        <f>'Input -CIES'!E31</f>
        <v>CIES Line 25</v>
      </c>
      <c r="F103" s="213" t="s">
        <v>1966</v>
      </c>
      <c r="G103" s="213" t="s">
        <v>1972</v>
      </c>
      <c r="H103" s="213" t="s">
        <v>1967</v>
      </c>
      <c r="I103" s="1"/>
      <c r="J103" s="163">
        <v>0</v>
      </c>
      <c r="K103" s="163">
        <v>0</v>
      </c>
      <c r="L103" s="165">
        <f t="shared" si="7"/>
        <v>0</v>
      </c>
      <c r="M103" s="163">
        <v>0</v>
      </c>
      <c r="N103" s="163">
        <v>0</v>
      </c>
      <c r="O103" s="165">
        <f t="shared" si="8"/>
        <v>0</v>
      </c>
      <c r="P103" s="36"/>
      <c r="Q103" s="4"/>
    </row>
    <row r="104" spans="1:17" ht="55.2" x14ac:dyDescent="0.3">
      <c r="A104" s="31">
        <v>25</v>
      </c>
      <c r="B104" s="47"/>
      <c r="C104" s="75" t="s">
        <v>251</v>
      </c>
      <c r="D104" s="31" t="str">
        <f t="shared" si="6"/>
        <v>Do Not Print</v>
      </c>
      <c r="E104" s="1003" t="str">
        <f>E103</f>
        <v>CIES Line 25</v>
      </c>
      <c r="F104" s="213" t="s">
        <v>1966</v>
      </c>
      <c r="G104" s="213" t="s">
        <v>1972</v>
      </c>
      <c r="H104" s="213" t="s">
        <v>1968</v>
      </c>
      <c r="I104" s="1"/>
      <c r="J104" s="163">
        <v>0</v>
      </c>
      <c r="K104" s="163">
        <v>0</v>
      </c>
      <c r="L104" s="165">
        <f t="shared" si="7"/>
        <v>0</v>
      </c>
      <c r="M104" s="163">
        <v>0</v>
      </c>
      <c r="N104" s="163">
        <v>0</v>
      </c>
      <c r="O104" s="165">
        <f t="shared" si="8"/>
        <v>0</v>
      </c>
      <c r="P104" s="36"/>
      <c r="Q104" s="4"/>
    </row>
    <row r="105" spans="1:17" ht="55.2" x14ac:dyDescent="0.3">
      <c r="A105" s="31">
        <v>25</v>
      </c>
      <c r="B105" s="47"/>
      <c r="C105" s="75" t="s">
        <v>251</v>
      </c>
      <c r="D105" s="31" t="str">
        <f t="shared" si="6"/>
        <v>Do Not Print</v>
      </c>
      <c r="E105" s="1003" t="str">
        <f>E103</f>
        <v>CIES Line 25</v>
      </c>
      <c r="F105" s="213" t="s">
        <v>1966</v>
      </c>
      <c r="G105" s="213" t="s">
        <v>1972</v>
      </c>
      <c r="H105" s="213" t="s">
        <v>1969</v>
      </c>
      <c r="I105" s="1"/>
      <c r="J105" s="163">
        <v>0</v>
      </c>
      <c r="K105" s="163">
        <v>0</v>
      </c>
      <c r="L105" s="165">
        <f t="shared" si="7"/>
        <v>0</v>
      </c>
      <c r="M105" s="163">
        <v>0</v>
      </c>
      <c r="N105" s="163">
        <v>0</v>
      </c>
      <c r="O105" s="165">
        <f t="shared" si="8"/>
        <v>0</v>
      </c>
      <c r="P105" s="36"/>
      <c r="Q105" s="4"/>
    </row>
    <row r="106" spans="1:17" ht="55.2" x14ac:dyDescent="0.3">
      <c r="A106" s="31">
        <v>25</v>
      </c>
      <c r="B106" s="47"/>
      <c r="C106" s="75" t="s">
        <v>251</v>
      </c>
      <c r="D106" s="31" t="str">
        <f t="shared" si="6"/>
        <v>Do Not Print</v>
      </c>
      <c r="E106" s="1003" t="str">
        <f>E103</f>
        <v>CIES Line 25</v>
      </c>
      <c r="F106" s="213" t="s">
        <v>1966</v>
      </c>
      <c r="G106" s="213" t="s">
        <v>1972</v>
      </c>
      <c r="H106" s="213" t="s">
        <v>1970</v>
      </c>
      <c r="I106" s="1"/>
      <c r="J106" s="163">
        <v>0</v>
      </c>
      <c r="K106" s="163">
        <v>0</v>
      </c>
      <c r="L106" s="165">
        <f t="shared" si="7"/>
        <v>0</v>
      </c>
      <c r="M106" s="163">
        <v>0</v>
      </c>
      <c r="N106" s="163">
        <v>0</v>
      </c>
      <c r="O106" s="165">
        <f t="shared" si="8"/>
        <v>0</v>
      </c>
      <c r="P106" s="36"/>
      <c r="Q106" s="4"/>
    </row>
    <row r="107" spans="1:17" ht="55.2" x14ac:dyDescent="0.3">
      <c r="A107" s="31">
        <v>26</v>
      </c>
      <c r="B107" s="47"/>
      <c r="C107" s="75" t="s">
        <v>251</v>
      </c>
      <c r="D107" s="31" t="str">
        <f t="shared" si="6"/>
        <v>Do Not Print</v>
      </c>
      <c r="E107" s="1003" t="str">
        <f>'Input -CIES'!E32</f>
        <v>CIES Line 26</v>
      </c>
      <c r="F107" s="213" t="s">
        <v>1966</v>
      </c>
      <c r="G107" s="213" t="s">
        <v>1972</v>
      </c>
      <c r="H107" s="213" t="s">
        <v>1967</v>
      </c>
      <c r="I107" s="1"/>
      <c r="J107" s="163">
        <v>0</v>
      </c>
      <c r="K107" s="163">
        <v>0</v>
      </c>
      <c r="L107" s="165">
        <f t="shared" si="7"/>
        <v>0</v>
      </c>
      <c r="M107" s="163">
        <v>0</v>
      </c>
      <c r="N107" s="163">
        <v>0</v>
      </c>
      <c r="O107" s="165">
        <f t="shared" si="8"/>
        <v>0</v>
      </c>
      <c r="P107" s="36"/>
      <c r="Q107" s="4"/>
    </row>
    <row r="108" spans="1:17" ht="55.2" x14ac:dyDescent="0.3">
      <c r="A108" s="31">
        <v>26</v>
      </c>
      <c r="B108" s="47"/>
      <c r="C108" s="75" t="s">
        <v>251</v>
      </c>
      <c r="D108" s="31" t="str">
        <f t="shared" si="6"/>
        <v>Do Not Print</v>
      </c>
      <c r="E108" s="1003" t="str">
        <f>E107</f>
        <v>CIES Line 26</v>
      </c>
      <c r="F108" s="213" t="s">
        <v>1966</v>
      </c>
      <c r="G108" s="213" t="s">
        <v>1972</v>
      </c>
      <c r="H108" s="213" t="s">
        <v>1968</v>
      </c>
      <c r="I108" s="1"/>
      <c r="J108" s="163">
        <v>0</v>
      </c>
      <c r="K108" s="163">
        <v>0</v>
      </c>
      <c r="L108" s="165">
        <f t="shared" si="7"/>
        <v>0</v>
      </c>
      <c r="M108" s="163">
        <v>0</v>
      </c>
      <c r="N108" s="163">
        <v>0</v>
      </c>
      <c r="O108" s="165">
        <f t="shared" si="8"/>
        <v>0</v>
      </c>
      <c r="P108" s="36"/>
      <c r="Q108" s="4"/>
    </row>
    <row r="109" spans="1:17" ht="55.2" x14ac:dyDescent="0.3">
      <c r="A109" s="31">
        <v>26</v>
      </c>
      <c r="B109" s="47"/>
      <c r="C109" s="75" t="s">
        <v>251</v>
      </c>
      <c r="D109" s="31" t="str">
        <f t="shared" si="6"/>
        <v>Do Not Print</v>
      </c>
      <c r="E109" s="1003" t="str">
        <f>E107</f>
        <v>CIES Line 26</v>
      </c>
      <c r="F109" s="213" t="s">
        <v>1966</v>
      </c>
      <c r="G109" s="213" t="s">
        <v>1972</v>
      </c>
      <c r="H109" s="213" t="s">
        <v>1969</v>
      </c>
      <c r="I109" s="1"/>
      <c r="J109" s="163">
        <v>0</v>
      </c>
      <c r="K109" s="163">
        <v>0</v>
      </c>
      <c r="L109" s="165">
        <f t="shared" si="7"/>
        <v>0</v>
      </c>
      <c r="M109" s="163">
        <v>0</v>
      </c>
      <c r="N109" s="163">
        <v>0</v>
      </c>
      <c r="O109" s="165">
        <f t="shared" si="8"/>
        <v>0</v>
      </c>
      <c r="P109" s="36"/>
      <c r="Q109" s="4"/>
    </row>
    <row r="110" spans="1:17" ht="55.2" x14ac:dyDescent="0.3">
      <c r="A110" s="31">
        <v>26</v>
      </c>
      <c r="B110" s="47"/>
      <c r="C110" s="75" t="s">
        <v>251</v>
      </c>
      <c r="D110" s="31" t="str">
        <f t="shared" si="6"/>
        <v>Do Not Print</v>
      </c>
      <c r="E110" s="1003" t="str">
        <f>E107</f>
        <v>CIES Line 26</v>
      </c>
      <c r="F110" s="213" t="s">
        <v>1966</v>
      </c>
      <c r="G110" s="213" t="s">
        <v>1972</v>
      </c>
      <c r="H110" s="213" t="s">
        <v>1970</v>
      </c>
      <c r="I110" s="1"/>
      <c r="J110" s="163">
        <v>0</v>
      </c>
      <c r="K110" s="163">
        <v>0</v>
      </c>
      <c r="L110" s="165">
        <f t="shared" si="7"/>
        <v>0</v>
      </c>
      <c r="M110" s="163">
        <v>0</v>
      </c>
      <c r="N110" s="163">
        <v>0</v>
      </c>
      <c r="O110" s="165">
        <f t="shared" si="8"/>
        <v>0</v>
      </c>
      <c r="P110" s="36"/>
      <c r="Q110" s="4"/>
    </row>
    <row r="111" spans="1:17" ht="55.2" x14ac:dyDescent="0.3">
      <c r="A111" s="31">
        <v>27</v>
      </c>
      <c r="B111" s="47"/>
      <c r="C111" s="75" t="s">
        <v>251</v>
      </c>
      <c r="D111" s="31" t="str">
        <f t="shared" si="6"/>
        <v>Do Not Print</v>
      </c>
      <c r="E111" s="1003" t="str">
        <f>'Input -CIES'!E33</f>
        <v>CIES Line 27</v>
      </c>
      <c r="F111" s="213" t="s">
        <v>1966</v>
      </c>
      <c r="G111" s="213" t="s">
        <v>1972</v>
      </c>
      <c r="H111" s="213" t="s">
        <v>1967</v>
      </c>
      <c r="I111" s="1"/>
      <c r="J111" s="163">
        <v>0</v>
      </c>
      <c r="K111" s="163">
        <v>0</v>
      </c>
      <c r="L111" s="165">
        <f t="shared" si="7"/>
        <v>0</v>
      </c>
      <c r="M111" s="163">
        <v>0</v>
      </c>
      <c r="N111" s="163">
        <v>0</v>
      </c>
      <c r="O111" s="165">
        <f t="shared" si="8"/>
        <v>0</v>
      </c>
      <c r="P111" s="36"/>
      <c r="Q111" s="4"/>
    </row>
    <row r="112" spans="1:17" ht="55.2" x14ac:dyDescent="0.3">
      <c r="A112" s="31">
        <v>27</v>
      </c>
      <c r="B112" s="47"/>
      <c r="C112" s="75" t="s">
        <v>251</v>
      </c>
      <c r="D112" s="31" t="str">
        <f t="shared" si="6"/>
        <v>Do Not Print</v>
      </c>
      <c r="E112" s="1003" t="str">
        <f>E111</f>
        <v>CIES Line 27</v>
      </c>
      <c r="F112" s="213" t="s">
        <v>1966</v>
      </c>
      <c r="G112" s="213" t="s">
        <v>1972</v>
      </c>
      <c r="H112" s="213" t="s">
        <v>1968</v>
      </c>
      <c r="I112" s="1"/>
      <c r="J112" s="163">
        <v>0</v>
      </c>
      <c r="K112" s="163">
        <v>0</v>
      </c>
      <c r="L112" s="165">
        <f t="shared" si="7"/>
        <v>0</v>
      </c>
      <c r="M112" s="163">
        <v>0</v>
      </c>
      <c r="N112" s="163">
        <v>0</v>
      </c>
      <c r="O112" s="165">
        <f t="shared" si="8"/>
        <v>0</v>
      </c>
      <c r="P112" s="36"/>
      <c r="Q112" s="4"/>
    </row>
    <row r="113" spans="1:17" ht="55.2" x14ac:dyDescent="0.3">
      <c r="A113" s="31">
        <v>27</v>
      </c>
      <c r="B113" s="47"/>
      <c r="C113" s="75" t="s">
        <v>251</v>
      </c>
      <c r="D113" s="31" t="str">
        <f t="shared" si="6"/>
        <v>Do Not Print</v>
      </c>
      <c r="E113" s="1003" t="str">
        <f>E111</f>
        <v>CIES Line 27</v>
      </c>
      <c r="F113" s="213" t="s">
        <v>1966</v>
      </c>
      <c r="G113" s="213" t="s">
        <v>1972</v>
      </c>
      <c r="H113" s="213" t="s">
        <v>1969</v>
      </c>
      <c r="I113" s="1"/>
      <c r="J113" s="163">
        <v>0</v>
      </c>
      <c r="K113" s="163">
        <v>0</v>
      </c>
      <c r="L113" s="165">
        <f t="shared" si="7"/>
        <v>0</v>
      </c>
      <c r="M113" s="163">
        <v>0</v>
      </c>
      <c r="N113" s="163">
        <v>0</v>
      </c>
      <c r="O113" s="165">
        <f t="shared" si="8"/>
        <v>0</v>
      </c>
      <c r="P113" s="36"/>
      <c r="Q113" s="4"/>
    </row>
    <row r="114" spans="1:17" ht="55.2" x14ac:dyDescent="0.3">
      <c r="A114" s="31">
        <v>27</v>
      </c>
      <c r="B114" s="47"/>
      <c r="C114" s="75" t="s">
        <v>251</v>
      </c>
      <c r="D114" s="31" t="str">
        <f t="shared" si="6"/>
        <v>Do Not Print</v>
      </c>
      <c r="E114" s="1003" t="str">
        <f>E111</f>
        <v>CIES Line 27</v>
      </c>
      <c r="F114" s="213" t="s">
        <v>1966</v>
      </c>
      <c r="G114" s="213" t="s">
        <v>1972</v>
      </c>
      <c r="H114" s="213" t="s">
        <v>1970</v>
      </c>
      <c r="I114" s="1"/>
      <c r="J114" s="163">
        <v>0</v>
      </c>
      <c r="K114" s="163">
        <v>0</v>
      </c>
      <c r="L114" s="165">
        <f t="shared" si="7"/>
        <v>0</v>
      </c>
      <c r="M114" s="163">
        <v>0</v>
      </c>
      <c r="N114" s="163">
        <v>0</v>
      </c>
      <c r="O114" s="165">
        <f t="shared" si="8"/>
        <v>0</v>
      </c>
      <c r="P114" s="36"/>
      <c r="Q114" s="4"/>
    </row>
    <row r="115" spans="1:17" ht="55.2" x14ac:dyDescent="0.3">
      <c r="A115" s="31">
        <v>28</v>
      </c>
      <c r="B115" s="47"/>
      <c r="C115" s="75" t="s">
        <v>251</v>
      </c>
      <c r="D115" s="31" t="str">
        <f t="shared" si="6"/>
        <v>Do Not Print</v>
      </c>
      <c r="E115" s="1003" t="str">
        <f>'Input -CIES'!E34</f>
        <v>CIES Line 28</v>
      </c>
      <c r="F115" s="213" t="s">
        <v>1966</v>
      </c>
      <c r="G115" s="213" t="s">
        <v>1972</v>
      </c>
      <c r="H115" s="213" t="s">
        <v>1967</v>
      </c>
      <c r="I115" s="1"/>
      <c r="J115" s="163">
        <v>0</v>
      </c>
      <c r="K115" s="163">
        <v>0</v>
      </c>
      <c r="L115" s="165">
        <f t="shared" si="7"/>
        <v>0</v>
      </c>
      <c r="M115" s="163">
        <v>0</v>
      </c>
      <c r="N115" s="163">
        <v>0</v>
      </c>
      <c r="O115" s="165">
        <f t="shared" si="8"/>
        <v>0</v>
      </c>
      <c r="P115" s="36"/>
      <c r="Q115" s="4"/>
    </row>
    <row r="116" spans="1:17" ht="55.2" x14ac:dyDescent="0.3">
      <c r="A116" s="31">
        <v>28</v>
      </c>
      <c r="B116" s="47"/>
      <c r="C116" s="75" t="s">
        <v>251</v>
      </c>
      <c r="D116" s="31" t="str">
        <f t="shared" si="6"/>
        <v>Do Not Print</v>
      </c>
      <c r="E116" s="1003" t="str">
        <f>E115</f>
        <v>CIES Line 28</v>
      </c>
      <c r="F116" s="213" t="s">
        <v>1966</v>
      </c>
      <c r="G116" s="213" t="s">
        <v>1972</v>
      </c>
      <c r="H116" s="213" t="s">
        <v>1968</v>
      </c>
      <c r="I116" s="1"/>
      <c r="J116" s="163">
        <v>0</v>
      </c>
      <c r="K116" s="163">
        <v>0</v>
      </c>
      <c r="L116" s="165">
        <f t="shared" si="7"/>
        <v>0</v>
      </c>
      <c r="M116" s="163">
        <v>0</v>
      </c>
      <c r="N116" s="163">
        <v>0</v>
      </c>
      <c r="O116" s="165">
        <f t="shared" si="8"/>
        <v>0</v>
      </c>
      <c r="P116" s="36"/>
      <c r="Q116" s="4"/>
    </row>
    <row r="117" spans="1:17" ht="55.2" x14ac:dyDescent="0.3">
      <c r="A117" s="31">
        <v>28</v>
      </c>
      <c r="B117" s="47"/>
      <c r="C117" s="75" t="s">
        <v>251</v>
      </c>
      <c r="D117" s="31" t="str">
        <f t="shared" si="6"/>
        <v>Do Not Print</v>
      </c>
      <c r="E117" s="1003" t="str">
        <f>E115</f>
        <v>CIES Line 28</v>
      </c>
      <c r="F117" s="213" t="s">
        <v>1966</v>
      </c>
      <c r="G117" s="213" t="s">
        <v>1972</v>
      </c>
      <c r="H117" s="213" t="s">
        <v>1969</v>
      </c>
      <c r="I117" s="1"/>
      <c r="J117" s="163">
        <v>0</v>
      </c>
      <c r="K117" s="163">
        <v>0</v>
      </c>
      <c r="L117" s="165">
        <f t="shared" si="7"/>
        <v>0</v>
      </c>
      <c r="M117" s="163">
        <v>0</v>
      </c>
      <c r="N117" s="163">
        <v>0</v>
      </c>
      <c r="O117" s="165">
        <f t="shared" si="8"/>
        <v>0</v>
      </c>
      <c r="P117" s="36"/>
      <c r="Q117" s="4"/>
    </row>
    <row r="118" spans="1:17" ht="55.2" x14ac:dyDescent="0.3">
      <c r="A118" s="31">
        <v>28</v>
      </c>
      <c r="B118" s="47"/>
      <c r="C118" s="75" t="s">
        <v>251</v>
      </c>
      <c r="D118" s="31" t="str">
        <f t="shared" si="6"/>
        <v>Do Not Print</v>
      </c>
      <c r="E118" s="1003" t="str">
        <f>E115</f>
        <v>CIES Line 28</v>
      </c>
      <c r="F118" s="213" t="s">
        <v>1966</v>
      </c>
      <c r="G118" s="213" t="s">
        <v>1972</v>
      </c>
      <c r="H118" s="213" t="s">
        <v>1970</v>
      </c>
      <c r="I118" s="1"/>
      <c r="J118" s="163">
        <v>0</v>
      </c>
      <c r="K118" s="163">
        <v>0</v>
      </c>
      <c r="L118" s="165">
        <f t="shared" si="7"/>
        <v>0</v>
      </c>
      <c r="M118" s="163">
        <v>0</v>
      </c>
      <c r="N118" s="163">
        <v>0</v>
      </c>
      <c r="O118" s="165">
        <f t="shared" si="8"/>
        <v>0</v>
      </c>
      <c r="P118" s="36"/>
      <c r="Q118" s="4"/>
    </row>
    <row r="119" spans="1:17" ht="55.2" x14ac:dyDescent="0.3">
      <c r="A119" s="31">
        <v>29</v>
      </c>
      <c r="B119" s="47"/>
      <c r="C119" s="75" t="s">
        <v>251</v>
      </c>
      <c r="D119" s="31" t="str">
        <f t="shared" si="6"/>
        <v>Do Not Print</v>
      </c>
      <c r="E119" s="1003" t="str">
        <f>'Input -CIES'!E35</f>
        <v>CIES Line 29</v>
      </c>
      <c r="F119" s="213" t="s">
        <v>1966</v>
      </c>
      <c r="G119" s="213" t="s">
        <v>1972</v>
      </c>
      <c r="H119" s="213" t="s">
        <v>1967</v>
      </c>
      <c r="I119" s="1"/>
      <c r="J119" s="163">
        <v>0</v>
      </c>
      <c r="K119" s="163">
        <v>0</v>
      </c>
      <c r="L119" s="165">
        <f t="shared" si="7"/>
        <v>0</v>
      </c>
      <c r="M119" s="163">
        <v>0</v>
      </c>
      <c r="N119" s="163">
        <v>0</v>
      </c>
      <c r="O119" s="165">
        <f t="shared" si="8"/>
        <v>0</v>
      </c>
      <c r="P119" s="36"/>
      <c r="Q119" s="4"/>
    </row>
    <row r="120" spans="1:17" ht="55.2" x14ac:dyDescent="0.3">
      <c r="A120" s="31">
        <v>29</v>
      </c>
      <c r="B120" s="47"/>
      <c r="C120" s="75" t="s">
        <v>251</v>
      </c>
      <c r="D120" s="31" t="str">
        <f t="shared" si="6"/>
        <v>Do Not Print</v>
      </c>
      <c r="E120" s="1003" t="str">
        <f>E119</f>
        <v>CIES Line 29</v>
      </c>
      <c r="F120" s="213" t="s">
        <v>1966</v>
      </c>
      <c r="G120" s="213" t="s">
        <v>1972</v>
      </c>
      <c r="H120" s="213" t="s">
        <v>1968</v>
      </c>
      <c r="I120" s="1"/>
      <c r="J120" s="163">
        <v>0</v>
      </c>
      <c r="K120" s="163">
        <v>0</v>
      </c>
      <c r="L120" s="165">
        <f t="shared" si="7"/>
        <v>0</v>
      </c>
      <c r="M120" s="163">
        <v>0</v>
      </c>
      <c r="N120" s="163">
        <v>0</v>
      </c>
      <c r="O120" s="165">
        <f t="shared" si="8"/>
        <v>0</v>
      </c>
      <c r="P120" s="36"/>
      <c r="Q120" s="4"/>
    </row>
    <row r="121" spans="1:17" ht="55.2" x14ac:dyDescent="0.3">
      <c r="A121" s="31">
        <v>29</v>
      </c>
      <c r="B121" s="47"/>
      <c r="C121" s="75" t="s">
        <v>251</v>
      </c>
      <c r="D121" s="31" t="str">
        <f t="shared" si="6"/>
        <v>Do Not Print</v>
      </c>
      <c r="E121" s="1003" t="str">
        <f>E119</f>
        <v>CIES Line 29</v>
      </c>
      <c r="F121" s="213" t="s">
        <v>1966</v>
      </c>
      <c r="G121" s="213" t="s">
        <v>1972</v>
      </c>
      <c r="H121" s="213" t="s">
        <v>1969</v>
      </c>
      <c r="I121" s="1"/>
      <c r="J121" s="163">
        <v>0</v>
      </c>
      <c r="K121" s="163">
        <v>0</v>
      </c>
      <c r="L121" s="165">
        <f t="shared" si="7"/>
        <v>0</v>
      </c>
      <c r="M121" s="163">
        <v>0</v>
      </c>
      <c r="N121" s="163">
        <v>0</v>
      </c>
      <c r="O121" s="165">
        <f t="shared" si="8"/>
        <v>0</v>
      </c>
      <c r="P121" s="36"/>
      <c r="Q121" s="4"/>
    </row>
    <row r="122" spans="1:17" ht="55.2" x14ac:dyDescent="0.3">
      <c r="A122" s="31">
        <v>29</v>
      </c>
      <c r="B122" s="47"/>
      <c r="C122" s="75" t="s">
        <v>251</v>
      </c>
      <c r="D122" s="31" t="str">
        <f t="shared" si="6"/>
        <v>Do Not Print</v>
      </c>
      <c r="E122" s="1003" t="str">
        <f>E119</f>
        <v>CIES Line 29</v>
      </c>
      <c r="F122" s="213" t="s">
        <v>1966</v>
      </c>
      <c r="G122" s="213" t="s">
        <v>1972</v>
      </c>
      <c r="H122" s="213" t="s">
        <v>1970</v>
      </c>
      <c r="I122" s="1"/>
      <c r="J122" s="163">
        <v>0</v>
      </c>
      <c r="K122" s="163">
        <v>0</v>
      </c>
      <c r="L122" s="165">
        <f t="shared" si="7"/>
        <v>0</v>
      </c>
      <c r="M122" s="163">
        <v>0</v>
      </c>
      <c r="N122" s="163">
        <v>0</v>
      </c>
      <c r="O122" s="165">
        <f t="shared" si="8"/>
        <v>0</v>
      </c>
      <c r="P122" s="36"/>
      <c r="Q122" s="4"/>
    </row>
    <row r="123" spans="1:17" ht="55.2" x14ac:dyDescent="0.3">
      <c r="A123" s="31">
        <v>30</v>
      </c>
      <c r="B123" s="47"/>
      <c r="C123" s="75" t="s">
        <v>251</v>
      </c>
      <c r="D123" s="31" t="str">
        <f t="shared" si="6"/>
        <v>Do Not Print</v>
      </c>
      <c r="E123" s="1003" t="str">
        <f>'Input -CIES'!E36</f>
        <v>CIES Line 30</v>
      </c>
      <c r="F123" s="213" t="s">
        <v>1966</v>
      </c>
      <c r="G123" s="213" t="s">
        <v>1972</v>
      </c>
      <c r="H123" s="213" t="s">
        <v>1967</v>
      </c>
      <c r="I123" s="1"/>
      <c r="J123" s="163">
        <v>0</v>
      </c>
      <c r="K123" s="163">
        <v>0</v>
      </c>
      <c r="L123" s="165">
        <f t="shared" si="7"/>
        <v>0</v>
      </c>
      <c r="M123" s="163">
        <v>0</v>
      </c>
      <c r="N123" s="163">
        <v>0</v>
      </c>
      <c r="O123" s="165">
        <f t="shared" si="8"/>
        <v>0</v>
      </c>
      <c r="P123" s="36"/>
      <c r="Q123" s="4"/>
    </row>
    <row r="124" spans="1:17" ht="55.2" x14ac:dyDescent="0.3">
      <c r="A124" s="31">
        <v>30</v>
      </c>
      <c r="B124" s="47"/>
      <c r="C124" s="75" t="s">
        <v>251</v>
      </c>
      <c r="D124" s="31" t="str">
        <f t="shared" si="6"/>
        <v>Do Not Print</v>
      </c>
      <c r="E124" s="1003" t="str">
        <f>E123</f>
        <v>CIES Line 30</v>
      </c>
      <c r="F124" s="213" t="s">
        <v>1966</v>
      </c>
      <c r="G124" s="213" t="s">
        <v>1972</v>
      </c>
      <c r="H124" s="213" t="s">
        <v>1968</v>
      </c>
      <c r="I124" s="1"/>
      <c r="J124" s="163">
        <v>0</v>
      </c>
      <c r="K124" s="163">
        <v>0</v>
      </c>
      <c r="L124" s="165">
        <f t="shared" si="7"/>
        <v>0</v>
      </c>
      <c r="M124" s="163">
        <v>0</v>
      </c>
      <c r="N124" s="163">
        <v>0</v>
      </c>
      <c r="O124" s="165">
        <f t="shared" si="8"/>
        <v>0</v>
      </c>
      <c r="P124" s="36"/>
      <c r="Q124" s="4"/>
    </row>
    <row r="125" spans="1:17" ht="55.2" x14ac:dyDescent="0.3">
      <c r="A125" s="31">
        <v>30</v>
      </c>
      <c r="B125" s="47"/>
      <c r="C125" s="75" t="s">
        <v>251</v>
      </c>
      <c r="D125" s="31" t="str">
        <f t="shared" si="6"/>
        <v>Do Not Print</v>
      </c>
      <c r="E125" s="1003" t="str">
        <f>E123</f>
        <v>CIES Line 30</v>
      </c>
      <c r="F125" s="213" t="s">
        <v>1966</v>
      </c>
      <c r="G125" s="213" t="s">
        <v>1972</v>
      </c>
      <c r="H125" s="213" t="s">
        <v>1969</v>
      </c>
      <c r="I125" s="1"/>
      <c r="J125" s="163">
        <v>0</v>
      </c>
      <c r="K125" s="163">
        <v>0</v>
      </c>
      <c r="L125" s="165">
        <f t="shared" si="7"/>
        <v>0</v>
      </c>
      <c r="M125" s="163">
        <v>0</v>
      </c>
      <c r="N125" s="163">
        <v>0</v>
      </c>
      <c r="O125" s="165">
        <f t="shared" si="8"/>
        <v>0</v>
      </c>
      <c r="P125" s="36"/>
      <c r="Q125" s="4"/>
    </row>
    <row r="126" spans="1:17" ht="55.2" x14ac:dyDescent="0.3">
      <c r="A126" s="31">
        <v>30</v>
      </c>
      <c r="B126" s="47"/>
      <c r="C126" s="75" t="s">
        <v>251</v>
      </c>
      <c r="D126" s="31" t="str">
        <f t="shared" si="6"/>
        <v>Do Not Print</v>
      </c>
      <c r="E126" s="1003" t="str">
        <f>E123</f>
        <v>CIES Line 30</v>
      </c>
      <c r="F126" s="213" t="s">
        <v>1966</v>
      </c>
      <c r="G126" s="213" t="s">
        <v>1972</v>
      </c>
      <c r="H126" s="213" t="s">
        <v>1970</v>
      </c>
      <c r="I126" s="1"/>
      <c r="J126" s="163">
        <v>0</v>
      </c>
      <c r="K126" s="163">
        <v>0</v>
      </c>
      <c r="L126" s="165">
        <f t="shared" si="7"/>
        <v>0</v>
      </c>
      <c r="M126" s="163">
        <v>0</v>
      </c>
      <c r="N126" s="163">
        <v>0</v>
      </c>
      <c r="O126" s="165">
        <f t="shared" si="8"/>
        <v>0</v>
      </c>
      <c r="P126" s="36"/>
      <c r="Q126" s="4"/>
    </row>
    <row r="127" spans="1:17" ht="55.2" x14ac:dyDescent="0.3">
      <c r="A127" s="31">
        <v>31</v>
      </c>
      <c r="B127" s="47"/>
      <c r="C127" s="75" t="s">
        <v>251</v>
      </c>
      <c r="D127" s="31" t="str">
        <f t="shared" si="6"/>
        <v>Do Not Print</v>
      </c>
      <c r="E127" s="1003" t="str">
        <f>'Input -CIES'!E37</f>
        <v>CIES Line 31</v>
      </c>
      <c r="F127" s="213" t="s">
        <v>1966</v>
      </c>
      <c r="G127" s="213" t="s">
        <v>1972</v>
      </c>
      <c r="H127" s="213" t="s">
        <v>1967</v>
      </c>
      <c r="I127" s="1"/>
      <c r="J127" s="163">
        <v>0</v>
      </c>
      <c r="K127" s="163">
        <v>0</v>
      </c>
      <c r="L127" s="165">
        <f t="shared" si="7"/>
        <v>0</v>
      </c>
      <c r="M127" s="163">
        <v>0</v>
      </c>
      <c r="N127" s="163">
        <v>0</v>
      </c>
      <c r="O127" s="165">
        <f t="shared" si="8"/>
        <v>0</v>
      </c>
      <c r="P127" s="36"/>
      <c r="Q127" s="4"/>
    </row>
    <row r="128" spans="1:17" ht="55.2" x14ac:dyDescent="0.3">
      <c r="A128" s="31">
        <v>31</v>
      </c>
      <c r="B128" s="47"/>
      <c r="C128" s="75" t="s">
        <v>251</v>
      </c>
      <c r="D128" s="31" t="str">
        <f t="shared" si="6"/>
        <v>Do Not Print</v>
      </c>
      <c r="E128" s="1003" t="str">
        <f>E127</f>
        <v>CIES Line 31</v>
      </c>
      <c r="F128" s="213" t="s">
        <v>1966</v>
      </c>
      <c r="G128" s="213" t="s">
        <v>1972</v>
      </c>
      <c r="H128" s="213" t="s">
        <v>1968</v>
      </c>
      <c r="I128" s="1"/>
      <c r="J128" s="163">
        <v>0</v>
      </c>
      <c r="K128" s="163">
        <v>0</v>
      </c>
      <c r="L128" s="165">
        <f t="shared" si="7"/>
        <v>0</v>
      </c>
      <c r="M128" s="163">
        <v>0</v>
      </c>
      <c r="N128" s="163">
        <v>0</v>
      </c>
      <c r="O128" s="165">
        <f t="shared" si="8"/>
        <v>0</v>
      </c>
      <c r="P128" s="36"/>
      <c r="Q128" s="4"/>
    </row>
    <row r="129" spans="1:17" ht="55.2" x14ac:dyDescent="0.3">
      <c r="A129" s="31">
        <v>31</v>
      </c>
      <c r="B129" s="47"/>
      <c r="C129" s="75" t="s">
        <v>251</v>
      </c>
      <c r="D129" s="31" t="str">
        <f t="shared" si="6"/>
        <v>Do Not Print</v>
      </c>
      <c r="E129" s="1003" t="str">
        <f>E127</f>
        <v>CIES Line 31</v>
      </c>
      <c r="F129" s="213" t="s">
        <v>1966</v>
      </c>
      <c r="G129" s="213" t="s">
        <v>1972</v>
      </c>
      <c r="H129" s="213" t="s">
        <v>1969</v>
      </c>
      <c r="I129" s="1"/>
      <c r="J129" s="163">
        <v>0</v>
      </c>
      <c r="K129" s="163">
        <v>0</v>
      </c>
      <c r="L129" s="165">
        <f t="shared" si="7"/>
        <v>0</v>
      </c>
      <c r="M129" s="163">
        <v>0</v>
      </c>
      <c r="N129" s="163">
        <v>0</v>
      </c>
      <c r="O129" s="165">
        <f t="shared" si="8"/>
        <v>0</v>
      </c>
      <c r="P129" s="36"/>
      <c r="Q129" s="4"/>
    </row>
    <row r="130" spans="1:17" ht="55.2" x14ac:dyDescent="0.3">
      <c r="A130" s="31">
        <v>31</v>
      </c>
      <c r="B130" s="47"/>
      <c r="C130" s="75" t="s">
        <v>251</v>
      </c>
      <c r="D130" s="31" t="str">
        <f t="shared" si="6"/>
        <v>Do Not Print</v>
      </c>
      <c r="E130" s="1003" t="str">
        <f>E127</f>
        <v>CIES Line 31</v>
      </c>
      <c r="F130" s="213" t="s">
        <v>1966</v>
      </c>
      <c r="G130" s="213" t="s">
        <v>1972</v>
      </c>
      <c r="H130" s="213" t="s">
        <v>1970</v>
      </c>
      <c r="I130" s="1"/>
      <c r="J130" s="163">
        <v>0</v>
      </c>
      <c r="K130" s="163">
        <v>0</v>
      </c>
      <c r="L130" s="165">
        <f t="shared" si="7"/>
        <v>0</v>
      </c>
      <c r="M130" s="163">
        <v>0</v>
      </c>
      <c r="N130" s="163">
        <v>0</v>
      </c>
      <c r="O130" s="165">
        <f t="shared" si="8"/>
        <v>0</v>
      </c>
      <c r="P130" s="36"/>
      <c r="Q130" s="4"/>
    </row>
    <row r="131" spans="1:17" ht="55.2" x14ac:dyDescent="0.3">
      <c r="A131" s="31">
        <v>32</v>
      </c>
      <c r="B131" s="47"/>
      <c r="C131" s="75" t="s">
        <v>251</v>
      </c>
      <c r="D131" s="31" t="str">
        <f t="shared" si="6"/>
        <v>Do Not Print</v>
      </c>
      <c r="E131" s="1003" t="str">
        <f>'Input -CIES'!E38</f>
        <v>CIES Line 32</v>
      </c>
      <c r="F131" s="213" t="s">
        <v>1966</v>
      </c>
      <c r="G131" s="213" t="s">
        <v>1972</v>
      </c>
      <c r="H131" s="213" t="s">
        <v>1967</v>
      </c>
      <c r="I131" s="1"/>
      <c r="J131" s="163">
        <v>0</v>
      </c>
      <c r="K131" s="163">
        <v>0</v>
      </c>
      <c r="L131" s="165">
        <f t="shared" si="7"/>
        <v>0</v>
      </c>
      <c r="M131" s="163">
        <v>0</v>
      </c>
      <c r="N131" s="163">
        <v>0</v>
      </c>
      <c r="O131" s="165">
        <f t="shared" si="8"/>
        <v>0</v>
      </c>
      <c r="P131" s="36"/>
      <c r="Q131" s="4"/>
    </row>
    <row r="132" spans="1:17" ht="55.2" x14ac:dyDescent="0.3">
      <c r="A132" s="31">
        <v>32</v>
      </c>
      <c r="B132" s="47"/>
      <c r="C132" s="75" t="s">
        <v>251</v>
      </c>
      <c r="D132" s="31" t="str">
        <f t="shared" si="6"/>
        <v>Do Not Print</v>
      </c>
      <c r="E132" s="1003" t="str">
        <f>E131</f>
        <v>CIES Line 32</v>
      </c>
      <c r="F132" s="213" t="s">
        <v>1966</v>
      </c>
      <c r="G132" s="213" t="s">
        <v>1972</v>
      </c>
      <c r="H132" s="213" t="s">
        <v>1968</v>
      </c>
      <c r="I132" s="1"/>
      <c r="J132" s="163">
        <v>0</v>
      </c>
      <c r="K132" s="163">
        <v>0</v>
      </c>
      <c r="L132" s="165">
        <f t="shared" si="7"/>
        <v>0</v>
      </c>
      <c r="M132" s="163">
        <v>0</v>
      </c>
      <c r="N132" s="163">
        <v>0</v>
      </c>
      <c r="O132" s="165">
        <f t="shared" si="8"/>
        <v>0</v>
      </c>
      <c r="P132" s="36"/>
      <c r="Q132" s="4"/>
    </row>
    <row r="133" spans="1:17" ht="55.2" x14ac:dyDescent="0.3">
      <c r="A133" s="31">
        <v>32</v>
      </c>
      <c r="B133" s="47"/>
      <c r="C133" s="75" t="s">
        <v>251</v>
      </c>
      <c r="D133" s="31" t="str">
        <f t="shared" si="6"/>
        <v>Do Not Print</v>
      </c>
      <c r="E133" s="1003" t="str">
        <f>E131</f>
        <v>CIES Line 32</v>
      </c>
      <c r="F133" s="213" t="s">
        <v>1966</v>
      </c>
      <c r="G133" s="213" t="s">
        <v>1972</v>
      </c>
      <c r="H133" s="213" t="s">
        <v>1969</v>
      </c>
      <c r="I133" s="1"/>
      <c r="J133" s="163">
        <v>0</v>
      </c>
      <c r="K133" s="163">
        <v>0</v>
      </c>
      <c r="L133" s="165">
        <f t="shared" si="7"/>
        <v>0</v>
      </c>
      <c r="M133" s="163">
        <v>0</v>
      </c>
      <c r="N133" s="163">
        <v>0</v>
      </c>
      <c r="O133" s="165">
        <f t="shared" si="8"/>
        <v>0</v>
      </c>
      <c r="P133" s="36"/>
      <c r="Q133" s="4"/>
    </row>
    <row r="134" spans="1:17" ht="55.2" x14ac:dyDescent="0.3">
      <c r="A134" s="31">
        <v>32</v>
      </c>
      <c r="B134" s="47"/>
      <c r="C134" s="75" t="s">
        <v>251</v>
      </c>
      <c r="D134" s="31" t="str">
        <f t="shared" si="6"/>
        <v>Do Not Print</v>
      </c>
      <c r="E134" s="1003" t="str">
        <f>E131</f>
        <v>CIES Line 32</v>
      </c>
      <c r="F134" s="213" t="s">
        <v>1966</v>
      </c>
      <c r="G134" s="213" t="s">
        <v>1972</v>
      </c>
      <c r="H134" s="213" t="s">
        <v>1970</v>
      </c>
      <c r="I134" s="1"/>
      <c r="J134" s="163">
        <v>0</v>
      </c>
      <c r="K134" s="163">
        <v>0</v>
      </c>
      <c r="L134" s="165">
        <f t="shared" si="7"/>
        <v>0</v>
      </c>
      <c r="M134" s="163">
        <v>0</v>
      </c>
      <c r="N134" s="163">
        <v>0</v>
      </c>
      <c r="O134" s="165">
        <f t="shared" si="8"/>
        <v>0</v>
      </c>
      <c r="P134" s="36"/>
      <c r="Q134" s="4"/>
    </row>
    <row r="135" spans="1:17" ht="55.2" x14ac:dyDescent="0.3">
      <c r="A135" s="31">
        <v>33</v>
      </c>
      <c r="B135" s="47"/>
      <c r="C135" s="75" t="s">
        <v>251</v>
      </c>
      <c r="D135" s="31" t="str">
        <f t="shared" si="6"/>
        <v>Do Not Print</v>
      </c>
      <c r="E135" s="1003" t="str">
        <f>'Input -CIES'!E39</f>
        <v>CIES Line 33</v>
      </c>
      <c r="F135" s="213" t="s">
        <v>1966</v>
      </c>
      <c r="G135" s="213" t="s">
        <v>1972</v>
      </c>
      <c r="H135" s="213" t="s">
        <v>1967</v>
      </c>
      <c r="I135" s="1"/>
      <c r="J135" s="163">
        <v>0</v>
      </c>
      <c r="K135" s="163">
        <v>0</v>
      </c>
      <c r="L135" s="165">
        <f t="shared" si="7"/>
        <v>0</v>
      </c>
      <c r="M135" s="163">
        <v>0</v>
      </c>
      <c r="N135" s="163">
        <v>0</v>
      </c>
      <c r="O135" s="165">
        <f t="shared" si="8"/>
        <v>0</v>
      </c>
      <c r="P135" s="36"/>
      <c r="Q135" s="4"/>
    </row>
    <row r="136" spans="1:17" ht="55.2" x14ac:dyDescent="0.3">
      <c r="A136" s="31">
        <v>33</v>
      </c>
      <c r="B136" s="47"/>
      <c r="C136" s="75" t="s">
        <v>251</v>
      </c>
      <c r="D136" s="31" t="str">
        <f t="shared" si="6"/>
        <v>Do Not Print</v>
      </c>
      <c r="E136" s="1003" t="str">
        <f>E135</f>
        <v>CIES Line 33</v>
      </c>
      <c r="F136" s="213" t="s">
        <v>1966</v>
      </c>
      <c r="G136" s="213" t="s">
        <v>1972</v>
      </c>
      <c r="H136" s="213" t="s">
        <v>1968</v>
      </c>
      <c r="I136" s="1"/>
      <c r="J136" s="163">
        <v>0</v>
      </c>
      <c r="K136" s="163">
        <v>0</v>
      </c>
      <c r="L136" s="165">
        <f t="shared" si="7"/>
        <v>0</v>
      </c>
      <c r="M136" s="163">
        <v>0</v>
      </c>
      <c r="N136" s="163">
        <v>0</v>
      </c>
      <c r="O136" s="165">
        <f t="shared" si="8"/>
        <v>0</v>
      </c>
      <c r="P136" s="36"/>
      <c r="Q136" s="4"/>
    </row>
    <row r="137" spans="1:17" ht="55.2" x14ac:dyDescent="0.3">
      <c r="A137" s="31">
        <v>33</v>
      </c>
      <c r="B137" s="47"/>
      <c r="C137" s="75" t="s">
        <v>251</v>
      </c>
      <c r="D137" s="31" t="str">
        <f t="shared" si="6"/>
        <v>Do Not Print</v>
      </c>
      <c r="E137" s="1003" t="str">
        <f>E135</f>
        <v>CIES Line 33</v>
      </c>
      <c r="F137" s="213" t="s">
        <v>1966</v>
      </c>
      <c r="G137" s="213" t="s">
        <v>1972</v>
      </c>
      <c r="H137" s="213" t="s">
        <v>1969</v>
      </c>
      <c r="I137" s="1"/>
      <c r="J137" s="163">
        <v>0</v>
      </c>
      <c r="K137" s="163">
        <v>0</v>
      </c>
      <c r="L137" s="165">
        <f t="shared" si="7"/>
        <v>0</v>
      </c>
      <c r="M137" s="163">
        <v>0</v>
      </c>
      <c r="N137" s="163">
        <v>0</v>
      </c>
      <c r="O137" s="165">
        <f t="shared" si="8"/>
        <v>0</v>
      </c>
      <c r="P137" s="36"/>
      <c r="Q137" s="4"/>
    </row>
    <row r="138" spans="1:17" ht="55.2" x14ac:dyDescent="0.3">
      <c r="A138" s="31">
        <v>33</v>
      </c>
      <c r="B138" s="47"/>
      <c r="C138" s="75" t="s">
        <v>251</v>
      </c>
      <c r="D138" s="31" t="str">
        <f t="shared" si="6"/>
        <v>Do Not Print</v>
      </c>
      <c r="E138" s="1003" t="str">
        <f>E135</f>
        <v>CIES Line 33</v>
      </c>
      <c r="F138" s="213" t="s">
        <v>1966</v>
      </c>
      <c r="G138" s="213" t="s">
        <v>1972</v>
      </c>
      <c r="H138" s="213" t="s">
        <v>1970</v>
      </c>
      <c r="I138" s="1"/>
      <c r="J138" s="163">
        <v>0</v>
      </c>
      <c r="K138" s="163">
        <v>0</v>
      </c>
      <c r="L138" s="165">
        <f t="shared" si="7"/>
        <v>0</v>
      </c>
      <c r="M138" s="163">
        <v>0</v>
      </c>
      <c r="N138" s="163">
        <v>0</v>
      </c>
      <c r="O138" s="165">
        <f t="shared" si="8"/>
        <v>0</v>
      </c>
      <c r="P138" s="36"/>
      <c r="Q138" s="4"/>
    </row>
    <row r="139" spans="1:17" ht="55.2" x14ac:dyDescent="0.3">
      <c r="A139" s="31">
        <v>34</v>
      </c>
      <c r="B139" s="47"/>
      <c r="C139" s="75" t="s">
        <v>251</v>
      </c>
      <c r="D139" s="31" t="str">
        <f t="shared" si="6"/>
        <v>Do Not Print</v>
      </c>
      <c r="E139" s="1003" t="str">
        <f>'Input -CIES'!E40</f>
        <v>CIES Line 34</v>
      </c>
      <c r="F139" s="213" t="s">
        <v>1966</v>
      </c>
      <c r="G139" s="213" t="s">
        <v>1972</v>
      </c>
      <c r="H139" s="213" t="s">
        <v>1967</v>
      </c>
      <c r="I139" s="1"/>
      <c r="J139" s="163">
        <v>0</v>
      </c>
      <c r="K139" s="163">
        <v>0</v>
      </c>
      <c r="L139" s="165">
        <f t="shared" si="7"/>
        <v>0</v>
      </c>
      <c r="M139" s="163">
        <v>0</v>
      </c>
      <c r="N139" s="163">
        <v>0</v>
      </c>
      <c r="O139" s="165">
        <f t="shared" si="8"/>
        <v>0</v>
      </c>
      <c r="P139" s="36"/>
      <c r="Q139" s="4"/>
    </row>
    <row r="140" spans="1:17" ht="55.2" x14ac:dyDescent="0.3">
      <c r="A140" s="31">
        <v>34</v>
      </c>
      <c r="B140" s="47"/>
      <c r="C140" s="75" t="s">
        <v>251</v>
      </c>
      <c r="D140" s="31" t="str">
        <f t="shared" si="6"/>
        <v>Do Not Print</v>
      </c>
      <c r="E140" s="1003" t="str">
        <f>E139</f>
        <v>CIES Line 34</v>
      </c>
      <c r="F140" s="213" t="s">
        <v>1966</v>
      </c>
      <c r="G140" s="213" t="s">
        <v>1972</v>
      </c>
      <c r="H140" s="213" t="s">
        <v>1968</v>
      </c>
      <c r="I140" s="1"/>
      <c r="J140" s="163">
        <v>0</v>
      </c>
      <c r="K140" s="163">
        <v>0</v>
      </c>
      <c r="L140" s="165">
        <f t="shared" si="7"/>
        <v>0</v>
      </c>
      <c r="M140" s="163">
        <v>0</v>
      </c>
      <c r="N140" s="163">
        <v>0</v>
      </c>
      <c r="O140" s="165">
        <f t="shared" si="8"/>
        <v>0</v>
      </c>
      <c r="P140" s="36"/>
      <c r="Q140" s="4"/>
    </row>
    <row r="141" spans="1:17" ht="55.2" x14ac:dyDescent="0.3">
      <c r="A141" s="31">
        <v>34</v>
      </c>
      <c r="B141" s="47"/>
      <c r="C141" s="75" t="s">
        <v>251</v>
      </c>
      <c r="D141" s="31" t="str">
        <f t="shared" si="6"/>
        <v>Do Not Print</v>
      </c>
      <c r="E141" s="1003" t="str">
        <f>E139</f>
        <v>CIES Line 34</v>
      </c>
      <c r="F141" s="213" t="s">
        <v>1966</v>
      </c>
      <c r="G141" s="213" t="s">
        <v>1972</v>
      </c>
      <c r="H141" s="213" t="s">
        <v>1969</v>
      </c>
      <c r="I141" s="1"/>
      <c r="J141" s="163">
        <v>0</v>
      </c>
      <c r="K141" s="163">
        <v>0</v>
      </c>
      <c r="L141" s="165">
        <f t="shared" si="7"/>
        <v>0</v>
      </c>
      <c r="M141" s="163">
        <v>0</v>
      </c>
      <c r="N141" s="163">
        <v>0</v>
      </c>
      <c r="O141" s="165">
        <f t="shared" si="8"/>
        <v>0</v>
      </c>
      <c r="P141" s="36"/>
      <c r="Q141" s="4"/>
    </row>
    <row r="142" spans="1:17" ht="55.2" x14ac:dyDescent="0.3">
      <c r="A142" s="31">
        <v>34</v>
      </c>
      <c r="B142" s="47"/>
      <c r="C142" s="75" t="s">
        <v>251</v>
      </c>
      <c r="D142" s="31" t="str">
        <f t="shared" si="6"/>
        <v>Do Not Print</v>
      </c>
      <c r="E142" s="1003" t="str">
        <f>E139</f>
        <v>CIES Line 34</v>
      </c>
      <c r="F142" s="213" t="s">
        <v>1966</v>
      </c>
      <c r="G142" s="213" t="s">
        <v>1972</v>
      </c>
      <c r="H142" s="213" t="s">
        <v>1970</v>
      </c>
      <c r="I142" s="1"/>
      <c r="J142" s="163">
        <v>0</v>
      </c>
      <c r="K142" s="163">
        <v>0</v>
      </c>
      <c r="L142" s="165">
        <f t="shared" si="7"/>
        <v>0</v>
      </c>
      <c r="M142" s="163">
        <v>0</v>
      </c>
      <c r="N142" s="163">
        <v>0</v>
      </c>
      <c r="O142" s="165">
        <f t="shared" si="8"/>
        <v>0</v>
      </c>
      <c r="P142" s="36"/>
      <c r="Q142" s="4"/>
    </row>
    <row r="143" spans="1:17" ht="55.2" x14ac:dyDescent="0.3">
      <c r="A143" s="31">
        <v>35</v>
      </c>
      <c r="B143" s="47"/>
      <c r="C143" s="75" t="s">
        <v>251</v>
      </c>
      <c r="D143" s="31" t="str">
        <f t="shared" si="6"/>
        <v>Do Not Print</v>
      </c>
      <c r="E143" s="1003" t="str">
        <f>'Input -CIES'!E41</f>
        <v>CIES Line 35</v>
      </c>
      <c r="F143" s="213" t="s">
        <v>1966</v>
      </c>
      <c r="G143" s="213" t="s">
        <v>1972</v>
      </c>
      <c r="H143" s="213" t="s">
        <v>1967</v>
      </c>
      <c r="I143" s="1"/>
      <c r="J143" s="163">
        <v>0</v>
      </c>
      <c r="K143" s="163">
        <v>0</v>
      </c>
      <c r="L143" s="165">
        <f t="shared" si="7"/>
        <v>0</v>
      </c>
      <c r="M143" s="163">
        <v>0</v>
      </c>
      <c r="N143" s="163">
        <v>0</v>
      </c>
      <c r="O143" s="165">
        <f t="shared" si="8"/>
        <v>0</v>
      </c>
      <c r="P143" s="36"/>
      <c r="Q143" s="4"/>
    </row>
    <row r="144" spans="1:17" ht="55.2" x14ac:dyDescent="0.3">
      <c r="A144" s="31">
        <v>35</v>
      </c>
      <c r="B144" s="47"/>
      <c r="C144" s="75" t="s">
        <v>251</v>
      </c>
      <c r="D144" s="31" t="str">
        <f t="shared" si="6"/>
        <v>Do Not Print</v>
      </c>
      <c r="E144" s="1003" t="str">
        <f>E143</f>
        <v>CIES Line 35</v>
      </c>
      <c r="F144" s="213" t="s">
        <v>1966</v>
      </c>
      <c r="G144" s="213" t="s">
        <v>1972</v>
      </c>
      <c r="H144" s="213" t="s">
        <v>1968</v>
      </c>
      <c r="I144" s="1"/>
      <c r="J144" s="163">
        <v>0</v>
      </c>
      <c r="K144" s="163">
        <v>0</v>
      </c>
      <c r="L144" s="165">
        <f t="shared" si="7"/>
        <v>0</v>
      </c>
      <c r="M144" s="163">
        <v>0</v>
      </c>
      <c r="N144" s="163">
        <v>0</v>
      </c>
      <c r="O144" s="165">
        <f t="shared" si="8"/>
        <v>0</v>
      </c>
      <c r="P144" s="36"/>
      <c r="Q144" s="4"/>
    </row>
    <row r="145" spans="1:17" ht="55.2" x14ac:dyDescent="0.3">
      <c r="A145" s="31">
        <v>35</v>
      </c>
      <c r="B145" s="47"/>
      <c r="C145" s="75" t="s">
        <v>251</v>
      </c>
      <c r="D145" s="31" t="str">
        <f t="shared" si="6"/>
        <v>Do Not Print</v>
      </c>
      <c r="E145" s="1003" t="str">
        <f>E143</f>
        <v>CIES Line 35</v>
      </c>
      <c r="F145" s="213" t="s">
        <v>1966</v>
      </c>
      <c r="G145" s="213" t="s">
        <v>1972</v>
      </c>
      <c r="H145" s="213" t="s">
        <v>1969</v>
      </c>
      <c r="I145" s="1"/>
      <c r="J145" s="163">
        <v>0</v>
      </c>
      <c r="K145" s="163">
        <v>0</v>
      </c>
      <c r="L145" s="165">
        <f t="shared" si="7"/>
        <v>0</v>
      </c>
      <c r="M145" s="163">
        <v>0</v>
      </c>
      <c r="N145" s="163">
        <v>0</v>
      </c>
      <c r="O145" s="165">
        <f t="shared" si="8"/>
        <v>0</v>
      </c>
      <c r="P145" s="36"/>
      <c r="Q145" s="4"/>
    </row>
    <row r="146" spans="1:17" ht="55.2" x14ac:dyDescent="0.3">
      <c r="A146" s="31">
        <v>35</v>
      </c>
      <c r="B146" s="47"/>
      <c r="C146" s="75" t="s">
        <v>251</v>
      </c>
      <c r="D146" s="31" t="str">
        <f t="shared" si="6"/>
        <v>Do Not Print</v>
      </c>
      <c r="E146" s="1003" t="str">
        <f>E143</f>
        <v>CIES Line 35</v>
      </c>
      <c r="F146" s="213" t="s">
        <v>1966</v>
      </c>
      <c r="G146" s="213" t="s">
        <v>1972</v>
      </c>
      <c r="H146" s="213" t="s">
        <v>1970</v>
      </c>
      <c r="I146" s="1"/>
      <c r="J146" s="163">
        <v>0</v>
      </c>
      <c r="K146" s="163">
        <v>0</v>
      </c>
      <c r="L146" s="165">
        <f t="shared" si="7"/>
        <v>0</v>
      </c>
      <c r="M146" s="163">
        <v>0</v>
      </c>
      <c r="N146" s="163">
        <v>0</v>
      </c>
      <c r="O146" s="165">
        <f t="shared" si="8"/>
        <v>0</v>
      </c>
      <c r="P146" s="36"/>
      <c r="Q146" s="4"/>
    </row>
    <row r="147" spans="1:17" ht="55.2" x14ac:dyDescent="0.3">
      <c r="A147" s="31">
        <v>21</v>
      </c>
      <c r="B147" s="47"/>
      <c r="C147" s="75" t="s">
        <v>251</v>
      </c>
      <c r="D147" s="31" t="str">
        <f t="shared" si="3"/>
        <v>Do Not Print</v>
      </c>
      <c r="E147" s="213" t="s">
        <v>1971</v>
      </c>
      <c r="F147" s="213" t="s">
        <v>1966</v>
      </c>
      <c r="G147" s="213" t="s">
        <v>1972</v>
      </c>
      <c r="H147" s="213" t="s">
        <v>1967</v>
      </c>
      <c r="I147" s="1"/>
      <c r="J147" s="163">
        <v>0</v>
      </c>
      <c r="K147" s="163">
        <v>0</v>
      </c>
      <c r="L147" s="165">
        <f t="shared" si="4"/>
        <v>0</v>
      </c>
      <c r="M147" s="163">
        <v>0</v>
      </c>
      <c r="N147" s="163">
        <v>0</v>
      </c>
      <c r="O147" s="165">
        <f t="shared" si="5"/>
        <v>0</v>
      </c>
      <c r="P147" s="36"/>
      <c r="Q147" s="4"/>
    </row>
    <row r="148" spans="1:17" ht="55.2" x14ac:dyDescent="0.3">
      <c r="A148" s="31">
        <v>21</v>
      </c>
      <c r="B148" s="47"/>
      <c r="C148" s="75" t="s">
        <v>251</v>
      </c>
      <c r="D148" s="31" t="str">
        <f t="shared" si="3"/>
        <v>Do Not Print</v>
      </c>
      <c r="E148" s="213" t="str">
        <f>E147</f>
        <v>Other Income and Expenditure from the EFA</v>
      </c>
      <c r="F148" s="213" t="s">
        <v>1966</v>
      </c>
      <c r="G148" s="213" t="s">
        <v>1972</v>
      </c>
      <c r="H148" s="213" t="s">
        <v>1968</v>
      </c>
      <c r="I148" s="1"/>
      <c r="J148" s="163">
        <v>0</v>
      </c>
      <c r="K148" s="163">
        <v>0</v>
      </c>
      <c r="L148" s="165">
        <f t="shared" si="4"/>
        <v>0</v>
      </c>
      <c r="M148" s="163">
        <v>0</v>
      </c>
      <c r="N148" s="163">
        <v>0</v>
      </c>
      <c r="O148" s="165">
        <f>SUM(M148:N148)</f>
        <v>0</v>
      </c>
      <c r="P148" s="36"/>
      <c r="Q148" s="4"/>
    </row>
    <row r="149" spans="1:17" ht="55.2" x14ac:dyDescent="0.3">
      <c r="A149" s="31">
        <v>21</v>
      </c>
      <c r="B149" s="47"/>
      <c r="C149" s="75" t="s">
        <v>251</v>
      </c>
      <c r="D149" s="31" t="str">
        <f t="shared" si="3"/>
        <v>Do Not Print</v>
      </c>
      <c r="E149" s="213" t="str">
        <f>E147</f>
        <v>Other Income and Expenditure from the EFA</v>
      </c>
      <c r="F149" s="213" t="s">
        <v>1966</v>
      </c>
      <c r="G149" s="213" t="s">
        <v>1972</v>
      </c>
      <c r="H149" s="213" t="s">
        <v>1969</v>
      </c>
      <c r="I149" s="1"/>
      <c r="J149" s="163">
        <v>0</v>
      </c>
      <c r="K149" s="163">
        <v>0</v>
      </c>
      <c r="L149" s="165">
        <f t="shared" si="4"/>
        <v>0</v>
      </c>
      <c r="M149" s="163">
        <v>0</v>
      </c>
      <c r="N149" s="163">
        <v>0</v>
      </c>
      <c r="O149" s="165">
        <f t="shared" si="5"/>
        <v>0</v>
      </c>
      <c r="P149" s="36"/>
      <c r="Q149" s="4"/>
    </row>
    <row r="150" spans="1:17" ht="55.2" x14ac:dyDescent="0.3">
      <c r="A150" s="31">
        <v>21</v>
      </c>
      <c r="B150" s="47"/>
      <c r="C150" s="75" t="s">
        <v>251</v>
      </c>
      <c r="D150" s="31" t="str">
        <f t="shared" si="3"/>
        <v>Do Not Print</v>
      </c>
      <c r="E150" s="213" t="str">
        <f>E147</f>
        <v>Other Income and Expenditure from the EFA</v>
      </c>
      <c r="F150" s="213" t="s">
        <v>1966</v>
      </c>
      <c r="G150" s="213" t="s">
        <v>1972</v>
      </c>
      <c r="H150" s="213" t="s">
        <v>1970</v>
      </c>
      <c r="I150" s="1"/>
      <c r="J150" s="163">
        <v>0</v>
      </c>
      <c r="K150" s="163">
        <v>0</v>
      </c>
      <c r="L150" s="165">
        <f t="shared" si="4"/>
        <v>0</v>
      </c>
      <c r="M150" s="163">
        <v>0</v>
      </c>
      <c r="N150" s="163">
        <v>0</v>
      </c>
      <c r="O150" s="165">
        <f t="shared" si="5"/>
        <v>0</v>
      </c>
      <c r="P150" s="36"/>
      <c r="Q150" s="4"/>
    </row>
    <row r="151" spans="1:17" ht="41.4" x14ac:dyDescent="0.3">
      <c r="A151" s="31">
        <v>1</v>
      </c>
      <c r="B151" s="47"/>
      <c r="C151" s="75" t="s">
        <v>1984</v>
      </c>
      <c r="D151" s="31" t="str">
        <f t="shared" si="3"/>
        <v>Do Not Print</v>
      </c>
      <c r="E151" s="1003" t="str">
        <f>E7</f>
        <v>CIES Line 1</v>
      </c>
      <c r="F151" s="213" t="s">
        <v>1966</v>
      </c>
      <c r="G151" s="213" t="s">
        <v>1973</v>
      </c>
      <c r="H151" s="213" t="s">
        <v>1974</v>
      </c>
      <c r="J151" s="163">
        <v>0</v>
      </c>
      <c r="K151" s="163">
        <v>0</v>
      </c>
      <c r="L151" s="165">
        <f t="shared" si="4"/>
        <v>0</v>
      </c>
      <c r="M151" s="163">
        <v>0</v>
      </c>
      <c r="N151" s="163">
        <v>0</v>
      </c>
      <c r="O151" s="165">
        <f t="shared" si="5"/>
        <v>0</v>
      </c>
      <c r="P151" s="36"/>
      <c r="Q151" s="4"/>
    </row>
    <row r="152" spans="1:17" ht="69" x14ac:dyDescent="0.3">
      <c r="A152" s="31">
        <v>1</v>
      </c>
      <c r="B152" s="47"/>
      <c r="C152" s="75" t="s">
        <v>1984</v>
      </c>
      <c r="D152" s="31" t="str">
        <f t="shared" si="3"/>
        <v>Do Not Print</v>
      </c>
      <c r="E152" s="1003" t="str">
        <f>E7</f>
        <v>CIES Line 1</v>
      </c>
      <c r="F152" s="213" t="s">
        <v>1966</v>
      </c>
      <c r="G152" s="213" t="s">
        <v>1973</v>
      </c>
      <c r="H152" s="213" t="s">
        <v>1975</v>
      </c>
      <c r="J152" s="163">
        <v>0</v>
      </c>
      <c r="K152" s="163">
        <v>0</v>
      </c>
      <c r="L152" s="165">
        <f t="shared" si="4"/>
        <v>0</v>
      </c>
      <c r="M152" s="163">
        <v>0</v>
      </c>
      <c r="N152" s="163">
        <v>0</v>
      </c>
      <c r="O152" s="165">
        <f t="shared" si="5"/>
        <v>0</v>
      </c>
      <c r="P152" s="36"/>
      <c r="Q152" s="4"/>
    </row>
    <row r="153" spans="1:17" ht="41.4" x14ac:dyDescent="0.3">
      <c r="A153" s="31">
        <v>1</v>
      </c>
      <c r="B153" s="47"/>
      <c r="C153" s="75" t="s">
        <v>1984</v>
      </c>
      <c r="D153" s="31" t="str">
        <f t="shared" si="3"/>
        <v>Do Not Print</v>
      </c>
      <c r="E153" s="1003" t="str">
        <f>E7</f>
        <v>CIES Line 1</v>
      </c>
      <c r="F153" s="213" t="s">
        <v>1966</v>
      </c>
      <c r="G153" s="213" t="s">
        <v>1973</v>
      </c>
      <c r="H153" s="213" t="s">
        <v>1976</v>
      </c>
      <c r="J153" s="163">
        <v>0</v>
      </c>
      <c r="K153" s="163">
        <v>0</v>
      </c>
      <c r="L153" s="165">
        <f t="shared" si="4"/>
        <v>0</v>
      </c>
      <c r="M153" s="163">
        <v>0</v>
      </c>
      <c r="N153" s="163">
        <v>0</v>
      </c>
      <c r="O153" s="165">
        <f t="shared" si="5"/>
        <v>0</v>
      </c>
      <c r="P153" s="36"/>
      <c r="Q153" s="4"/>
    </row>
    <row r="154" spans="1:17" ht="41.4" x14ac:dyDescent="0.3">
      <c r="A154" s="31">
        <v>1</v>
      </c>
      <c r="B154" s="47"/>
      <c r="C154" s="75" t="s">
        <v>1984</v>
      </c>
      <c r="D154" s="31" t="str">
        <f t="shared" si="3"/>
        <v>Do Not Print</v>
      </c>
      <c r="E154" s="1003" t="str">
        <f>E7</f>
        <v>CIES Line 1</v>
      </c>
      <c r="F154" s="213" t="s">
        <v>1966</v>
      </c>
      <c r="G154" s="213" t="s">
        <v>1973</v>
      </c>
      <c r="H154" s="213" t="s">
        <v>1977</v>
      </c>
      <c r="J154" s="163">
        <v>0</v>
      </c>
      <c r="K154" s="163">
        <v>0</v>
      </c>
      <c r="L154" s="165">
        <f t="shared" si="4"/>
        <v>0</v>
      </c>
      <c r="M154" s="163">
        <v>0</v>
      </c>
      <c r="N154" s="163">
        <v>0</v>
      </c>
      <c r="O154" s="165">
        <f t="shared" si="5"/>
        <v>0</v>
      </c>
      <c r="P154" s="36"/>
      <c r="Q154" s="4"/>
    </row>
    <row r="155" spans="1:17" ht="41.4" x14ac:dyDescent="0.3">
      <c r="A155" s="31">
        <v>1</v>
      </c>
      <c r="B155" s="47"/>
      <c r="C155" s="75" t="s">
        <v>1984</v>
      </c>
      <c r="D155" s="31" t="str">
        <f t="shared" si="3"/>
        <v>Do Not Print</v>
      </c>
      <c r="E155" s="1003" t="str">
        <f>E7</f>
        <v>CIES Line 1</v>
      </c>
      <c r="F155" s="213" t="s">
        <v>1966</v>
      </c>
      <c r="G155" s="213" t="s">
        <v>1973</v>
      </c>
      <c r="H155" s="213" t="s">
        <v>1978</v>
      </c>
      <c r="J155" s="163">
        <v>0</v>
      </c>
      <c r="K155" s="163">
        <v>0</v>
      </c>
      <c r="L155" s="165">
        <f t="shared" si="4"/>
        <v>0</v>
      </c>
      <c r="M155" s="163">
        <v>0</v>
      </c>
      <c r="N155" s="163">
        <v>0</v>
      </c>
      <c r="O155" s="165">
        <f t="shared" si="5"/>
        <v>0</v>
      </c>
      <c r="P155" s="36"/>
      <c r="Q155" s="4"/>
    </row>
    <row r="156" spans="1:17" ht="41.4" x14ac:dyDescent="0.3">
      <c r="A156" s="31">
        <v>1</v>
      </c>
      <c r="B156" s="47"/>
      <c r="C156" s="75" t="s">
        <v>1984</v>
      </c>
      <c r="D156" s="31" t="str">
        <f t="shared" si="3"/>
        <v>Do Not Print</v>
      </c>
      <c r="E156" s="1003" t="str">
        <f>E7</f>
        <v>CIES Line 1</v>
      </c>
      <c r="F156" s="213" t="s">
        <v>1966</v>
      </c>
      <c r="G156" s="213" t="s">
        <v>1973</v>
      </c>
      <c r="H156" s="213" t="s">
        <v>1979</v>
      </c>
      <c r="J156" s="163">
        <v>0</v>
      </c>
      <c r="K156" s="163">
        <v>0</v>
      </c>
      <c r="L156" s="165">
        <f t="shared" si="4"/>
        <v>0</v>
      </c>
      <c r="M156" s="163">
        <v>0</v>
      </c>
      <c r="N156" s="163">
        <v>0</v>
      </c>
      <c r="O156" s="165">
        <f t="shared" si="5"/>
        <v>0</v>
      </c>
      <c r="P156" s="36"/>
      <c r="Q156" s="4"/>
    </row>
    <row r="157" spans="1:17" ht="69" x14ac:dyDescent="0.3">
      <c r="A157" s="31">
        <v>1</v>
      </c>
      <c r="B157" s="47"/>
      <c r="C157" s="75" t="s">
        <v>1984</v>
      </c>
      <c r="D157" s="31" t="str">
        <f t="shared" si="3"/>
        <v>Do Not Print</v>
      </c>
      <c r="E157" s="1003" t="str">
        <f>E7</f>
        <v>CIES Line 1</v>
      </c>
      <c r="F157" s="213" t="s">
        <v>1966</v>
      </c>
      <c r="G157" s="213" t="s">
        <v>1973</v>
      </c>
      <c r="H157" s="213" t="s">
        <v>1980</v>
      </c>
      <c r="J157" s="163">
        <v>0</v>
      </c>
      <c r="K157" s="163">
        <v>0</v>
      </c>
      <c r="L157" s="165">
        <f t="shared" si="4"/>
        <v>0</v>
      </c>
      <c r="M157" s="163">
        <v>0</v>
      </c>
      <c r="N157" s="163">
        <v>0</v>
      </c>
      <c r="O157" s="165">
        <f t="shared" si="5"/>
        <v>0</v>
      </c>
      <c r="P157" s="36"/>
      <c r="Q157" s="4"/>
    </row>
    <row r="158" spans="1:17" ht="41.4" x14ac:dyDescent="0.3">
      <c r="A158" s="31">
        <v>1</v>
      </c>
      <c r="B158" s="47"/>
      <c r="C158" s="75" t="s">
        <v>1984</v>
      </c>
      <c r="D158" s="31" t="str">
        <f t="shared" si="3"/>
        <v>Do Not Print</v>
      </c>
      <c r="E158" s="1003" t="str">
        <f>E7</f>
        <v>CIES Line 1</v>
      </c>
      <c r="F158" s="213" t="s">
        <v>1966</v>
      </c>
      <c r="G158" s="213" t="s">
        <v>1973</v>
      </c>
      <c r="H158" s="213" t="s">
        <v>1981</v>
      </c>
      <c r="J158" s="163">
        <v>0</v>
      </c>
      <c r="K158" s="163">
        <v>0</v>
      </c>
      <c r="L158" s="165">
        <f t="shared" si="4"/>
        <v>0</v>
      </c>
      <c r="M158" s="163">
        <v>0</v>
      </c>
      <c r="N158" s="163">
        <v>0</v>
      </c>
      <c r="O158" s="165">
        <f t="shared" si="5"/>
        <v>0</v>
      </c>
      <c r="P158" s="36"/>
      <c r="Q158" s="4"/>
    </row>
    <row r="159" spans="1:17" ht="55.2" x14ac:dyDescent="0.3">
      <c r="A159" s="31">
        <v>1</v>
      </c>
      <c r="B159" s="47"/>
      <c r="C159" s="75" t="s">
        <v>1984</v>
      </c>
      <c r="D159" s="31" t="str">
        <f t="shared" si="3"/>
        <v>Do Not Print</v>
      </c>
      <c r="E159" s="1003" t="str">
        <f>E7</f>
        <v>CIES Line 1</v>
      </c>
      <c r="F159" s="213" t="s">
        <v>1966</v>
      </c>
      <c r="G159" s="213" t="s">
        <v>1973</v>
      </c>
      <c r="H159" s="213" t="s">
        <v>1982</v>
      </c>
      <c r="J159" s="163">
        <v>0</v>
      </c>
      <c r="K159" s="163">
        <v>0</v>
      </c>
      <c r="L159" s="165">
        <f t="shared" si="4"/>
        <v>0</v>
      </c>
      <c r="M159" s="163">
        <v>0</v>
      </c>
      <c r="N159" s="163">
        <v>0</v>
      </c>
      <c r="O159" s="165">
        <f t="shared" si="5"/>
        <v>0</v>
      </c>
      <c r="P159" s="36"/>
      <c r="Q159" s="4"/>
    </row>
    <row r="160" spans="1:17" ht="41.4" x14ac:dyDescent="0.3">
      <c r="A160" s="31">
        <v>2</v>
      </c>
      <c r="B160" s="47"/>
      <c r="C160" s="75" t="s">
        <v>1984</v>
      </c>
      <c r="D160" s="31" t="str">
        <f t="shared" si="3"/>
        <v>Do Not Print</v>
      </c>
      <c r="E160" s="1003" t="str">
        <f>E11</f>
        <v>CIES Line 2</v>
      </c>
      <c r="F160" s="213" t="s">
        <v>1966</v>
      </c>
      <c r="G160" s="213" t="s">
        <v>1973</v>
      </c>
      <c r="H160" s="213" t="s">
        <v>1974</v>
      </c>
      <c r="J160" s="163">
        <v>0</v>
      </c>
      <c r="K160" s="163">
        <v>0</v>
      </c>
      <c r="L160" s="165">
        <f t="shared" si="4"/>
        <v>0</v>
      </c>
      <c r="M160" s="163">
        <v>0</v>
      </c>
      <c r="N160" s="163">
        <v>0</v>
      </c>
      <c r="O160" s="165">
        <f t="shared" si="5"/>
        <v>0</v>
      </c>
      <c r="P160" s="36"/>
      <c r="Q160" s="4"/>
    </row>
    <row r="161" spans="1:17" ht="69" x14ac:dyDescent="0.3">
      <c r="A161" s="31">
        <v>2</v>
      </c>
      <c r="B161" s="47"/>
      <c r="C161" s="75" t="s">
        <v>1984</v>
      </c>
      <c r="D161" s="31" t="str">
        <f t="shared" si="3"/>
        <v>Do Not Print</v>
      </c>
      <c r="E161" s="1003" t="str">
        <f>E11</f>
        <v>CIES Line 2</v>
      </c>
      <c r="F161" s="213" t="s">
        <v>1966</v>
      </c>
      <c r="G161" s="213" t="s">
        <v>1973</v>
      </c>
      <c r="H161" s="213" t="s">
        <v>1975</v>
      </c>
      <c r="J161" s="163">
        <v>0</v>
      </c>
      <c r="K161" s="163">
        <v>0</v>
      </c>
      <c r="L161" s="165">
        <f t="shared" si="4"/>
        <v>0</v>
      </c>
      <c r="M161" s="163">
        <v>0</v>
      </c>
      <c r="N161" s="163">
        <v>0</v>
      </c>
      <c r="O161" s="165">
        <f t="shared" si="5"/>
        <v>0</v>
      </c>
      <c r="P161" s="36"/>
      <c r="Q161" s="4"/>
    </row>
    <row r="162" spans="1:17" ht="41.4" x14ac:dyDescent="0.3">
      <c r="A162" s="31">
        <v>2</v>
      </c>
      <c r="B162" s="47"/>
      <c r="C162" s="75" t="s">
        <v>1984</v>
      </c>
      <c r="D162" s="31" t="str">
        <f t="shared" si="3"/>
        <v>Do Not Print</v>
      </c>
      <c r="E162" s="1003" t="str">
        <f>E11</f>
        <v>CIES Line 2</v>
      </c>
      <c r="F162" s="213" t="s">
        <v>1966</v>
      </c>
      <c r="G162" s="213" t="s">
        <v>1973</v>
      </c>
      <c r="H162" s="213" t="s">
        <v>1976</v>
      </c>
      <c r="J162" s="163">
        <v>0</v>
      </c>
      <c r="K162" s="163">
        <v>0</v>
      </c>
      <c r="L162" s="165">
        <f t="shared" si="4"/>
        <v>0</v>
      </c>
      <c r="M162" s="163">
        <v>0</v>
      </c>
      <c r="N162" s="163">
        <v>0</v>
      </c>
      <c r="O162" s="165">
        <f t="shared" si="5"/>
        <v>0</v>
      </c>
      <c r="P162" s="36"/>
      <c r="Q162" s="4"/>
    </row>
    <row r="163" spans="1:17" ht="41.4" x14ac:dyDescent="0.3">
      <c r="A163" s="31">
        <v>2</v>
      </c>
      <c r="B163" s="47"/>
      <c r="C163" s="75" t="s">
        <v>1984</v>
      </c>
      <c r="D163" s="31" t="str">
        <f t="shared" si="3"/>
        <v>Do Not Print</v>
      </c>
      <c r="E163" s="1003" t="str">
        <f>E11</f>
        <v>CIES Line 2</v>
      </c>
      <c r="F163" s="213" t="s">
        <v>1966</v>
      </c>
      <c r="G163" s="213" t="s">
        <v>1973</v>
      </c>
      <c r="H163" s="213" t="s">
        <v>1977</v>
      </c>
      <c r="J163" s="163">
        <v>0</v>
      </c>
      <c r="K163" s="163">
        <v>0</v>
      </c>
      <c r="L163" s="165">
        <f t="shared" si="4"/>
        <v>0</v>
      </c>
      <c r="M163" s="163">
        <v>0</v>
      </c>
      <c r="N163" s="163">
        <v>0</v>
      </c>
      <c r="O163" s="165">
        <f t="shared" si="5"/>
        <v>0</v>
      </c>
      <c r="P163" s="36"/>
      <c r="Q163" s="4"/>
    </row>
    <row r="164" spans="1:17" ht="41.4" x14ac:dyDescent="0.3">
      <c r="A164" s="31">
        <v>2</v>
      </c>
      <c r="B164" s="47"/>
      <c r="C164" s="75" t="s">
        <v>1984</v>
      </c>
      <c r="D164" s="31" t="str">
        <f t="shared" si="3"/>
        <v>Do Not Print</v>
      </c>
      <c r="E164" s="1003" t="str">
        <f>E11</f>
        <v>CIES Line 2</v>
      </c>
      <c r="F164" s="213" t="s">
        <v>1966</v>
      </c>
      <c r="G164" s="213" t="s">
        <v>1973</v>
      </c>
      <c r="H164" s="213" t="s">
        <v>1978</v>
      </c>
      <c r="J164" s="163">
        <v>0</v>
      </c>
      <c r="K164" s="163">
        <v>0</v>
      </c>
      <c r="L164" s="165">
        <f t="shared" si="4"/>
        <v>0</v>
      </c>
      <c r="M164" s="163">
        <v>0</v>
      </c>
      <c r="N164" s="163">
        <v>0</v>
      </c>
      <c r="O164" s="165">
        <f t="shared" si="5"/>
        <v>0</v>
      </c>
      <c r="P164" s="36"/>
      <c r="Q164" s="4"/>
    </row>
    <row r="165" spans="1:17" ht="41.4" x14ac:dyDescent="0.3">
      <c r="A165" s="31">
        <v>2</v>
      </c>
      <c r="B165" s="47"/>
      <c r="C165" s="75" t="s">
        <v>1984</v>
      </c>
      <c r="D165" s="31" t="str">
        <f t="shared" si="3"/>
        <v>Do Not Print</v>
      </c>
      <c r="E165" s="1003" t="str">
        <f>E11</f>
        <v>CIES Line 2</v>
      </c>
      <c r="F165" s="213" t="s">
        <v>1966</v>
      </c>
      <c r="G165" s="213" t="s">
        <v>1973</v>
      </c>
      <c r="H165" s="213" t="s">
        <v>1979</v>
      </c>
      <c r="J165" s="163">
        <v>0</v>
      </c>
      <c r="K165" s="163">
        <v>0</v>
      </c>
      <c r="L165" s="165">
        <f t="shared" si="4"/>
        <v>0</v>
      </c>
      <c r="M165" s="163">
        <v>0</v>
      </c>
      <c r="N165" s="163">
        <v>0</v>
      </c>
      <c r="O165" s="165">
        <f t="shared" si="5"/>
        <v>0</v>
      </c>
      <c r="P165" s="36"/>
      <c r="Q165" s="4"/>
    </row>
    <row r="166" spans="1:17" ht="69" x14ac:dyDescent="0.3">
      <c r="A166" s="31">
        <v>2</v>
      </c>
      <c r="B166" s="47"/>
      <c r="C166" s="75" t="s">
        <v>1984</v>
      </c>
      <c r="D166" s="31" t="str">
        <f t="shared" si="3"/>
        <v>Do Not Print</v>
      </c>
      <c r="E166" s="1003" t="str">
        <f>E11</f>
        <v>CIES Line 2</v>
      </c>
      <c r="F166" s="213" t="s">
        <v>1966</v>
      </c>
      <c r="G166" s="213" t="s">
        <v>1973</v>
      </c>
      <c r="H166" s="213" t="s">
        <v>1980</v>
      </c>
      <c r="J166" s="163">
        <v>0</v>
      </c>
      <c r="K166" s="163">
        <v>0</v>
      </c>
      <c r="L166" s="165">
        <f t="shared" si="4"/>
        <v>0</v>
      </c>
      <c r="M166" s="163">
        <v>0</v>
      </c>
      <c r="N166" s="163">
        <v>0</v>
      </c>
      <c r="O166" s="165">
        <f t="shared" si="5"/>
        <v>0</v>
      </c>
      <c r="P166" s="36"/>
      <c r="Q166" s="4"/>
    </row>
    <row r="167" spans="1:17" ht="41.4" x14ac:dyDescent="0.3">
      <c r="A167" s="31">
        <v>2</v>
      </c>
      <c r="B167" s="47"/>
      <c r="C167" s="75" t="s">
        <v>1984</v>
      </c>
      <c r="D167" s="31" t="str">
        <f t="shared" si="3"/>
        <v>Do Not Print</v>
      </c>
      <c r="E167" s="1003" t="str">
        <f>E11</f>
        <v>CIES Line 2</v>
      </c>
      <c r="F167" s="213" t="s">
        <v>1966</v>
      </c>
      <c r="G167" s="213" t="s">
        <v>1973</v>
      </c>
      <c r="H167" s="213" t="s">
        <v>1981</v>
      </c>
      <c r="J167" s="163">
        <v>0</v>
      </c>
      <c r="K167" s="163">
        <v>0</v>
      </c>
      <c r="L167" s="165">
        <f t="shared" si="4"/>
        <v>0</v>
      </c>
      <c r="M167" s="163">
        <v>0</v>
      </c>
      <c r="N167" s="163">
        <v>0</v>
      </c>
      <c r="O167" s="165">
        <f t="shared" si="5"/>
        <v>0</v>
      </c>
      <c r="P167" s="36"/>
      <c r="Q167" s="4"/>
    </row>
    <row r="168" spans="1:17" ht="55.2" x14ac:dyDescent="0.3">
      <c r="A168" s="31">
        <v>2</v>
      </c>
      <c r="B168" s="47"/>
      <c r="C168" s="75" t="s">
        <v>1984</v>
      </c>
      <c r="D168" s="31" t="str">
        <f t="shared" si="3"/>
        <v>Do Not Print</v>
      </c>
      <c r="E168" s="1003" t="str">
        <f>E11</f>
        <v>CIES Line 2</v>
      </c>
      <c r="F168" s="213" t="s">
        <v>1966</v>
      </c>
      <c r="G168" s="213" t="s">
        <v>1973</v>
      </c>
      <c r="H168" s="213" t="s">
        <v>1982</v>
      </c>
      <c r="J168" s="163">
        <v>0</v>
      </c>
      <c r="K168" s="163">
        <v>0</v>
      </c>
      <c r="L168" s="165">
        <f t="shared" si="4"/>
        <v>0</v>
      </c>
      <c r="M168" s="163">
        <v>0</v>
      </c>
      <c r="N168" s="163">
        <v>0</v>
      </c>
      <c r="O168" s="165">
        <f t="shared" si="5"/>
        <v>0</v>
      </c>
      <c r="P168" s="36"/>
      <c r="Q168" s="4"/>
    </row>
    <row r="169" spans="1:17" ht="41.4" x14ac:dyDescent="0.3">
      <c r="A169" s="31">
        <v>3</v>
      </c>
      <c r="B169" s="47"/>
      <c r="C169" s="75" t="s">
        <v>1984</v>
      </c>
      <c r="D169" s="31" t="str">
        <f t="shared" si="3"/>
        <v>Do Not Print</v>
      </c>
      <c r="E169" s="1003" t="str">
        <f>E15</f>
        <v>CIES Line 3</v>
      </c>
      <c r="F169" s="213" t="s">
        <v>1966</v>
      </c>
      <c r="G169" s="213" t="s">
        <v>1973</v>
      </c>
      <c r="H169" s="213" t="s">
        <v>1974</v>
      </c>
      <c r="J169" s="163">
        <v>0</v>
      </c>
      <c r="K169" s="163">
        <v>0</v>
      </c>
      <c r="L169" s="165">
        <f t="shared" si="4"/>
        <v>0</v>
      </c>
      <c r="M169" s="163">
        <v>0</v>
      </c>
      <c r="N169" s="163">
        <v>0</v>
      </c>
      <c r="O169" s="165">
        <f t="shared" si="5"/>
        <v>0</v>
      </c>
      <c r="P169" s="36"/>
      <c r="Q169" s="4"/>
    </row>
    <row r="170" spans="1:17" ht="69" x14ac:dyDescent="0.3">
      <c r="A170" s="31">
        <v>3</v>
      </c>
      <c r="B170" s="47"/>
      <c r="C170" s="75" t="s">
        <v>1984</v>
      </c>
      <c r="D170" s="31" t="str">
        <f t="shared" si="3"/>
        <v>Do Not Print</v>
      </c>
      <c r="E170" s="1003" t="str">
        <f>E15</f>
        <v>CIES Line 3</v>
      </c>
      <c r="F170" s="213" t="s">
        <v>1966</v>
      </c>
      <c r="G170" s="213" t="s">
        <v>1973</v>
      </c>
      <c r="H170" s="213" t="s">
        <v>1975</v>
      </c>
      <c r="J170" s="163">
        <v>0</v>
      </c>
      <c r="K170" s="163">
        <v>0</v>
      </c>
      <c r="L170" s="165">
        <f t="shared" si="4"/>
        <v>0</v>
      </c>
      <c r="M170" s="163">
        <v>0</v>
      </c>
      <c r="N170" s="163">
        <v>0</v>
      </c>
      <c r="O170" s="165">
        <f t="shared" si="5"/>
        <v>0</v>
      </c>
      <c r="P170" s="36"/>
      <c r="Q170" s="4"/>
    </row>
    <row r="171" spans="1:17" ht="41.4" x14ac:dyDescent="0.3">
      <c r="A171" s="31">
        <v>3</v>
      </c>
      <c r="B171" s="47"/>
      <c r="C171" s="75" t="s">
        <v>1984</v>
      </c>
      <c r="D171" s="31" t="str">
        <f t="shared" si="3"/>
        <v>Do Not Print</v>
      </c>
      <c r="E171" s="1003" t="str">
        <f>E15</f>
        <v>CIES Line 3</v>
      </c>
      <c r="F171" s="213" t="s">
        <v>1966</v>
      </c>
      <c r="G171" s="213" t="s">
        <v>1973</v>
      </c>
      <c r="H171" s="213" t="s">
        <v>1976</v>
      </c>
      <c r="J171" s="163">
        <v>0</v>
      </c>
      <c r="K171" s="163">
        <v>0</v>
      </c>
      <c r="L171" s="165">
        <f t="shared" si="4"/>
        <v>0</v>
      </c>
      <c r="M171" s="163">
        <v>0</v>
      </c>
      <c r="N171" s="163">
        <v>0</v>
      </c>
      <c r="O171" s="165">
        <f t="shared" si="5"/>
        <v>0</v>
      </c>
      <c r="P171" s="36"/>
      <c r="Q171" s="4"/>
    </row>
    <row r="172" spans="1:17" ht="41.4" x14ac:dyDescent="0.3">
      <c r="A172" s="31">
        <v>3</v>
      </c>
      <c r="B172" s="47"/>
      <c r="C172" s="75" t="s">
        <v>1984</v>
      </c>
      <c r="D172" s="31" t="str">
        <f t="shared" si="3"/>
        <v>Do Not Print</v>
      </c>
      <c r="E172" s="1003" t="str">
        <f>E15</f>
        <v>CIES Line 3</v>
      </c>
      <c r="F172" s="213" t="s">
        <v>1966</v>
      </c>
      <c r="G172" s="213" t="s">
        <v>1973</v>
      </c>
      <c r="H172" s="213" t="s">
        <v>1977</v>
      </c>
      <c r="J172" s="163">
        <v>0</v>
      </c>
      <c r="K172" s="163">
        <v>0</v>
      </c>
      <c r="L172" s="165">
        <f t="shared" si="4"/>
        <v>0</v>
      </c>
      <c r="M172" s="163">
        <v>0</v>
      </c>
      <c r="N172" s="163">
        <v>0</v>
      </c>
      <c r="O172" s="165">
        <f t="shared" si="5"/>
        <v>0</v>
      </c>
      <c r="P172" s="36"/>
      <c r="Q172" s="4"/>
    </row>
    <row r="173" spans="1:17" ht="41.4" x14ac:dyDescent="0.3">
      <c r="A173" s="31">
        <v>3</v>
      </c>
      <c r="B173" s="47"/>
      <c r="C173" s="75" t="s">
        <v>1984</v>
      </c>
      <c r="D173" s="31" t="str">
        <f t="shared" si="3"/>
        <v>Do Not Print</v>
      </c>
      <c r="E173" s="1003" t="str">
        <f>E15</f>
        <v>CIES Line 3</v>
      </c>
      <c r="F173" s="213" t="s">
        <v>1966</v>
      </c>
      <c r="G173" s="213" t="s">
        <v>1973</v>
      </c>
      <c r="H173" s="213" t="s">
        <v>1978</v>
      </c>
      <c r="J173" s="163">
        <v>0</v>
      </c>
      <c r="K173" s="163">
        <v>0</v>
      </c>
      <c r="L173" s="165">
        <f t="shared" si="4"/>
        <v>0</v>
      </c>
      <c r="M173" s="163">
        <v>0</v>
      </c>
      <c r="N173" s="163">
        <v>0</v>
      </c>
      <c r="O173" s="165">
        <f t="shared" si="5"/>
        <v>0</v>
      </c>
      <c r="P173" s="36"/>
      <c r="Q173" s="4"/>
    </row>
    <row r="174" spans="1:17" ht="41.4" x14ac:dyDescent="0.3">
      <c r="A174" s="31">
        <v>3</v>
      </c>
      <c r="B174" s="47"/>
      <c r="C174" s="75" t="s">
        <v>1984</v>
      </c>
      <c r="D174" s="31" t="str">
        <f t="shared" si="3"/>
        <v>Do Not Print</v>
      </c>
      <c r="E174" s="1003" t="str">
        <f>E15</f>
        <v>CIES Line 3</v>
      </c>
      <c r="F174" s="213" t="s">
        <v>1966</v>
      </c>
      <c r="G174" s="213" t="s">
        <v>1973</v>
      </c>
      <c r="H174" s="213" t="s">
        <v>1979</v>
      </c>
      <c r="J174" s="163">
        <v>0</v>
      </c>
      <c r="K174" s="163">
        <v>0</v>
      </c>
      <c r="L174" s="165">
        <f t="shared" si="4"/>
        <v>0</v>
      </c>
      <c r="M174" s="163">
        <v>0</v>
      </c>
      <c r="N174" s="163">
        <v>0</v>
      </c>
      <c r="O174" s="165">
        <f t="shared" si="5"/>
        <v>0</v>
      </c>
      <c r="P174" s="36"/>
      <c r="Q174" s="4"/>
    </row>
    <row r="175" spans="1:17" ht="69" x14ac:dyDescent="0.3">
      <c r="A175" s="31">
        <v>3</v>
      </c>
      <c r="B175" s="47"/>
      <c r="C175" s="75" t="s">
        <v>1984</v>
      </c>
      <c r="D175" s="31" t="str">
        <f t="shared" si="3"/>
        <v>Do Not Print</v>
      </c>
      <c r="E175" s="1003" t="str">
        <f>E15</f>
        <v>CIES Line 3</v>
      </c>
      <c r="F175" s="213" t="s">
        <v>1966</v>
      </c>
      <c r="G175" s="213" t="s">
        <v>1973</v>
      </c>
      <c r="H175" s="213" t="s">
        <v>1980</v>
      </c>
      <c r="J175" s="163">
        <v>0</v>
      </c>
      <c r="K175" s="163">
        <v>0</v>
      </c>
      <c r="L175" s="165">
        <f t="shared" si="4"/>
        <v>0</v>
      </c>
      <c r="M175" s="163">
        <v>0</v>
      </c>
      <c r="N175" s="163">
        <v>0</v>
      </c>
      <c r="O175" s="165">
        <f t="shared" si="5"/>
        <v>0</v>
      </c>
      <c r="P175" s="36"/>
      <c r="Q175" s="4"/>
    </row>
    <row r="176" spans="1:17" ht="41.4" x14ac:dyDescent="0.3">
      <c r="A176" s="31">
        <v>3</v>
      </c>
      <c r="B176" s="47"/>
      <c r="C176" s="75" t="s">
        <v>1984</v>
      </c>
      <c r="D176" s="31" t="str">
        <f t="shared" si="3"/>
        <v>Do Not Print</v>
      </c>
      <c r="E176" s="1003" t="str">
        <f>E15</f>
        <v>CIES Line 3</v>
      </c>
      <c r="F176" s="213" t="s">
        <v>1966</v>
      </c>
      <c r="G176" s="213" t="s">
        <v>1973</v>
      </c>
      <c r="H176" s="213" t="s">
        <v>1981</v>
      </c>
      <c r="J176" s="163">
        <v>0</v>
      </c>
      <c r="K176" s="163">
        <v>0</v>
      </c>
      <c r="L176" s="165">
        <f t="shared" si="4"/>
        <v>0</v>
      </c>
      <c r="M176" s="163">
        <v>0</v>
      </c>
      <c r="N176" s="163">
        <v>0</v>
      </c>
      <c r="O176" s="165">
        <f t="shared" si="5"/>
        <v>0</v>
      </c>
      <c r="P176" s="36"/>
      <c r="Q176" s="4"/>
    </row>
    <row r="177" spans="1:17" ht="55.2" x14ac:dyDescent="0.3">
      <c r="A177" s="31">
        <v>3</v>
      </c>
      <c r="B177" s="47"/>
      <c r="C177" s="75" t="s">
        <v>1984</v>
      </c>
      <c r="D177" s="31" t="str">
        <f t="shared" si="3"/>
        <v>Do Not Print</v>
      </c>
      <c r="E177" s="1003" t="str">
        <f>E15</f>
        <v>CIES Line 3</v>
      </c>
      <c r="F177" s="213" t="s">
        <v>1966</v>
      </c>
      <c r="G177" s="213" t="s">
        <v>1973</v>
      </c>
      <c r="H177" s="213" t="s">
        <v>1982</v>
      </c>
      <c r="J177" s="163">
        <v>0</v>
      </c>
      <c r="K177" s="163">
        <v>0</v>
      </c>
      <c r="L177" s="165">
        <f t="shared" si="4"/>
        <v>0</v>
      </c>
      <c r="M177" s="163">
        <v>0</v>
      </c>
      <c r="N177" s="163">
        <v>0</v>
      </c>
      <c r="O177" s="165">
        <f t="shared" si="5"/>
        <v>0</v>
      </c>
      <c r="P177" s="36"/>
      <c r="Q177" s="4"/>
    </row>
    <row r="178" spans="1:17" ht="41.4" x14ac:dyDescent="0.3">
      <c r="A178" s="31">
        <v>4</v>
      </c>
      <c r="B178" s="47"/>
      <c r="C178" s="75" t="s">
        <v>1984</v>
      </c>
      <c r="D178" s="31" t="str">
        <f t="shared" si="3"/>
        <v>Do Not Print</v>
      </c>
      <c r="E178" s="1003" t="str">
        <f>E19</f>
        <v>CIES Line 4</v>
      </c>
      <c r="F178" s="213" t="s">
        <v>1966</v>
      </c>
      <c r="G178" s="213" t="s">
        <v>1973</v>
      </c>
      <c r="H178" s="213" t="s">
        <v>1974</v>
      </c>
      <c r="J178" s="163">
        <v>0</v>
      </c>
      <c r="K178" s="163">
        <v>0</v>
      </c>
      <c r="L178" s="165">
        <f t="shared" si="4"/>
        <v>0</v>
      </c>
      <c r="M178" s="163">
        <v>0</v>
      </c>
      <c r="N178" s="163">
        <v>0</v>
      </c>
      <c r="O178" s="165">
        <f t="shared" si="5"/>
        <v>0</v>
      </c>
      <c r="Q178" s="4"/>
    </row>
    <row r="179" spans="1:17" ht="69" x14ac:dyDescent="0.3">
      <c r="A179" s="31">
        <v>4</v>
      </c>
      <c r="B179" s="47"/>
      <c r="C179" s="75" t="s">
        <v>1984</v>
      </c>
      <c r="D179" s="31" t="str">
        <f t="shared" si="3"/>
        <v>Do Not Print</v>
      </c>
      <c r="E179" s="1003" t="str">
        <f>E19</f>
        <v>CIES Line 4</v>
      </c>
      <c r="F179" s="213" t="s">
        <v>1966</v>
      </c>
      <c r="G179" s="213" t="s">
        <v>1973</v>
      </c>
      <c r="H179" s="213" t="s">
        <v>1975</v>
      </c>
      <c r="J179" s="163">
        <v>0</v>
      </c>
      <c r="K179" s="163">
        <v>0</v>
      </c>
      <c r="L179" s="165">
        <f t="shared" si="4"/>
        <v>0</v>
      </c>
      <c r="M179" s="163">
        <v>0</v>
      </c>
      <c r="N179" s="163">
        <v>0</v>
      </c>
      <c r="O179" s="165">
        <f t="shared" si="5"/>
        <v>0</v>
      </c>
      <c r="Q179" s="4"/>
    </row>
    <row r="180" spans="1:17" ht="41.4" x14ac:dyDescent="0.3">
      <c r="A180" s="31">
        <v>4</v>
      </c>
      <c r="B180" s="47"/>
      <c r="C180" s="75" t="s">
        <v>1984</v>
      </c>
      <c r="D180" s="31" t="str">
        <f t="shared" si="3"/>
        <v>Do Not Print</v>
      </c>
      <c r="E180" s="1003" t="str">
        <f>E19</f>
        <v>CIES Line 4</v>
      </c>
      <c r="F180" s="213" t="s">
        <v>1966</v>
      </c>
      <c r="G180" s="213" t="s">
        <v>1973</v>
      </c>
      <c r="H180" s="213" t="s">
        <v>1976</v>
      </c>
      <c r="J180" s="163">
        <v>0</v>
      </c>
      <c r="K180" s="163">
        <v>0</v>
      </c>
      <c r="L180" s="165">
        <f t="shared" si="4"/>
        <v>0</v>
      </c>
      <c r="M180" s="163">
        <v>0</v>
      </c>
      <c r="N180" s="163">
        <v>0</v>
      </c>
      <c r="O180" s="165">
        <f t="shared" si="5"/>
        <v>0</v>
      </c>
      <c r="Q180" s="4"/>
    </row>
    <row r="181" spans="1:17" ht="41.4" x14ac:dyDescent="0.3">
      <c r="A181" s="31">
        <v>4</v>
      </c>
      <c r="B181" s="47"/>
      <c r="C181" s="75" t="s">
        <v>1984</v>
      </c>
      <c r="D181" s="31" t="str">
        <f t="shared" si="3"/>
        <v>Do Not Print</v>
      </c>
      <c r="E181" s="1003" t="str">
        <f>E19</f>
        <v>CIES Line 4</v>
      </c>
      <c r="F181" s="213" t="s">
        <v>1966</v>
      </c>
      <c r="G181" s="213" t="s">
        <v>1973</v>
      </c>
      <c r="H181" s="213" t="s">
        <v>1977</v>
      </c>
      <c r="J181" s="163">
        <v>0</v>
      </c>
      <c r="K181" s="163">
        <v>0</v>
      </c>
      <c r="L181" s="165">
        <f t="shared" si="4"/>
        <v>0</v>
      </c>
      <c r="M181" s="163">
        <v>0</v>
      </c>
      <c r="N181" s="163">
        <v>0</v>
      </c>
      <c r="O181" s="165">
        <f t="shared" si="5"/>
        <v>0</v>
      </c>
      <c r="Q181" s="4"/>
    </row>
    <row r="182" spans="1:17" ht="41.4" x14ac:dyDescent="0.3">
      <c r="A182" s="31">
        <v>4</v>
      </c>
      <c r="B182" s="47"/>
      <c r="C182" s="75" t="s">
        <v>1984</v>
      </c>
      <c r="D182" s="31" t="str">
        <f t="shared" si="3"/>
        <v>Do Not Print</v>
      </c>
      <c r="E182" s="1003" t="str">
        <f>E19</f>
        <v>CIES Line 4</v>
      </c>
      <c r="F182" s="213" t="s">
        <v>1966</v>
      </c>
      <c r="G182" s="213" t="s">
        <v>1973</v>
      </c>
      <c r="H182" s="213" t="s">
        <v>1978</v>
      </c>
      <c r="J182" s="163">
        <v>0</v>
      </c>
      <c r="K182" s="163">
        <v>0</v>
      </c>
      <c r="L182" s="165">
        <f t="shared" si="4"/>
        <v>0</v>
      </c>
      <c r="M182" s="163">
        <v>0</v>
      </c>
      <c r="N182" s="163">
        <v>0</v>
      </c>
      <c r="O182" s="165">
        <f t="shared" si="5"/>
        <v>0</v>
      </c>
      <c r="Q182" s="4"/>
    </row>
    <row r="183" spans="1:17" ht="41.4" x14ac:dyDescent="0.3">
      <c r="A183" s="31">
        <v>4</v>
      </c>
      <c r="B183" s="47"/>
      <c r="C183" s="75" t="s">
        <v>1984</v>
      </c>
      <c r="D183" s="31" t="str">
        <f t="shared" si="3"/>
        <v>Do Not Print</v>
      </c>
      <c r="E183" s="1003" t="str">
        <f>E19</f>
        <v>CIES Line 4</v>
      </c>
      <c r="F183" s="213" t="s">
        <v>1966</v>
      </c>
      <c r="G183" s="213" t="s">
        <v>1973</v>
      </c>
      <c r="H183" s="213" t="s">
        <v>1979</v>
      </c>
      <c r="J183" s="163">
        <v>0</v>
      </c>
      <c r="K183" s="163">
        <v>0</v>
      </c>
      <c r="L183" s="165">
        <f t="shared" si="4"/>
        <v>0</v>
      </c>
      <c r="M183" s="163">
        <v>0</v>
      </c>
      <c r="N183" s="163">
        <v>0</v>
      </c>
      <c r="O183" s="165">
        <f t="shared" si="5"/>
        <v>0</v>
      </c>
      <c r="Q183" s="4"/>
    </row>
    <row r="184" spans="1:17" ht="69" x14ac:dyDescent="0.3">
      <c r="A184" s="31">
        <v>4</v>
      </c>
      <c r="B184" s="47"/>
      <c r="C184" s="75" t="s">
        <v>1984</v>
      </c>
      <c r="D184" s="31" t="str">
        <f t="shared" si="3"/>
        <v>Do Not Print</v>
      </c>
      <c r="E184" s="1003" t="str">
        <f>E19</f>
        <v>CIES Line 4</v>
      </c>
      <c r="F184" s="213" t="s">
        <v>1966</v>
      </c>
      <c r="G184" s="213" t="s">
        <v>1973</v>
      </c>
      <c r="H184" s="213" t="s">
        <v>1980</v>
      </c>
      <c r="J184" s="163">
        <v>0</v>
      </c>
      <c r="K184" s="163">
        <v>0</v>
      </c>
      <c r="L184" s="165">
        <f t="shared" si="4"/>
        <v>0</v>
      </c>
      <c r="M184" s="163">
        <v>0</v>
      </c>
      <c r="N184" s="163">
        <v>0</v>
      </c>
      <c r="O184" s="165">
        <f t="shared" si="5"/>
        <v>0</v>
      </c>
      <c r="Q184" s="4"/>
    </row>
    <row r="185" spans="1:17" ht="41.4" x14ac:dyDescent="0.3">
      <c r="A185" s="31">
        <v>4</v>
      </c>
      <c r="B185" s="47"/>
      <c r="C185" s="75" t="s">
        <v>1984</v>
      </c>
      <c r="D185" s="31" t="str">
        <f t="shared" si="3"/>
        <v>Do Not Print</v>
      </c>
      <c r="E185" s="1003" t="str">
        <f>E19</f>
        <v>CIES Line 4</v>
      </c>
      <c r="F185" s="213" t="s">
        <v>1966</v>
      </c>
      <c r="G185" s="213" t="s">
        <v>1973</v>
      </c>
      <c r="H185" s="213" t="s">
        <v>1981</v>
      </c>
      <c r="J185" s="163">
        <v>0</v>
      </c>
      <c r="K185" s="163">
        <v>0</v>
      </c>
      <c r="L185" s="165">
        <f t="shared" si="4"/>
        <v>0</v>
      </c>
      <c r="M185" s="163">
        <v>0</v>
      </c>
      <c r="N185" s="163">
        <v>0</v>
      </c>
      <c r="O185" s="165">
        <f t="shared" si="5"/>
        <v>0</v>
      </c>
      <c r="Q185" s="4"/>
    </row>
    <row r="186" spans="1:17" ht="55.2" x14ac:dyDescent="0.3">
      <c r="A186" s="31">
        <v>4</v>
      </c>
      <c r="B186" s="47"/>
      <c r="C186" s="75" t="s">
        <v>1984</v>
      </c>
      <c r="D186" s="31" t="str">
        <f t="shared" si="3"/>
        <v>Do Not Print</v>
      </c>
      <c r="E186" s="1003" t="str">
        <f>E19</f>
        <v>CIES Line 4</v>
      </c>
      <c r="F186" s="213" t="s">
        <v>1966</v>
      </c>
      <c r="G186" s="213" t="s">
        <v>1973</v>
      </c>
      <c r="H186" s="213" t="s">
        <v>1982</v>
      </c>
      <c r="J186" s="163">
        <v>0</v>
      </c>
      <c r="K186" s="163">
        <v>0</v>
      </c>
      <c r="L186" s="165">
        <f t="shared" si="4"/>
        <v>0</v>
      </c>
      <c r="M186" s="163">
        <v>0</v>
      </c>
      <c r="N186" s="163">
        <v>0</v>
      </c>
      <c r="O186" s="165">
        <f t="shared" si="5"/>
        <v>0</v>
      </c>
      <c r="Q186" s="4"/>
    </row>
    <row r="187" spans="1:17" ht="41.4" x14ac:dyDescent="0.3">
      <c r="A187" s="31">
        <v>5</v>
      </c>
      <c r="B187" s="47"/>
      <c r="C187" s="75" t="s">
        <v>1984</v>
      </c>
      <c r="D187" s="31" t="str">
        <f t="shared" si="3"/>
        <v>Do Not Print</v>
      </c>
      <c r="E187" s="1003" t="str">
        <f>E23</f>
        <v>CIES Line 5</v>
      </c>
      <c r="F187" s="213" t="s">
        <v>1966</v>
      </c>
      <c r="G187" s="213" t="s">
        <v>1973</v>
      </c>
      <c r="H187" s="213" t="s">
        <v>1974</v>
      </c>
      <c r="J187" s="163">
        <v>0</v>
      </c>
      <c r="K187" s="163">
        <v>0</v>
      </c>
      <c r="L187" s="165">
        <f t="shared" si="4"/>
        <v>0</v>
      </c>
      <c r="M187" s="163">
        <v>0</v>
      </c>
      <c r="N187" s="163">
        <v>0</v>
      </c>
      <c r="O187" s="165">
        <f t="shared" si="5"/>
        <v>0</v>
      </c>
      <c r="Q187" s="4"/>
    </row>
    <row r="188" spans="1:17" ht="69" x14ac:dyDescent="0.3">
      <c r="A188" s="31">
        <v>5</v>
      </c>
      <c r="B188" s="47"/>
      <c r="C188" s="75" t="s">
        <v>1984</v>
      </c>
      <c r="D188" s="31" t="str">
        <f t="shared" si="3"/>
        <v>Do Not Print</v>
      </c>
      <c r="E188" s="1003" t="str">
        <f>E23</f>
        <v>CIES Line 5</v>
      </c>
      <c r="F188" s="213" t="s">
        <v>1966</v>
      </c>
      <c r="G188" s="213" t="s">
        <v>1973</v>
      </c>
      <c r="H188" s="213" t="s">
        <v>1975</v>
      </c>
      <c r="J188" s="163">
        <v>0</v>
      </c>
      <c r="K188" s="163">
        <v>0</v>
      </c>
      <c r="L188" s="165">
        <f t="shared" si="4"/>
        <v>0</v>
      </c>
      <c r="M188" s="163">
        <v>0</v>
      </c>
      <c r="N188" s="163">
        <v>0</v>
      </c>
      <c r="O188" s="165">
        <f t="shared" si="5"/>
        <v>0</v>
      </c>
      <c r="Q188" s="4"/>
    </row>
    <row r="189" spans="1:17" ht="41.4" x14ac:dyDescent="0.3">
      <c r="A189" s="31">
        <v>5</v>
      </c>
      <c r="B189" s="47"/>
      <c r="C189" s="75" t="s">
        <v>1984</v>
      </c>
      <c r="D189" s="31" t="str">
        <f t="shared" si="3"/>
        <v>Do Not Print</v>
      </c>
      <c r="E189" s="1003" t="str">
        <f>E23</f>
        <v>CIES Line 5</v>
      </c>
      <c r="F189" s="213" t="s">
        <v>1966</v>
      </c>
      <c r="G189" s="213" t="s">
        <v>1973</v>
      </c>
      <c r="H189" s="213" t="s">
        <v>1976</v>
      </c>
      <c r="J189" s="163">
        <v>0</v>
      </c>
      <c r="K189" s="163">
        <v>0</v>
      </c>
      <c r="L189" s="165">
        <f t="shared" si="4"/>
        <v>0</v>
      </c>
      <c r="M189" s="163">
        <v>0</v>
      </c>
      <c r="N189" s="163">
        <v>0</v>
      </c>
      <c r="O189" s="165">
        <f t="shared" si="5"/>
        <v>0</v>
      </c>
      <c r="Q189" s="4"/>
    </row>
    <row r="190" spans="1:17" ht="41.4" x14ac:dyDescent="0.3">
      <c r="A190" s="31">
        <v>5</v>
      </c>
      <c r="B190" s="47"/>
      <c r="C190" s="75" t="s">
        <v>1984</v>
      </c>
      <c r="D190" s="31" t="str">
        <f t="shared" si="3"/>
        <v>Do Not Print</v>
      </c>
      <c r="E190" s="1003" t="str">
        <f>E23</f>
        <v>CIES Line 5</v>
      </c>
      <c r="F190" s="213" t="s">
        <v>1966</v>
      </c>
      <c r="G190" s="213" t="s">
        <v>1973</v>
      </c>
      <c r="H190" s="213" t="s">
        <v>1977</v>
      </c>
      <c r="J190" s="163">
        <v>0</v>
      </c>
      <c r="K190" s="163">
        <v>0</v>
      </c>
      <c r="L190" s="165">
        <f t="shared" si="4"/>
        <v>0</v>
      </c>
      <c r="M190" s="163">
        <v>0</v>
      </c>
      <c r="N190" s="163">
        <v>0</v>
      </c>
      <c r="O190" s="165">
        <f t="shared" si="5"/>
        <v>0</v>
      </c>
      <c r="Q190" s="4"/>
    </row>
    <row r="191" spans="1:17" ht="41.4" x14ac:dyDescent="0.3">
      <c r="A191" s="31">
        <v>5</v>
      </c>
      <c r="B191" s="47"/>
      <c r="C191" s="75" t="s">
        <v>1984</v>
      </c>
      <c r="D191" s="31" t="str">
        <f t="shared" si="3"/>
        <v>Do Not Print</v>
      </c>
      <c r="E191" s="1003" t="str">
        <f>E23</f>
        <v>CIES Line 5</v>
      </c>
      <c r="F191" s="213" t="s">
        <v>1966</v>
      </c>
      <c r="G191" s="213" t="s">
        <v>1973</v>
      </c>
      <c r="H191" s="213" t="s">
        <v>1978</v>
      </c>
      <c r="J191" s="163">
        <v>0</v>
      </c>
      <c r="K191" s="163">
        <v>0</v>
      </c>
      <c r="L191" s="165">
        <f t="shared" si="4"/>
        <v>0</v>
      </c>
      <c r="M191" s="163">
        <v>0</v>
      </c>
      <c r="N191" s="163">
        <v>0</v>
      </c>
      <c r="O191" s="165">
        <f t="shared" si="5"/>
        <v>0</v>
      </c>
      <c r="Q191" s="4"/>
    </row>
    <row r="192" spans="1:17" ht="41.4" x14ac:dyDescent="0.3">
      <c r="A192" s="31">
        <v>5</v>
      </c>
      <c r="B192" s="47"/>
      <c r="C192" s="75" t="s">
        <v>1984</v>
      </c>
      <c r="D192" s="31" t="str">
        <f t="shared" si="3"/>
        <v>Do Not Print</v>
      </c>
      <c r="E192" s="1003" t="str">
        <f>E23</f>
        <v>CIES Line 5</v>
      </c>
      <c r="F192" s="213" t="s">
        <v>1966</v>
      </c>
      <c r="G192" s="213" t="s">
        <v>1973</v>
      </c>
      <c r="H192" s="213" t="s">
        <v>1979</v>
      </c>
      <c r="J192" s="163">
        <v>0</v>
      </c>
      <c r="K192" s="163">
        <v>0</v>
      </c>
      <c r="L192" s="165">
        <f t="shared" si="4"/>
        <v>0</v>
      </c>
      <c r="M192" s="163">
        <v>0</v>
      </c>
      <c r="N192" s="163">
        <v>0</v>
      </c>
      <c r="O192" s="165">
        <f t="shared" si="5"/>
        <v>0</v>
      </c>
      <c r="Q192" s="4"/>
    </row>
    <row r="193" spans="1:17" ht="69" x14ac:dyDescent="0.3">
      <c r="A193" s="31">
        <v>5</v>
      </c>
      <c r="B193" s="47"/>
      <c r="C193" s="75" t="s">
        <v>1984</v>
      </c>
      <c r="D193" s="31" t="str">
        <f t="shared" si="3"/>
        <v>Do Not Print</v>
      </c>
      <c r="E193" s="1003" t="str">
        <f>E23</f>
        <v>CIES Line 5</v>
      </c>
      <c r="F193" s="213" t="s">
        <v>1966</v>
      </c>
      <c r="G193" s="213" t="s">
        <v>1973</v>
      </c>
      <c r="H193" s="213" t="s">
        <v>1980</v>
      </c>
      <c r="J193" s="163">
        <v>0</v>
      </c>
      <c r="K193" s="163">
        <v>0</v>
      </c>
      <c r="L193" s="165">
        <f t="shared" si="4"/>
        <v>0</v>
      </c>
      <c r="M193" s="163">
        <v>0</v>
      </c>
      <c r="N193" s="163">
        <v>0</v>
      </c>
      <c r="O193" s="165">
        <f t="shared" si="5"/>
        <v>0</v>
      </c>
      <c r="Q193" s="4"/>
    </row>
    <row r="194" spans="1:17" ht="41.4" x14ac:dyDescent="0.3">
      <c r="A194" s="31">
        <v>5</v>
      </c>
      <c r="B194" s="47"/>
      <c r="C194" s="75" t="s">
        <v>1984</v>
      </c>
      <c r="D194" s="31" t="str">
        <f t="shared" si="3"/>
        <v>Do Not Print</v>
      </c>
      <c r="E194" s="1003" t="str">
        <f>E23</f>
        <v>CIES Line 5</v>
      </c>
      <c r="F194" s="213" t="s">
        <v>1966</v>
      </c>
      <c r="G194" s="213" t="s">
        <v>1973</v>
      </c>
      <c r="H194" s="213" t="s">
        <v>1981</v>
      </c>
      <c r="J194" s="163">
        <v>0</v>
      </c>
      <c r="K194" s="163">
        <v>0</v>
      </c>
      <c r="L194" s="165">
        <f t="shared" si="4"/>
        <v>0</v>
      </c>
      <c r="M194" s="163">
        <v>0</v>
      </c>
      <c r="N194" s="163">
        <v>0</v>
      </c>
      <c r="O194" s="165">
        <f t="shared" si="5"/>
        <v>0</v>
      </c>
      <c r="Q194" s="4"/>
    </row>
    <row r="195" spans="1:17" ht="55.2" x14ac:dyDescent="0.3">
      <c r="A195" s="31">
        <v>5</v>
      </c>
      <c r="B195" s="47"/>
      <c r="C195" s="75" t="s">
        <v>1984</v>
      </c>
      <c r="D195" s="31" t="str">
        <f t="shared" si="3"/>
        <v>Do Not Print</v>
      </c>
      <c r="E195" s="1003" t="str">
        <f>E23</f>
        <v>CIES Line 5</v>
      </c>
      <c r="F195" s="213" t="s">
        <v>1966</v>
      </c>
      <c r="G195" s="213" t="s">
        <v>1973</v>
      </c>
      <c r="H195" s="213" t="s">
        <v>1982</v>
      </c>
      <c r="J195" s="163">
        <v>0</v>
      </c>
      <c r="K195" s="163">
        <v>0</v>
      </c>
      <c r="L195" s="165">
        <f t="shared" si="4"/>
        <v>0</v>
      </c>
      <c r="M195" s="163">
        <v>0</v>
      </c>
      <c r="N195" s="163">
        <v>0</v>
      </c>
      <c r="O195" s="165">
        <f t="shared" si="5"/>
        <v>0</v>
      </c>
      <c r="Q195" s="4"/>
    </row>
    <row r="196" spans="1:17" ht="41.4" x14ac:dyDescent="0.3">
      <c r="A196" s="31">
        <v>6</v>
      </c>
      <c r="B196" s="47"/>
      <c r="C196" s="75" t="s">
        <v>1984</v>
      </c>
      <c r="D196" s="31" t="str">
        <f t="shared" ref="D196:D259" si="9">IF(AND(L196=0,O196=0),"Do Not Print","Print")</f>
        <v>Do Not Print</v>
      </c>
      <c r="E196" s="1003" t="str">
        <f>E27</f>
        <v>CIES Line 6</v>
      </c>
      <c r="F196" s="213" t="s">
        <v>1966</v>
      </c>
      <c r="G196" s="213" t="s">
        <v>1973</v>
      </c>
      <c r="H196" s="213" t="s">
        <v>1974</v>
      </c>
      <c r="J196" s="163">
        <v>0</v>
      </c>
      <c r="K196" s="163">
        <v>0</v>
      </c>
      <c r="L196" s="165">
        <f t="shared" ref="L196:L259" si="10">SUM(J196:K196)</f>
        <v>0</v>
      </c>
      <c r="M196" s="163">
        <v>0</v>
      </c>
      <c r="N196" s="163">
        <v>0</v>
      </c>
      <c r="O196" s="165">
        <f t="shared" ref="O196:O259" si="11">SUM(M196:N196)</f>
        <v>0</v>
      </c>
      <c r="P196" s="36"/>
      <c r="Q196" s="4"/>
    </row>
    <row r="197" spans="1:17" ht="69" x14ac:dyDescent="0.3">
      <c r="A197" s="31">
        <v>6</v>
      </c>
      <c r="B197" s="47"/>
      <c r="C197" s="75" t="s">
        <v>1984</v>
      </c>
      <c r="D197" s="31" t="str">
        <f t="shared" si="9"/>
        <v>Do Not Print</v>
      </c>
      <c r="E197" s="1003" t="str">
        <f>E27</f>
        <v>CIES Line 6</v>
      </c>
      <c r="F197" s="213" t="s">
        <v>1966</v>
      </c>
      <c r="G197" s="213" t="s">
        <v>1973</v>
      </c>
      <c r="H197" s="213" t="s">
        <v>1975</v>
      </c>
      <c r="J197" s="163">
        <v>0</v>
      </c>
      <c r="K197" s="163">
        <v>0</v>
      </c>
      <c r="L197" s="165">
        <f t="shared" si="10"/>
        <v>0</v>
      </c>
      <c r="M197" s="163">
        <v>0</v>
      </c>
      <c r="N197" s="163">
        <v>0</v>
      </c>
      <c r="O197" s="165">
        <f t="shared" si="11"/>
        <v>0</v>
      </c>
      <c r="P197" s="36"/>
      <c r="Q197" s="4"/>
    </row>
    <row r="198" spans="1:17" ht="41.4" x14ac:dyDescent="0.3">
      <c r="A198" s="31">
        <v>6</v>
      </c>
      <c r="B198" s="47"/>
      <c r="C198" s="75" t="s">
        <v>1984</v>
      </c>
      <c r="D198" s="31" t="str">
        <f t="shared" si="9"/>
        <v>Do Not Print</v>
      </c>
      <c r="E198" s="1003" t="str">
        <f>E27</f>
        <v>CIES Line 6</v>
      </c>
      <c r="F198" s="213" t="s">
        <v>1966</v>
      </c>
      <c r="G198" s="213" t="s">
        <v>1973</v>
      </c>
      <c r="H198" s="213" t="s">
        <v>1976</v>
      </c>
      <c r="J198" s="163">
        <v>0</v>
      </c>
      <c r="K198" s="163">
        <v>0</v>
      </c>
      <c r="L198" s="165">
        <f t="shared" si="10"/>
        <v>0</v>
      </c>
      <c r="M198" s="163">
        <v>0</v>
      </c>
      <c r="N198" s="163">
        <v>0</v>
      </c>
      <c r="O198" s="165">
        <f t="shared" si="11"/>
        <v>0</v>
      </c>
      <c r="P198" s="36"/>
      <c r="Q198" s="4"/>
    </row>
    <row r="199" spans="1:17" ht="41.4" x14ac:dyDescent="0.3">
      <c r="A199" s="31">
        <v>6</v>
      </c>
      <c r="B199" s="47"/>
      <c r="C199" s="75" t="s">
        <v>1984</v>
      </c>
      <c r="D199" s="31" t="str">
        <f t="shared" si="9"/>
        <v>Do Not Print</v>
      </c>
      <c r="E199" s="1003" t="str">
        <f>E27</f>
        <v>CIES Line 6</v>
      </c>
      <c r="F199" s="213" t="s">
        <v>1966</v>
      </c>
      <c r="G199" s="213" t="s">
        <v>1973</v>
      </c>
      <c r="H199" s="213" t="s">
        <v>1977</v>
      </c>
      <c r="J199" s="163">
        <v>0</v>
      </c>
      <c r="K199" s="163">
        <v>0</v>
      </c>
      <c r="L199" s="165">
        <f t="shared" si="10"/>
        <v>0</v>
      </c>
      <c r="M199" s="163">
        <v>0</v>
      </c>
      <c r="N199" s="163">
        <v>0</v>
      </c>
      <c r="O199" s="165">
        <f t="shared" si="11"/>
        <v>0</v>
      </c>
      <c r="P199" s="36"/>
      <c r="Q199" s="4"/>
    </row>
    <row r="200" spans="1:17" ht="41.4" x14ac:dyDescent="0.3">
      <c r="A200" s="31">
        <v>6</v>
      </c>
      <c r="B200" s="47"/>
      <c r="C200" s="75" t="s">
        <v>1984</v>
      </c>
      <c r="D200" s="31" t="str">
        <f t="shared" si="9"/>
        <v>Do Not Print</v>
      </c>
      <c r="E200" s="1003" t="str">
        <f>E27</f>
        <v>CIES Line 6</v>
      </c>
      <c r="F200" s="213" t="s">
        <v>1966</v>
      </c>
      <c r="G200" s="213" t="s">
        <v>1973</v>
      </c>
      <c r="H200" s="213" t="s">
        <v>1978</v>
      </c>
      <c r="J200" s="163">
        <v>0</v>
      </c>
      <c r="K200" s="163">
        <v>0</v>
      </c>
      <c r="L200" s="165">
        <f t="shared" si="10"/>
        <v>0</v>
      </c>
      <c r="M200" s="163">
        <v>0</v>
      </c>
      <c r="N200" s="163">
        <v>0</v>
      </c>
      <c r="O200" s="165">
        <f t="shared" si="11"/>
        <v>0</v>
      </c>
      <c r="P200" s="36"/>
      <c r="Q200" s="4"/>
    </row>
    <row r="201" spans="1:17" ht="41.4" x14ac:dyDescent="0.3">
      <c r="A201" s="31">
        <v>6</v>
      </c>
      <c r="B201" s="47"/>
      <c r="C201" s="75" t="s">
        <v>1984</v>
      </c>
      <c r="D201" s="31" t="str">
        <f t="shared" si="9"/>
        <v>Do Not Print</v>
      </c>
      <c r="E201" s="1003" t="str">
        <f>E27</f>
        <v>CIES Line 6</v>
      </c>
      <c r="F201" s="213" t="s">
        <v>1966</v>
      </c>
      <c r="G201" s="213" t="s">
        <v>1973</v>
      </c>
      <c r="H201" s="213" t="s">
        <v>1979</v>
      </c>
      <c r="J201" s="163">
        <v>0</v>
      </c>
      <c r="K201" s="163">
        <v>0</v>
      </c>
      <c r="L201" s="165">
        <f t="shared" si="10"/>
        <v>0</v>
      </c>
      <c r="M201" s="163">
        <v>0</v>
      </c>
      <c r="N201" s="163">
        <v>0</v>
      </c>
      <c r="O201" s="165">
        <f t="shared" si="11"/>
        <v>0</v>
      </c>
      <c r="P201" s="36"/>
      <c r="Q201" s="4"/>
    </row>
    <row r="202" spans="1:17" ht="69" x14ac:dyDescent="0.3">
      <c r="A202" s="31">
        <v>6</v>
      </c>
      <c r="B202" s="47"/>
      <c r="C202" s="75" t="s">
        <v>1984</v>
      </c>
      <c r="D202" s="31" t="str">
        <f t="shared" si="9"/>
        <v>Do Not Print</v>
      </c>
      <c r="E202" s="1003" t="str">
        <f>E27</f>
        <v>CIES Line 6</v>
      </c>
      <c r="F202" s="213" t="s">
        <v>1966</v>
      </c>
      <c r="G202" s="213" t="s">
        <v>1973</v>
      </c>
      <c r="H202" s="213" t="s">
        <v>1980</v>
      </c>
      <c r="J202" s="163">
        <v>0</v>
      </c>
      <c r="K202" s="163">
        <v>0</v>
      </c>
      <c r="L202" s="165">
        <f t="shared" si="10"/>
        <v>0</v>
      </c>
      <c r="M202" s="163">
        <v>0</v>
      </c>
      <c r="N202" s="163">
        <v>0</v>
      </c>
      <c r="O202" s="165">
        <f t="shared" si="11"/>
        <v>0</v>
      </c>
      <c r="P202" s="36"/>
      <c r="Q202" s="4"/>
    </row>
    <row r="203" spans="1:17" ht="41.4" x14ac:dyDescent="0.3">
      <c r="A203" s="31">
        <v>6</v>
      </c>
      <c r="B203" s="47"/>
      <c r="C203" s="75" t="s">
        <v>1984</v>
      </c>
      <c r="D203" s="31" t="str">
        <f t="shared" si="9"/>
        <v>Do Not Print</v>
      </c>
      <c r="E203" s="1003" t="str">
        <f>E27</f>
        <v>CIES Line 6</v>
      </c>
      <c r="F203" s="213" t="s">
        <v>1966</v>
      </c>
      <c r="G203" s="213" t="s">
        <v>1973</v>
      </c>
      <c r="H203" s="213" t="s">
        <v>1981</v>
      </c>
      <c r="J203" s="163">
        <v>0</v>
      </c>
      <c r="K203" s="163">
        <v>0</v>
      </c>
      <c r="L203" s="165">
        <f t="shared" si="10"/>
        <v>0</v>
      </c>
      <c r="M203" s="163">
        <v>0</v>
      </c>
      <c r="N203" s="163">
        <v>0</v>
      </c>
      <c r="O203" s="165">
        <f t="shared" si="11"/>
        <v>0</v>
      </c>
      <c r="P203" s="36"/>
      <c r="Q203" s="4"/>
    </row>
    <row r="204" spans="1:17" ht="55.2" x14ac:dyDescent="0.3">
      <c r="A204" s="31">
        <v>6</v>
      </c>
      <c r="B204" s="47"/>
      <c r="C204" s="75" t="s">
        <v>1984</v>
      </c>
      <c r="D204" s="31" t="str">
        <f t="shared" si="9"/>
        <v>Do Not Print</v>
      </c>
      <c r="E204" s="1003" t="str">
        <f>E27</f>
        <v>CIES Line 6</v>
      </c>
      <c r="F204" s="213" t="s">
        <v>1966</v>
      </c>
      <c r="G204" s="213" t="s">
        <v>1973</v>
      </c>
      <c r="H204" s="213" t="s">
        <v>1982</v>
      </c>
      <c r="J204" s="163">
        <v>0</v>
      </c>
      <c r="K204" s="163">
        <v>0</v>
      </c>
      <c r="L204" s="165">
        <f t="shared" si="10"/>
        <v>0</v>
      </c>
      <c r="M204" s="163">
        <v>0</v>
      </c>
      <c r="N204" s="163">
        <v>0</v>
      </c>
      <c r="O204" s="165">
        <f t="shared" si="11"/>
        <v>0</v>
      </c>
      <c r="P204" s="36"/>
      <c r="Q204" s="4"/>
    </row>
    <row r="205" spans="1:17" ht="41.4" x14ac:dyDescent="0.3">
      <c r="A205" s="31">
        <v>7</v>
      </c>
      <c r="B205" s="47"/>
      <c r="C205" s="75" t="s">
        <v>1984</v>
      </c>
      <c r="D205" s="31" t="str">
        <f t="shared" si="9"/>
        <v>Do Not Print</v>
      </c>
      <c r="E205" s="1003" t="str">
        <f>E31</f>
        <v>CIES Line 7</v>
      </c>
      <c r="F205" s="213" t="s">
        <v>1966</v>
      </c>
      <c r="G205" s="213" t="s">
        <v>1973</v>
      </c>
      <c r="H205" s="213" t="s">
        <v>1974</v>
      </c>
      <c r="J205" s="163">
        <v>0</v>
      </c>
      <c r="K205" s="163">
        <v>0</v>
      </c>
      <c r="L205" s="165">
        <f t="shared" si="10"/>
        <v>0</v>
      </c>
      <c r="M205" s="163">
        <v>0</v>
      </c>
      <c r="N205" s="163">
        <v>0</v>
      </c>
      <c r="O205" s="165">
        <f t="shared" si="11"/>
        <v>0</v>
      </c>
      <c r="P205" s="36"/>
      <c r="Q205" s="4"/>
    </row>
    <row r="206" spans="1:17" ht="69" x14ac:dyDescent="0.3">
      <c r="A206" s="31">
        <v>7</v>
      </c>
      <c r="B206" s="47"/>
      <c r="C206" s="75" t="s">
        <v>1984</v>
      </c>
      <c r="D206" s="31" t="str">
        <f t="shared" si="9"/>
        <v>Do Not Print</v>
      </c>
      <c r="E206" s="1003" t="str">
        <f>E31</f>
        <v>CIES Line 7</v>
      </c>
      <c r="F206" s="213" t="s">
        <v>1966</v>
      </c>
      <c r="G206" s="213" t="s">
        <v>1973</v>
      </c>
      <c r="H206" s="213" t="s">
        <v>1975</v>
      </c>
      <c r="J206" s="163">
        <v>0</v>
      </c>
      <c r="K206" s="163">
        <v>0</v>
      </c>
      <c r="L206" s="165">
        <f t="shared" si="10"/>
        <v>0</v>
      </c>
      <c r="M206" s="163">
        <v>0</v>
      </c>
      <c r="N206" s="163">
        <v>0</v>
      </c>
      <c r="O206" s="165">
        <f t="shared" si="11"/>
        <v>0</v>
      </c>
      <c r="P206" s="36"/>
      <c r="Q206" s="4"/>
    </row>
    <row r="207" spans="1:17" ht="41.4" x14ac:dyDescent="0.3">
      <c r="A207" s="31">
        <v>7</v>
      </c>
      <c r="B207" s="47"/>
      <c r="C207" s="75" t="s">
        <v>1984</v>
      </c>
      <c r="D207" s="31" t="str">
        <f t="shared" si="9"/>
        <v>Do Not Print</v>
      </c>
      <c r="E207" s="1003" t="str">
        <f>E31</f>
        <v>CIES Line 7</v>
      </c>
      <c r="F207" s="213" t="s">
        <v>1966</v>
      </c>
      <c r="G207" s="213" t="s">
        <v>1973</v>
      </c>
      <c r="H207" s="213" t="s">
        <v>1976</v>
      </c>
      <c r="J207" s="163">
        <v>0</v>
      </c>
      <c r="K207" s="163">
        <v>0</v>
      </c>
      <c r="L207" s="165">
        <f t="shared" si="10"/>
        <v>0</v>
      </c>
      <c r="M207" s="163">
        <v>0</v>
      </c>
      <c r="N207" s="163">
        <v>0</v>
      </c>
      <c r="O207" s="165">
        <f t="shared" si="11"/>
        <v>0</v>
      </c>
      <c r="P207" s="36"/>
      <c r="Q207" s="4"/>
    </row>
    <row r="208" spans="1:17" ht="41.4" x14ac:dyDescent="0.3">
      <c r="A208" s="31">
        <v>7</v>
      </c>
      <c r="B208" s="47"/>
      <c r="C208" s="75" t="s">
        <v>1984</v>
      </c>
      <c r="D208" s="31" t="str">
        <f t="shared" si="9"/>
        <v>Do Not Print</v>
      </c>
      <c r="E208" s="1003" t="str">
        <f>E31</f>
        <v>CIES Line 7</v>
      </c>
      <c r="F208" s="213" t="s">
        <v>1966</v>
      </c>
      <c r="G208" s="213" t="s">
        <v>1973</v>
      </c>
      <c r="H208" s="213" t="s">
        <v>1977</v>
      </c>
      <c r="J208" s="163">
        <v>0</v>
      </c>
      <c r="K208" s="163">
        <v>0</v>
      </c>
      <c r="L208" s="165">
        <f t="shared" si="10"/>
        <v>0</v>
      </c>
      <c r="M208" s="163">
        <v>0</v>
      </c>
      <c r="N208" s="163">
        <v>0</v>
      </c>
      <c r="O208" s="165">
        <f t="shared" si="11"/>
        <v>0</v>
      </c>
      <c r="P208" s="36"/>
      <c r="Q208" s="4"/>
    </row>
    <row r="209" spans="1:17" ht="41.4" x14ac:dyDescent="0.3">
      <c r="A209" s="31">
        <v>7</v>
      </c>
      <c r="B209" s="47"/>
      <c r="C209" s="75" t="s">
        <v>1984</v>
      </c>
      <c r="D209" s="31" t="str">
        <f t="shared" si="9"/>
        <v>Do Not Print</v>
      </c>
      <c r="E209" s="1003" t="str">
        <f>E31</f>
        <v>CIES Line 7</v>
      </c>
      <c r="F209" s="213" t="s">
        <v>1966</v>
      </c>
      <c r="G209" s="213" t="s">
        <v>1973</v>
      </c>
      <c r="H209" s="213" t="s">
        <v>1978</v>
      </c>
      <c r="J209" s="163">
        <v>0</v>
      </c>
      <c r="K209" s="163">
        <v>0</v>
      </c>
      <c r="L209" s="165">
        <f t="shared" si="10"/>
        <v>0</v>
      </c>
      <c r="M209" s="163">
        <v>0</v>
      </c>
      <c r="N209" s="163">
        <v>0</v>
      </c>
      <c r="O209" s="165">
        <f t="shared" si="11"/>
        <v>0</v>
      </c>
      <c r="P209" s="36"/>
      <c r="Q209" s="4"/>
    </row>
    <row r="210" spans="1:17" ht="41.4" x14ac:dyDescent="0.3">
      <c r="A210" s="31">
        <v>7</v>
      </c>
      <c r="B210" s="47"/>
      <c r="C210" s="75" t="s">
        <v>1984</v>
      </c>
      <c r="D210" s="31" t="str">
        <f t="shared" si="9"/>
        <v>Do Not Print</v>
      </c>
      <c r="E210" s="1003" t="str">
        <f>E31</f>
        <v>CIES Line 7</v>
      </c>
      <c r="F210" s="213" t="s">
        <v>1966</v>
      </c>
      <c r="G210" s="213" t="s">
        <v>1973</v>
      </c>
      <c r="H210" s="213" t="s">
        <v>1979</v>
      </c>
      <c r="J210" s="163">
        <v>0</v>
      </c>
      <c r="K210" s="163">
        <v>0</v>
      </c>
      <c r="L210" s="165">
        <f t="shared" si="10"/>
        <v>0</v>
      </c>
      <c r="M210" s="163">
        <v>0</v>
      </c>
      <c r="N210" s="163">
        <v>0</v>
      </c>
      <c r="O210" s="165">
        <f t="shared" si="11"/>
        <v>0</v>
      </c>
      <c r="P210" s="36"/>
      <c r="Q210" s="4"/>
    </row>
    <row r="211" spans="1:17" ht="69" x14ac:dyDescent="0.3">
      <c r="A211" s="31">
        <v>7</v>
      </c>
      <c r="B211" s="47"/>
      <c r="C211" s="75" t="s">
        <v>1984</v>
      </c>
      <c r="D211" s="31" t="str">
        <f t="shared" si="9"/>
        <v>Do Not Print</v>
      </c>
      <c r="E211" s="1003" t="str">
        <f>E31</f>
        <v>CIES Line 7</v>
      </c>
      <c r="F211" s="213" t="s">
        <v>1966</v>
      </c>
      <c r="G211" s="213" t="s">
        <v>1973</v>
      </c>
      <c r="H211" s="213" t="s">
        <v>1980</v>
      </c>
      <c r="J211" s="163">
        <v>0</v>
      </c>
      <c r="K211" s="163">
        <v>0</v>
      </c>
      <c r="L211" s="165">
        <f t="shared" si="10"/>
        <v>0</v>
      </c>
      <c r="M211" s="163">
        <v>0</v>
      </c>
      <c r="N211" s="163">
        <v>0</v>
      </c>
      <c r="O211" s="165">
        <f t="shared" si="11"/>
        <v>0</v>
      </c>
      <c r="P211" s="36"/>
      <c r="Q211" s="4"/>
    </row>
    <row r="212" spans="1:17" ht="41.4" x14ac:dyDescent="0.3">
      <c r="A212" s="31">
        <v>7</v>
      </c>
      <c r="B212" s="47"/>
      <c r="C212" s="75" t="s">
        <v>1984</v>
      </c>
      <c r="D212" s="31" t="str">
        <f t="shared" si="9"/>
        <v>Do Not Print</v>
      </c>
      <c r="E212" s="1003" t="str">
        <f>E31</f>
        <v>CIES Line 7</v>
      </c>
      <c r="F212" s="213" t="s">
        <v>1966</v>
      </c>
      <c r="G212" s="213" t="s">
        <v>1973</v>
      </c>
      <c r="H212" s="213" t="s">
        <v>1981</v>
      </c>
      <c r="J212" s="163">
        <v>0</v>
      </c>
      <c r="K212" s="163">
        <v>0</v>
      </c>
      <c r="L212" s="165">
        <f t="shared" si="10"/>
        <v>0</v>
      </c>
      <c r="M212" s="163">
        <v>0</v>
      </c>
      <c r="N212" s="163">
        <v>0</v>
      </c>
      <c r="O212" s="165">
        <f t="shared" si="11"/>
        <v>0</v>
      </c>
      <c r="P212" s="36"/>
      <c r="Q212" s="4"/>
    </row>
    <row r="213" spans="1:17" ht="55.2" x14ac:dyDescent="0.3">
      <c r="A213" s="31">
        <v>7</v>
      </c>
      <c r="B213" s="47"/>
      <c r="C213" s="75" t="s">
        <v>1984</v>
      </c>
      <c r="D213" s="31" t="str">
        <f t="shared" si="9"/>
        <v>Do Not Print</v>
      </c>
      <c r="E213" s="1003" t="str">
        <f>E31</f>
        <v>CIES Line 7</v>
      </c>
      <c r="F213" s="213" t="s">
        <v>1966</v>
      </c>
      <c r="G213" s="213" t="s">
        <v>1973</v>
      </c>
      <c r="H213" s="213" t="s">
        <v>1982</v>
      </c>
      <c r="J213" s="163">
        <v>0</v>
      </c>
      <c r="K213" s="163">
        <v>0</v>
      </c>
      <c r="L213" s="165">
        <f t="shared" si="10"/>
        <v>0</v>
      </c>
      <c r="M213" s="163">
        <v>0</v>
      </c>
      <c r="N213" s="163">
        <v>0</v>
      </c>
      <c r="O213" s="165">
        <f t="shared" si="11"/>
        <v>0</v>
      </c>
      <c r="P213" s="36"/>
      <c r="Q213" s="4"/>
    </row>
    <row r="214" spans="1:17" ht="41.4" x14ac:dyDescent="0.3">
      <c r="A214" s="31">
        <v>8</v>
      </c>
      <c r="B214" s="47"/>
      <c r="C214" s="75" t="s">
        <v>1984</v>
      </c>
      <c r="D214" s="31" t="str">
        <f t="shared" si="9"/>
        <v>Do Not Print</v>
      </c>
      <c r="E214" s="1003" t="str">
        <f>E35</f>
        <v>CIES Line 8</v>
      </c>
      <c r="F214" s="213" t="s">
        <v>1966</v>
      </c>
      <c r="G214" s="213" t="s">
        <v>1973</v>
      </c>
      <c r="H214" s="213" t="s">
        <v>1974</v>
      </c>
      <c r="J214" s="163">
        <v>0</v>
      </c>
      <c r="K214" s="163">
        <v>0</v>
      </c>
      <c r="L214" s="165">
        <f t="shared" si="10"/>
        <v>0</v>
      </c>
      <c r="M214" s="163">
        <v>0</v>
      </c>
      <c r="N214" s="163">
        <v>0</v>
      </c>
      <c r="O214" s="165">
        <f t="shared" si="11"/>
        <v>0</v>
      </c>
      <c r="P214" s="36"/>
      <c r="Q214" s="4"/>
    </row>
    <row r="215" spans="1:17" ht="69" x14ac:dyDescent="0.3">
      <c r="A215" s="31">
        <v>8</v>
      </c>
      <c r="B215" s="47"/>
      <c r="C215" s="75" t="s">
        <v>1984</v>
      </c>
      <c r="D215" s="31" t="str">
        <f t="shared" si="9"/>
        <v>Do Not Print</v>
      </c>
      <c r="E215" s="1003" t="str">
        <f>E35</f>
        <v>CIES Line 8</v>
      </c>
      <c r="F215" s="213" t="s">
        <v>1966</v>
      </c>
      <c r="G215" s="213" t="s">
        <v>1973</v>
      </c>
      <c r="H215" s="213" t="s">
        <v>1975</v>
      </c>
      <c r="J215" s="163">
        <v>0</v>
      </c>
      <c r="K215" s="163">
        <v>0</v>
      </c>
      <c r="L215" s="165">
        <f t="shared" si="10"/>
        <v>0</v>
      </c>
      <c r="M215" s="163">
        <v>0</v>
      </c>
      <c r="N215" s="163">
        <v>0</v>
      </c>
      <c r="O215" s="165">
        <f t="shared" si="11"/>
        <v>0</v>
      </c>
      <c r="P215" s="36"/>
      <c r="Q215" s="4"/>
    </row>
    <row r="216" spans="1:17" ht="41.4" x14ac:dyDescent="0.3">
      <c r="A216" s="31">
        <v>8</v>
      </c>
      <c r="B216" s="47"/>
      <c r="C216" s="75" t="s">
        <v>1984</v>
      </c>
      <c r="D216" s="31" t="str">
        <f t="shared" si="9"/>
        <v>Do Not Print</v>
      </c>
      <c r="E216" s="1003" t="str">
        <f>E35</f>
        <v>CIES Line 8</v>
      </c>
      <c r="F216" s="213" t="s">
        <v>1966</v>
      </c>
      <c r="G216" s="213" t="s">
        <v>1973</v>
      </c>
      <c r="H216" s="213" t="s">
        <v>1976</v>
      </c>
      <c r="J216" s="163">
        <v>0</v>
      </c>
      <c r="K216" s="163">
        <v>0</v>
      </c>
      <c r="L216" s="165">
        <f t="shared" si="10"/>
        <v>0</v>
      </c>
      <c r="M216" s="163">
        <v>0</v>
      </c>
      <c r="N216" s="163">
        <v>0</v>
      </c>
      <c r="O216" s="165">
        <f t="shared" si="11"/>
        <v>0</v>
      </c>
      <c r="P216" s="36"/>
      <c r="Q216" s="4"/>
    </row>
    <row r="217" spans="1:17" ht="41.4" x14ac:dyDescent="0.3">
      <c r="A217" s="31">
        <v>8</v>
      </c>
      <c r="B217" s="47"/>
      <c r="C217" s="75" t="s">
        <v>1984</v>
      </c>
      <c r="D217" s="31" t="str">
        <f t="shared" si="9"/>
        <v>Do Not Print</v>
      </c>
      <c r="E217" s="1003" t="str">
        <f>E35</f>
        <v>CIES Line 8</v>
      </c>
      <c r="F217" s="213" t="s">
        <v>1966</v>
      </c>
      <c r="G217" s="213" t="s">
        <v>1973</v>
      </c>
      <c r="H217" s="213" t="s">
        <v>1977</v>
      </c>
      <c r="J217" s="163">
        <v>0</v>
      </c>
      <c r="K217" s="163">
        <v>0</v>
      </c>
      <c r="L217" s="165">
        <f t="shared" si="10"/>
        <v>0</v>
      </c>
      <c r="M217" s="163">
        <v>0</v>
      </c>
      <c r="N217" s="163">
        <v>0</v>
      </c>
      <c r="O217" s="165">
        <f t="shared" si="11"/>
        <v>0</v>
      </c>
      <c r="P217" s="36"/>
      <c r="Q217" s="4"/>
    </row>
    <row r="218" spans="1:17" ht="41.4" x14ac:dyDescent="0.3">
      <c r="A218" s="31">
        <v>8</v>
      </c>
      <c r="B218" s="47"/>
      <c r="C218" s="75" t="s">
        <v>1984</v>
      </c>
      <c r="D218" s="31" t="str">
        <f t="shared" si="9"/>
        <v>Do Not Print</v>
      </c>
      <c r="E218" s="1003" t="str">
        <f>E35</f>
        <v>CIES Line 8</v>
      </c>
      <c r="F218" s="213" t="s">
        <v>1966</v>
      </c>
      <c r="G218" s="213" t="s">
        <v>1973</v>
      </c>
      <c r="H218" s="213" t="s">
        <v>1978</v>
      </c>
      <c r="J218" s="163">
        <v>0</v>
      </c>
      <c r="K218" s="163">
        <v>0</v>
      </c>
      <c r="L218" s="165">
        <f t="shared" si="10"/>
        <v>0</v>
      </c>
      <c r="M218" s="163">
        <v>0</v>
      </c>
      <c r="N218" s="163">
        <v>0</v>
      </c>
      <c r="O218" s="165">
        <f t="shared" si="11"/>
        <v>0</v>
      </c>
      <c r="P218" s="36"/>
      <c r="Q218" s="4"/>
    </row>
    <row r="219" spans="1:17" ht="41.4" x14ac:dyDescent="0.3">
      <c r="A219" s="31">
        <v>8</v>
      </c>
      <c r="B219" s="47"/>
      <c r="C219" s="75" t="s">
        <v>1984</v>
      </c>
      <c r="D219" s="31" t="str">
        <f t="shared" si="9"/>
        <v>Do Not Print</v>
      </c>
      <c r="E219" s="1003" t="str">
        <f>E35</f>
        <v>CIES Line 8</v>
      </c>
      <c r="F219" s="213" t="s">
        <v>1966</v>
      </c>
      <c r="G219" s="213" t="s">
        <v>1973</v>
      </c>
      <c r="H219" s="213" t="s">
        <v>1979</v>
      </c>
      <c r="J219" s="163">
        <v>0</v>
      </c>
      <c r="K219" s="163">
        <v>0</v>
      </c>
      <c r="L219" s="165">
        <f t="shared" si="10"/>
        <v>0</v>
      </c>
      <c r="M219" s="163">
        <v>0</v>
      </c>
      <c r="N219" s="163">
        <v>0</v>
      </c>
      <c r="O219" s="165">
        <f t="shared" si="11"/>
        <v>0</v>
      </c>
      <c r="P219" s="36"/>
      <c r="Q219" s="4"/>
    </row>
    <row r="220" spans="1:17" ht="69" x14ac:dyDescent="0.3">
      <c r="A220" s="31">
        <v>8</v>
      </c>
      <c r="B220" s="47"/>
      <c r="C220" s="75" t="s">
        <v>1984</v>
      </c>
      <c r="D220" s="31" t="str">
        <f t="shared" si="9"/>
        <v>Do Not Print</v>
      </c>
      <c r="E220" s="1003" t="str">
        <f>E35</f>
        <v>CIES Line 8</v>
      </c>
      <c r="F220" s="213" t="s">
        <v>1966</v>
      </c>
      <c r="G220" s="213" t="s">
        <v>1973</v>
      </c>
      <c r="H220" s="213" t="s">
        <v>1980</v>
      </c>
      <c r="J220" s="163">
        <v>0</v>
      </c>
      <c r="K220" s="163">
        <v>0</v>
      </c>
      <c r="L220" s="165">
        <f t="shared" si="10"/>
        <v>0</v>
      </c>
      <c r="M220" s="163">
        <v>0</v>
      </c>
      <c r="N220" s="163">
        <v>0</v>
      </c>
      <c r="O220" s="165">
        <f t="shared" si="11"/>
        <v>0</v>
      </c>
      <c r="P220" s="36"/>
      <c r="Q220" s="4"/>
    </row>
    <row r="221" spans="1:17" ht="41.4" x14ac:dyDescent="0.3">
      <c r="A221" s="31">
        <v>8</v>
      </c>
      <c r="B221" s="47"/>
      <c r="C221" s="75" t="s">
        <v>1984</v>
      </c>
      <c r="D221" s="31" t="str">
        <f t="shared" si="9"/>
        <v>Do Not Print</v>
      </c>
      <c r="E221" s="1003" t="str">
        <f>E35</f>
        <v>CIES Line 8</v>
      </c>
      <c r="F221" s="213" t="s">
        <v>1966</v>
      </c>
      <c r="G221" s="213" t="s">
        <v>1973</v>
      </c>
      <c r="H221" s="213" t="s">
        <v>1981</v>
      </c>
      <c r="J221" s="163">
        <v>0</v>
      </c>
      <c r="K221" s="163">
        <v>0</v>
      </c>
      <c r="L221" s="165">
        <f t="shared" si="10"/>
        <v>0</v>
      </c>
      <c r="M221" s="163">
        <v>0</v>
      </c>
      <c r="N221" s="163">
        <v>0</v>
      </c>
      <c r="O221" s="165">
        <f t="shared" si="11"/>
        <v>0</v>
      </c>
      <c r="P221" s="36"/>
      <c r="Q221" s="4"/>
    </row>
    <row r="222" spans="1:17" ht="55.2" x14ac:dyDescent="0.3">
      <c r="A222" s="31">
        <v>8</v>
      </c>
      <c r="B222" s="47"/>
      <c r="C222" s="75" t="s">
        <v>1984</v>
      </c>
      <c r="D222" s="31" t="str">
        <f t="shared" si="9"/>
        <v>Do Not Print</v>
      </c>
      <c r="E222" s="1003" t="str">
        <f>E35</f>
        <v>CIES Line 8</v>
      </c>
      <c r="F222" s="213" t="s">
        <v>1966</v>
      </c>
      <c r="G222" s="213" t="s">
        <v>1973</v>
      </c>
      <c r="H222" s="213" t="s">
        <v>1982</v>
      </c>
      <c r="J222" s="163">
        <v>0</v>
      </c>
      <c r="K222" s="163">
        <v>0</v>
      </c>
      <c r="L222" s="165">
        <f t="shared" si="10"/>
        <v>0</v>
      </c>
      <c r="M222" s="163">
        <v>0</v>
      </c>
      <c r="N222" s="163">
        <v>0</v>
      </c>
      <c r="O222" s="165">
        <f t="shared" si="11"/>
        <v>0</v>
      </c>
      <c r="P222" s="36"/>
      <c r="Q222" s="4"/>
    </row>
    <row r="223" spans="1:17" ht="41.4" x14ac:dyDescent="0.3">
      <c r="A223" s="31">
        <v>9</v>
      </c>
      <c r="B223" s="47"/>
      <c r="C223" s="75" t="s">
        <v>1984</v>
      </c>
      <c r="D223" s="31" t="str">
        <f t="shared" si="9"/>
        <v>Do Not Print</v>
      </c>
      <c r="E223" s="1003" t="str">
        <f>E39</f>
        <v>CIES Line 9</v>
      </c>
      <c r="F223" s="213" t="s">
        <v>1966</v>
      </c>
      <c r="G223" s="213" t="s">
        <v>1973</v>
      </c>
      <c r="H223" s="213" t="s">
        <v>1974</v>
      </c>
      <c r="J223" s="163">
        <v>0</v>
      </c>
      <c r="K223" s="163">
        <v>0</v>
      </c>
      <c r="L223" s="165">
        <f t="shared" si="10"/>
        <v>0</v>
      </c>
      <c r="M223" s="163">
        <v>0</v>
      </c>
      <c r="N223" s="163">
        <v>0</v>
      </c>
      <c r="O223" s="165">
        <f t="shared" si="11"/>
        <v>0</v>
      </c>
      <c r="P223" s="36"/>
      <c r="Q223" s="4"/>
    </row>
    <row r="224" spans="1:17" ht="69" x14ac:dyDescent="0.3">
      <c r="A224" s="31">
        <v>9</v>
      </c>
      <c r="B224" s="47"/>
      <c r="C224" s="75" t="s">
        <v>1984</v>
      </c>
      <c r="D224" s="31" t="str">
        <f t="shared" si="9"/>
        <v>Do Not Print</v>
      </c>
      <c r="E224" s="1003" t="str">
        <f>E39</f>
        <v>CIES Line 9</v>
      </c>
      <c r="F224" s="213" t="s">
        <v>1966</v>
      </c>
      <c r="G224" s="213" t="s">
        <v>1973</v>
      </c>
      <c r="H224" s="213" t="s">
        <v>1975</v>
      </c>
      <c r="J224" s="163">
        <v>0</v>
      </c>
      <c r="K224" s="163">
        <v>0</v>
      </c>
      <c r="L224" s="165">
        <f t="shared" si="10"/>
        <v>0</v>
      </c>
      <c r="M224" s="163">
        <v>0</v>
      </c>
      <c r="N224" s="163">
        <v>0</v>
      </c>
      <c r="O224" s="165">
        <f t="shared" si="11"/>
        <v>0</v>
      </c>
      <c r="P224" s="36"/>
      <c r="Q224" s="4"/>
    </row>
    <row r="225" spans="1:17" ht="41.4" x14ac:dyDescent="0.3">
      <c r="A225" s="31">
        <v>9</v>
      </c>
      <c r="B225" s="47"/>
      <c r="C225" s="75" t="s">
        <v>1984</v>
      </c>
      <c r="D225" s="31" t="str">
        <f t="shared" si="9"/>
        <v>Do Not Print</v>
      </c>
      <c r="E225" s="1003" t="str">
        <f>E39</f>
        <v>CIES Line 9</v>
      </c>
      <c r="F225" s="213" t="s">
        <v>1966</v>
      </c>
      <c r="G225" s="213" t="s">
        <v>1973</v>
      </c>
      <c r="H225" s="213" t="s">
        <v>1976</v>
      </c>
      <c r="J225" s="163">
        <v>0</v>
      </c>
      <c r="K225" s="163">
        <v>0</v>
      </c>
      <c r="L225" s="165">
        <f t="shared" si="10"/>
        <v>0</v>
      </c>
      <c r="M225" s="163">
        <v>0</v>
      </c>
      <c r="N225" s="163">
        <v>0</v>
      </c>
      <c r="O225" s="165">
        <f t="shared" si="11"/>
        <v>0</v>
      </c>
      <c r="P225" s="36"/>
      <c r="Q225" s="4"/>
    </row>
    <row r="226" spans="1:17" ht="41.4" x14ac:dyDescent="0.3">
      <c r="A226" s="31">
        <v>9</v>
      </c>
      <c r="B226" s="47"/>
      <c r="C226" s="75" t="s">
        <v>1984</v>
      </c>
      <c r="D226" s="31" t="str">
        <f t="shared" si="9"/>
        <v>Do Not Print</v>
      </c>
      <c r="E226" s="1003" t="str">
        <f>E39</f>
        <v>CIES Line 9</v>
      </c>
      <c r="F226" s="213" t="s">
        <v>1966</v>
      </c>
      <c r="G226" s="213" t="s">
        <v>1973</v>
      </c>
      <c r="H226" s="213" t="s">
        <v>1977</v>
      </c>
      <c r="J226" s="163">
        <v>0</v>
      </c>
      <c r="K226" s="163">
        <v>0</v>
      </c>
      <c r="L226" s="165">
        <f t="shared" si="10"/>
        <v>0</v>
      </c>
      <c r="M226" s="163">
        <v>0</v>
      </c>
      <c r="N226" s="163">
        <v>0</v>
      </c>
      <c r="O226" s="165">
        <f t="shared" si="11"/>
        <v>0</v>
      </c>
      <c r="P226" s="36"/>
      <c r="Q226" s="4"/>
    </row>
    <row r="227" spans="1:17" ht="41.4" x14ac:dyDescent="0.3">
      <c r="A227" s="31">
        <v>9</v>
      </c>
      <c r="B227" s="47"/>
      <c r="C227" s="75" t="s">
        <v>1984</v>
      </c>
      <c r="D227" s="31" t="str">
        <f t="shared" si="9"/>
        <v>Do Not Print</v>
      </c>
      <c r="E227" s="1003" t="str">
        <f>E39</f>
        <v>CIES Line 9</v>
      </c>
      <c r="F227" s="213" t="s">
        <v>1966</v>
      </c>
      <c r="G227" s="213" t="s">
        <v>1973</v>
      </c>
      <c r="H227" s="213" t="s">
        <v>1978</v>
      </c>
      <c r="J227" s="163">
        <v>0</v>
      </c>
      <c r="K227" s="163">
        <v>0</v>
      </c>
      <c r="L227" s="165">
        <f t="shared" si="10"/>
        <v>0</v>
      </c>
      <c r="M227" s="163">
        <v>0</v>
      </c>
      <c r="N227" s="163">
        <v>0</v>
      </c>
      <c r="O227" s="165">
        <f t="shared" si="11"/>
        <v>0</v>
      </c>
      <c r="P227" s="36"/>
      <c r="Q227" s="4"/>
    </row>
    <row r="228" spans="1:17" ht="41.4" x14ac:dyDescent="0.3">
      <c r="A228" s="31">
        <v>9</v>
      </c>
      <c r="B228" s="47"/>
      <c r="C228" s="75" t="s">
        <v>1984</v>
      </c>
      <c r="D228" s="31" t="str">
        <f t="shared" si="9"/>
        <v>Do Not Print</v>
      </c>
      <c r="E228" s="1003" t="str">
        <f>E39</f>
        <v>CIES Line 9</v>
      </c>
      <c r="F228" s="213" t="s">
        <v>1966</v>
      </c>
      <c r="G228" s="213" t="s">
        <v>1973</v>
      </c>
      <c r="H228" s="213" t="s">
        <v>1979</v>
      </c>
      <c r="J228" s="163">
        <v>0</v>
      </c>
      <c r="K228" s="163">
        <v>0</v>
      </c>
      <c r="L228" s="165">
        <f t="shared" si="10"/>
        <v>0</v>
      </c>
      <c r="M228" s="163">
        <v>0</v>
      </c>
      <c r="N228" s="163">
        <v>0</v>
      </c>
      <c r="O228" s="165">
        <f t="shared" si="11"/>
        <v>0</v>
      </c>
      <c r="P228" s="36"/>
      <c r="Q228" s="4"/>
    </row>
    <row r="229" spans="1:17" ht="69" x14ac:dyDescent="0.3">
      <c r="A229" s="31">
        <v>9</v>
      </c>
      <c r="B229" s="47"/>
      <c r="C229" s="75" t="s">
        <v>1984</v>
      </c>
      <c r="D229" s="31" t="str">
        <f t="shared" si="9"/>
        <v>Do Not Print</v>
      </c>
      <c r="E229" s="1003" t="str">
        <f>E39</f>
        <v>CIES Line 9</v>
      </c>
      <c r="F229" s="213" t="s">
        <v>1966</v>
      </c>
      <c r="G229" s="213" t="s">
        <v>1973</v>
      </c>
      <c r="H229" s="213" t="s">
        <v>1980</v>
      </c>
      <c r="J229" s="163">
        <v>0</v>
      </c>
      <c r="K229" s="163">
        <v>0</v>
      </c>
      <c r="L229" s="165">
        <f t="shared" si="10"/>
        <v>0</v>
      </c>
      <c r="M229" s="163">
        <v>0</v>
      </c>
      <c r="N229" s="163">
        <v>0</v>
      </c>
      <c r="O229" s="165">
        <f t="shared" si="11"/>
        <v>0</v>
      </c>
      <c r="P229" s="36"/>
      <c r="Q229" s="4"/>
    </row>
    <row r="230" spans="1:17" ht="41.4" x14ac:dyDescent="0.3">
      <c r="A230" s="31">
        <v>9</v>
      </c>
      <c r="B230" s="47"/>
      <c r="C230" s="75" t="s">
        <v>1984</v>
      </c>
      <c r="D230" s="31" t="str">
        <f t="shared" si="9"/>
        <v>Do Not Print</v>
      </c>
      <c r="E230" s="1003" t="str">
        <f>E39</f>
        <v>CIES Line 9</v>
      </c>
      <c r="F230" s="213" t="s">
        <v>1966</v>
      </c>
      <c r="G230" s="213" t="s">
        <v>1973</v>
      </c>
      <c r="H230" s="213" t="s">
        <v>1981</v>
      </c>
      <c r="J230" s="163">
        <v>0</v>
      </c>
      <c r="K230" s="163">
        <v>0</v>
      </c>
      <c r="L230" s="165">
        <f t="shared" si="10"/>
        <v>0</v>
      </c>
      <c r="M230" s="163">
        <v>0</v>
      </c>
      <c r="N230" s="163">
        <v>0</v>
      </c>
      <c r="O230" s="165">
        <f t="shared" si="11"/>
        <v>0</v>
      </c>
      <c r="P230" s="36"/>
      <c r="Q230" s="4"/>
    </row>
    <row r="231" spans="1:17" ht="55.2" x14ac:dyDescent="0.3">
      <c r="A231" s="31">
        <v>9</v>
      </c>
      <c r="B231" s="47"/>
      <c r="C231" s="75" t="s">
        <v>1984</v>
      </c>
      <c r="D231" s="31" t="str">
        <f t="shared" si="9"/>
        <v>Do Not Print</v>
      </c>
      <c r="E231" s="1003" t="str">
        <f>E39</f>
        <v>CIES Line 9</v>
      </c>
      <c r="F231" s="213" t="s">
        <v>1966</v>
      </c>
      <c r="G231" s="213" t="s">
        <v>1973</v>
      </c>
      <c r="H231" s="213" t="s">
        <v>1982</v>
      </c>
      <c r="J231" s="163">
        <v>0</v>
      </c>
      <c r="K231" s="163">
        <v>0</v>
      </c>
      <c r="L231" s="165">
        <f t="shared" si="10"/>
        <v>0</v>
      </c>
      <c r="M231" s="163">
        <v>0</v>
      </c>
      <c r="N231" s="163">
        <v>0</v>
      </c>
      <c r="O231" s="165">
        <f t="shared" si="11"/>
        <v>0</v>
      </c>
      <c r="P231" s="36"/>
      <c r="Q231" s="4"/>
    </row>
    <row r="232" spans="1:17" ht="41.4" x14ac:dyDescent="0.3">
      <c r="A232" s="31">
        <v>10</v>
      </c>
      <c r="B232" s="47"/>
      <c r="C232" s="75" t="s">
        <v>1984</v>
      </c>
      <c r="D232" s="31" t="str">
        <f t="shared" si="9"/>
        <v>Do Not Print</v>
      </c>
      <c r="E232" s="1003" t="str">
        <f>E43</f>
        <v>CIES Line 10</v>
      </c>
      <c r="F232" s="213" t="s">
        <v>1966</v>
      </c>
      <c r="G232" s="213" t="s">
        <v>1973</v>
      </c>
      <c r="H232" s="213" t="s">
        <v>1974</v>
      </c>
      <c r="J232" s="163">
        <v>0</v>
      </c>
      <c r="K232" s="163">
        <v>0</v>
      </c>
      <c r="L232" s="165">
        <f t="shared" si="10"/>
        <v>0</v>
      </c>
      <c r="M232" s="163">
        <v>0</v>
      </c>
      <c r="N232" s="163">
        <v>0</v>
      </c>
      <c r="O232" s="165">
        <f t="shared" si="11"/>
        <v>0</v>
      </c>
      <c r="P232" s="36"/>
      <c r="Q232" s="4"/>
    </row>
    <row r="233" spans="1:17" ht="69" x14ac:dyDescent="0.3">
      <c r="A233" s="31">
        <v>10</v>
      </c>
      <c r="B233" s="47"/>
      <c r="C233" s="75" t="s">
        <v>1984</v>
      </c>
      <c r="D233" s="31" t="str">
        <f t="shared" si="9"/>
        <v>Do Not Print</v>
      </c>
      <c r="E233" s="1003" t="str">
        <f>E43</f>
        <v>CIES Line 10</v>
      </c>
      <c r="F233" s="213" t="s">
        <v>1966</v>
      </c>
      <c r="G233" s="213" t="s">
        <v>1973</v>
      </c>
      <c r="H233" s="213" t="s">
        <v>1975</v>
      </c>
      <c r="J233" s="163">
        <v>0</v>
      </c>
      <c r="K233" s="163">
        <v>0</v>
      </c>
      <c r="L233" s="165">
        <f t="shared" si="10"/>
        <v>0</v>
      </c>
      <c r="M233" s="163">
        <v>0</v>
      </c>
      <c r="N233" s="163">
        <v>0</v>
      </c>
      <c r="O233" s="165">
        <f t="shared" si="11"/>
        <v>0</v>
      </c>
      <c r="P233" s="36"/>
      <c r="Q233" s="4"/>
    </row>
    <row r="234" spans="1:17" ht="41.4" x14ac:dyDescent="0.3">
      <c r="A234" s="31">
        <v>10</v>
      </c>
      <c r="B234" s="47"/>
      <c r="C234" s="75" t="s">
        <v>1984</v>
      </c>
      <c r="D234" s="31" t="str">
        <f t="shared" si="9"/>
        <v>Do Not Print</v>
      </c>
      <c r="E234" s="1003" t="str">
        <f>E43</f>
        <v>CIES Line 10</v>
      </c>
      <c r="F234" s="213" t="s">
        <v>1966</v>
      </c>
      <c r="G234" s="213" t="s">
        <v>1973</v>
      </c>
      <c r="H234" s="213" t="s">
        <v>1976</v>
      </c>
      <c r="J234" s="163">
        <v>0</v>
      </c>
      <c r="K234" s="163">
        <v>0</v>
      </c>
      <c r="L234" s="165">
        <f t="shared" si="10"/>
        <v>0</v>
      </c>
      <c r="M234" s="163">
        <v>0</v>
      </c>
      <c r="N234" s="163">
        <v>0</v>
      </c>
      <c r="O234" s="165">
        <f t="shared" si="11"/>
        <v>0</v>
      </c>
      <c r="P234" s="36"/>
      <c r="Q234" s="4"/>
    </row>
    <row r="235" spans="1:17" ht="41.4" x14ac:dyDescent="0.3">
      <c r="A235" s="31">
        <v>10</v>
      </c>
      <c r="B235" s="47"/>
      <c r="C235" s="75" t="s">
        <v>1984</v>
      </c>
      <c r="D235" s="31" t="str">
        <f t="shared" si="9"/>
        <v>Do Not Print</v>
      </c>
      <c r="E235" s="1003" t="str">
        <f>E43</f>
        <v>CIES Line 10</v>
      </c>
      <c r="F235" s="213" t="s">
        <v>1966</v>
      </c>
      <c r="G235" s="213" t="s">
        <v>1973</v>
      </c>
      <c r="H235" s="213" t="s">
        <v>1977</v>
      </c>
      <c r="J235" s="163">
        <v>0</v>
      </c>
      <c r="K235" s="163">
        <v>0</v>
      </c>
      <c r="L235" s="165">
        <f t="shared" si="10"/>
        <v>0</v>
      </c>
      <c r="M235" s="163">
        <v>0</v>
      </c>
      <c r="N235" s="163">
        <v>0</v>
      </c>
      <c r="O235" s="165">
        <f t="shared" si="11"/>
        <v>0</v>
      </c>
      <c r="P235" s="36"/>
      <c r="Q235" s="4"/>
    </row>
    <row r="236" spans="1:17" ht="41.4" x14ac:dyDescent="0.3">
      <c r="A236" s="31">
        <v>10</v>
      </c>
      <c r="B236" s="47"/>
      <c r="C236" s="75" t="s">
        <v>1984</v>
      </c>
      <c r="D236" s="31" t="str">
        <f t="shared" si="9"/>
        <v>Do Not Print</v>
      </c>
      <c r="E236" s="1003" t="str">
        <f>E43</f>
        <v>CIES Line 10</v>
      </c>
      <c r="F236" s="213" t="s">
        <v>1966</v>
      </c>
      <c r="G236" s="213" t="s">
        <v>1973</v>
      </c>
      <c r="H236" s="213" t="s">
        <v>1978</v>
      </c>
      <c r="J236" s="163">
        <v>0</v>
      </c>
      <c r="K236" s="163">
        <v>0</v>
      </c>
      <c r="L236" s="165">
        <f t="shared" si="10"/>
        <v>0</v>
      </c>
      <c r="M236" s="163">
        <v>0</v>
      </c>
      <c r="N236" s="163">
        <v>0</v>
      </c>
      <c r="O236" s="165">
        <f t="shared" si="11"/>
        <v>0</v>
      </c>
      <c r="P236" s="36"/>
      <c r="Q236" s="4"/>
    </row>
    <row r="237" spans="1:17" ht="41.4" x14ac:dyDescent="0.3">
      <c r="A237" s="31">
        <v>10</v>
      </c>
      <c r="B237" s="47"/>
      <c r="C237" s="75" t="s">
        <v>1984</v>
      </c>
      <c r="D237" s="31" t="str">
        <f t="shared" si="9"/>
        <v>Do Not Print</v>
      </c>
      <c r="E237" s="1003" t="str">
        <f>E43</f>
        <v>CIES Line 10</v>
      </c>
      <c r="F237" s="213" t="s">
        <v>1966</v>
      </c>
      <c r="G237" s="213" t="s">
        <v>1973</v>
      </c>
      <c r="H237" s="213" t="s">
        <v>1979</v>
      </c>
      <c r="J237" s="163">
        <v>0</v>
      </c>
      <c r="K237" s="163">
        <v>0</v>
      </c>
      <c r="L237" s="165">
        <f t="shared" si="10"/>
        <v>0</v>
      </c>
      <c r="M237" s="163">
        <v>0</v>
      </c>
      <c r="N237" s="163">
        <v>0</v>
      </c>
      <c r="O237" s="165">
        <f t="shared" si="11"/>
        <v>0</v>
      </c>
      <c r="P237" s="36"/>
      <c r="Q237" s="4"/>
    </row>
    <row r="238" spans="1:17" ht="69" x14ac:dyDescent="0.3">
      <c r="A238" s="31">
        <v>10</v>
      </c>
      <c r="B238" s="47"/>
      <c r="C238" s="75" t="s">
        <v>1984</v>
      </c>
      <c r="D238" s="31" t="str">
        <f t="shared" si="9"/>
        <v>Do Not Print</v>
      </c>
      <c r="E238" s="1003" t="str">
        <f>E43</f>
        <v>CIES Line 10</v>
      </c>
      <c r="F238" s="213" t="s">
        <v>1966</v>
      </c>
      <c r="G238" s="213" t="s">
        <v>1973</v>
      </c>
      <c r="H238" s="213" t="s">
        <v>1980</v>
      </c>
      <c r="J238" s="163">
        <v>0</v>
      </c>
      <c r="K238" s="163">
        <v>0</v>
      </c>
      <c r="L238" s="165">
        <f t="shared" si="10"/>
        <v>0</v>
      </c>
      <c r="M238" s="163">
        <v>0</v>
      </c>
      <c r="N238" s="163">
        <v>0</v>
      </c>
      <c r="O238" s="165">
        <f t="shared" si="11"/>
        <v>0</v>
      </c>
      <c r="P238" s="36"/>
      <c r="Q238" s="4"/>
    </row>
    <row r="239" spans="1:17" ht="41.4" x14ac:dyDescent="0.3">
      <c r="A239" s="31">
        <v>10</v>
      </c>
      <c r="B239" s="47"/>
      <c r="C239" s="75" t="s">
        <v>1984</v>
      </c>
      <c r="D239" s="31" t="str">
        <f t="shared" si="9"/>
        <v>Do Not Print</v>
      </c>
      <c r="E239" s="1003" t="str">
        <f>E43</f>
        <v>CIES Line 10</v>
      </c>
      <c r="F239" s="213" t="s">
        <v>1966</v>
      </c>
      <c r="G239" s="213" t="s">
        <v>1973</v>
      </c>
      <c r="H239" s="213" t="s">
        <v>1981</v>
      </c>
      <c r="J239" s="163">
        <v>0</v>
      </c>
      <c r="K239" s="163">
        <v>0</v>
      </c>
      <c r="L239" s="165">
        <f t="shared" si="10"/>
        <v>0</v>
      </c>
      <c r="M239" s="163">
        <v>0</v>
      </c>
      <c r="N239" s="163">
        <v>0</v>
      </c>
      <c r="O239" s="165">
        <f t="shared" si="11"/>
        <v>0</v>
      </c>
      <c r="P239" s="36"/>
      <c r="Q239" s="4"/>
    </row>
    <row r="240" spans="1:17" ht="55.2" x14ac:dyDescent="0.3">
      <c r="A240" s="31">
        <v>10</v>
      </c>
      <c r="B240" s="47"/>
      <c r="C240" s="75" t="s">
        <v>1984</v>
      </c>
      <c r="D240" s="31" t="str">
        <f t="shared" si="9"/>
        <v>Do Not Print</v>
      </c>
      <c r="E240" s="1003" t="str">
        <f>E43</f>
        <v>CIES Line 10</v>
      </c>
      <c r="F240" s="213" t="s">
        <v>1966</v>
      </c>
      <c r="G240" s="213" t="s">
        <v>1973</v>
      </c>
      <c r="H240" s="213" t="s">
        <v>1982</v>
      </c>
      <c r="J240" s="163">
        <v>0</v>
      </c>
      <c r="K240" s="163">
        <v>0</v>
      </c>
      <c r="L240" s="165">
        <f t="shared" si="10"/>
        <v>0</v>
      </c>
      <c r="M240" s="163">
        <v>0</v>
      </c>
      <c r="N240" s="163">
        <v>0</v>
      </c>
      <c r="O240" s="165">
        <f t="shared" si="11"/>
        <v>0</v>
      </c>
      <c r="P240" s="36"/>
      <c r="Q240" s="4"/>
    </row>
    <row r="241" spans="1:17" ht="41.4" x14ac:dyDescent="0.3">
      <c r="A241" s="31">
        <v>11</v>
      </c>
      <c r="B241" s="47"/>
      <c r="C241" s="75" t="s">
        <v>1984</v>
      </c>
      <c r="D241" s="31" t="str">
        <f t="shared" si="9"/>
        <v>Do Not Print</v>
      </c>
      <c r="E241" s="1003" t="str">
        <f>E47</f>
        <v>CIES Line 11</v>
      </c>
      <c r="F241" s="213" t="s">
        <v>1966</v>
      </c>
      <c r="G241" s="213" t="s">
        <v>1973</v>
      </c>
      <c r="H241" s="213" t="s">
        <v>1974</v>
      </c>
      <c r="J241" s="163">
        <v>0</v>
      </c>
      <c r="K241" s="163">
        <v>0</v>
      </c>
      <c r="L241" s="165">
        <f t="shared" si="10"/>
        <v>0</v>
      </c>
      <c r="M241" s="163">
        <v>0</v>
      </c>
      <c r="N241" s="163">
        <v>0</v>
      </c>
      <c r="O241" s="165">
        <f t="shared" si="11"/>
        <v>0</v>
      </c>
      <c r="P241" s="36"/>
      <c r="Q241" s="4"/>
    </row>
    <row r="242" spans="1:17" ht="69" x14ac:dyDescent="0.3">
      <c r="A242" s="31">
        <v>11</v>
      </c>
      <c r="B242" s="47"/>
      <c r="C242" s="75" t="s">
        <v>1984</v>
      </c>
      <c r="D242" s="31" t="str">
        <f t="shared" si="9"/>
        <v>Do Not Print</v>
      </c>
      <c r="E242" s="1003" t="str">
        <f>E47</f>
        <v>CIES Line 11</v>
      </c>
      <c r="F242" s="213" t="s">
        <v>1966</v>
      </c>
      <c r="G242" s="213" t="s">
        <v>1973</v>
      </c>
      <c r="H242" s="213" t="s">
        <v>1975</v>
      </c>
      <c r="J242" s="163">
        <v>0</v>
      </c>
      <c r="K242" s="163">
        <v>0</v>
      </c>
      <c r="L242" s="165">
        <f t="shared" si="10"/>
        <v>0</v>
      </c>
      <c r="M242" s="163">
        <v>0</v>
      </c>
      <c r="N242" s="163">
        <v>0</v>
      </c>
      <c r="O242" s="165">
        <f t="shared" si="11"/>
        <v>0</v>
      </c>
      <c r="P242" s="36"/>
      <c r="Q242" s="4"/>
    </row>
    <row r="243" spans="1:17" ht="41.4" x14ac:dyDescent="0.3">
      <c r="A243" s="31">
        <v>11</v>
      </c>
      <c r="B243" s="47"/>
      <c r="C243" s="75" t="s">
        <v>1984</v>
      </c>
      <c r="D243" s="31" t="str">
        <f t="shared" si="9"/>
        <v>Do Not Print</v>
      </c>
      <c r="E243" s="1003" t="str">
        <f>E47</f>
        <v>CIES Line 11</v>
      </c>
      <c r="F243" s="213" t="s">
        <v>1966</v>
      </c>
      <c r="G243" s="213" t="s">
        <v>1973</v>
      </c>
      <c r="H243" s="213" t="s">
        <v>1976</v>
      </c>
      <c r="J243" s="163">
        <v>0</v>
      </c>
      <c r="K243" s="163">
        <v>0</v>
      </c>
      <c r="L243" s="165">
        <f t="shared" si="10"/>
        <v>0</v>
      </c>
      <c r="M243" s="163">
        <v>0</v>
      </c>
      <c r="N243" s="163">
        <v>0</v>
      </c>
      <c r="O243" s="165">
        <f t="shared" si="11"/>
        <v>0</v>
      </c>
      <c r="P243" s="36"/>
      <c r="Q243" s="4"/>
    </row>
    <row r="244" spans="1:17" ht="41.4" x14ac:dyDescent="0.3">
      <c r="A244" s="31">
        <v>11</v>
      </c>
      <c r="B244" s="47"/>
      <c r="C244" s="75" t="s">
        <v>1984</v>
      </c>
      <c r="D244" s="31" t="str">
        <f t="shared" si="9"/>
        <v>Do Not Print</v>
      </c>
      <c r="E244" s="1003" t="str">
        <f>E47</f>
        <v>CIES Line 11</v>
      </c>
      <c r="F244" s="213" t="s">
        <v>1966</v>
      </c>
      <c r="G244" s="213" t="s">
        <v>1973</v>
      </c>
      <c r="H244" s="213" t="s">
        <v>1977</v>
      </c>
      <c r="J244" s="163">
        <v>0</v>
      </c>
      <c r="K244" s="163">
        <v>0</v>
      </c>
      <c r="L244" s="165">
        <f t="shared" si="10"/>
        <v>0</v>
      </c>
      <c r="M244" s="163">
        <v>0</v>
      </c>
      <c r="N244" s="163">
        <v>0</v>
      </c>
      <c r="O244" s="165">
        <f t="shared" si="11"/>
        <v>0</v>
      </c>
      <c r="P244" s="36"/>
      <c r="Q244" s="4"/>
    </row>
    <row r="245" spans="1:17" ht="41.4" x14ac:dyDescent="0.3">
      <c r="A245" s="31">
        <v>11</v>
      </c>
      <c r="B245" s="47"/>
      <c r="C245" s="75" t="s">
        <v>1984</v>
      </c>
      <c r="D245" s="31" t="str">
        <f t="shared" si="9"/>
        <v>Do Not Print</v>
      </c>
      <c r="E245" s="1003" t="str">
        <f>E47</f>
        <v>CIES Line 11</v>
      </c>
      <c r="F245" s="213" t="s">
        <v>1966</v>
      </c>
      <c r="G245" s="213" t="s">
        <v>1973</v>
      </c>
      <c r="H245" s="213" t="s">
        <v>1978</v>
      </c>
      <c r="J245" s="163">
        <v>0</v>
      </c>
      <c r="K245" s="163">
        <v>0</v>
      </c>
      <c r="L245" s="165">
        <f t="shared" si="10"/>
        <v>0</v>
      </c>
      <c r="M245" s="163">
        <v>0</v>
      </c>
      <c r="N245" s="163">
        <v>0</v>
      </c>
      <c r="O245" s="165">
        <f t="shared" si="11"/>
        <v>0</v>
      </c>
      <c r="P245" s="36"/>
      <c r="Q245" s="4"/>
    </row>
    <row r="246" spans="1:17" ht="41.4" x14ac:dyDescent="0.3">
      <c r="A246" s="31">
        <v>11</v>
      </c>
      <c r="B246" s="47"/>
      <c r="C246" s="75" t="s">
        <v>1984</v>
      </c>
      <c r="D246" s="31" t="str">
        <f t="shared" si="9"/>
        <v>Do Not Print</v>
      </c>
      <c r="E246" s="1003" t="str">
        <f>E47</f>
        <v>CIES Line 11</v>
      </c>
      <c r="F246" s="213" t="s">
        <v>1966</v>
      </c>
      <c r="G246" s="213" t="s">
        <v>1973</v>
      </c>
      <c r="H246" s="213" t="s">
        <v>1979</v>
      </c>
      <c r="J246" s="163">
        <v>0</v>
      </c>
      <c r="K246" s="163">
        <v>0</v>
      </c>
      <c r="L246" s="165">
        <f t="shared" si="10"/>
        <v>0</v>
      </c>
      <c r="M246" s="163">
        <v>0</v>
      </c>
      <c r="N246" s="163">
        <v>0</v>
      </c>
      <c r="O246" s="165">
        <f t="shared" si="11"/>
        <v>0</v>
      </c>
      <c r="P246" s="36"/>
      <c r="Q246" s="4"/>
    </row>
    <row r="247" spans="1:17" ht="69" x14ac:dyDescent="0.3">
      <c r="A247" s="31">
        <v>11</v>
      </c>
      <c r="B247" s="47"/>
      <c r="C247" s="75" t="s">
        <v>1984</v>
      </c>
      <c r="D247" s="31" t="str">
        <f t="shared" si="9"/>
        <v>Do Not Print</v>
      </c>
      <c r="E247" s="1003" t="str">
        <f>E47</f>
        <v>CIES Line 11</v>
      </c>
      <c r="F247" s="213" t="s">
        <v>1966</v>
      </c>
      <c r="G247" s="213" t="s">
        <v>1973</v>
      </c>
      <c r="H247" s="213" t="s">
        <v>1980</v>
      </c>
      <c r="J247" s="163">
        <v>0</v>
      </c>
      <c r="K247" s="163">
        <v>0</v>
      </c>
      <c r="L247" s="165">
        <f t="shared" si="10"/>
        <v>0</v>
      </c>
      <c r="M247" s="163">
        <v>0</v>
      </c>
      <c r="N247" s="163">
        <v>0</v>
      </c>
      <c r="O247" s="165">
        <f t="shared" si="11"/>
        <v>0</v>
      </c>
      <c r="P247" s="36"/>
      <c r="Q247" s="4"/>
    </row>
    <row r="248" spans="1:17" ht="41.4" x14ac:dyDescent="0.3">
      <c r="A248" s="31">
        <v>11</v>
      </c>
      <c r="B248" s="47"/>
      <c r="C248" s="75" t="s">
        <v>1984</v>
      </c>
      <c r="D248" s="31" t="str">
        <f t="shared" si="9"/>
        <v>Do Not Print</v>
      </c>
      <c r="E248" s="1003" t="str">
        <f>E47</f>
        <v>CIES Line 11</v>
      </c>
      <c r="F248" s="213" t="s">
        <v>1966</v>
      </c>
      <c r="G248" s="213" t="s">
        <v>1973</v>
      </c>
      <c r="H248" s="213" t="s">
        <v>1981</v>
      </c>
      <c r="J248" s="163">
        <v>0</v>
      </c>
      <c r="K248" s="163">
        <v>0</v>
      </c>
      <c r="L248" s="165">
        <f t="shared" si="10"/>
        <v>0</v>
      </c>
      <c r="M248" s="163">
        <v>0</v>
      </c>
      <c r="N248" s="163">
        <v>0</v>
      </c>
      <c r="O248" s="165">
        <f t="shared" si="11"/>
        <v>0</v>
      </c>
      <c r="P248" s="36"/>
      <c r="Q248" s="4"/>
    </row>
    <row r="249" spans="1:17" ht="55.2" x14ac:dyDescent="0.3">
      <c r="A249" s="31">
        <v>11</v>
      </c>
      <c r="B249" s="47"/>
      <c r="C249" s="75" t="s">
        <v>1984</v>
      </c>
      <c r="D249" s="31" t="str">
        <f t="shared" si="9"/>
        <v>Do Not Print</v>
      </c>
      <c r="E249" s="1003" t="str">
        <f>E47</f>
        <v>CIES Line 11</v>
      </c>
      <c r="F249" s="213" t="s">
        <v>1966</v>
      </c>
      <c r="G249" s="213" t="s">
        <v>1973</v>
      </c>
      <c r="H249" s="213" t="s">
        <v>1982</v>
      </c>
      <c r="J249" s="163">
        <v>0</v>
      </c>
      <c r="K249" s="163">
        <v>0</v>
      </c>
      <c r="L249" s="165">
        <f t="shared" si="10"/>
        <v>0</v>
      </c>
      <c r="M249" s="163">
        <v>0</v>
      </c>
      <c r="N249" s="163">
        <v>0</v>
      </c>
      <c r="O249" s="165">
        <f t="shared" si="11"/>
        <v>0</v>
      </c>
      <c r="P249" s="36"/>
      <c r="Q249" s="4"/>
    </row>
    <row r="250" spans="1:17" ht="41.4" x14ac:dyDescent="0.3">
      <c r="A250" s="31">
        <v>12</v>
      </c>
      <c r="B250" s="47"/>
      <c r="C250" s="75" t="s">
        <v>1984</v>
      </c>
      <c r="D250" s="31" t="str">
        <f t="shared" si="9"/>
        <v>Do Not Print</v>
      </c>
      <c r="E250" s="1003" t="str">
        <f>E51</f>
        <v>CIES Line 12</v>
      </c>
      <c r="F250" s="213" t="s">
        <v>1966</v>
      </c>
      <c r="G250" s="213" t="s">
        <v>1973</v>
      </c>
      <c r="H250" s="213" t="s">
        <v>1974</v>
      </c>
      <c r="J250" s="163">
        <v>0</v>
      </c>
      <c r="K250" s="163">
        <v>0</v>
      </c>
      <c r="L250" s="165">
        <f t="shared" si="10"/>
        <v>0</v>
      </c>
      <c r="M250" s="163">
        <v>0</v>
      </c>
      <c r="N250" s="163">
        <v>0</v>
      </c>
      <c r="O250" s="165">
        <f t="shared" si="11"/>
        <v>0</v>
      </c>
      <c r="P250" s="36"/>
      <c r="Q250" s="4"/>
    </row>
    <row r="251" spans="1:17" ht="69" x14ac:dyDescent="0.3">
      <c r="A251" s="31">
        <v>12</v>
      </c>
      <c r="B251" s="47"/>
      <c r="C251" s="75" t="s">
        <v>1984</v>
      </c>
      <c r="D251" s="31" t="str">
        <f t="shared" si="9"/>
        <v>Do Not Print</v>
      </c>
      <c r="E251" s="1003" t="str">
        <f>E51</f>
        <v>CIES Line 12</v>
      </c>
      <c r="F251" s="213" t="s">
        <v>1966</v>
      </c>
      <c r="G251" s="213" t="s">
        <v>1973</v>
      </c>
      <c r="H251" s="213" t="s">
        <v>1975</v>
      </c>
      <c r="J251" s="163">
        <v>0</v>
      </c>
      <c r="K251" s="163">
        <v>0</v>
      </c>
      <c r="L251" s="165">
        <f t="shared" si="10"/>
        <v>0</v>
      </c>
      <c r="M251" s="163">
        <v>0</v>
      </c>
      <c r="N251" s="163">
        <v>0</v>
      </c>
      <c r="O251" s="165">
        <f t="shared" si="11"/>
        <v>0</v>
      </c>
      <c r="P251" s="36"/>
      <c r="Q251" s="4"/>
    </row>
    <row r="252" spans="1:17" ht="41.4" x14ac:dyDescent="0.3">
      <c r="A252" s="31">
        <v>12</v>
      </c>
      <c r="B252" s="47"/>
      <c r="C252" s="75" t="s">
        <v>1984</v>
      </c>
      <c r="D252" s="31" t="str">
        <f t="shared" si="9"/>
        <v>Do Not Print</v>
      </c>
      <c r="E252" s="1003" t="str">
        <f>E51</f>
        <v>CIES Line 12</v>
      </c>
      <c r="F252" s="213" t="s">
        <v>1966</v>
      </c>
      <c r="G252" s="213" t="s">
        <v>1973</v>
      </c>
      <c r="H252" s="213" t="s">
        <v>1976</v>
      </c>
      <c r="J252" s="163">
        <v>0</v>
      </c>
      <c r="K252" s="163">
        <v>0</v>
      </c>
      <c r="L252" s="165">
        <f t="shared" si="10"/>
        <v>0</v>
      </c>
      <c r="M252" s="163">
        <v>0</v>
      </c>
      <c r="N252" s="163">
        <v>0</v>
      </c>
      <c r="O252" s="165">
        <f t="shared" si="11"/>
        <v>0</v>
      </c>
      <c r="P252" s="36"/>
      <c r="Q252" s="4"/>
    </row>
    <row r="253" spans="1:17" ht="41.4" x14ac:dyDescent="0.3">
      <c r="A253" s="31">
        <v>12</v>
      </c>
      <c r="B253" s="47"/>
      <c r="C253" s="75" t="s">
        <v>1984</v>
      </c>
      <c r="D253" s="31" t="str">
        <f t="shared" si="9"/>
        <v>Do Not Print</v>
      </c>
      <c r="E253" s="1003" t="str">
        <f>E51</f>
        <v>CIES Line 12</v>
      </c>
      <c r="F253" s="213" t="s">
        <v>1966</v>
      </c>
      <c r="G253" s="213" t="s">
        <v>1973</v>
      </c>
      <c r="H253" s="213" t="s">
        <v>1977</v>
      </c>
      <c r="J253" s="163">
        <v>0</v>
      </c>
      <c r="K253" s="163">
        <v>0</v>
      </c>
      <c r="L253" s="165">
        <f t="shared" si="10"/>
        <v>0</v>
      </c>
      <c r="M253" s="163">
        <v>0</v>
      </c>
      <c r="N253" s="163">
        <v>0</v>
      </c>
      <c r="O253" s="165">
        <f t="shared" si="11"/>
        <v>0</v>
      </c>
      <c r="P253" s="36"/>
      <c r="Q253" s="4"/>
    </row>
    <row r="254" spans="1:17" ht="41.4" x14ac:dyDescent="0.3">
      <c r="A254" s="31">
        <v>12</v>
      </c>
      <c r="B254" s="47"/>
      <c r="C254" s="75" t="s">
        <v>1984</v>
      </c>
      <c r="D254" s="31" t="str">
        <f t="shared" si="9"/>
        <v>Do Not Print</v>
      </c>
      <c r="E254" s="1003" t="str">
        <f>E51</f>
        <v>CIES Line 12</v>
      </c>
      <c r="F254" s="213" t="s">
        <v>1966</v>
      </c>
      <c r="G254" s="213" t="s">
        <v>1973</v>
      </c>
      <c r="H254" s="213" t="s">
        <v>1978</v>
      </c>
      <c r="J254" s="163">
        <v>0</v>
      </c>
      <c r="K254" s="163">
        <v>0</v>
      </c>
      <c r="L254" s="165">
        <f t="shared" si="10"/>
        <v>0</v>
      </c>
      <c r="M254" s="163">
        <v>0</v>
      </c>
      <c r="N254" s="163">
        <v>0</v>
      </c>
      <c r="O254" s="165">
        <f t="shared" si="11"/>
        <v>0</v>
      </c>
      <c r="P254" s="36"/>
      <c r="Q254" s="4"/>
    </row>
    <row r="255" spans="1:17" ht="41.4" x14ac:dyDescent="0.3">
      <c r="A255" s="31">
        <v>12</v>
      </c>
      <c r="B255" s="47"/>
      <c r="C255" s="75" t="s">
        <v>1984</v>
      </c>
      <c r="D255" s="31" t="str">
        <f t="shared" si="9"/>
        <v>Do Not Print</v>
      </c>
      <c r="E255" s="1003" t="str">
        <f>E51</f>
        <v>CIES Line 12</v>
      </c>
      <c r="F255" s="213" t="s">
        <v>1966</v>
      </c>
      <c r="G255" s="213" t="s">
        <v>1973</v>
      </c>
      <c r="H255" s="213" t="s">
        <v>1979</v>
      </c>
      <c r="J255" s="163">
        <v>0</v>
      </c>
      <c r="K255" s="163">
        <v>0</v>
      </c>
      <c r="L255" s="165">
        <f t="shared" si="10"/>
        <v>0</v>
      </c>
      <c r="M255" s="163">
        <v>0</v>
      </c>
      <c r="N255" s="163">
        <v>0</v>
      </c>
      <c r="O255" s="165">
        <f t="shared" si="11"/>
        <v>0</v>
      </c>
      <c r="P255" s="36"/>
      <c r="Q255" s="4"/>
    </row>
    <row r="256" spans="1:17" ht="69" x14ac:dyDescent="0.3">
      <c r="A256" s="31">
        <v>12</v>
      </c>
      <c r="B256" s="47"/>
      <c r="C256" s="75" t="s">
        <v>1984</v>
      </c>
      <c r="D256" s="31" t="str">
        <f t="shared" si="9"/>
        <v>Do Not Print</v>
      </c>
      <c r="E256" s="1003" t="str">
        <f>E51</f>
        <v>CIES Line 12</v>
      </c>
      <c r="F256" s="213" t="s">
        <v>1966</v>
      </c>
      <c r="G256" s="213" t="s">
        <v>1973</v>
      </c>
      <c r="H256" s="213" t="s">
        <v>1980</v>
      </c>
      <c r="J256" s="163">
        <v>0</v>
      </c>
      <c r="K256" s="163">
        <v>0</v>
      </c>
      <c r="L256" s="165">
        <f t="shared" si="10"/>
        <v>0</v>
      </c>
      <c r="M256" s="163">
        <v>0</v>
      </c>
      <c r="N256" s="163">
        <v>0</v>
      </c>
      <c r="O256" s="165">
        <f t="shared" si="11"/>
        <v>0</v>
      </c>
      <c r="P256" s="36"/>
      <c r="Q256" s="4"/>
    </row>
    <row r="257" spans="1:17" ht="41.4" x14ac:dyDescent="0.3">
      <c r="A257" s="31">
        <v>12</v>
      </c>
      <c r="B257" s="47"/>
      <c r="C257" s="75" t="s">
        <v>1984</v>
      </c>
      <c r="D257" s="31" t="str">
        <f t="shared" si="9"/>
        <v>Do Not Print</v>
      </c>
      <c r="E257" s="1003" t="str">
        <f>E51</f>
        <v>CIES Line 12</v>
      </c>
      <c r="F257" s="213" t="s">
        <v>1966</v>
      </c>
      <c r="G257" s="213" t="s">
        <v>1973</v>
      </c>
      <c r="H257" s="213" t="s">
        <v>1981</v>
      </c>
      <c r="J257" s="163">
        <v>0</v>
      </c>
      <c r="K257" s="163">
        <v>0</v>
      </c>
      <c r="L257" s="165">
        <f t="shared" si="10"/>
        <v>0</v>
      </c>
      <c r="M257" s="163">
        <v>0</v>
      </c>
      <c r="N257" s="163">
        <v>0</v>
      </c>
      <c r="O257" s="165">
        <f t="shared" si="11"/>
        <v>0</v>
      </c>
      <c r="P257" s="36"/>
      <c r="Q257" s="4"/>
    </row>
    <row r="258" spans="1:17" ht="55.2" x14ac:dyDescent="0.3">
      <c r="A258" s="31">
        <v>12</v>
      </c>
      <c r="B258" s="47"/>
      <c r="C258" s="75" t="s">
        <v>1984</v>
      </c>
      <c r="D258" s="31" t="str">
        <f t="shared" si="9"/>
        <v>Do Not Print</v>
      </c>
      <c r="E258" s="1003" t="str">
        <f>E51</f>
        <v>CIES Line 12</v>
      </c>
      <c r="F258" s="213" t="s">
        <v>1966</v>
      </c>
      <c r="G258" s="213" t="s">
        <v>1973</v>
      </c>
      <c r="H258" s="213" t="s">
        <v>1982</v>
      </c>
      <c r="J258" s="163">
        <v>0</v>
      </c>
      <c r="K258" s="163">
        <v>0</v>
      </c>
      <c r="L258" s="165">
        <f t="shared" si="10"/>
        <v>0</v>
      </c>
      <c r="M258" s="163">
        <v>0</v>
      </c>
      <c r="N258" s="163">
        <v>0</v>
      </c>
      <c r="O258" s="165">
        <f t="shared" si="11"/>
        <v>0</v>
      </c>
      <c r="P258" s="36"/>
      <c r="Q258" s="4"/>
    </row>
    <row r="259" spans="1:17" ht="41.4" x14ac:dyDescent="0.3">
      <c r="A259" s="31">
        <v>13</v>
      </c>
      <c r="B259" s="47"/>
      <c r="C259" s="75" t="s">
        <v>1984</v>
      </c>
      <c r="D259" s="31" t="str">
        <f t="shared" si="9"/>
        <v>Do Not Print</v>
      </c>
      <c r="E259" s="1003" t="str">
        <f>E55</f>
        <v>CIES Line 13</v>
      </c>
      <c r="F259" s="213" t="s">
        <v>1966</v>
      </c>
      <c r="G259" s="213" t="s">
        <v>1973</v>
      </c>
      <c r="H259" s="213" t="s">
        <v>1974</v>
      </c>
      <c r="J259" s="163">
        <v>0</v>
      </c>
      <c r="K259" s="163">
        <v>0</v>
      </c>
      <c r="L259" s="165">
        <f t="shared" si="10"/>
        <v>0</v>
      </c>
      <c r="M259" s="163">
        <v>0</v>
      </c>
      <c r="N259" s="163">
        <v>0</v>
      </c>
      <c r="O259" s="165">
        <f t="shared" si="11"/>
        <v>0</v>
      </c>
      <c r="P259" s="36"/>
      <c r="Q259" s="4"/>
    </row>
    <row r="260" spans="1:17" ht="69" x14ac:dyDescent="0.3">
      <c r="A260" s="31">
        <v>13</v>
      </c>
      <c r="B260" s="47"/>
      <c r="C260" s="75" t="s">
        <v>1984</v>
      </c>
      <c r="D260" s="31" t="str">
        <f t="shared" ref="D260:D323" si="12">IF(AND(L260=0,O260=0),"Do Not Print","Print")</f>
        <v>Do Not Print</v>
      </c>
      <c r="E260" s="1003" t="str">
        <f>E55</f>
        <v>CIES Line 13</v>
      </c>
      <c r="F260" s="213" t="s">
        <v>1966</v>
      </c>
      <c r="G260" s="213" t="s">
        <v>1973</v>
      </c>
      <c r="H260" s="213" t="s">
        <v>1975</v>
      </c>
      <c r="J260" s="163">
        <v>0</v>
      </c>
      <c r="K260" s="163">
        <v>0</v>
      </c>
      <c r="L260" s="165">
        <f t="shared" ref="L260:L323" si="13">SUM(J260:K260)</f>
        <v>0</v>
      </c>
      <c r="M260" s="163">
        <v>0</v>
      </c>
      <c r="N260" s="163">
        <v>0</v>
      </c>
      <c r="O260" s="165">
        <f t="shared" ref="O260:O323" si="14">SUM(M260:N260)</f>
        <v>0</v>
      </c>
      <c r="P260" s="36"/>
      <c r="Q260" s="4"/>
    </row>
    <row r="261" spans="1:17" ht="41.4" x14ac:dyDescent="0.3">
      <c r="A261" s="31">
        <v>13</v>
      </c>
      <c r="B261" s="47"/>
      <c r="C261" s="75" t="s">
        <v>1984</v>
      </c>
      <c r="D261" s="31" t="str">
        <f t="shared" si="12"/>
        <v>Do Not Print</v>
      </c>
      <c r="E261" s="1003" t="str">
        <f>E55</f>
        <v>CIES Line 13</v>
      </c>
      <c r="F261" s="213" t="s">
        <v>1966</v>
      </c>
      <c r="G261" s="213" t="s">
        <v>1973</v>
      </c>
      <c r="H261" s="213" t="s">
        <v>1976</v>
      </c>
      <c r="J261" s="163">
        <v>0</v>
      </c>
      <c r="K261" s="163">
        <v>0</v>
      </c>
      <c r="L261" s="165">
        <f t="shared" si="13"/>
        <v>0</v>
      </c>
      <c r="M261" s="163">
        <v>0</v>
      </c>
      <c r="N261" s="163">
        <v>0</v>
      </c>
      <c r="O261" s="165">
        <f t="shared" si="14"/>
        <v>0</v>
      </c>
      <c r="P261" s="36"/>
      <c r="Q261" s="4"/>
    </row>
    <row r="262" spans="1:17" ht="41.4" x14ac:dyDescent="0.3">
      <c r="A262" s="31">
        <v>13</v>
      </c>
      <c r="B262" s="47"/>
      <c r="C262" s="75" t="s">
        <v>1984</v>
      </c>
      <c r="D262" s="31" t="str">
        <f t="shared" si="12"/>
        <v>Do Not Print</v>
      </c>
      <c r="E262" s="1003" t="str">
        <f>E55</f>
        <v>CIES Line 13</v>
      </c>
      <c r="F262" s="213" t="s">
        <v>1966</v>
      </c>
      <c r="G262" s="213" t="s">
        <v>1973</v>
      </c>
      <c r="H262" s="213" t="s">
        <v>1977</v>
      </c>
      <c r="J262" s="163">
        <v>0</v>
      </c>
      <c r="K262" s="163">
        <v>0</v>
      </c>
      <c r="L262" s="165">
        <f t="shared" si="13"/>
        <v>0</v>
      </c>
      <c r="M262" s="163">
        <v>0</v>
      </c>
      <c r="N262" s="163">
        <v>0</v>
      </c>
      <c r="O262" s="165">
        <f t="shared" si="14"/>
        <v>0</v>
      </c>
      <c r="P262" s="36"/>
      <c r="Q262" s="4"/>
    </row>
    <row r="263" spans="1:17" ht="41.4" x14ac:dyDescent="0.3">
      <c r="A263" s="31">
        <v>13</v>
      </c>
      <c r="B263" s="47"/>
      <c r="C263" s="75" t="s">
        <v>1984</v>
      </c>
      <c r="D263" s="31" t="str">
        <f t="shared" si="12"/>
        <v>Do Not Print</v>
      </c>
      <c r="E263" s="1003" t="str">
        <f>E55</f>
        <v>CIES Line 13</v>
      </c>
      <c r="F263" s="213" t="s">
        <v>1966</v>
      </c>
      <c r="G263" s="213" t="s">
        <v>1973</v>
      </c>
      <c r="H263" s="213" t="s">
        <v>1978</v>
      </c>
      <c r="J263" s="163">
        <v>0</v>
      </c>
      <c r="K263" s="163">
        <v>0</v>
      </c>
      <c r="L263" s="165">
        <f t="shared" si="13"/>
        <v>0</v>
      </c>
      <c r="M263" s="163">
        <v>0</v>
      </c>
      <c r="N263" s="163">
        <v>0</v>
      </c>
      <c r="O263" s="165">
        <f t="shared" si="14"/>
        <v>0</v>
      </c>
      <c r="P263" s="36"/>
      <c r="Q263" s="4"/>
    </row>
    <row r="264" spans="1:17" ht="41.4" x14ac:dyDescent="0.3">
      <c r="A264" s="31">
        <v>13</v>
      </c>
      <c r="B264" s="47"/>
      <c r="C264" s="75" t="s">
        <v>1984</v>
      </c>
      <c r="D264" s="31" t="str">
        <f t="shared" si="12"/>
        <v>Do Not Print</v>
      </c>
      <c r="E264" s="1003" t="str">
        <f>E55</f>
        <v>CIES Line 13</v>
      </c>
      <c r="F264" s="213" t="s">
        <v>1966</v>
      </c>
      <c r="G264" s="213" t="s">
        <v>1973</v>
      </c>
      <c r="H264" s="213" t="s">
        <v>1979</v>
      </c>
      <c r="J264" s="163">
        <v>0</v>
      </c>
      <c r="K264" s="163">
        <v>0</v>
      </c>
      <c r="L264" s="165">
        <f t="shared" si="13"/>
        <v>0</v>
      </c>
      <c r="M264" s="163">
        <v>0</v>
      </c>
      <c r="N264" s="163">
        <v>0</v>
      </c>
      <c r="O264" s="165">
        <f t="shared" si="14"/>
        <v>0</v>
      </c>
      <c r="P264" s="36"/>
      <c r="Q264" s="4"/>
    </row>
    <row r="265" spans="1:17" ht="69" x14ac:dyDescent="0.3">
      <c r="A265" s="31">
        <v>13</v>
      </c>
      <c r="B265" s="47"/>
      <c r="C265" s="75" t="s">
        <v>1984</v>
      </c>
      <c r="D265" s="31" t="str">
        <f t="shared" si="12"/>
        <v>Do Not Print</v>
      </c>
      <c r="E265" s="1003" t="str">
        <f>E55</f>
        <v>CIES Line 13</v>
      </c>
      <c r="F265" s="213" t="s">
        <v>1966</v>
      </c>
      <c r="G265" s="213" t="s">
        <v>1973</v>
      </c>
      <c r="H265" s="213" t="s">
        <v>1980</v>
      </c>
      <c r="J265" s="163">
        <v>0</v>
      </c>
      <c r="K265" s="163">
        <v>0</v>
      </c>
      <c r="L265" s="165">
        <f t="shared" si="13"/>
        <v>0</v>
      </c>
      <c r="M265" s="163">
        <v>0</v>
      </c>
      <c r="N265" s="163">
        <v>0</v>
      </c>
      <c r="O265" s="165">
        <f t="shared" si="14"/>
        <v>0</v>
      </c>
      <c r="P265" s="36"/>
      <c r="Q265" s="4"/>
    </row>
    <row r="266" spans="1:17" ht="41.4" x14ac:dyDescent="0.3">
      <c r="A266" s="31">
        <v>13</v>
      </c>
      <c r="B266" s="47"/>
      <c r="C266" s="75" t="s">
        <v>1984</v>
      </c>
      <c r="D266" s="31" t="str">
        <f t="shared" si="12"/>
        <v>Do Not Print</v>
      </c>
      <c r="E266" s="1003" t="str">
        <f>E55</f>
        <v>CIES Line 13</v>
      </c>
      <c r="F266" s="213" t="s">
        <v>1966</v>
      </c>
      <c r="G266" s="213" t="s">
        <v>1973</v>
      </c>
      <c r="H266" s="213" t="s">
        <v>1981</v>
      </c>
      <c r="J266" s="163">
        <v>0</v>
      </c>
      <c r="K266" s="163">
        <v>0</v>
      </c>
      <c r="L266" s="165">
        <f t="shared" si="13"/>
        <v>0</v>
      </c>
      <c r="M266" s="163">
        <v>0</v>
      </c>
      <c r="N266" s="163">
        <v>0</v>
      </c>
      <c r="O266" s="165">
        <f t="shared" si="14"/>
        <v>0</v>
      </c>
      <c r="P266" s="36"/>
      <c r="Q266" s="4"/>
    </row>
    <row r="267" spans="1:17" ht="55.2" x14ac:dyDescent="0.3">
      <c r="A267" s="31">
        <v>13</v>
      </c>
      <c r="B267" s="47"/>
      <c r="C267" s="75" t="s">
        <v>1984</v>
      </c>
      <c r="D267" s="31" t="str">
        <f t="shared" si="12"/>
        <v>Do Not Print</v>
      </c>
      <c r="E267" s="1003" t="str">
        <f>E55</f>
        <v>CIES Line 13</v>
      </c>
      <c r="F267" s="213" t="s">
        <v>1966</v>
      </c>
      <c r="G267" s="213" t="s">
        <v>1973</v>
      </c>
      <c r="H267" s="213" t="s">
        <v>1982</v>
      </c>
      <c r="J267" s="163">
        <v>0</v>
      </c>
      <c r="K267" s="163">
        <v>0</v>
      </c>
      <c r="L267" s="165">
        <f t="shared" si="13"/>
        <v>0</v>
      </c>
      <c r="M267" s="163">
        <v>0</v>
      </c>
      <c r="N267" s="163">
        <v>0</v>
      </c>
      <c r="O267" s="165">
        <f t="shared" si="14"/>
        <v>0</v>
      </c>
      <c r="P267" s="36"/>
      <c r="Q267" s="4"/>
    </row>
    <row r="268" spans="1:17" ht="41.4" x14ac:dyDescent="0.3">
      <c r="A268" s="31">
        <v>14</v>
      </c>
      <c r="B268" s="47"/>
      <c r="C268" s="75" t="s">
        <v>1984</v>
      </c>
      <c r="D268" s="31" t="str">
        <f t="shared" si="12"/>
        <v>Do Not Print</v>
      </c>
      <c r="E268" s="1003" t="str">
        <f>E59</f>
        <v>CIES Line 14</v>
      </c>
      <c r="F268" s="213" t="s">
        <v>1966</v>
      </c>
      <c r="G268" s="213" t="s">
        <v>1973</v>
      </c>
      <c r="H268" s="213" t="s">
        <v>1974</v>
      </c>
      <c r="J268" s="163">
        <v>0</v>
      </c>
      <c r="K268" s="163">
        <v>0</v>
      </c>
      <c r="L268" s="165">
        <f t="shared" si="13"/>
        <v>0</v>
      </c>
      <c r="M268" s="163">
        <v>0</v>
      </c>
      <c r="N268" s="163">
        <v>0</v>
      </c>
      <c r="O268" s="165">
        <f t="shared" si="14"/>
        <v>0</v>
      </c>
      <c r="P268" s="36"/>
      <c r="Q268" s="4"/>
    </row>
    <row r="269" spans="1:17" ht="69" x14ac:dyDescent="0.3">
      <c r="A269" s="31">
        <v>14</v>
      </c>
      <c r="B269" s="47"/>
      <c r="C269" s="75" t="s">
        <v>1984</v>
      </c>
      <c r="D269" s="31" t="str">
        <f t="shared" si="12"/>
        <v>Do Not Print</v>
      </c>
      <c r="E269" s="1003" t="str">
        <f>E59</f>
        <v>CIES Line 14</v>
      </c>
      <c r="F269" s="213" t="s">
        <v>1966</v>
      </c>
      <c r="G269" s="213" t="s">
        <v>1973</v>
      </c>
      <c r="H269" s="213" t="s">
        <v>1975</v>
      </c>
      <c r="J269" s="163">
        <v>0</v>
      </c>
      <c r="K269" s="163">
        <v>0</v>
      </c>
      <c r="L269" s="165">
        <f t="shared" si="13"/>
        <v>0</v>
      </c>
      <c r="M269" s="163">
        <v>0</v>
      </c>
      <c r="N269" s="163">
        <v>0</v>
      </c>
      <c r="O269" s="165">
        <f t="shared" si="14"/>
        <v>0</v>
      </c>
      <c r="P269" s="36"/>
      <c r="Q269" s="4"/>
    </row>
    <row r="270" spans="1:17" ht="41.4" x14ac:dyDescent="0.3">
      <c r="A270" s="31">
        <v>14</v>
      </c>
      <c r="B270" s="47"/>
      <c r="C270" s="75" t="s">
        <v>1984</v>
      </c>
      <c r="D270" s="31" t="str">
        <f t="shared" si="12"/>
        <v>Do Not Print</v>
      </c>
      <c r="E270" s="1003" t="str">
        <f>E59</f>
        <v>CIES Line 14</v>
      </c>
      <c r="F270" s="213" t="s">
        <v>1966</v>
      </c>
      <c r="G270" s="213" t="s">
        <v>1973</v>
      </c>
      <c r="H270" s="213" t="s">
        <v>1976</v>
      </c>
      <c r="J270" s="163">
        <v>0</v>
      </c>
      <c r="K270" s="163">
        <v>0</v>
      </c>
      <c r="L270" s="165">
        <f t="shared" si="13"/>
        <v>0</v>
      </c>
      <c r="M270" s="163">
        <v>0</v>
      </c>
      <c r="N270" s="163">
        <v>0</v>
      </c>
      <c r="O270" s="165">
        <f t="shared" si="14"/>
        <v>0</v>
      </c>
      <c r="P270" s="36"/>
      <c r="Q270" s="4"/>
    </row>
    <row r="271" spans="1:17" ht="41.4" x14ac:dyDescent="0.3">
      <c r="A271" s="31">
        <v>14</v>
      </c>
      <c r="B271" s="47"/>
      <c r="C271" s="75" t="s">
        <v>1984</v>
      </c>
      <c r="D271" s="31" t="str">
        <f t="shared" si="12"/>
        <v>Do Not Print</v>
      </c>
      <c r="E271" s="1003" t="str">
        <f>E59</f>
        <v>CIES Line 14</v>
      </c>
      <c r="F271" s="213" t="s">
        <v>1966</v>
      </c>
      <c r="G271" s="213" t="s">
        <v>1973</v>
      </c>
      <c r="H271" s="213" t="s">
        <v>1977</v>
      </c>
      <c r="J271" s="163">
        <v>0</v>
      </c>
      <c r="K271" s="163">
        <v>0</v>
      </c>
      <c r="L271" s="165">
        <f t="shared" si="13"/>
        <v>0</v>
      </c>
      <c r="M271" s="163">
        <v>0</v>
      </c>
      <c r="N271" s="163">
        <v>0</v>
      </c>
      <c r="O271" s="165">
        <f t="shared" si="14"/>
        <v>0</v>
      </c>
      <c r="P271" s="36"/>
      <c r="Q271" s="4"/>
    </row>
    <row r="272" spans="1:17" ht="41.4" x14ac:dyDescent="0.3">
      <c r="A272" s="31">
        <v>14</v>
      </c>
      <c r="B272" s="47"/>
      <c r="C272" s="75" t="s">
        <v>1984</v>
      </c>
      <c r="D272" s="31" t="str">
        <f t="shared" si="12"/>
        <v>Do Not Print</v>
      </c>
      <c r="E272" s="1003" t="str">
        <f>E59</f>
        <v>CIES Line 14</v>
      </c>
      <c r="F272" s="213" t="s">
        <v>1966</v>
      </c>
      <c r="G272" s="213" t="s">
        <v>1973</v>
      </c>
      <c r="H272" s="213" t="s">
        <v>1978</v>
      </c>
      <c r="J272" s="163">
        <v>0</v>
      </c>
      <c r="K272" s="163">
        <v>0</v>
      </c>
      <c r="L272" s="165">
        <f t="shared" si="13"/>
        <v>0</v>
      </c>
      <c r="M272" s="163">
        <v>0</v>
      </c>
      <c r="N272" s="163">
        <v>0</v>
      </c>
      <c r="O272" s="165">
        <f t="shared" si="14"/>
        <v>0</v>
      </c>
      <c r="P272" s="36"/>
      <c r="Q272" s="4"/>
    </row>
    <row r="273" spans="1:17" ht="41.4" x14ac:dyDescent="0.3">
      <c r="A273" s="31">
        <v>14</v>
      </c>
      <c r="B273" s="47"/>
      <c r="C273" s="75" t="s">
        <v>1984</v>
      </c>
      <c r="D273" s="31" t="str">
        <f t="shared" si="12"/>
        <v>Do Not Print</v>
      </c>
      <c r="E273" s="1003" t="str">
        <f>E59</f>
        <v>CIES Line 14</v>
      </c>
      <c r="F273" s="213" t="s">
        <v>1966</v>
      </c>
      <c r="G273" s="213" t="s">
        <v>1973</v>
      </c>
      <c r="H273" s="213" t="s">
        <v>1979</v>
      </c>
      <c r="J273" s="163">
        <v>0</v>
      </c>
      <c r="K273" s="163">
        <v>0</v>
      </c>
      <c r="L273" s="165">
        <f t="shared" si="13"/>
        <v>0</v>
      </c>
      <c r="M273" s="163">
        <v>0</v>
      </c>
      <c r="N273" s="163">
        <v>0</v>
      </c>
      <c r="O273" s="165">
        <f t="shared" si="14"/>
        <v>0</v>
      </c>
      <c r="P273" s="36"/>
      <c r="Q273" s="4"/>
    </row>
    <row r="274" spans="1:17" ht="69" x14ac:dyDescent="0.3">
      <c r="A274" s="31">
        <v>14</v>
      </c>
      <c r="B274" s="47"/>
      <c r="C274" s="75" t="s">
        <v>1984</v>
      </c>
      <c r="D274" s="31" t="str">
        <f t="shared" si="12"/>
        <v>Do Not Print</v>
      </c>
      <c r="E274" s="1003" t="str">
        <f>E59</f>
        <v>CIES Line 14</v>
      </c>
      <c r="F274" s="213" t="s">
        <v>1966</v>
      </c>
      <c r="G274" s="213" t="s">
        <v>1973</v>
      </c>
      <c r="H274" s="213" t="s">
        <v>1980</v>
      </c>
      <c r="J274" s="163">
        <v>0</v>
      </c>
      <c r="K274" s="163">
        <v>0</v>
      </c>
      <c r="L274" s="165">
        <f t="shared" si="13"/>
        <v>0</v>
      </c>
      <c r="M274" s="163">
        <v>0</v>
      </c>
      <c r="N274" s="163">
        <v>0</v>
      </c>
      <c r="O274" s="165">
        <f t="shared" si="14"/>
        <v>0</v>
      </c>
      <c r="P274" s="36"/>
      <c r="Q274" s="4"/>
    </row>
    <row r="275" spans="1:17" ht="41.4" x14ac:dyDescent="0.3">
      <c r="A275" s="31">
        <v>14</v>
      </c>
      <c r="B275" s="47"/>
      <c r="C275" s="75" t="s">
        <v>1984</v>
      </c>
      <c r="D275" s="31" t="str">
        <f t="shared" si="12"/>
        <v>Do Not Print</v>
      </c>
      <c r="E275" s="1003" t="str">
        <f>E59</f>
        <v>CIES Line 14</v>
      </c>
      <c r="F275" s="213" t="s">
        <v>1966</v>
      </c>
      <c r="G275" s="213" t="s">
        <v>1973</v>
      </c>
      <c r="H275" s="213" t="s">
        <v>1981</v>
      </c>
      <c r="J275" s="163">
        <v>0</v>
      </c>
      <c r="K275" s="163">
        <v>0</v>
      </c>
      <c r="L275" s="165">
        <f t="shared" si="13"/>
        <v>0</v>
      </c>
      <c r="M275" s="163">
        <v>0</v>
      </c>
      <c r="N275" s="163">
        <v>0</v>
      </c>
      <c r="O275" s="165">
        <f t="shared" si="14"/>
        <v>0</v>
      </c>
      <c r="P275" s="36"/>
      <c r="Q275" s="4"/>
    </row>
    <row r="276" spans="1:17" ht="55.2" x14ac:dyDescent="0.3">
      <c r="A276" s="31">
        <v>14</v>
      </c>
      <c r="B276" s="47"/>
      <c r="C276" s="75" t="s">
        <v>1984</v>
      </c>
      <c r="D276" s="31" t="str">
        <f t="shared" si="12"/>
        <v>Do Not Print</v>
      </c>
      <c r="E276" s="1003" t="str">
        <f>E59</f>
        <v>CIES Line 14</v>
      </c>
      <c r="F276" s="213" t="s">
        <v>1966</v>
      </c>
      <c r="G276" s="213" t="s">
        <v>1973</v>
      </c>
      <c r="H276" s="213" t="s">
        <v>1982</v>
      </c>
      <c r="J276" s="163">
        <v>0</v>
      </c>
      <c r="K276" s="163">
        <v>0</v>
      </c>
      <c r="L276" s="165">
        <f t="shared" si="13"/>
        <v>0</v>
      </c>
      <c r="M276" s="163">
        <v>0</v>
      </c>
      <c r="N276" s="163">
        <v>0</v>
      </c>
      <c r="O276" s="165">
        <f t="shared" si="14"/>
        <v>0</v>
      </c>
      <c r="P276" s="36"/>
      <c r="Q276" s="4"/>
    </row>
    <row r="277" spans="1:17" ht="41.4" x14ac:dyDescent="0.3">
      <c r="A277" s="31">
        <v>15</v>
      </c>
      <c r="B277" s="47"/>
      <c r="C277" s="75" t="s">
        <v>1984</v>
      </c>
      <c r="D277" s="31" t="str">
        <f t="shared" si="12"/>
        <v>Do Not Print</v>
      </c>
      <c r="E277" s="1003" t="str">
        <f>E63</f>
        <v>CIES Line 15</v>
      </c>
      <c r="F277" s="213" t="s">
        <v>1966</v>
      </c>
      <c r="G277" s="213" t="s">
        <v>1973</v>
      </c>
      <c r="H277" s="213" t="s">
        <v>1974</v>
      </c>
      <c r="J277" s="163">
        <v>0</v>
      </c>
      <c r="K277" s="163">
        <v>0</v>
      </c>
      <c r="L277" s="165">
        <f t="shared" si="13"/>
        <v>0</v>
      </c>
      <c r="M277" s="163">
        <v>0</v>
      </c>
      <c r="N277" s="163">
        <v>0</v>
      </c>
      <c r="O277" s="165">
        <f t="shared" si="14"/>
        <v>0</v>
      </c>
      <c r="P277" s="36"/>
      <c r="Q277" s="4"/>
    </row>
    <row r="278" spans="1:17" ht="69" x14ac:dyDescent="0.3">
      <c r="A278" s="31">
        <v>15</v>
      </c>
      <c r="B278" s="47"/>
      <c r="C278" s="75" t="s">
        <v>1984</v>
      </c>
      <c r="D278" s="31" t="str">
        <f t="shared" si="12"/>
        <v>Do Not Print</v>
      </c>
      <c r="E278" s="1003" t="str">
        <f>E63</f>
        <v>CIES Line 15</v>
      </c>
      <c r="F278" s="213" t="s">
        <v>1966</v>
      </c>
      <c r="G278" s="213" t="s">
        <v>1973</v>
      </c>
      <c r="H278" s="213" t="s">
        <v>1975</v>
      </c>
      <c r="J278" s="163">
        <v>0</v>
      </c>
      <c r="K278" s="163">
        <v>0</v>
      </c>
      <c r="L278" s="165">
        <f t="shared" si="13"/>
        <v>0</v>
      </c>
      <c r="M278" s="163">
        <v>0</v>
      </c>
      <c r="N278" s="163">
        <v>0</v>
      </c>
      <c r="O278" s="165">
        <f t="shared" si="14"/>
        <v>0</v>
      </c>
      <c r="P278" s="36"/>
      <c r="Q278" s="4"/>
    </row>
    <row r="279" spans="1:17" ht="41.4" x14ac:dyDescent="0.3">
      <c r="A279" s="31">
        <v>15</v>
      </c>
      <c r="B279" s="47"/>
      <c r="C279" s="75" t="s">
        <v>1984</v>
      </c>
      <c r="D279" s="31" t="str">
        <f t="shared" si="12"/>
        <v>Do Not Print</v>
      </c>
      <c r="E279" s="1003" t="str">
        <f>E63</f>
        <v>CIES Line 15</v>
      </c>
      <c r="F279" s="213" t="s">
        <v>1966</v>
      </c>
      <c r="G279" s="213" t="s">
        <v>1973</v>
      </c>
      <c r="H279" s="213" t="s">
        <v>1976</v>
      </c>
      <c r="J279" s="163">
        <v>0</v>
      </c>
      <c r="K279" s="163">
        <v>0</v>
      </c>
      <c r="L279" s="165">
        <f t="shared" si="13"/>
        <v>0</v>
      </c>
      <c r="M279" s="163">
        <v>0</v>
      </c>
      <c r="N279" s="163">
        <v>0</v>
      </c>
      <c r="O279" s="165">
        <f t="shared" si="14"/>
        <v>0</v>
      </c>
      <c r="P279" s="36"/>
      <c r="Q279" s="4"/>
    </row>
    <row r="280" spans="1:17" ht="41.4" x14ac:dyDescent="0.3">
      <c r="A280" s="31">
        <v>15</v>
      </c>
      <c r="B280" s="47"/>
      <c r="C280" s="75" t="s">
        <v>1984</v>
      </c>
      <c r="D280" s="31" t="str">
        <f t="shared" si="12"/>
        <v>Do Not Print</v>
      </c>
      <c r="E280" s="1003" t="str">
        <f>E63</f>
        <v>CIES Line 15</v>
      </c>
      <c r="F280" s="213" t="s">
        <v>1966</v>
      </c>
      <c r="G280" s="213" t="s">
        <v>1973</v>
      </c>
      <c r="H280" s="213" t="s">
        <v>1977</v>
      </c>
      <c r="J280" s="163">
        <v>0</v>
      </c>
      <c r="K280" s="163">
        <v>0</v>
      </c>
      <c r="L280" s="165">
        <f t="shared" si="13"/>
        <v>0</v>
      </c>
      <c r="M280" s="163">
        <v>0</v>
      </c>
      <c r="N280" s="163">
        <v>0</v>
      </c>
      <c r="O280" s="165">
        <f t="shared" si="14"/>
        <v>0</v>
      </c>
      <c r="P280" s="36"/>
      <c r="Q280" s="4"/>
    </row>
    <row r="281" spans="1:17" ht="41.4" x14ac:dyDescent="0.3">
      <c r="A281" s="31">
        <v>15</v>
      </c>
      <c r="B281" s="47"/>
      <c r="C281" s="75" t="s">
        <v>1984</v>
      </c>
      <c r="D281" s="31" t="str">
        <f t="shared" si="12"/>
        <v>Do Not Print</v>
      </c>
      <c r="E281" s="1003" t="str">
        <f>E63</f>
        <v>CIES Line 15</v>
      </c>
      <c r="F281" s="213" t="s">
        <v>1966</v>
      </c>
      <c r="G281" s="213" t="s">
        <v>1973</v>
      </c>
      <c r="H281" s="213" t="s">
        <v>1978</v>
      </c>
      <c r="J281" s="163">
        <v>0</v>
      </c>
      <c r="K281" s="163">
        <v>0</v>
      </c>
      <c r="L281" s="165">
        <f t="shared" si="13"/>
        <v>0</v>
      </c>
      <c r="M281" s="163">
        <v>0</v>
      </c>
      <c r="N281" s="163">
        <v>0</v>
      </c>
      <c r="O281" s="165">
        <f t="shared" si="14"/>
        <v>0</v>
      </c>
      <c r="P281" s="36"/>
      <c r="Q281" s="4"/>
    </row>
    <row r="282" spans="1:17" ht="41.4" x14ac:dyDescent="0.3">
      <c r="A282" s="31">
        <v>15</v>
      </c>
      <c r="B282" s="47"/>
      <c r="C282" s="75" t="s">
        <v>1984</v>
      </c>
      <c r="D282" s="31" t="str">
        <f t="shared" si="12"/>
        <v>Do Not Print</v>
      </c>
      <c r="E282" s="1003" t="str">
        <f>E63</f>
        <v>CIES Line 15</v>
      </c>
      <c r="F282" s="213" t="s">
        <v>1966</v>
      </c>
      <c r="G282" s="213" t="s">
        <v>1973</v>
      </c>
      <c r="H282" s="213" t="s">
        <v>1979</v>
      </c>
      <c r="J282" s="163">
        <v>0</v>
      </c>
      <c r="K282" s="163">
        <v>0</v>
      </c>
      <c r="L282" s="165">
        <f t="shared" si="13"/>
        <v>0</v>
      </c>
      <c r="M282" s="163">
        <v>0</v>
      </c>
      <c r="N282" s="163">
        <v>0</v>
      </c>
      <c r="O282" s="165">
        <f t="shared" si="14"/>
        <v>0</v>
      </c>
      <c r="P282" s="36"/>
      <c r="Q282" s="4"/>
    </row>
    <row r="283" spans="1:17" ht="69" x14ac:dyDescent="0.3">
      <c r="A283" s="31">
        <v>15</v>
      </c>
      <c r="B283" s="47"/>
      <c r="C283" s="75" t="s">
        <v>1984</v>
      </c>
      <c r="D283" s="31" t="str">
        <f t="shared" si="12"/>
        <v>Do Not Print</v>
      </c>
      <c r="E283" s="1003" t="str">
        <f>E63</f>
        <v>CIES Line 15</v>
      </c>
      <c r="F283" s="213" t="s">
        <v>1966</v>
      </c>
      <c r="G283" s="213" t="s">
        <v>1973</v>
      </c>
      <c r="H283" s="213" t="s">
        <v>1980</v>
      </c>
      <c r="J283" s="163">
        <v>0</v>
      </c>
      <c r="K283" s="163">
        <v>0</v>
      </c>
      <c r="L283" s="165">
        <f t="shared" si="13"/>
        <v>0</v>
      </c>
      <c r="M283" s="163">
        <v>0</v>
      </c>
      <c r="N283" s="163">
        <v>0</v>
      </c>
      <c r="O283" s="165">
        <f t="shared" si="14"/>
        <v>0</v>
      </c>
      <c r="P283" s="36"/>
      <c r="Q283" s="4"/>
    </row>
    <row r="284" spans="1:17" ht="41.4" x14ac:dyDescent="0.3">
      <c r="A284" s="31">
        <v>15</v>
      </c>
      <c r="B284" s="47"/>
      <c r="C284" s="75" t="s">
        <v>1984</v>
      </c>
      <c r="D284" s="31" t="str">
        <f t="shared" si="12"/>
        <v>Do Not Print</v>
      </c>
      <c r="E284" s="1003" t="str">
        <f>E63</f>
        <v>CIES Line 15</v>
      </c>
      <c r="F284" s="213" t="s">
        <v>1966</v>
      </c>
      <c r="G284" s="213" t="s">
        <v>1973</v>
      </c>
      <c r="H284" s="213" t="s">
        <v>1981</v>
      </c>
      <c r="J284" s="163">
        <v>0</v>
      </c>
      <c r="K284" s="163">
        <v>0</v>
      </c>
      <c r="L284" s="165">
        <f t="shared" si="13"/>
        <v>0</v>
      </c>
      <c r="M284" s="163">
        <v>0</v>
      </c>
      <c r="N284" s="163">
        <v>0</v>
      </c>
      <c r="O284" s="165">
        <f t="shared" si="14"/>
        <v>0</v>
      </c>
      <c r="P284" s="36"/>
      <c r="Q284" s="4"/>
    </row>
    <row r="285" spans="1:17" ht="55.2" x14ac:dyDescent="0.3">
      <c r="A285" s="31">
        <v>15</v>
      </c>
      <c r="B285" s="47"/>
      <c r="C285" s="75" t="s">
        <v>1984</v>
      </c>
      <c r="D285" s="31" t="str">
        <f t="shared" si="12"/>
        <v>Do Not Print</v>
      </c>
      <c r="E285" s="1003" t="str">
        <f>E63</f>
        <v>CIES Line 15</v>
      </c>
      <c r="F285" s="213" t="s">
        <v>1966</v>
      </c>
      <c r="G285" s="213" t="s">
        <v>1973</v>
      </c>
      <c r="H285" s="213" t="s">
        <v>1982</v>
      </c>
      <c r="J285" s="163">
        <v>0</v>
      </c>
      <c r="K285" s="163">
        <v>0</v>
      </c>
      <c r="L285" s="165">
        <f t="shared" si="13"/>
        <v>0</v>
      </c>
      <c r="M285" s="163">
        <v>0</v>
      </c>
      <c r="N285" s="163">
        <v>0</v>
      </c>
      <c r="O285" s="165">
        <f t="shared" si="14"/>
        <v>0</v>
      </c>
      <c r="P285" s="36"/>
      <c r="Q285" s="4"/>
    </row>
    <row r="286" spans="1:17" ht="41.4" x14ac:dyDescent="0.3">
      <c r="A286" s="31">
        <v>16</v>
      </c>
      <c r="B286" s="47"/>
      <c r="C286" s="75" t="s">
        <v>1984</v>
      </c>
      <c r="D286" s="31" t="str">
        <f t="shared" si="12"/>
        <v>Do Not Print</v>
      </c>
      <c r="E286" s="1003" t="str">
        <f>E67</f>
        <v>CIES Line 16</v>
      </c>
      <c r="F286" s="213" t="s">
        <v>1966</v>
      </c>
      <c r="G286" s="213" t="s">
        <v>1973</v>
      </c>
      <c r="H286" s="213" t="s">
        <v>1974</v>
      </c>
      <c r="J286" s="163">
        <v>0</v>
      </c>
      <c r="K286" s="163">
        <v>0</v>
      </c>
      <c r="L286" s="165">
        <f t="shared" si="13"/>
        <v>0</v>
      </c>
      <c r="M286" s="163">
        <v>0</v>
      </c>
      <c r="N286" s="163">
        <v>0</v>
      </c>
      <c r="O286" s="165">
        <f t="shared" si="14"/>
        <v>0</v>
      </c>
      <c r="P286" s="36"/>
      <c r="Q286" s="4"/>
    </row>
    <row r="287" spans="1:17" ht="69" x14ac:dyDescent="0.3">
      <c r="A287" s="31">
        <v>16</v>
      </c>
      <c r="B287" s="47"/>
      <c r="C287" s="75" t="s">
        <v>1984</v>
      </c>
      <c r="D287" s="31" t="str">
        <f t="shared" si="12"/>
        <v>Do Not Print</v>
      </c>
      <c r="E287" s="1003" t="str">
        <f>E67</f>
        <v>CIES Line 16</v>
      </c>
      <c r="F287" s="213" t="s">
        <v>1966</v>
      </c>
      <c r="G287" s="213" t="s">
        <v>1973</v>
      </c>
      <c r="H287" s="213" t="s">
        <v>1975</v>
      </c>
      <c r="J287" s="163">
        <v>0</v>
      </c>
      <c r="K287" s="163">
        <v>0</v>
      </c>
      <c r="L287" s="165">
        <f t="shared" si="13"/>
        <v>0</v>
      </c>
      <c r="M287" s="163">
        <v>0</v>
      </c>
      <c r="N287" s="163">
        <v>0</v>
      </c>
      <c r="O287" s="165">
        <f t="shared" si="14"/>
        <v>0</v>
      </c>
      <c r="P287" s="36"/>
      <c r="Q287" s="4"/>
    </row>
    <row r="288" spans="1:17" ht="41.4" x14ac:dyDescent="0.3">
      <c r="A288" s="31">
        <v>16</v>
      </c>
      <c r="B288" s="47"/>
      <c r="C288" s="75" t="s">
        <v>1984</v>
      </c>
      <c r="D288" s="31" t="str">
        <f t="shared" si="12"/>
        <v>Do Not Print</v>
      </c>
      <c r="E288" s="1003" t="str">
        <f>E67</f>
        <v>CIES Line 16</v>
      </c>
      <c r="F288" s="213" t="s">
        <v>1966</v>
      </c>
      <c r="G288" s="213" t="s">
        <v>1973</v>
      </c>
      <c r="H288" s="213" t="s">
        <v>1976</v>
      </c>
      <c r="J288" s="163">
        <v>0</v>
      </c>
      <c r="K288" s="163">
        <v>0</v>
      </c>
      <c r="L288" s="165">
        <f t="shared" si="13"/>
        <v>0</v>
      </c>
      <c r="M288" s="163">
        <v>0</v>
      </c>
      <c r="N288" s="163">
        <v>0</v>
      </c>
      <c r="O288" s="165">
        <f t="shared" si="14"/>
        <v>0</v>
      </c>
      <c r="P288" s="36"/>
      <c r="Q288" s="4"/>
    </row>
    <row r="289" spans="1:17" ht="41.4" x14ac:dyDescent="0.3">
      <c r="A289" s="31">
        <v>16</v>
      </c>
      <c r="B289" s="47"/>
      <c r="C289" s="75" t="s">
        <v>1984</v>
      </c>
      <c r="D289" s="31" t="str">
        <f t="shared" si="12"/>
        <v>Do Not Print</v>
      </c>
      <c r="E289" s="1003" t="str">
        <f>E67</f>
        <v>CIES Line 16</v>
      </c>
      <c r="F289" s="213" t="s">
        <v>1966</v>
      </c>
      <c r="G289" s="213" t="s">
        <v>1973</v>
      </c>
      <c r="H289" s="213" t="s">
        <v>1977</v>
      </c>
      <c r="J289" s="163">
        <v>0</v>
      </c>
      <c r="K289" s="163">
        <v>0</v>
      </c>
      <c r="L289" s="165">
        <f t="shared" si="13"/>
        <v>0</v>
      </c>
      <c r="M289" s="163">
        <v>0</v>
      </c>
      <c r="N289" s="163">
        <v>0</v>
      </c>
      <c r="O289" s="165">
        <f t="shared" si="14"/>
        <v>0</v>
      </c>
      <c r="P289" s="36"/>
      <c r="Q289" s="4"/>
    </row>
    <row r="290" spans="1:17" ht="41.4" x14ac:dyDescent="0.3">
      <c r="A290" s="31">
        <v>16</v>
      </c>
      <c r="B290" s="47"/>
      <c r="C290" s="75" t="s">
        <v>1984</v>
      </c>
      <c r="D290" s="31" t="str">
        <f t="shared" si="12"/>
        <v>Do Not Print</v>
      </c>
      <c r="E290" s="1003" t="str">
        <f>E67</f>
        <v>CIES Line 16</v>
      </c>
      <c r="F290" s="213" t="s">
        <v>1966</v>
      </c>
      <c r="G290" s="213" t="s">
        <v>1973</v>
      </c>
      <c r="H290" s="213" t="s">
        <v>1978</v>
      </c>
      <c r="J290" s="163">
        <v>0</v>
      </c>
      <c r="K290" s="163">
        <v>0</v>
      </c>
      <c r="L290" s="165">
        <f t="shared" si="13"/>
        <v>0</v>
      </c>
      <c r="M290" s="163">
        <v>0</v>
      </c>
      <c r="N290" s="163">
        <v>0</v>
      </c>
      <c r="O290" s="165">
        <f t="shared" si="14"/>
        <v>0</v>
      </c>
      <c r="P290" s="36"/>
      <c r="Q290" s="4"/>
    </row>
    <row r="291" spans="1:17" ht="41.4" x14ac:dyDescent="0.3">
      <c r="A291" s="31">
        <v>16</v>
      </c>
      <c r="B291" s="47"/>
      <c r="C291" s="75" t="s">
        <v>1984</v>
      </c>
      <c r="D291" s="31" t="str">
        <f t="shared" si="12"/>
        <v>Do Not Print</v>
      </c>
      <c r="E291" s="1003" t="str">
        <f>E67</f>
        <v>CIES Line 16</v>
      </c>
      <c r="F291" s="213" t="s">
        <v>1966</v>
      </c>
      <c r="G291" s="213" t="s">
        <v>1973</v>
      </c>
      <c r="H291" s="213" t="s">
        <v>1979</v>
      </c>
      <c r="J291" s="163">
        <v>0</v>
      </c>
      <c r="K291" s="163">
        <v>0</v>
      </c>
      <c r="L291" s="165">
        <f t="shared" si="13"/>
        <v>0</v>
      </c>
      <c r="M291" s="163">
        <v>0</v>
      </c>
      <c r="N291" s="163">
        <v>0</v>
      </c>
      <c r="O291" s="165">
        <f t="shared" si="14"/>
        <v>0</v>
      </c>
      <c r="P291" s="36"/>
      <c r="Q291" s="4"/>
    </row>
    <row r="292" spans="1:17" ht="69" x14ac:dyDescent="0.3">
      <c r="A292" s="31">
        <v>16</v>
      </c>
      <c r="B292" s="47"/>
      <c r="C292" s="75" t="s">
        <v>1984</v>
      </c>
      <c r="D292" s="31" t="str">
        <f t="shared" si="12"/>
        <v>Do Not Print</v>
      </c>
      <c r="E292" s="1003" t="str">
        <f>E67</f>
        <v>CIES Line 16</v>
      </c>
      <c r="F292" s="213" t="s">
        <v>1966</v>
      </c>
      <c r="G292" s="213" t="s">
        <v>1973</v>
      </c>
      <c r="H292" s="213" t="s">
        <v>1980</v>
      </c>
      <c r="J292" s="163">
        <v>0</v>
      </c>
      <c r="K292" s="163">
        <v>0</v>
      </c>
      <c r="L292" s="165">
        <f t="shared" si="13"/>
        <v>0</v>
      </c>
      <c r="M292" s="163">
        <v>0</v>
      </c>
      <c r="N292" s="163">
        <v>0</v>
      </c>
      <c r="O292" s="165">
        <f t="shared" si="14"/>
        <v>0</v>
      </c>
      <c r="P292" s="36"/>
      <c r="Q292" s="4"/>
    </row>
    <row r="293" spans="1:17" ht="41.4" x14ac:dyDescent="0.3">
      <c r="A293" s="31">
        <v>16</v>
      </c>
      <c r="B293" s="47"/>
      <c r="C293" s="75" t="s">
        <v>1984</v>
      </c>
      <c r="D293" s="31" t="str">
        <f t="shared" si="12"/>
        <v>Do Not Print</v>
      </c>
      <c r="E293" s="1003" t="str">
        <f>E67</f>
        <v>CIES Line 16</v>
      </c>
      <c r="F293" s="213" t="s">
        <v>1966</v>
      </c>
      <c r="G293" s="213" t="s">
        <v>1973</v>
      </c>
      <c r="H293" s="213" t="s">
        <v>1981</v>
      </c>
      <c r="J293" s="163">
        <v>0</v>
      </c>
      <c r="K293" s="163">
        <v>0</v>
      </c>
      <c r="L293" s="165">
        <f t="shared" si="13"/>
        <v>0</v>
      </c>
      <c r="M293" s="163">
        <v>0</v>
      </c>
      <c r="N293" s="163">
        <v>0</v>
      </c>
      <c r="O293" s="165">
        <f t="shared" si="14"/>
        <v>0</v>
      </c>
      <c r="P293" s="36"/>
      <c r="Q293" s="4"/>
    </row>
    <row r="294" spans="1:17" ht="55.2" x14ac:dyDescent="0.3">
      <c r="A294" s="31">
        <v>16</v>
      </c>
      <c r="B294" s="47"/>
      <c r="C294" s="75" t="s">
        <v>1984</v>
      </c>
      <c r="D294" s="31" t="str">
        <f t="shared" si="12"/>
        <v>Do Not Print</v>
      </c>
      <c r="E294" s="1003" t="str">
        <f>E67</f>
        <v>CIES Line 16</v>
      </c>
      <c r="F294" s="213" t="s">
        <v>1966</v>
      </c>
      <c r="G294" s="213" t="s">
        <v>1973</v>
      </c>
      <c r="H294" s="213" t="s">
        <v>1982</v>
      </c>
      <c r="J294" s="163">
        <v>0</v>
      </c>
      <c r="K294" s="163">
        <v>0</v>
      </c>
      <c r="L294" s="165">
        <f t="shared" si="13"/>
        <v>0</v>
      </c>
      <c r="M294" s="163">
        <v>0</v>
      </c>
      <c r="N294" s="163">
        <v>0</v>
      </c>
      <c r="O294" s="165">
        <f t="shared" si="14"/>
        <v>0</v>
      </c>
      <c r="P294" s="36"/>
      <c r="Q294" s="4"/>
    </row>
    <row r="295" spans="1:17" ht="41.4" x14ac:dyDescent="0.3">
      <c r="A295" s="31">
        <v>17</v>
      </c>
      <c r="B295" s="47"/>
      <c r="C295" s="75" t="s">
        <v>1984</v>
      </c>
      <c r="D295" s="31" t="str">
        <f t="shared" si="12"/>
        <v>Do Not Print</v>
      </c>
      <c r="E295" s="1003" t="str">
        <f>E71</f>
        <v>CIES Line 17</v>
      </c>
      <c r="F295" s="213" t="s">
        <v>1966</v>
      </c>
      <c r="G295" s="213" t="s">
        <v>1973</v>
      </c>
      <c r="H295" s="213" t="s">
        <v>1974</v>
      </c>
      <c r="J295" s="163">
        <v>0</v>
      </c>
      <c r="K295" s="163">
        <v>0</v>
      </c>
      <c r="L295" s="165">
        <f t="shared" si="13"/>
        <v>0</v>
      </c>
      <c r="M295" s="163">
        <v>0</v>
      </c>
      <c r="N295" s="163">
        <v>0</v>
      </c>
      <c r="O295" s="165">
        <f t="shared" si="14"/>
        <v>0</v>
      </c>
      <c r="P295" s="36"/>
      <c r="Q295" s="4"/>
    </row>
    <row r="296" spans="1:17" ht="69" x14ac:dyDescent="0.3">
      <c r="A296" s="31">
        <v>17</v>
      </c>
      <c r="B296" s="47"/>
      <c r="C296" s="75" t="s">
        <v>1984</v>
      </c>
      <c r="D296" s="31" t="str">
        <f t="shared" si="12"/>
        <v>Do Not Print</v>
      </c>
      <c r="E296" s="1003" t="str">
        <f>E71</f>
        <v>CIES Line 17</v>
      </c>
      <c r="F296" s="213" t="s">
        <v>1966</v>
      </c>
      <c r="G296" s="213" t="s">
        <v>1973</v>
      </c>
      <c r="H296" s="213" t="s">
        <v>1975</v>
      </c>
      <c r="J296" s="163">
        <v>0</v>
      </c>
      <c r="K296" s="163">
        <v>0</v>
      </c>
      <c r="L296" s="165">
        <f t="shared" si="13"/>
        <v>0</v>
      </c>
      <c r="M296" s="163">
        <v>0</v>
      </c>
      <c r="N296" s="163">
        <v>0</v>
      </c>
      <c r="O296" s="165">
        <f t="shared" si="14"/>
        <v>0</v>
      </c>
      <c r="P296" s="36"/>
      <c r="Q296" s="4"/>
    </row>
    <row r="297" spans="1:17" ht="41.4" x14ac:dyDescent="0.3">
      <c r="A297" s="31">
        <v>17</v>
      </c>
      <c r="B297" s="47"/>
      <c r="C297" s="75" t="s">
        <v>1984</v>
      </c>
      <c r="D297" s="31" t="str">
        <f t="shared" si="12"/>
        <v>Do Not Print</v>
      </c>
      <c r="E297" s="1003" t="str">
        <f>E71</f>
        <v>CIES Line 17</v>
      </c>
      <c r="F297" s="213" t="s">
        <v>1966</v>
      </c>
      <c r="G297" s="213" t="s">
        <v>1973</v>
      </c>
      <c r="H297" s="213" t="s">
        <v>1976</v>
      </c>
      <c r="J297" s="163">
        <v>0</v>
      </c>
      <c r="K297" s="163">
        <v>0</v>
      </c>
      <c r="L297" s="165">
        <f t="shared" si="13"/>
        <v>0</v>
      </c>
      <c r="M297" s="163">
        <v>0</v>
      </c>
      <c r="N297" s="163">
        <v>0</v>
      </c>
      <c r="O297" s="165">
        <f t="shared" si="14"/>
        <v>0</v>
      </c>
      <c r="P297" s="36"/>
      <c r="Q297" s="4"/>
    </row>
    <row r="298" spans="1:17" ht="41.4" x14ac:dyDescent="0.3">
      <c r="A298" s="31">
        <v>17</v>
      </c>
      <c r="B298" s="47"/>
      <c r="C298" s="75" t="s">
        <v>1984</v>
      </c>
      <c r="D298" s="31" t="str">
        <f t="shared" si="12"/>
        <v>Do Not Print</v>
      </c>
      <c r="E298" s="1003" t="str">
        <f>E71</f>
        <v>CIES Line 17</v>
      </c>
      <c r="F298" s="213" t="s">
        <v>1966</v>
      </c>
      <c r="G298" s="213" t="s">
        <v>1973</v>
      </c>
      <c r="H298" s="213" t="s">
        <v>1977</v>
      </c>
      <c r="J298" s="163">
        <v>0</v>
      </c>
      <c r="K298" s="163">
        <v>0</v>
      </c>
      <c r="L298" s="165">
        <f t="shared" si="13"/>
        <v>0</v>
      </c>
      <c r="M298" s="163">
        <v>0</v>
      </c>
      <c r="N298" s="163">
        <v>0</v>
      </c>
      <c r="O298" s="165">
        <f t="shared" si="14"/>
        <v>0</v>
      </c>
      <c r="P298" s="36"/>
      <c r="Q298" s="4"/>
    </row>
    <row r="299" spans="1:17" ht="41.4" x14ac:dyDescent="0.3">
      <c r="A299" s="31">
        <v>17</v>
      </c>
      <c r="B299" s="47"/>
      <c r="C299" s="75" t="s">
        <v>1984</v>
      </c>
      <c r="D299" s="31" t="str">
        <f t="shared" si="12"/>
        <v>Do Not Print</v>
      </c>
      <c r="E299" s="1003" t="str">
        <f>E71</f>
        <v>CIES Line 17</v>
      </c>
      <c r="F299" s="213" t="s">
        <v>1966</v>
      </c>
      <c r="G299" s="213" t="s">
        <v>1973</v>
      </c>
      <c r="H299" s="213" t="s">
        <v>1978</v>
      </c>
      <c r="J299" s="163">
        <v>0</v>
      </c>
      <c r="K299" s="163">
        <v>0</v>
      </c>
      <c r="L299" s="165">
        <f t="shared" si="13"/>
        <v>0</v>
      </c>
      <c r="M299" s="163">
        <v>0</v>
      </c>
      <c r="N299" s="163">
        <v>0</v>
      </c>
      <c r="O299" s="165">
        <f t="shared" si="14"/>
        <v>0</v>
      </c>
      <c r="P299" s="36"/>
      <c r="Q299" s="4"/>
    </row>
    <row r="300" spans="1:17" ht="41.4" x14ac:dyDescent="0.3">
      <c r="A300" s="31">
        <v>17</v>
      </c>
      <c r="B300" s="47"/>
      <c r="C300" s="75" t="s">
        <v>1984</v>
      </c>
      <c r="D300" s="31" t="str">
        <f t="shared" si="12"/>
        <v>Do Not Print</v>
      </c>
      <c r="E300" s="1003" t="str">
        <f>E71</f>
        <v>CIES Line 17</v>
      </c>
      <c r="F300" s="213" t="s">
        <v>1966</v>
      </c>
      <c r="G300" s="213" t="s">
        <v>1973</v>
      </c>
      <c r="H300" s="213" t="s">
        <v>1979</v>
      </c>
      <c r="J300" s="163">
        <v>0</v>
      </c>
      <c r="K300" s="163">
        <v>0</v>
      </c>
      <c r="L300" s="165">
        <f t="shared" si="13"/>
        <v>0</v>
      </c>
      <c r="M300" s="163">
        <v>0</v>
      </c>
      <c r="N300" s="163">
        <v>0</v>
      </c>
      <c r="O300" s="165">
        <f t="shared" si="14"/>
        <v>0</v>
      </c>
      <c r="P300" s="36"/>
      <c r="Q300" s="4"/>
    </row>
    <row r="301" spans="1:17" ht="69" x14ac:dyDescent="0.3">
      <c r="A301" s="31">
        <v>17</v>
      </c>
      <c r="B301" s="47"/>
      <c r="C301" s="75" t="s">
        <v>1984</v>
      </c>
      <c r="D301" s="31" t="str">
        <f t="shared" si="12"/>
        <v>Do Not Print</v>
      </c>
      <c r="E301" s="1003" t="str">
        <f>E71</f>
        <v>CIES Line 17</v>
      </c>
      <c r="F301" s="213" t="s">
        <v>1966</v>
      </c>
      <c r="G301" s="213" t="s">
        <v>1973</v>
      </c>
      <c r="H301" s="213" t="s">
        <v>1980</v>
      </c>
      <c r="J301" s="163">
        <v>0</v>
      </c>
      <c r="K301" s="163">
        <v>0</v>
      </c>
      <c r="L301" s="165">
        <f t="shared" si="13"/>
        <v>0</v>
      </c>
      <c r="M301" s="163">
        <v>0</v>
      </c>
      <c r="N301" s="163">
        <v>0</v>
      </c>
      <c r="O301" s="165">
        <f t="shared" si="14"/>
        <v>0</v>
      </c>
      <c r="P301" s="36"/>
      <c r="Q301" s="4"/>
    </row>
    <row r="302" spans="1:17" ht="41.4" x14ac:dyDescent="0.3">
      <c r="A302" s="31">
        <v>17</v>
      </c>
      <c r="B302" s="47"/>
      <c r="C302" s="75" t="s">
        <v>1984</v>
      </c>
      <c r="D302" s="31" t="str">
        <f t="shared" si="12"/>
        <v>Do Not Print</v>
      </c>
      <c r="E302" s="1003" t="str">
        <f>E71</f>
        <v>CIES Line 17</v>
      </c>
      <c r="F302" s="213" t="s">
        <v>1966</v>
      </c>
      <c r="G302" s="213" t="s">
        <v>1973</v>
      </c>
      <c r="H302" s="213" t="s">
        <v>1981</v>
      </c>
      <c r="J302" s="163">
        <v>0</v>
      </c>
      <c r="K302" s="163">
        <v>0</v>
      </c>
      <c r="L302" s="165">
        <f t="shared" si="13"/>
        <v>0</v>
      </c>
      <c r="M302" s="163">
        <v>0</v>
      </c>
      <c r="N302" s="163">
        <v>0</v>
      </c>
      <c r="O302" s="165">
        <f t="shared" si="14"/>
        <v>0</v>
      </c>
      <c r="P302" s="36"/>
      <c r="Q302" s="4"/>
    </row>
    <row r="303" spans="1:17" ht="55.2" x14ac:dyDescent="0.3">
      <c r="A303" s="31">
        <v>17</v>
      </c>
      <c r="B303" s="47"/>
      <c r="C303" s="75" t="s">
        <v>1984</v>
      </c>
      <c r="D303" s="31" t="str">
        <f t="shared" si="12"/>
        <v>Do Not Print</v>
      </c>
      <c r="E303" s="1003" t="str">
        <f>E71</f>
        <v>CIES Line 17</v>
      </c>
      <c r="F303" s="213" t="s">
        <v>1966</v>
      </c>
      <c r="G303" s="213" t="s">
        <v>1973</v>
      </c>
      <c r="H303" s="213" t="s">
        <v>1982</v>
      </c>
      <c r="J303" s="163">
        <v>0</v>
      </c>
      <c r="K303" s="163">
        <v>0</v>
      </c>
      <c r="L303" s="165">
        <f t="shared" si="13"/>
        <v>0</v>
      </c>
      <c r="M303" s="163">
        <v>0</v>
      </c>
      <c r="N303" s="163">
        <v>0</v>
      </c>
      <c r="O303" s="165">
        <f t="shared" si="14"/>
        <v>0</v>
      </c>
      <c r="P303" s="36"/>
      <c r="Q303" s="4"/>
    </row>
    <row r="304" spans="1:17" ht="41.4" x14ac:dyDescent="0.3">
      <c r="A304" s="31">
        <v>18</v>
      </c>
      <c r="B304" s="47"/>
      <c r="C304" s="75" t="s">
        <v>1984</v>
      </c>
      <c r="D304" s="31" t="str">
        <f t="shared" si="12"/>
        <v>Do Not Print</v>
      </c>
      <c r="E304" s="1003" t="str">
        <f>E75</f>
        <v>CIES Line 18</v>
      </c>
      <c r="F304" s="213" t="s">
        <v>1966</v>
      </c>
      <c r="G304" s="213" t="s">
        <v>1973</v>
      </c>
      <c r="H304" s="213" t="s">
        <v>1974</v>
      </c>
      <c r="J304" s="163">
        <v>0</v>
      </c>
      <c r="K304" s="163">
        <v>0</v>
      </c>
      <c r="L304" s="165">
        <f t="shared" si="13"/>
        <v>0</v>
      </c>
      <c r="M304" s="163">
        <v>0</v>
      </c>
      <c r="N304" s="163">
        <v>0</v>
      </c>
      <c r="O304" s="165">
        <f t="shared" si="14"/>
        <v>0</v>
      </c>
      <c r="P304" s="36"/>
      <c r="Q304" s="4"/>
    </row>
    <row r="305" spans="1:17" ht="69" x14ac:dyDescent="0.3">
      <c r="A305" s="31">
        <v>18</v>
      </c>
      <c r="B305" s="47"/>
      <c r="C305" s="75" t="s">
        <v>1984</v>
      </c>
      <c r="D305" s="31" t="str">
        <f t="shared" si="12"/>
        <v>Do Not Print</v>
      </c>
      <c r="E305" s="1003" t="str">
        <f>E75</f>
        <v>CIES Line 18</v>
      </c>
      <c r="F305" s="213" t="s">
        <v>1966</v>
      </c>
      <c r="G305" s="213" t="s">
        <v>1973</v>
      </c>
      <c r="H305" s="213" t="s">
        <v>1975</v>
      </c>
      <c r="J305" s="163">
        <v>0</v>
      </c>
      <c r="K305" s="163">
        <v>0</v>
      </c>
      <c r="L305" s="165">
        <f t="shared" si="13"/>
        <v>0</v>
      </c>
      <c r="M305" s="163">
        <v>0</v>
      </c>
      <c r="N305" s="163">
        <v>0</v>
      </c>
      <c r="O305" s="165">
        <f t="shared" si="14"/>
        <v>0</v>
      </c>
      <c r="P305" s="36"/>
      <c r="Q305" s="4"/>
    </row>
    <row r="306" spans="1:17" ht="41.4" x14ac:dyDescent="0.3">
      <c r="A306" s="31">
        <v>18</v>
      </c>
      <c r="B306" s="47"/>
      <c r="C306" s="75" t="s">
        <v>1984</v>
      </c>
      <c r="D306" s="31" t="str">
        <f t="shared" si="12"/>
        <v>Do Not Print</v>
      </c>
      <c r="E306" s="1003" t="str">
        <f>E75</f>
        <v>CIES Line 18</v>
      </c>
      <c r="F306" s="213" t="s">
        <v>1966</v>
      </c>
      <c r="G306" s="213" t="s">
        <v>1973</v>
      </c>
      <c r="H306" s="213" t="s">
        <v>1976</v>
      </c>
      <c r="J306" s="163">
        <v>0</v>
      </c>
      <c r="K306" s="163">
        <v>0</v>
      </c>
      <c r="L306" s="165">
        <f t="shared" si="13"/>
        <v>0</v>
      </c>
      <c r="M306" s="163">
        <v>0</v>
      </c>
      <c r="N306" s="163">
        <v>0</v>
      </c>
      <c r="O306" s="165">
        <f t="shared" si="14"/>
        <v>0</v>
      </c>
      <c r="P306" s="36"/>
      <c r="Q306" s="4"/>
    </row>
    <row r="307" spans="1:17" ht="41.4" x14ac:dyDescent="0.3">
      <c r="A307" s="31">
        <v>18</v>
      </c>
      <c r="B307" s="47"/>
      <c r="C307" s="75" t="s">
        <v>1984</v>
      </c>
      <c r="D307" s="31" t="str">
        <f t="shared" si="12"/>
        <v>Do Not Print</v>
      </c>
      <c r="E307" s="1003" t="str">
        <f>E75</f>
        <v>CIES Line 18</v>
      </c>
      <c r="F307" s="213" t="s">
        <v>1966</v>
      </c>
      <c r="G307" s="213" t="s">
        <v>1973</v>
      </c>
      <c r="H307" s="213" t="s">
        <v>1977</v>
      </c>
      <c r="J307" s="163">
        <v>0</v>
      </c>
      <c r="K307" s="163">
        <v>0</v>
      </c>
      <c r="L307" s="165">
        <f t="shared" si="13"/>
        <v>0</v>
      </c>
      <c r="M307" s="163">
        <v>0</v>
      </c>
      <c r="N307" s="163">
        <v>0</v>
      </c>
      <c r="O307" s="165">
        <f t="shared" si="14"/>
        <v>0</v>
      </c>
      <c r="P307" s="36"/>
      <c r="Q307" s="4"/>
    </row>
    <row r="308" spans="1:17" ht="41.4" x14ac:dyDescent="0.3">
      <c r="A308" s="31">
        <v>18</v>
      </c>
      <c r="B308" s="47"/>
      <c r="C308" s="75" t="s">
        <v>1984</v>
      </c>
      <c r="D308" s="31" t="str">
        <f t="shared" si="12"/>
        <v>Do Not Print</v>
      </c>
      <c r="E308" s="1003" t="str">
        <f>E75</f>
        <v>CIES Line 18</v>
      </c>
      <c r="F308" s="213" t="s">
        <v>1966</v>
      </c>
      <c r="G308" s="213" t="s">
        <v>1973</v>
      </c>
      <c r="H308" s="213" t="s">
        <v>1978</v>
      </c>
      <c r="J308" s="163">
        <v>0</v>
      </c>
      <c r="K308" s="163">
        <v>0</v>
      </c>
      <c r="L308" s="165">
        <f t="shared" si="13"/>
        <v>0</v>
      </c>
      <c r="M308" s="163">
        <v>0</v>
      </c>
      <c r="N308" s="163">
        <v>0</v>
      </c>
      <c r="O308" s="165">
        <f t="shared" si="14"/>
        <v>0</v>
      </c>
      <c r="P308" s="36"/>
      <c r="Q308" s="4"/>
    </row>
    <row r="309" spans="1:17" ht="41.4" x14ac:dyDescent="0.3">
      <c r="A309" s="31">
        <v>18</v>
      </c>
      <c r="B309" s="47"/>
      <c r="C309" s="75" t="s">
        <v>1984</v>
      </c>
      <c r="D309" s="31" t="str">
        <f t="shared" si="12"/>
        <v>Do Not Print</v>
      </c>
      <c r="E309" s="1003" t="str">
        <f>E75</f>
        <v>CIES Line 18</v>
      </c>
      <c r="F309" s="213" t="s">
        <v>1966</v>
      </c>
      <c r="G309" s="213" t="s">
        <v>1973</v>
      </c>
      <c r="H309" s="213" t="s">
        <v>1979</v>
      </c>
      <c r="J309" s="163">
        <v>0</v>
      </c>
      <c r="K309" s="163">
        <v>0</v>
      </c>
      <c r="L309" s="165">
        <f t="shared" si="13"/>
        <v>0</v>
      </c>
      <c r="M309" s="163">
        <v>0</v>
      </c>
      <c r="N309" s="163">
        <v>0</v>
      </c>
      <c r="O309" s="165">
        <f t="shared" si="14"/>
        <v>0</v>
      </c>
      <c r="P309" s="36"/>
      <c r="Q309" s="4"/>
    </row>
    <row r="310" spans="1:17" ht="69" x14ac:dyDescent="0.3">
      <c r="A310" s="31">
        <v>18</v>
      </c>
      <c r="B310" s="47"/>
      <c r="C310" s="75" t="s">
        <v>1984</v>
      </c>
      <c r="D310" s="31" t="str">
        <f t="shared" si="12"/>
        <v>Do Not Print</v>
      </c>
      <c r="E310" s="1003" t="str">
        <f>E75</f>
        <v>CIES Line 18</v>
      </c>
      <c r="F310" s="213" t="s">
        <v>1966</v>
      </c>
      <c r="G310" s="213" t="s">
        <v>1973</v>
      </c>
      <c r="H310" s="213" t="s">
        <v>1980</v>
      </c>
      <c r="J310" s="163">
        <v>0</v>
      </c>
      <c r="K310" s="163">
        <v>0</v>
      </c>
      <c r="L310" s="165">
        <f t="shared" si="13"/>
        <v>0</v>
      </c>
      <c r="M310" s="163">
        <v>0</v>
      </c>
      <c r="N310" s="163">
        <v>0</v>
      </c>
      <c r="O310" s="165">
        <f t="shared" si="14"/>
        <v>0</v>
      </c>
      <c r="P310" s="36"/>
      <c r="Q310" s="4"/>
    </row>
    <row r="311" spans="1:17" ht="41.4" x14ac:dyDescent="0.3">
      <c r="A311" s="31">
        <v>18</v>
      </c>
      <c r="B311" s="47"/>
      <c r="C311" s="75" t="s">
        <v>1984</v>
      </c>
      <c r="D311" s="31" t="str">
        <f t="shared" si="12"/>
        <v>Do Not Print</v>
      </c>
      <c r="E311" s="1003" t="str">
        <f>E75</f>
        <v>CIES Line 18</v>
      </c>
      <c r="F311" s="213" t="s">
        <v>1966</v>
      </c>
      <c r="G311" s="213" t="s">
        <v>1973</v>
      </c>
      <c r="H311" s="213" t="s">
        <v>1981</v>
      </c>
      <c r="J311" s="163">
        <v>0</v>
      </c>
      <c r="K311" s="163">
        <v>0</v>
      </c>
      <c r="L311" s="165">
        <f t="shared" si="13"/>
        <v>0</v>
      </c>
      <c r="M311" s="163">
        <v>0</v>
      </c>
      <c r="N311" s="163">
        <v>0</v>
      </c>
      <c r="O311" s="165">
        <f t="shared" si="14"/>
        <v>0</v>
      </c>
      <c r="P311" s="36"/>
      <c r="Q311" s="4"/>
    </row>
    <row r="312" spans="1:17" ht="55.2" x14ac:dyDescent="0.3">
      <c r="A312" s="31">
        <v>18</v>
      </c>
      <c r="B312" s="47"/>
      <c r="C312" s="75" t="s">
        <v>1984</v>
      </c>
      <c r="D312" s="31" t="str">
        <f t="shared" si="12"/>
        <v>Do Not Print</v>
      </c>
      <c r="E312" s="1003" t="str">
        <f>E75</f>
        <v>CIES Line 18</v>
      </c>
      <c r="F312" s="213" t="s">
        <v>1966</v>
      </c>
      <c r="G312" s="213" t="s">
        <v>1973</v>
      </c>
      <c r="H312" s="213" t="s">
        <v>1982</v>
      </c>
      <c r="J312" s="163">
        <v>0</v>
      </c>
      <c r="K312" s="163">
        <v>0</v>
      </c>
      <c r="L312" s="165">
        <f t="shared" si="13"/>
        <v>0</v>
      </c>
      <c r="M312" s="163">
        <v>0</v>
      </c>
      <c r="N312" s="163">
        <v>0</v>
      </c>
      <c r="O312" s="165">
        <f t="shared" si="14"/>
        <v>0</v>
      </c>
      <c r="P312" s="36"/>
      <c r="Q312" s="4"/>
    </row>
    <row r="313" spans="1:17" ht="41.4" x14ac:dyDescent="0.3">
      <c r="A313" s="31">
        <v>19</v>
      </c>
      <c r="B313" s="47"/>
      <c r="C313" s="75" t="s">
        <v>1984</v>
      </c>
      <c r="D313" s="31" t="str">
        <f t="shared" si="12"/>
        <v>Do Not Print</v>
      </c>
      <c r="E313" s="1003" t="str">
        <f>E79</f>
        <v>CIES Line 19</v>
      </c>
      <c r="F313" s="213" t="s">
        <v>1966</v>
      </c>
      <c r="G313" s="213" t="s">
        <v>1973</v>
      </c>
      <c r="H313" s="213" t="s">
        <v>1974</v>
      </c>
      <c r="J313" s="163">
        <v>0</v>
      </c>
      <c r="K313" s="163">
        <v>0</v>
      </c>
      <c r="L313" s="165">
        <f t="shared" si="13"/>
        <v>0</v>
      </c>
      <c r="M313" s="163">
        <v>0</v>
      </c>
      <c r="N313" s="163">
        <v>0</v>
      </c>
      <c r="O313" s="165">
        <f t="shared" si="14"/>
        <v>0</v>
      </c>
      <c r="P313" s="36"/>
      <c r="Q313" s="4"/>
    </row>
    <row r="314" spans="1:17" ht="69" x14ac:dyDescent="0.3">
      <c r="A314" s="31">
        <v>19</v>
      </c>
      <c r="B314" s="47"/>
      <c r="C314" s="75" t="s">
        <v>1984</v>
      </c>
      <c r="D314" s="31" t="str">
        <f t="shared" si="12"/>
        <v>Do Not Print</v>
      </c>
      <c r="E314" s="1003" t="str">
        <f>E79</f>
        <v>CIES Line 19</v>
      </c>
      <c r="F314" s="213" t="s">
        <v>1966</v>
      </c>
      <c r="G314" s="213" t="s">
        <v>1973</v>
      </c>
      <c r="H314" s="213" t="s">
        <v>1975</v>
      </c>
      <c r="J314" s="163">
        <v>0</v>
      </c>
      <c r="K314" s="163">
        <v>0</v>
      </c>
      <c r="L314" s="165">
        <f t="shared" si="13"/>
        <v>0</v>
      </c>
      <c r="M314" s="163">
        <v>0</v>
      </c>
      <c r="N314" s="163">
        <v>0</v>
      </c>
      <c r="O314" s="165">
        <f t="shared" si="14"/>
        <v>0</v>
      </c>
      <c r="P314" s="36"/>
      <c r="Q314" s="4"/>
    </row>
    <row r="315" spans="1:17" ht="41.4" x14ac:dyDescent="0.3">
      <c r="A315" s="31">
        <v>19</v>
      </c>
      <c r="B315" s="47"/>
      <c r="C315" s="75" t="s">
        <v>1984</v>
      </c>
      <c r="D315" s="31" t="str">
        <f t="shared" si="12"/>
        <v>Do Not Print</v>
      </c>
      <c r="E315" s="1003" t="str">
        <f>E79</f>
        <v>CIES Line 19</v>
      </c>
      <c r="F315" s="213" t="s">
        <v>1966</v>
      </c>
      <c r="G315" s="213" t="s">
        <v>1973</v>
      </c>
      <c r="H315" s="213" t="s">
        <v>1976</v>
      </c>
      <c r="J315" s="163">
        <v>0</v>
      </c>
      <c r="K315" s="163">
        <v>0</v>
      </c>
      <c r="L315" s="165">
        <f t="shared" si="13"/>
        <v>0</v>
      </c>
      <c r="M315" s="163">
        <v>0</v>
      </c>
      <c r="N315" s="163">
        <v>0</v>
      </c>
      <c r="O315" s="165">
        <f t="shared" si="14"/>
        <v>0</v>
      </c>
      <c r="P315" s="36"/>
      <c r="Q315" s="4"/>
    </row>
    <row r="316" spans="1:17" ht="41.4" x14ac:dyDescent="0.3">
      <c r="A316" s="31">
        <v>19</v>
      </c>
      <c r="B316" s="47"/>
      <c r="C316" s="75" t="s">
        <v>1984</v>
      </c>
      <c r="D316" s="31" t="str">
        <f t="shared" si="12"/>
        <v>Do Not Print</v>
      </c>
      <c r="E316" s="1003" t="str">
        <f>E79</f>
        <v>CIES Line 19</v>
      </c>
      <c r="F316" s="213" t="s">
        <v>1966</v>
      </c>
      <c r="G316" s="213" t="s">
        <v>1973</v>
      </c>
      <c r="H316" s="213" t="s">
        <v>1977</v>
      </c>
      <c r="J316" s="163">
        <v>0</v>
      </c>
      <c r="K316" s="163">
        <v>0</v>
      </c>
      <c r="L316" s="165">
        <f t="shared" si="13"/>
        <v>0</v>
      </c>
      <c r="M316" s="163">
        <v>0</v>
      </c>
      <c r="N316" s="163">
        <v>0</v>
      </c>
      <c r="O316" s="165">
        <f t="shared" si="14"/>
        <v>0</v>
      </c>
      <c r="P316" s="36"/>
      <c r="Q316" s="4"/>
    </row>
    <row r="317" spans="1:17" ht="41.4" x14ac:dyDescent="0.3">
      <c r="A317" s="31">
        <v>19</v>
      </c>
      <c r="B317" s="47"/>
      <c r="C317" s="75" t="s">
        <v>1984</v>
      </c>
      <c r="D317" s="31" t="str">
        <f t="shared" si="12"/>
        <v>Do Not Print</v>
      </c>
      <c r="E317" s="1003" t="str">
        <f>E79</f>
        <v>CIES Line 19</v>
      </c>
      <c r="F317" s="213" t="s">
        <v>1966</v>
      </c>
      <c r="G317" s="213" t="s">
        <v>1973</v>
      </c>
      <c r="H317" s="213" t="s">
        <v>1978</v>
      </c>
      <c r="J317" s="163">
        <v>0</v>
      </c>
      <c r="K317" s="163">
        <v>0</v>
      </c>
      <c r="L317" s="165">
        <f t="shared" si="13"/>
        <v>0</v>
      </c>
      <c r="M317" s="163">
        <v>0</v>
      </c>
      <c r="N317" s="163">
        <v>0</v>
      </c>
      <c r="O317" s="165">
        <f t="shared" si="14"/>
        <v>0</v>
      </c>
      <c r="P317" s="36"/>
      <c r="Q317" s="4"/>
    </row>
    <row r="318" spans="1:17" ht="41.4" x14ac:dyDescent="0.3">
      <c r="A318" s="31">
        <v>19</v>
      </c>
      <c r="B318" s="47"/>
      <c r="C318" s="75" t="s">
        <v>1984</v>
      </c>
      <c r="D318" s="31" t="str">
        <f t="shared" si="12"/>
        <v>Do Not Print</v>
      </c>
      <c r="E318" s="1003" t="str">
        <f>E79</f>
        <v>CIES Line 19</v>
      </c>
      <c r="F318" s="213" t="s">
        <v>1966</v>
      </c>
      <c r="G318" s="213" t="s">
        <v>1973</v>
      </c>
      <c r="H318" s="213" t="s">
        <v>1979</v>
      </c>
      <c r="J318" s="163">
        <v>0</v>
      </c>
      <c r="K318" s="163">
        <v>0</v>
      </c>
      <c r="L318" s="165">
        <f t="shared" si="13"/>
        <v>0</v>
      </c>
      <c r="M318" s="163">
        <v>0</v>
      </c>
      <c r="N318" s="163">
        <v>0</v>
      </c>
      <c r="O318" s="165">
        <f t="shared" si="14"/>
        <v>0</v>
      </c>
      <c r="P318" s="36"/>
      <c r="Q318" s="4"/>
    </row>
    <row r="319" spans="1:17" ht="69" x14ac:dyDescent="0.3">
      <c r="A319" s="31">
        <v>19</v>
      </c>
      <c r="B319" s="47"/>
      <c r="C319" s="75" t="s">
        <v>1984</v>
      </c>
      <c r="D319" s="31" t="str">
        <f t="shared" si="12"/>
        <v>Do Not Print</v>
      </c>
      <c r="E319" s="1003" t="str">
        <f>E79</f>
        <v>CIES Line 19</v>
      </c>
      <c r="F319" s="213" t="s">
        <v>1966</v>
      </c>
      <c r="G319" s="213" t="s">
        <v>1973</v>
      </c>
      <c r="H319" s="213" t="s">
        <v>1980</v>
      </c>
      <c r="J319" s="163">
        <v>0</v>
      </c>
      <c r="K319" s="163">
        <v>0</v>
      </c>
      <c r="L319" s="165">
        <f t="shared" si="13"/>
        <v>0</v>
      </c>
      <c r="M319" s="163">
        <v>0</v>
      </c>
      <c r="N319" s="163">
        <v>0</v>
      </c>
      <c r="O319" s="165">
        <f t="shared" si="14"/>
        <v>0</v>
      </c>
      <c r="P319" s="36"/>
      <c r="Q319" s="4"/>
    </row>
    <row r="320" spans="1:17" ht="41.4" x14ac:dyDescent="0.3">
      <c r="A320" s="31">
        <v>19</v>
      </c>
      <c r="B320" s="47"/>
      <c r="C320" s="75" t="s">
        <v>1984</v>
      </c>
      <c r="D320" s="31" t="str">
        <f t="shared" si="12"/>
        <v>Do Not Print</v>
      </c>
      <c r="E320" s="1003" t="str">
        <f>E79</f>
        <v>CIES Line 19</v>
      </c>
      <c r="F320" s="213" t="s">
        <v>1966</v>
      </c>
      <c r="G320" s="213" t="s">
        <v>1973</v>
      </c>
      <c r="H320" s="213" t="s">
        <v>1981</v>
      </c>
      <c r="J320" s="163">
        <v>0</v>
      </c>
      <c r="K320" s="163">
        <v>0</v>
      </c>
      <c r="L320" s="165">
        <f t="shared" si="13"/>
        <v>0</v>
      </c>
      <c r="M320" s="163">
        <v>0</v>
      </c>
      <c r="N320" s="163">
        <v>0</v>
      </c>
      <c r="O320" s="165">
        <f t="shared" si="14"/>
        <v>0</v>
      </c>
      <c r="P320" s="36"/>
      <c r="Q320" s="4"/>
    </row>
    <row r="321" spans="1:17" ht="55.2" x14ac:dyDescent="0.3">
      <c r="A321" s="31">
        <v>19</v>
      </c>
      <c r="B321" s="47"/>
      <c r="C321" s="75" t="s">
        <v>1984</v>
      </c>
      <c r="D321" s="31" t="str">
        <f t="shared" si="12"/>
        <v>Do Not Print</v>
      </c>
      <c r="E321" s="1003" t="str">
        <f>E79</f>
        <v>CIES Line 19</v>
      </c>
      <c r="F321" s="213" t="s">
        <v>1966</v>
      </c>
      <c r="G321" s="213" t="s">
        <v>1973</v>
      </c>
      <c r="H321" s="213" t="s">
        <v>1982</v>
      </c>
      <c r="J321" s="163">
        <v>0</v>
      </c>
      <c r="K321" s="163">
        <v>0</v>
      </c>
      <c r="L321" s="165">
        <f t="shared" si="13"/>
        <v>0</v>
      </c>
      <c r="M321" s="163">
        <v>0</v>
      </c>
      <c r="N321" s="163">
        <v>0</v>
      </c>
      <c r="O321" s="165">
        <f t="shared" si="14"/>
        <v>0</v>
      </c>
      <c r="P321" s="36"/>
      <c r="Q321" s="4"/>
    </row>
    <row r="322" spans="1:17" ht="41.4" x14ac:dyDescent="0.3">
      <c r="A322" s="31">
        <v>20</v>
      </c>
      <c r="B322" s="47"/>
      <c r="C322" s="75" t="s">
        <v>1984</v>
      </c>
      <c r="D322" s="31" t="str">
        <f t="shared" si="12"/>
        <v>Do Not Print</v>
      </c>
      <c r="E322" s="1003" t="str">
        <f>E83</f>
        <v>CIES Line 20</v>
      </c>
      <c r="F322" s="213" t="s">
        <v>1966</v>
      </c>
      <c r="G322" s="213" t="s">
        <v>1973</v>
      </c>
      <c r="H322" s="213" t="s">
        <v>1974</v>
      </c>
      <c r="J322" s="163">
        <v>0</v>
      </c>
      <c r="K322" s="163">
        <v>0</v>
      </c>
      <c r="L322" s="165">
        <f t="shared" si="13"/>
        <v>0</v>
      </c>
      <c r="M322" s="163">
        <v>0</v>
      </c>
      <c r="N322" s="163">
        <v>0</v>
      </c>
      <c r="O322" s="165">
        <f t="shared" si="14"/>
        <v>0</v>
      </c>
      <c r="P322" s="36"/>
      <c r="Q322" s="4"/>
    </row>
    <row r="323" spans="1:17" ht="69" x14ac:dyDescent="0.3">
      <c r="A323" s="31">
        <v>20</v>
      </c>
      <c r="C323" s="75" t="s">
        <v>1984</v>
      </c>
      <c r="D323" s="31" t="str">
        <f t="shared" si="12"/>
        <v>Do Not Print</v>
      </c>
      <c r="E323" s="1004" t="str">
        <f>E83</f>
        <v>CIES Line 20</v>
      </c>
      <c r="F323" s="213" t="s">
        <v>1966</v>
      </c>
      <c r="G323" s="213" t="s">
        <v>1973</v>
      </c>
      <c r="H323" s="213" t="s">
        <v>1975</v>
      </c>
      <c r="J323" s="163">
        <v>0</v>
      </c>
      <c r="K323" s="163">
        <v>0</v>
      </c>
      <c r="L323" s="165">
        <f t="shared" si="13"/>
        <v>0</v>
      </c>
      <c r="M323" s="163">
        <v>0</v>
      </c>
      <c r="N323" s="163">
        <v>0</v>
      </c>
      <c r="O323" s="165">
        <f t="shared" si="14"/>
        <v>0</v>
      </c>
      <c r="P323" s="36"/>
      <c r="Q323" s="4"/>
    </row>
    <row r="324" spans="1:17" ht="41.4" x14ac:dyDescent="0.3">
      <c r="A324" s="31">
        <v>20</v>
      </c>
      <c r="C324" s="75" t="s">
        <v>1984</v>
      </c>
      <c r="D324" s="31" t="str">
        <f t="shared" ref="D324:D330" si="15">IF(AND(L324=0,O324=0),"Do Not Print","Print")</f>
        <v>Do Not Print</v>
      </c>
      <c r="E324" s="1004" t="str">
        <f>E83</f>
        <v>CIES Line 20</v>
      </c>
      <c r="F324" s="213" t="s">
        <v>1966</v>
      </c>
      <c r="G324" s="213" t="s">
        <v>1973</v>
      </c>
      <c r="H324" s="213" t="s">
        <v>1976</v>
      </c>
      <c r="J324" s="163">
        <v>0</v>
      </c>
      <c r="K324" s="163">
        <v>0</v>
      </c>
      <c r="L324" s="165">
        <f t="shared" ref="L324:L387" si="16">SUM(J324:K324)</f>
        <v>0</v>
      </c>
      <c r="M324" s="163">
        <v>0</v>
      </c>
      <c r="N324" s="163">
        <v>0</v>
      </c>
      <c r="O324" s="165">
        <f t="shared" ref="O324:O387" si="17">SUM(M324:N324)</f>
        <v>0</v>
      </c>
      <c r="P324" s="36"/>
      <c r="Q324" s="4"/>
    </row>
    <row r="325" spans="1:17" ht="41.4" x14ac:dyDescent="0.3">
      <c r="A325" s="31">
        <v>20</v>
      </c>
      <c r="C325" s="75" t="s">
        <v>1984</v>
      </c>
      <c r="D325" s="31" t="str">
        <f t="shared" si="15"/>
        <v>Do Not Print</v>
      </c>
      <c r="E325" s="1004" t="str">
        <f>E83</f>
        <v>CIES Line 20</v>
      </c>
      <c r="F325" s="213" t="s">
        <v>1966</v>
      </c>
      <c r="G325" s="213" t="s">
        <v>1973</v>
      </c>
      <c r="H325" s="213" t="s">
        <v>1977</v>
      </c>
      <c r="J325" s="163">
        <v>0</v>
      </c>
      <c r="K325" s="163">
        <v>0</v>
      </c>
      <c r="L325" s="165">
        <f t="shared" si="16"/>
        <v>0</v>
      </c>
      <c r="M325" s="163">
        <v>0</v>
      </c>
      <c r="N325" s="163">
        <v>0</v>
      </c>
      <c r="O325" s="165">
        <f t="shared" si="17"/>
        <v>0</v>
      </c>
      <c r="P325" s="36"/>
      <c r="Q325" s="4"/>
    </row>
    <row r="326" spans="1:17" ht="41.4" x14ac:dyDescent="0.3">
      <c r="A326" s="31">
        <v>20</v>
      </c>
      <c r="C326" s="75" t="s">
        <v>1984</v>
      </c>
      <c r="D326" s="31" t="str">
        <f t="shared" si="15"/>
        <v>Do Not Print</v>
      </c>
      <c r="E326" s="1004" t="str">
        <f>E83</f>
        <v>CIES Line 20</v>
      </c>
      <c r="F326" s="213" t="s">
        <v>1966</v>
      </c>
      <c r="G326" s="213" t="s">
        <v>1973</v>
      </c>
      <c r="H326" s="213" t="s">
        <v>1978</v>
      </c>
      <c r="J326" s="163">
        <v>0</v>
      </c>
      <c r="K326" s="163">
        <v>0</v>
      </c>
      <c r="L326" s="165">
        <f t="shared" si="16"/>
        <v>0</v>
      </c>
      <c r="M326" s="163">
        <v>0</v>
      </c>
      <c r="N326" s="163">
        <v>0</v>
      </c>
      <c r="O326" s="165">
        <f t="shared" si="17"/>
        <v>0</v>
      </c>
      <c r="P326" s="36"/>
      <c r="Q326" s="4"/>
    </row>
    <row r="327" spans="1:17" ht="41.4" x14ac:dyDescent="0.3">
      <c r="A327" s="31">
        <v>20</v>
      </c>
      <c r="C327" s="75" t="s">
        <v>1984</v>
      </c>
      <c r="D327" s="31" t="str">
        <f t="shared" si="15"/>
        <v>Do Not Print</v>
      </c>
      <c r="E327" s="1004" t="str">
        <f>E83</f>
        <v>CIES Line 20</v>
      </c>
      <c r="F327" s="213" t="s">
        <v>1966</v>
      </c>
      <c r="G327" s="213" t="s">
        <v>1973</v>
      </c>
      <c r="H327" s="213" t="s">
        <v>1979</v>
      </c>
      <c r="J327" s="163">
        <v>0</v>
      </c>
      <c r="K327" s="163">
        <v>0</v>
      </c>
      <c r="L327" s="165">
        <f t="shared" si="16"/>
        <v>0</v>
      </c>
      <c r="M327" s="163">
        <v>0</v>
      </c>
      <c r="N327" s="163">
        <v>0</v>
      </c>
      <c r="O327" s="165">
        <f t="shared" si="17"/>
        <v>0</v>
      </c>
      <c r="P327" s="36"/>
      <c r="Q327" s="4"/>
    </row>
    <row r="328" spans="1:17" ht="69" x14ac:dyDescent="0.3">
      <c r="A328" s="31">
        <v>20</v>
      </c>
      <c r="C328" s="75" t="s">
        <v>1984</v>
      </c>
      <c r="D328" s="31" t="str">
        <f t="shared" si="15"/>
        <v>Do Not Print</v>
      </c>
      <c r="E328" s="1004" t="str">
        <f>E83</f>
        <v>CIES Line 20</v>
      </c>
      <c r="F328" s="213" t="s">
        <v>1966</v>
      </c>
      <c r="G328" s="213" t="s">
        <v>1973</v>
      </c>
      <c r="H328" s="213" t="s">
        <v>1980</v>
      </c>
      <c r="J328" s="163">
        <v>0</v>
      </c>
      <c r="K328" s="163">
        <v>0</v>
      </c>
      <c r="L328" s="165">
        <f t="shared" si="16"/>
        <v>0</v>
      </c>
      <c r="M328" s="163">
        <v>0</v>
      </c>
      <c r="N328" s="163">
        <v>0</v>
      </c>
      <c r="O328" s="165">
        <f t="shared" si="17"/>
        <v>0</v>
      </c>
      <c r="P328" s="36"/>
      <c r="Q328" s="4"/>
    </row>
    <row r="329" spans="1:17" ht="41.4" x14ac:dyDescent="0.3">
      <c r="A329" s="31">
        <v>20</v>
      </c>
      <c r="C329" s="75" t="s">
        <v>1984</v>
      </c>
      <c r="D329" s="31" t="str">
        <f t="shared" si="15"/>
        <v>Do Not Print</v>
      </c>
      <c r="E329" s="1004" t="str">
        <f>E83</f>
        <v>CIES Line 20</v>
      </c>
      <c r="F329" s="213" t="s">
        <v>1966</v>
      </c>
      <c r="G329" s="213" t="s">
        <v>1973</v>
      </c>
      <c r="H329" s="213" t="s">
        <v>1981</v>
      </c>
      <c r="J329" s="163">
        <v>0</v>
      </c>
      <c r="K329" s="163">
        <v>0</v>
      </c>
      <c r="L329" s="165">
        <f t="shared" si="16"/>
        <v>0</v>
      </c>
      <c r="M329" s="163">
        <v>0</v>
      </c>
      <c r="N329" s="163">
        <v>0</v>
      </c>
      <c r="O329" s="165">
        <f t="shared" si="17"/>
        <v>0</v>
      </c>
      <c r="P329" s="36"/>
      <c r="Q329" s="4"/>
    </row>
    <row r="330" spans="1:17" ht="55.2" x14ac:dyDescent="0.3">
      <c r="A330" s="31">
        <v>20</v>
      </c>
      <c r="C330" s="75" t="s">
        <v>1984</v>
      </c>
      <c r="D330" s="31" t="str">
        <f t="shared" si="15"/>
        <v>Do Not Print</v>
      </c>
      <c r="E330" s="1004" t="str">
        <f>E83</f>
        <v>CIES Line 20</v>
      </c>
      <c r="F330" s="213" t="s">
        <v>1966</v>
      </c>
      <c r="G330" s="213" t="s">
        <v>1973</v>
      </c>
      <c r="H330" s="213" t="s">
        <v>1982</v>
      </c>
      <c r="J330" s="163">
        <v>0</v>
      </c>
      <c r="K330" s="163">
        <v>0</v>
      </c>
      <c r="L330" s="165">
        <f t="shared" si="16"/>
        <v>0</v>
      </c>
      <c r="M330" s="163">
        <v>0</v>
      </c>
      <c r="N330" s="163">
        <v>0</v>
      </c>
      <c r="O330" s="165">
        <f t="shared" si="17"/>
        <v>0</v>
      </c>
      <c r="P330" s="36"/>
      <c r="Q330" s="4"/>
    </row>
    <row r="331" spans="1:17" ht="41.4" x14ac:dyDescent="0.3">
      <c r="A331" s="31">
        <v>21</v>
      </c>
      <c r="C331" s="75" t="s">
        <v>1984</v>
      </c>
      <c r="D331" s="31" t="str">
        <f t="shared" ref="D331:D442" si="18">IF(AND(L331=0,O331=0),"Do Not Print","Print")</f>
        <v>Do Not Print</v>
      </c>
      <c r="E331" s="1004" t="str">
        <f>E87</f>
        <v>CIES Line 21</v>
      </c>
      <c r="F331" s="213" t="s">
        <v>1966</v>
      </c>
      <c r="G331" s="213" t="s">
        <v>1973</v>
      </c>
      <c r="H331" s="213" t="s">
        <v>1974</v>
      </c>
      <c r="J331" s="163">
        <v>0</v>
      </c>
      <c r="K331" s="163">
        <v>0</v>
      </c>
      <c r="L331" s="165">
        <f t="shared" si="16"/>
        <v>0</v>
      </c>
      <c r="M331" s="163">
        <v>0</v>
      </c>
      <c r="N331" s="163">
        <v>0</v>
      </c>
      <c r="O331" s="165">
        <f t="shared" si="17"/>
        <v>0</v>
      </c>
      <c r="P331" s="36"/>
      <c r="Q331" s="4"/>
    </row>
    <row r="332" spans="1:17" ht="69" x14ac:dyDescent="0.3">
      <c r="A332" s="31">
        <v>21</v>
      </c>
      <c r="C332" s="75" t="s">
        <v>1984</v>
      </c>
      <c r="D332" s="31" t="str">
        <f t="shared" si="18"/>
        <v>Do Not Print</v>
      </c>
      <c r="E332" s="1004" t="str">
        <f>E87</f>
        <v>CIES Line 21</v>
      </c>
      <c r="F332" s="213" t="s">
        <v>1966</v>
      </c>
      <c r="G332" s="213" t="s">
        <v>1973</v>
      </c>
      <c r="H332" s="213" t="s">
        <v>1975</v>
      </c>
      <c r="J332" s="163">
        <v>0</v>
      </c>
      <c r="K332" s="163">
        <v>0</v>
      </c>
      <c r="L332" s="165">
        <f t="shared" si="16"/>
        <v>0</v>
      </c>
      <c r="M332" s="163">
        <v>0</v>
      </c>
      <c r="N332" s="163">
        <v>0</v>
      </c>
      <c r="O332" s="165">
        <f t="shared" si="17"/>
        <v>0</v>
      </c>
      <c r="P332" s="36"/>
      <c r="Q332" s="4"/>
    </row>
    <row r="333" spans="1:17" ht="41.4" x14ac:dyDescent="0.3">
      <c r="A333" s="31">
        <v>21</v>
      </c>
      <c r="C333" s="75" t="s">
        <v>1984</v>
      </c>
      <c r="D333" s="31" t="str">
        <f t="shared" si="18"/>
        <v>Do Not Print</v>
      </c>
      <c r="E333" s="1004" t="str">
        <f>E87</f>
        <v>CIES Line 21</v>
      </c>
      <c r="F333" s="213" t="s">
        <v>1966</v>
      </c>
      <c r="G333" s="213" t="s">
        <v>1973</v>
      </c>
      <c r="H333" s="213" t="s">
        <v>1976</v>
      </c>
      <c r="J333" s="163">
        <v>0</v>
      </c>
      <c r="K333" s="163">
        <v>0</v>
      </c>
      <c r="L333" s="165">
        <f t="shared" si="16"/>
        <v>0</v>
      </c>
      <c r="M333" s="163">
        <v>0</v>
      </c>
      <c r="N333" s="163">
        <v>0</v>
      </c>
      <c r="O333" s="165">
        <f t="shared" si="17"/>
        <v>0</v>
      </c>
      <c r="P333" s="36"/>
      <c r="Q333" s="4"/>
    </row>
    <row r="334" spans="1:17" ht="41.4" x14ac:dyDescent="0.3">
      <c r="A334" s="31">
        <v>21</v>
      </c>
      <c r="C334" s="75" t="s">
        <v>1984</v>
      </c>
      <c r="D334" s="31" t="str">
        <f t="shared" si="18"/>
        <v>Do Not Print</v>
      </c>
      <c r="E334" s="1004" t="str">
        <f>E87</f>
        <v>CIES Line 21</v>
      </c>
      <c r="F334" s="213" t="s">
        <v>1966</v>
      </c>
      <c r="G334" s="213" t="s">
        <v>1973</v>
      </c>
      <c r="H334" s="213" t="s">
        <v>1977</v>
      </c>
      <c r="J334" s="163">
        <v>0</v>
      </c>
      <c r="K334" s="163">
        <v>0</v>
      </c>
      <c r="L334" s="165">
        <f t="shared" si="16"/>
        <v>0</v>
      </c>
      <c r="M334" s="163">
        <v>0</v>
      </c>
      <c r="N334" s="163">
        <v>0</v>
      </c>
      <c r="O334" s="165">
        <f t="shared" si="17"/>
        <v>0</v>
      </c>
      <c r="P334" s="36"/>
      <c r="Q334" s="4"/>
    </row>
    <row r="335" spans="1:17" ht="41.4" x14ac:dyDescent="0.3">
      <c r="A335" s="31">
        <v>21</v>
      </c>
      <c r="C335" s="75" t="s">
        <v>1984</v>
      </c>
      <c r="D335" s="31" t="str">
        <f t="shared" ref="D335:D339" si="19">IF(AND(L335=0,O335=0),"Do Not Print","Print")</f>
        <v>Do Not Print</v>
      </c>
      <c r="E335" s="1004" t="str">
        <f>E87</f>
        <v>CIES Line 21</v>
      </c>
      <c r="F335" s="213" t="s">
        <v>1966</v>
      </c>
      <c r="G335" s="213" t="s">
        <v>1973</v>
      </c>
      <c r="H335" s="213" t="s">
        <v>1978</v>
      </c>
      <c r="J335" s="163">
        <v>0</v>
      </c>
      <c r="K335" s="163">
        <v>0</v>
      </c>
      <c r="L335" s="165">
        <f t="shared" si="16"/>
        <v>0</v>
      </c>
      <c r="M335" s="163">
        <v>0</v>
      </c>
      <c r="N335" s="163">
        <v>0</v>
      </c>
      <c r="O335" s="165">
        <f t="shared" si="17"/>
        <v>0</v>
      </c>
      <c r="P335" s="36"/>
      <c r="Q335" s="4"/>
    </row>
    <row r="336" spans="1:17" ht="41.4" x14ac:dyDescent="0.3">
      <c r="A336" s="31">
        <v>21</v>
      </c>
      <c r="C336" s="75" t="s">
        <v>1984</v>
      </c>
      <c r="D336" s="31" t="str">
        <f t="shared" si="19"/>
        <v>Do Not Print</v>
      </c>
      <c r="E336" s="1004" t="str">
        <f>E87</f>
        <v>CIES Line 21</v>
      </c>
      <c r="F336" s="213" t="s">
        <v>1966</v>
      </c>
      <c r="G336" s="213" t="s">
        <v>1973</v>
      </c>
      <c r="H336" s="213" t="s">
        <v>1979</v>
      </c>
      <c r="J336" s="163">
        <v>0</v>
      </c>
      <c r="K336" s="163">
        <v>0</v>
      </c>
      <c r="L336" s="165">
        <f t="shared" si="16"/>
        <v>0</v>
      </c>
      <c r="M336" s="163">
        <v>0</v>
      </c>
      <c r="N336" s="163">
        <v>0</v>
      </c>
      <c r="O336" s="165">
        <f t="shared" si="17"/>
        <v>0</v>
      </c>
      <c r="P336" s="36"/>
      <c r="Q336" s="4"/>
    </row>
    <row r="337" spans="1:17" ht="69" x14ac:dyDescent="0.3">
      <c r="A337" s="31">
        <v>21</v>
      </c>
      <c r="C337" s="75" t="s">
        <v>1984</v>
      </c>
      <c r="D337" s="31" t="str">
        <f t="shared" si="19"/>
        <v>Do Not Print</v>
      </c>
      <c r="E337" s="1004" t="str">
        <f>E87</f>
        <v>CIES Line 21</v>
      </c>
      <c r="F337" s="213" t="s">
        <v>1966</v>
      </c>
      <c r="G337" s="213" t="s">
        <v>1973</v>
      </c>
      <c r="H337" s="213" t="s">
        <v>1980</v>
      </c>
      <c r="J337" s="163">
        <v>0</v>
      </c>
      <c r="K337" s="163">
        <v>0</v>
      </c>
      <c r="L337" s="165">
        <f t="shared" si="16"/>
        <v>0</v>
      </c>
      <c r="M337" s="163">
        <v>0</v>
      </c>
      <c r="N337" s="163">
        <v>0</v>
      </c>
      <c r="O337" s="165">
        <f t="shared" si="17"/>
        <v>0</v>
      </c>
      <c r="P337" s="36"/>
      <c r="Q337" s="4"/>
    </row>
    <row r="338" spans="1:17" ht="41.4" x14ac:dyDescent="0.3">
      <c r="A338" s="31">
        <v>21</v>
      </c>
      <c r="C338" s="75" t="s">
        <v>1984</v>
      </c>
      <c r="D338" s="31" t="str">
        <f t="shared" si="19"/>
        <v>Do Not Print</v>
      </c>
      <c r="E338" s="1004" t="str">
        <f>E87</f>
        <v>CIES Line 21</v>
      </c>
      <c r="F338" s="213" t="s">
        <v>1966</v>
      </c>
      <c r="G338" s="213" t="s">
        <v>1973</v>
      </c>
      <c r="H338" s="213" t="s">
        <v>1981</v>
      </c>
      <c r="J338" s="163">
        <v>0</v>
      </c>
      <c r="K338" s="163">
        <v>0</v>
      </c>
      <c r="L338" s="165">
        <f t="shared" si="16"/>
        <v>0</v>
      </c>
      <c r="M338" s="163">
        <v>0</v>
      </c>
      <c r="N338" s="163">
        <v>0</v>
      </c>
      <c r="O338" s="165">
        <f t="shared" si="17"/>
        <v>0</v>
      </c>
      <c r="P338" s="36"/>
      <c r="Q338" s="4"/>
    </row>
    <row r="339" spans="1:17" ht="55.2" x14ac:dyDescent="0.3">
      <c r="A339" s="31">
        <v>21</v>
      </c>
      <c r="C339" s="75" t="s">
        <v>1984</v>
      </c>
      <c r="D339" s="31" t="str">
        <f t="shared" si="19"/>
        <v>Do Not Print</v>
      </c>
      <c r="E339" s="1004" t="str">
        <f>E87</f>
        <v>CIES Line 21</v>
      </c>
      <c r="F339" s="213" t="s">
        <v>1966</v>
      </c>
      <c r="G339" s="213" t="s">
        <v>1973</v>
      </c>
      <c r="H339" s="213" t="s">
        <v>1982</v>
      </c>
      <c r="J339" s="163">
        <v>0</v>
      </c>
      <c r="K339" s="163">
        <v>0</v>
      </c>
      <c r="L339" s="165">
        <f t="shared" si="16"/>
        <v>0</v>
      </c>
      <c r="M339" s="163">
        <v>0</v>
      </c>
      <c r="N339" s="163">
        <v>0</v>
      </c>
      <c r="O339" s="165">
        <f t="shared" si="17"/>
        <v>0</v>
      </c>
      <c r="P339" s="36"/>
      <c r="Q339" s="4"/>
    </row>
    <row r="340" spans="1:17" ht="41.4" x14ac:dyDescent="0.3">
      <c r="A340" s="31">
        <v>22</v>
      </c>
      <c r="C340" s="75" t="s">
        <v>1984</v>
      </c>
      <c r="D340" s="31" t="str">
        <f t="shared" si="18"/>
        <v>Do Not Print</v>
      </c>
      <c r="E340" s="1004" t="str">
        <f>E91</f>
        <v>CIES Line 22</v>
      </c>
      <c r="F340" s="213" t="s">
        <v>1966</v>
      </c>
      <c r="G340" s="213" t="s">
        <v>1973</v>
      </c>
      <c r="H340" s="213" t="s">
        <v>1974</v>
      </c>
      <c r="J340" s="163">
        <v>0</v>
      </c>
      <c r="K340" s="163">
        <v>0</v>
      </c>
      <c r="L340" s="165">
        <f t="shared" si="16"/>
        <v>0</v>
      </c>
      <c r="M340" s="163">
        <v>0</v>
      </c>
      <c r="N340" s="163">
        <v>0</v>
      </c>
      <c r="O340" s="165">
        <f t="shared" si="17"/>
        <v>0</v>
      </c>
      <c r="P340" s="36"/>
      <c r="Q340" s="4"/>
    </row>
    <row r="341" spans="1:17" ht="69" x14ac:dyDescent="0.3">
      <c r="A341" s="31">
        <v>22</v>
      </c>
      <c r="C341" s="75" t="s">
        <v>1984</v>
      </c>
      <c r="D341" s="31" t="str">
        <f t="shared" si="18"/>
        <v>Do Not Print</v>
      </c>
      <c r="E341" s="1004" t="str">
        <f>E91</f>
        <v>CIES Line 22</v>
      </c>
      <c r="F341" s="213" t="s">
        <v>1966</v>
      </c>
      <c r="G341" s="213" t="s">
        <v>1973</v>
      </c>
      <c r="H341" s="213" t="s">
        <v>1975</v>
      </c>
      <c r="J341" s="163">
        <v>0</v>
      </c>
      <c r="K341" s="163">
        <v>0</v>
      </c>
      <c r="L341" s="165">
        <f t="shared" si="16"/>
        <v>0</v>
      </c>
      <c r="M341" s="163">
        <v>0</v>
      </c>
      <c r="N341" s="163">
        <v>0</v>
      </c>
      <c r="O341" s="165">
        <f t="shared" si="17"/>
        <v>0</v>
      </c>
      <c r="P341" s="36"/>
      <c r="Q341" s="4"/>
    </row>
    <row r="342" spans="1:17" ht="41.4" x14ac:dyDescent="0.3">
      <c r="A342" s="31">
        <v>22</v>
      </c>
      <c r="C342" s="75" t="s">
        <v>1984</v>
      </c>
      <c r="D342" s="31" t="str">
        <f t="shared" si="18"/>
        <v>Do Not Print</v>
      </c>
      <c r="E342" s="1004" t="str">
        <f>E91</f>
        <v>CIES Line 22</v>
      </c>
      <c r="F342" s="213" t="s">
        <v>1966</v>
      </c>
      <c r="G342" s="213" t="s">
        <v>1973</v>
      </c>
      <c r="H342" s="213" t="s">
        <v>1976</v>
      </c>
      <c r="J342" s="163">
        <v>0</v>
      </c>
      <c r="K342" s="163">
        <v>0</v>
      </c>
      <c r="L342" s="165">
        <f t="shared" si="16"/>
        <v>0</v>
      </c>
      <c r="M342" s="163">
        <v>0</v>
      </c>
      <c r="N342" s="163">
        <v>0</v>
      </c>
      <c r="O342" s="165">
        <f t="shared" si="17"/>
        <v>0</v>
      </c>
      <c r="P342" s="36"/>
      <c r="Q342" s="4"/>
    </row>
    <row r="343" spans="1:17" ht="41.4" x14ac:dyDescent="0.3">
      <c r="A343" s="31">
        <v>22</v>
      </c>
      <c r="C343" s="75" t="s">
        <v>1984</v>
      </c>
      <c r="D343" s="31" t="str">
        <f t="shared" si="18"/>
        <v>Do Not Print</v>
      </c>
      <c r="E343" s="1004" t="str">
        <f>E91</f>
        <v>CIES Line 22</v>
      </c>
      <c r="F343" s="213" t="s">
        <v>1966</v>
      </c>
      <c r="G343" s="213" t="s">
        <v>1973</v>
      </c>
      <c r="H343" s="213" t="s">
        <v>1977</v>
      </c>
      <c r="J343" s="163">
        <v>0</v>
      </c>
      <c r="K343" s="163">
        <v>0</v>
      </c>
      <c r="L343" s="165">
        <f t="shared" si="16"/>
        <v>0</v>
      </c>
      <c r="M343" s="163">
        <v>0</v>
      </c>
      <c r="N343" s="163">
        <v>0</v>
      </c>
      <c r="O343" s="165">
        <f t="shared" si="17"/>
        <v>0</v>
      </c>
      <c r="P343" s="36"/>
      <c r="Q343" s="4"/>
    </row>
    <row r="344" spans="1:17" ht="41.4" x14ac:dyDescent="0.3">
      <c r="A344" s="31">
        <v>22</v>
      </c>
      <c r="C344" s="75" t="s">
        <v>1984</v>
      </c>
      <c r="D344" s="31" t="str">
        <f t="shared" ref="D344:D348" si="20">IF(AND(L344=0,O344=0),"Do Not Print","Print")</f>
        <v>Do Not Print</v>
      </c>
      <c r="E344" s="1004" t="str">
        <f>E91</f>
        <v>CIES Line 22</v>
      </c>
      <c r="F344" s="213" t="s">
        <v>1966</v>
      </c>
      <c r="G344" s="213" t="s">
        <v>1973</v>
      </c>
      <c r="H344" s="213" t="s">
        <v>1978</v>
      </c>
      <c r="J344" s="163">
        <v>0</v>
      </c>
      <c r="K344" s="163">
        <v>0</v>
      </c>
      <c r="L344" s="165">
        <f t="shared" si="16"/>
        <v>0</v>
      </c>
      <c r="M344" s="163">
        <v>0</v>
      </c>
      <c r="N344" s="163">
        <v>0</v>
      </c>
      <c r="O344" s="165">
        <f t="shared" si="17"/>
        <v>0</v>
      </c>
      <c r="P344" s="36"/>
      <c r="Q344" s="4"/>
    </row>
    <row r="345" spans="1:17" ht="41.4" x14ac:dyDescent="0.3">
      <c r="A345" s="31">
        <v>22</v>
      </c>
      <c r="C345" s="75" t="s">
        <v>1984</v>
      </c>
      <c r="D345" s="31" t="str">
        <f t="shared" si="20"/>
        <v>Do Not Print</v>
      </c>
      <c r="E345" s="1004" t="str">
        <f>E91</f>
        <v>CIES Line 22</v>
      </c>
      <c r="F345" s="213" t="s">
        <v>1966</v>
      </c>
      <c r="G345" s="213" t="s">
        <v>1973</v>
      </c>
      <c r="H345" s="213" t="s">
        <v>1979</v>
      </c>
      <c r="J345" s="163">
        <v>0</v>
      </c>
      <c r="K345" s="163">
        <v>0</v>
      </c>
      <c r="L345" s="165">
        <f t="shared" si="16"/>
        <v>0</v>
      </c>
      <c r="M345" s="163">
        <v>0</v>
      </c>
      <c r="N345" s="163">
        <v>0</v>
      </c>
      <c r="O345" s="165">
        <f t="shared" si="17"/>
        <v>0</v>
      </c>
      <c r="P345" s="36"/>
      <c r="Q345" s="4"/>
    </row>
    <row r="346" spans="1:17" ht="69" x14ac:dyDescent="0.3">
      <c r="A346" s="31">
        <v>22</v>
      </c>
      <c r="C346" s="75" t="s">
        <v>1984</v>
      </c>
      <c r="D346" s="31" t="str">
        <f t="shared" si="20"/>
        <v>Do Not Print</v>
      </c>
      <c r="E346" s="1004" t="str">
        <f>E91</f>
        <v>CIES Line 22</v>
      </c>
      <c r="F346" s="213" t="s">
        <v>1966</v>
      </c>
      <c r="G346" s="213" t="s">
        <v>1973</v>
      </c>
      <c r="H346" s="213" t="s">
        <v>1980</v>
      </c>
      <c r="J346" s="163">
        <v>0</v>
      </c>
      <c r="K346" s="163">
        <v>0</v>
      </c>
      <c r="L346" s="165">
        <f t="shared" si="16"/>
        <v>0</v>
      </c>
      <c r="M346" s="163">
        <v>0</v>
      </c>
      <c r="N346" s="163">
        <v>0</v>
      </c>
      <c r="O346" s="165">
        <f t="shared" si="17"/>
        <v>0</v>
      </c>
      <c r="P346" s="36"/>
      <c r="Q346" s="4"/>
    </row>
    <row r="347" spans="1:17" ht="41.4" x14ac:dyDescent="0.3">
      <c r="A347" s="31">
        <v>22</v>
      </c>
      <c r="C347" s="75" t="s">
        <v>1984</v>
      </c>
      <c r="D347" s="31" t="str">
        <f t="shared" si="20"/>
        <v>Do Not Print</v>
      </c>
      <c r="E347" s="1004" t="str">
        <f>E91</f>
        <v>CIES Line 22</v>
      </c>
      <c r="F347" s="213" t="s">
        <v>1966</v>
      </c>
      <c r="G347" s="213" t="s">
        <v>1973</v>
      </c>
      <c r="H347" s="213" t="s">
        <v>1981</v>
      </c>
      <c r="J347" s="163">
        <v>0</v>
      </c>
      <c r="K347" s="163">
        <v>0</v>
      </c>
      <c r="L347" s="165">
        <f t="shared" si="16"/>
        <v>0</v>
      </c>
      <c r="M347" s="163">
        <v>0</v>
      </c>
      <c r="N347" s="163">
        <v>0</v>
      </c>
      <c r="O347" s="165">
        <f t="shared" si="17"/>
        <v>0</v>
      </c>
      <c r="P347" s="36"/>
      <c r="Q347" s="4"/>
    </row>
    <row r="348" spans="1:17" ht="55.2" x14ac:dyDescent="0.3">
      <c r="A348" s="31">
        <v>22</v>
      </c>
      <c r="C348" s="75" t="s">
        <v>1984</v>
      </c>
      <c r="D348" s="31" t="str">
        <f t="shared" si="20"/>
        <v>Do Not Print</v>
      </c>
      <c r="E348" s="1004" t="str">
        <f>E91</f>
        <v>CIES Line 22</v>
      </c>
      <c r="F348" s="213" t="s">
        <v>1966</v>
      </c>
      <c r="G348" s="213" t="s">
        <v>1973</v>
      </c>
      <c r="H348" s="213" t="s">
        <v>1982</v>
      </c>
      <c r="J348" s="163">
        <v>0</v>
      </c>
      <c r="K348" s="163">
        <v>0</v>
      </c>
      <c r="L348" s="165">
        <f t="shared" si="16"/>
        <v>0</v>
      </c>
      <c r="M348" s="163">
        <v>0</v>
      </c>
      <c r="N348" s="163">
        <v>0</v>
      </c>
      <c r="O348" s="165">
        <f t="shared" si="17"/>
        <v>0</v>
      </c>
      <c r="P348" s="36"/>
      <c r="Q348" s="4"/>
    </row>
    <row r="349" spans="1:17" ht="41.4" x14ac:dyDescent="0.3">
      <c r="A349" s="31">
        <v>23</v>
      </c>
      <c r="C349" s="75" t="s">
        <v>1984</v>
      </c>
      <c r="D349" s="31" t="str">
        <f t="shared" si="18"/>
        <v>Do Not Print</v>
      </c>
      <c r="E349" s="1004" t="str">
        <f>E95</f>
        <v>CIES Line 23</v>
      </c>
      <c r="F349" s="213" t="s">
        <v>1966</v>
      </c>
      <c r="G349" s="213" t="s">
        <v>1973</v>
      </c>
      <c r="H349" s="213" t="s">
        <v>1974</v>
      </c>
      <c r="J349" s="163">
        <v>0</v>
      </c>
      <c r="K349" s="163">
        <v>0</v>
      </c>
      <c r="L349" s="165">
        <f t="shared" si="16"/>
        <v>0</v>
      </c>
      <c r="M349" s="163">
        <v>0</v>
      </c>
      <c r="N349" s="163">
        <v>0</v>
      </c>
      <c r="O349" s="165">
        <f t="shared" si="17"/>
        <v>0</v>
      </c>
      <c r="P349" s="36"/>
      <c r="Q349" s="4"/>
    </row>
    <row r="350" spans="1:17" ht="69" x14ac:dyDescent="0.3">
      <c r="A350" s="31">
        <v>23</v>
      </c>
      <c r="C350" s="75" t="s">
        <v>1984</v>
      </c>
      <c r="D350" s="31" t="str">
        <f t="shared" si="18"/>
        <v>Do Not Print</v>
      </c>
      <c r="E350" s="1004" t="str">
        <f>E95</f>
        <v>CIES Line 23</v>
      </c>
      <c r="F350" s="213" t="s">
        <v>1966</v>
      </c>
      <c r="G350" s="213" t="s">
        <v>1973</v>
      </c>
      <c r="H350" s="213" t="s">
        <v>1975</v>
      </c>
      <c r="J350" s="163">
        <v>0</v>
      </c>
      <c r="K350" s="163">
        <v>0</v>
      </c>
      <c r="L350" s="165">
        <f t="shared" si="16"/>
        <v>0</v>
      </c>
      <c r="M350" s="163">
        <v>0</v>
      </c>
      <c r="N350" s="163">
        <v>0</v>
      </c>
      <c r="O350" s="165">
        <f t="shared" si="17"/>
        <v>0</v>
      </c>
      <c r="P350" s="36"/>
      <c r="Q350" s="4"/>
    </row>
    <row r="351" spans="1:17" ht="41.4" x14ac:dyDescent="0.3">
      <c r="A351" s="31">
        <v>23</v>
      </c>
      <c r="C351" s="75" t="s">
        <v>1984</v>
      </c>
      <c r="D351" s="31" t="str">
        <f t="shared" si="18"/>
        <v>Do Not Print</v>
      </c>
      <c r="E351" s="1004" t="str">
        <f>E95</f>
        <v>CIES Line 23</v>
      </c>
      <c r="F351" s="213" t="s">
        <v>1966</v>
      </c>
      <c r="G351" s="213" t="s">
        <v>1973</v>
      </c>
      <c r="H351" s="213" t="s">
        <v>1976</v>
      </c>
      <c r="J351" s="163">
        <v>0</v>
      </c>
      <c r="K351" s="163">
        <v>0</v>
      </c>
      <c r="L351" s="165">
        <f t="shared" si="16"/>
        <v>0</v>
      </c>
      <c r="M351" s="163">
        <v>0</v>
      </c>
      <c r="N351" s="163">
        <v>0</v>
      </c>
      <c r="O351" s="165">
        <f t="shared" si="17"/>
        <v>0</v>
      </c>
      <c r="P351" s="36"/>
      <c r="Q351" s="4"/>
    </row>
    <row r="352" spans="1:17" ht="41.4" x14ac:dyDescent="0.3">
      <c r="A352" s="31">
        <v>23</v>
      </c>
      <c r="C352" s="75" t="s">
        <v>1984</v>
      </c>
      <c r="D352" s="31" t="str">
        <f t="shared" si="18"/>
        <v>Do Not Print</v>
      </c>
      <c r="E352" s="1004" t="str">
        <f>E95</f>
        <v>CIES Line 23</v>
      </c>
      <c r="F352" s="213" t="s">
        <v>1966</v>
      </c>
      <c r="G352" s="213" t="s">
        <v>1973</v>
      </c>
      <c r="H352" s="213" t="s">
        <v>1977</v>
      </c>
      <c r="J352" s="163">
        <v>0</v>
      </c>
      <c r="K352" s="163">
        <v>0</v>
      </c>
      <c r="L352" s="165">
        <f t="shared" si="16"/>
        <v>0</v>
      </c>
      <c r="M352" s="163">
        <v>0</v>
      </c>
      <c r="N352" s="163">
        <v>0</v>
      </c>
      <c r="O352" s="165">
        <f t="shared" si="17"/>
        <v>0</v>
      </c>
      <c r="P352" s="36"/>
      <c r="Q352" s="4"/>
    </row>
    <row r="353" spans="1:17" ht="41.4" x14ac:dyDescent="0.3">
      <c r="A353" s="31">
        <v>23</v>
      </c>
      <c r="C353" s="75" t="s">
        <v>1984</v>
      </c>
      <c r="D353" s="31" t="str">
        <f t="shared" ref="D353:D357" si="21">IF(AND(L353=0,O353=0),"Do Not Print","Print")</f>
        <v>Do Not Print</v>
      </c>
      <c r="E353" s="1004" t="str">
        <f>E95</f>
        <v>CIES Line 23</v>
      </c>
      <c r="F353" s="213" t="s">
        <v>1966</v>
      </c>
      <c r="G353" s="213" t="s">
        <v>1973</v>
      </c>
      <c r="H353" s="213" t="s">
        <v>1978</v>
      </c>
      <c r="J353" s="163">
        <v>0</v>
      </c>
      <c r="K353" s="163">
        <v>0</v>
      </c>
      <c r="L353" s="165">
        <f t="shared" si="16"/>
        <v>0</v>
      </c>
      <c r="M353" s="163">
        <v>0</v>
      </c>
      <c r="N353" s="163">
        <v>0</v>
      </c>
      <c r="O353" s="165">
        <f t="shared" si="17"/>
        <v>0</v>
      </c>
      <c r="P353" s="36"/>
      <c r="Q353" s="4"/>
    </row>
    <row r="354" spans="1:17" ht="41.4" x14ac:dyDescent="0.3">
      <c r="A354" s="31">
        <v>23</v>
      </c>
      <c r="C354" s="75" t="s">
        <v>1984</v>
      </c>
      <c r="D354" s="31" t="str">
        <f t="shared" si="21"/>
        <v>Do Not Print</v>
      </c>
      <c r="E354" s="1004" t="str">
        <f>E95</f>
        <v>CIES Line 23</v>
      </c>
      <c r="F354" s="213" t="s">
        <v>1966</v>
      </c>
      <c r="G354" s="213" t="s">
        <v>1973</v>
      </c>
      <c r="H354" s="213" t="s">
        <v>1979</v>
      </c>
      <c r="J354" s="163">
        <v>0</v>
      </c>
      <c r="K354" s="163">
        <v>0</v>
      </c>
      <c r="L354" s="165">
        <f t="shared" si="16"/>
        <v>0</v>
      </c>
      <c r="M354" s="163">
        <v>0</v>
      </c>
      <c r="N354" s="163">
        <v>0</v>
      </c>
      <c r="O354" s="165">
        <f t="shared" si="17"/>
        <v>0</v>
      </c>
      <c r="P354" s="36"/>
      <c r="Q354" s="4"/>
    </row>
    <row r="355" spans="1:17" ht="69" x14ac:dyDescent="0.3">
      <c r="A355" s="31">
        <v>23</v>
      </c>
      <c r="C355" s="75" t="s">
        <v>1984</v>
      </c>
      <c r="D355" s="31" t="str">
        <f t="shared" si="21"/>
        <v>Do Not Print</v>
      </c>
      <c r="E355" s="1004" t="str">
        <f>E95</f>
        <v>CIES Line 23</v>
      </c>
      <c r="F355" s="213" t="s">
        <v>1966</v>
      </c>
      <c r="G355" s="213" t="s">
        <v>1973</v>
      </c>
      <c r="H355" s="213" t="s">
        <v>1980</v>
      </c>
      <c r="J355" s="163">
        <v>0</v>
      </c>
      <c r="K355" s="163">
        <v>0</v>
      </c>
      <c r="L355" s="165">
        <f t="shared" si="16"/>
        <v>0</v>
      </c>
      <c r="M355" s="163">
        <v>0</v>
      </c>
      <c r="N355" s="163">
        <v>0</v>
      </c>
      <c r="O355" s="165">
        <f t="shared" si="17"/>
        <v>0</v>
      </c>
      <c r="P355" s="36"/>
      <c r="Q355" s="4"/>
    </row>
    <row r="356" spans="1:17" ht="41.4" x14ac:dyDescent="0.3">
      <c r="A356" s="31">
        <v>23</v>
      </c>
      <c r="C356" s="75" t="s">
        <v>1984</v>
      </c>
      <c r="D356" s="31" t="str">
        <f t="shared" si="21"/>
        <v>Do Not Print</v>
      </c>
      <c r="E356" s="1004" t="str">
        <f>E95</f>
        <v>CIES Line 23</v>
      </c>
      <c r="F356" s="213" t="s">
        <v>1966</v>
      </c>
      <c r="G356" s="213" t="s">
        <v>1973</v>
      </c>
      <c r="H356" s="213" t="s">
        <v>1981</v>
      </c>
      <c r="J356" s="163">
        <v>0</v>
      </c>
      <c r="K356" s="163">
        <v>0</v>
      </c>
      <c r="L356" s="165">
        <f t="shared" si="16"/>
        <v>0</v>
      </c>
      <c r="M356" s="163">
        <v>0</v>
      </c>
      <c r="N356" s="163">
        <v>0</v>
      </c>
      <c r="O356" s="165">
        <f t="shared" si="17"/>
        <v>0</v>
      </c>
      <c r="P356" s="36"/>
      <c r="Q356" s="4"/>
    </row>
    <row r="357" spans="1:17" ht="55.2" x14ac:dyDescent="0.3">
      <c r="A357" s="31">
        <v>23</v>
      </c>
      <c r="C357" s="75" t="s">
        <v>1984</v>
      </c>
      <c r="D357" s="31" t="str">
        <f t="shared" si="21"/>
        <v>Do Not Print</v>
      </c>
      <c r="E357" s="1004" t="str">
        <f>E95</f>
        <v>CIES Line 23</v>
      </c>
      <c r="F357" s="213" t="s">
        <v>1966</v>
      </c>
      <c r="G357" s="213" t="s">
        <v>1973</v>
      </c>
      <c r="H357" s="213" t="s">
        <v>1982</v>
      </c>
      <c r="J357" s="163">
        <v>0</v>
      </c>
      <c r="K357" s="163">
        <v>0</v>
      </c>
      <c r="L357" s="165">
        <f t="shared" si="16"/>
        <v>0</v>
      </c>
      <c r="M357" s="163">
        <v>0</v>
      </c>
      <c r="N357" s="163">
        <v>0</v>
      </c>
      <c r="O357" s="165">
        <f t="shared" si="17"/>
        <v>0</v>
      </c>
      <c r="P357" s="36"/>
      <c r="Q357" s="4"/>
    </row>
    <row r="358" spans="1:17" ht="41.4" x14ac:dyDescent="0.3">
      <c r="A358" s="31">
        <v>24</v>
      </c>
      <c r="C358" s="75" t="s">
        <v>1984</v>
      </c>
      <c r="D358" s="31" t="str">
        <f t="shared" si="18"/>
        <v>Do Not Print</v>
      </c>
      <c r="E358" s="1004" t="str">
        <f>E99</f>
        <v>CIES Line 24</v>
      </c>
      <c r="F358" s="213" t="s">
        <v>1966</v>
      </c>
      <c r="G358" s="213" t="s">
        <v>1973</v>
      </c>
      <c r="H358" s="213" t="s">
        <v>1974</v>
      </c>
      <c r="J358" s="163">
        <v>0</v>
      </c>
      <c r="K358" s="163">
        <v>0</v>
      </c>
      <c r="L358" s="165">
        <f t="shared" si="16"/>
        <v>0</v>
      </c>
      <c r="M358" s="163">
        <v>0</v>
      </c>
      <c r="N358" s="163">
        <v>0</v>
      </c>
      <c r="O358" s="165">
        <f t="shared" si="17"/>
        <v>0</v>
      </c>
      <c r="P358" s="36"/>
      <c r="Q358" s="4"/>
    </row>
    <row r="359" spans="1:17" ht="69" x14ac:dyDescent="0.3">
      <c r="A359" s="31">
        <v>24</v>
      </c>
      <c r="C359" s="75" t="s">
        <v>1984</v>
      </c>
      <c r="D359" s="31" t="str">
        <f t="shared" si="18"/>
        <v>Do Not Print</v>
      </c>
      <c r="E359" s="1004" t="str">
        <f>E99</f>
        <v>CIES Line 24</v>
      </c>
      <c r="F359" s="213" t="s">
        <v>1966</v>
      </c>
      <c r="G359" s="213" t="s">
        <v>1973</v>
      </c>
      <c r="H359" s="213" t="s">
        <v>1975</v>
      </c>
      <c r="J359" s="163">
        <v>0</v>
      </c>
      <c r="K359" s="163">
        <v>0</v>
      </c>
      <c r="L359" s="165">
        <f t="shared" si="16"/>
        <v>0</v>
      </c>
      <c r="M359" s="163">
        <v>0</v>
      </c>
      <c r="N359" s="163">
        <v>0</v>
      </c>
      <c r="O359" s="165">
        <f t="shared" si="17"/>
        <v>0</v>
      </c>
      <c r="P359" s="36"/>
      <c r="Q359" s="4"/>
    </row>
    <row r="360" spans="1:17" ht="41.4" x14ac:dyDescent="0.3">
      <c r="A360" s="31">
        <v>24</v>
      </c>
      <c r="C360" s="75" t="s">
        <v>1984</v>
      </c>
      <c r="D360" s="31" t="str">
        <f t="shared" si="18"/>
        <v>Do Not Print</v>
      </c>
      <c r="E360" s="1004" t="str">
        <f>E99</f>
        <v>CIES Line 24</v>
      </c>
      <c r="F360" s="213" t="s">
        <v>1966</v>
      </c>
      <c r="G360" s="213" t="s">
        <v>1973</v>
      </c>
      <c r="H360" s="213" t="s">
        <v>1976</v>
      </c>
      <c r="J360" s="163">
        <v>0</v>
      </c>
      <c r="K360" s="163">
        <v>0</v>
      </c>
      <c r="L360" s="165">
        <f t="shared" si="16"/>
        <v>0</v>
      </c>
      <c r="M360" s="163">
        <v>0</v>
      </c>
      <c r="N360" s="163">
        <v>0</v>
      </c>
      <c r="O360" s="165">
        <f t="shared" si="17"/>
        <v>0</v>
      </c>
      <c r="P360" s="36"/>
      <c r="Q360" s="4"/>
    </row>
    <row r="361" spans="1:17" ht="41.4" x14ac:dyDescent="0.3">
      <c r="A361" s="31">
        <v>24</v>
      </c>
      <c r="C361" s="75" t="s">
        <v>1984</v>
      </c>
      <c r="D361" s="31" t="str">
        <f t="shared" si="18"/>
        <v>Do Not Print</v>
      </c>
      <c r="E361" s="1004" t="str">
        <f>E99</f>
        <v>CIES Line 24</v>
      </c>
      <c r="F361" s="213" t="s">
        <v>1966</v>
      </c>
      <c r="G361" s="213" t="s">
        <v>1973</v>
      </c>
      <c r="H361" s="213" t="s">
        <v>1977</v>
      </c>
      <c r="J361" s="163">
        <v>0</v>
      </c>
      <c r="K361" s="163">
        <v>0</v>
      </c>
      <c r="L361" s="165">
        <f t="shared" si="16"/>
        <v>0</v>
      </c>
      <c r="M361" s="163">
        <v>0</v>
      </c>
      <c r="N361" s="163">
        <v>0</v>
      </c>
      <c r="O361" s="165">
        <f t="shared" si="17"/>
        <v>0</v>
      </c>
      <c r="P361" s="36"/>
      <c r="Q361" s="4"/>
    </row>
    <row r="362" spans="1:17" ht="41.4" x14ac:dyDescent="0.3">
      <c r="A362" s="31">
        <v>24</v>
      </c>
      <c r="C362" s="75" t="s">
        <v>1984</v>
      </c>
      <c r="D362" s="31" t="str">
        <f t="shared" ref="D362:D366" si="22">IF(AND(L362=0,O362=0),"Do Not Print","Print")</f>
        <v>Do Not Print</v>
      </c>
      <c r="E362" s="1004" t="str">
        <f>E99</f>
        <v>CIES Line 24</v>
      </c>
      <c r="F362" s="213" t="s">
        <v>1966</v>
      </c>
      <c r="G362" s="213" t="s">
        <v>1973</v>
      </c>
      <c r="H362" s="213" t="s">
        <v>1978</v>
      </c>
      <c r="J362" s="163">
        <v>0</v>
      </c>
      <c r="K362" s="163">
        <v>0</v>
      </c>
      <c r="L362" s="165">
        <f t="shared" si="16"/>
        <v>0</v>
      </c>
      <c r="M362" s="163">
        <v>0</v>
      </c>
      <c r="N362" s="163">
        <v>0</v>
      </c>
      <c r="O362" s="165">
        <f t="shared" si="17"/>
        <v>0</v>
      </c>
      <c r="P362" s="36"/>
      <c r="Q362" s="4"/>
    </row>
    <row r="363" spans="1:17" ht="41.4" x14ac:dyDescent="0.3">
      <c r="A363" s="31">
        <v>24</v>
      </c>
      <c r="C363" s="75" t="s">
        <v>1984</v>
      </c>
      <c r="D363" s="31" t="str">
        <f t="shared" si="22"/>
        <v>Do Not Print</v>
      </c>
      <c r="E363" s="1004" t="str">
        <f>E99</f>
        <v>CIES Line 24</v>
      </c>
      <c r="F363" s="213" t="s">
        <v>1966</v>
      </c>
      <c r="G363" s="213" t="s">
        <v>1973</v>
      </c>
      <c r="H363" s="213" t="s">
        <v>1979</v>
      </c>
      <c r="J363" s="163">
        <v>0</v>
      </c>
      <c r="K363" s="163">
        <v>0</v>
      </c>
      <c r="L363" s="165">
        <f t="shared" si="16"/>
        <v>0</v>
      </c>
      <c r="M363" s="163">
        <v>0</v>
      </c>
      <c r="N363" s="163">
        <v>0</v>
      </c>
      <c r="O363" s="165">
        <f t="shared" si="17"/>
        <v>0</v>
      </c>
      <c r="P363" s="36"/>
      <c r="Q363" s="4"/>
    </row>
    <row r="364" spans="1:17" ht="69" x14ac:dyDescent="0.3">
      <c r="A364" s="31">
        <v>24</v>
      </c>
      <c r="C364" s="75" t="s">
        <v>1984</v>
      </c>
      <c r="D364" s="31" t="str">
        <f t="shared" si="22"/>
        <v>Do Not Print</v>
      </c>
      <c r="E364" s="1004" t="str">
        <f>E99</f>
        <v>CIES Line 24</v>
      </c>
      <c r="F364" s="213" t="s">
        <v>1966</v>
      </c>
      <c r="G364" s="213" t="s">
        <v>1973</v>
      </c>
      <c r="H364" s="213" t="s">
        <v>1980</v>
      </c>
      <c r="J364" s="163">
        <v>0</v>
      </c>
      <c r="K364" s="163">
        <v>0</v>
      </c>
      <c r="L364" s="165">
        <f t="shared" si="16"/>
        <v>0</v>
      </c>
      <c r="M364" s="163">
        <v>0</v>
      </c>
      <c r="N364" s="163">
        <v>0</v>
      </c>
      <c r="O364" s="165">
        <f t="shared" si="17"/>
        <v>0</v>
      </c>
      <c r="P364" s="36"/>
      <c r="Q364" s="4"/>
    </row>
    <row r="365" spans="1:17" ht="41.4" x14ac:dyDescent="0.3">
      <c r="A365" s="31">
        <v>24</v>
      </c>
      <c r="C365" s="75" t="s">
        <v>1984</v>
      </c>
      <c r="D365" s="31" t="str">
        <f t="shared" si="22"/>
        <v>Do Not Print</v>
      </c>
      <c r="E365" s="1004" t="str">
        <f>E99</f>
        <v>CIES Line 24</v>
      </c>
      <c r="F365" s="213" t="s">
        <v>1966</v>
      </c>
      <c r="G365" s="213" t="s">
        <v>1973</v>
      </c>
      <c r="H365" s="213" t="s">
        <v>1981</v>
      </c>
      <c r="J365" s="163">
        <v>0</v>
      </c>
      <c r="K365" s="163">
        <v>0</v>
      </c>
      <c r="L365" s="165">
        <f t="shared" si="16"/>
        <v>0</v>
      </c>
      <c r="M365" s="163">
        <v>0</v>
      </c>
      <c r="N365" s="163">
        <v>0</v>
      </c>
      <c r="O365" s="165">
        <f t="shared" si="17"/>
        <v>0</v>
      </c>
      <c r="P365" s="36"/>
      <c r="Q365" s="4"/>
    </row>
    <row r="366" spans="1:17" ht="55.2" x14ac:dyDescent="0.3">
      <c r="A366" s="31">
        <v>24</v>
      </c>
      <c r="C366" s="75" t="s">
        <v>1984</v>
      </c>
      <c r="D366" s="31" t="str">
        <f t="shared" si="22"/>
        <v>Do Not Print</v>
      </c>
      <c r="E366" s="1004" t="str">
        <f>E99</f>
        <v>CIES Line 24</v>
      </c>
      <c r="F366" s="213" t="s">
        <v>1966</v>
      </c>
      <c r="G366" s="213" t="s">
        <v>1973</v>
      </c>
      <c r="H366" s="213" t="s">
        <v>1982</v>
      </c>
      <c r="J366" s="163">
        <v>0</v>
      </c>
      <c r="K366" s="163">
        <v>0</v>
      </c>
      <c r="L366" s="165">
        <f t="shared" si="16"/>
        <v>0</v>
      </c>
      <c r="M366" s="163">
        <v>0</v>
      </c>
      <c r="N366" s="163">
        <v>0</v>
      </c>
      <c r="O366" s="165">
        <f t="shared" si="17"/>
        <v>0</v>
      </c>
      <c r="P366" s="36"/>
      <c r="Q366" s="4"/>
    </row>
    <row r="367" spans="1:17" ht="41.4" x14ac:dyDescent="0.3">
      <c r="A367" s="31">
        <v>25</v>
      </c>
      <c r="C367" s="75" t="s">
        <v>1984</v>
      </c>
      <c r="D367" s="31" t="str">
        <f t="shared" si="18"/>
        <v>Do Not Print</v>
      </c>
      <c r="E367" s="1004" t="str">
        <f>E103</f>
        <v>CIES Line 25</v>
      </c>
      <c r="F367" s="213" t="s">
        <v>1966</v>
      </c>
      <c r="G367" s="213" t="s">
        <v>1973</v>
      </c>
      <c r="H367" s="213" t="s">
        <v>1974</v>
      </c>
      <c r="J367" s="163">
        <v>0</v>
      </c>
      <c r="K367" s="163">
        <v>0</v>
      </c>
      <c r="L367" s="165">
        <f t="shared" si="16"/>
        <v>0</v>
      </c>
      <c r="M367" s="163">
        <v>0</v>
      </c>
      <c r="N367" s="163">
        <v>0</v>
      </c>
      <c r="O367" s="165">
        <f t="shared" si="17"/>
        <v>0</v>
      </c>
      <c r="P367" s="36"/>
      <c r="Q367" s="4"/>
    </row>
    <row r="368" spans="1:17" ht="69" x14ac:dyDescent="0.3">
      <c r="A368" s="31">
        <v>25</v>
      </c>
      <c r="C368" s="75" t="s">
        <v>1984</v>
      </c>
      <c r="D368" s="31" t="str">
        <f t="shared" si="18"/>
        <v>Do Not Print</v>
      </c>
      <c r="E368" s="1004" t="str">
        <f>E103</f>
        <v>CIES Line 25</v>
      </c>
      <c r="F368" s="213" t="s">
        <v>1966</v>
      </c>
      <c r="G368" s="213" t="s">
        <v>1973</v>
      </c>
      <c r="H368" s="213" t="s">
        <v>1975</v>
      </c>
      <c r="J368" s="163">
        <v>0</v>
      </c>
      <c r="K368" s="163">
        <v>0</v>
      </c>
      <c r="L368" s="165">
        <f t="shared" si="16"/>
        <v>0</v>
      </c>
      <c r="M368" s="163">
        <v>0</v>
      </c>
      <c r="N368" s="163">
        <v>0</v>
      </c>
      <c r="O368" s="165">
        <f t="shared" si="17"/>
        <v>0</v>
      </c>
      <c r="P368" s="36"/>
      <c r="Q368" s="4"/>
    </row>
    <row r="369" spans="1:17" ht="41.4" x14ac:dyDescent="0.3">
      <c r="A369" s="31">
        <v>25</v>
      </c>
      <c r="C369" s="75" t="s">
        <v>1984</v>
      </c>
      <c r="D369" s="31" t="str">
        <f t="shared" si="18"/>
        <v>Do Not Print</v>
      </c>
      <c r="E369" s="1004" t="str">
        <f>E103</f>
        <v>CIES Line 25</v>
      </c>
      <c r="F369" s="213" t="s">
        <v>1966</v>
      </c>
      <c r="G369" s="213" t="s">
        <v>1973</v>
      </c>
      <c r="H369" s="213" t="s">
        <v>1976</v>
      </c>
      <c r="J369" s="163">
        <v>0</v>
      </c>
      <c r="K369" s="163">
        <v>0</v>
      </c>
      <c r="L369" s="165">
        <f t="shared" si="16"/>
        <v>0</v>
      </c>
      <c r="M369" s="163">
        <v>0</v>
      </c>
      <c r="N369" s="163">
        <v>0</v>
      </c>
      <c r="O369" s="165">
        <f t="shared" si="17"/>
        <v>0</v>
      </c>
      <c r="P369" s="36"/>
      <c r="Q369" s="4"/>
    </row>
    <row r="370" spans="1:17" ht="41.4" x14ac:dyDescent="0.3">
      <c r="A370" s="31">
        <v>25</v>
      </c>
      <c r="C370" s="75" t="s">
        <v>1984</v>
      </c>
      <c r="D370" s="31" t="str">
        <f t="shared" si="18"/>
        <v>Do Not Print</v>
      </c>
      <c r="E370" s="1004" t="str">
        <f>E103</f>
        <v>CIES Line 25</v>
      </c>
      <c r="F370" s="213" t="s">
        <v>1966</v>
      </c>
      <c r="G370" s="213" t="s">
        <v>1973</v>
      </c>
      <c r="H370" s="213" t="s">
        <v>1977</v>
      </c>
      <c r="J370" s="163">
        <v>0</v>
      </c>
      <c r="K370" s="163">
        <v>0</v>
      </c>
      <c r="L370" s="165">
        <f t="shared" si="16"/>
        <v>0</v>
      </c>
      <c r="M370" s="163">
        <v>0</v>
      </c>
      <c r="N370" s="163">
        <v>0</v>
      </c>
      <c r="O370" s="165">
        <f t="shared" si="17"/>
        <v>0</v>
      </c>
      <c r="P370" s="36"/>
      <c r="Q370" s="4"/>
    </row>
    <row r="371" spans="1:17" ht="41.4" x14ac:dyDescent="0.3">
      <c r="A371" s="31">
        <v>25</v>
      </c>
      <c r="C371" s="75" t="s">
        <v>1984</v>
      </c>
      <c r="D371" s="31" t="str">
        <f t="shared" ref="D371:D375" si="23">IF(AND(L371=0,O371=0),"Do Not Print","Print")</f>
        <v>Do Not Print</v>
      </c>
      <c r="E371" s="1004" t="str">
        <f>E103</f>
        <v>CIES Line 25</v>
      </c>
      <c r="F371" s="213" t="s">
        <v>1966</v>
      </c>
      <c r="G371" s="213" t="s">
        <v>1973</v>
      </c>
      <c r="H371" s="213" t="s">
        <v>1978</v>
      </c>
      <c r="J371" s="163">
        <v>0</v>
      </c>
      <c r="K371" s="163">
        <v>0</v>
      </c>
      <c r="L371" s="165">
        <f t="shared" si="16"/>
        <v>0</v>
      </c>
      <c r="M371" s="163">
        <v>0</v>
      </c>
      <c r="N371" s="163">
        <v>0</v>
      </c>
      <c r="O371" s="165">
        <f t="shared" si="17"/>
        <v>0</v>
      </c>
      <c r="P371" s="36"/>
      <c r="Q371" s="4"/>
    </row>
    <row r="372" spans="1:17" ht="41.4" x14ac:dyDescent="0.3">
      <c r="A372" s="31">
        <v>25</v>
      </c>
      <c r="C372" s="75" t="s">
        <v>1984</v>
      </c>
      <c r="D372" s="31" t="str">
        <f t="shared" si="23"/>
        <v>Do Not Print</v>
      </c>
      <c r="E372" s="1004" t="str">
        <f>E103</f>
        <v>CIES Line 25</v>
      </c>
      <c r="F372" s="213" t="s">
        <v>1966</v>
      </c>
      <c r="G372" s="213" t="s">
        <v>1973</v>
      </c>
      <c r="H372" s="213" t="s">
        <v>1979</v>
      </c>
      <c r="J372" s="163">
        <v>0</v>
      </c>
      <c r="K372" s="163">
        <v>0</v>
      </c>
      <c r="L372" s="165">
        <f t="shared" si="16"/>
        <v>0</v>
      </c>
      <c r="M372" s="163">
        <v>0</v>
      </c>
      <c r="N372" s="163">
        <v>0</v>
      </c>
      <c r="O372" s="165">
        <f t="shared" si="17"/>
        <v>0</v>
      </c>
      <c r="P372" s="36"/>
      <c r="Q372" s="4"/>
    </row>
    <row r="373" spans="1:17" ht="69" x14ac:dyDescent="0.3">
      <c r="A373" s="31">
        <v>25</v>
      </c>
      <c r="C373" s="75" t="s">
        <v>1984</v>
      </c>
      <c r="D373" s="31" t="str">
        <f t="shared" si="23"/>
        <v>Do Not Print</v>
      </c>
      <c r="E373" s="1004" t="str">
        <f>E103</f>
        <v>CIES Line 25</v>
      </c>
      <c r="F373" s="213" t="s">
        <v>1966</v>
      </c>
      <c r="G373" s="213" t="s">
        <v>1973</v>
      </c>
      <c r="H373" s="213" t="s">
        <v>1980</v>
      </c>
      <c r="J373" s="163">
        <v>0</v>
      </c>
      <c r="K373" s="163">
        <v>0</v>
      </c>
      <c r="L373" s="165">
        <f t="shared" si="16"/>
        <v>0</v>
      </c>
      <c r="M373" s="163">
        <v>0</v>
      </c>
      <c r="N373" s="163">
        <v>0</v>
      </c>
      <c r="O373" s="165">
        <f t="shared" si="17"/>
        <v>0</v>
      </c>
      <c r="P373" s="36"/>
      <c r="Q373" s="4"/>
    </row>
    <row r="374" spans="1:17" ht="41.4" x14ac:dyDescent="0.3">
      <c r="A374" s="31">
        <v>25</v>
      </c>
      <c r="C374" s="75" t="s">
        <v>1984</v>
      </c>
      <c r="D374" s="31" t="str">
        <f t="shared" si="23"/>
        <v>Do Not Print</v>
      </c>
      <c r="E374" s="1004" t="str">
        <f>E103</f>
        <v>CIES Line 25</v>
      </c>
      <c r="F374" s="213" t="s">
        <v>1966</v>
      </c>
      <c r="G374" s="213" t="s">
        <v>1973</v>
      </c>
      <c r="H374" s="213" t="s">
        <v>1981</v>
      </c>
      <c r="J374" s="163">
        <v>0</v>
      </c>
      <c r="K374" s="163">
        <v>0</v>
      </c>
      <c r="L374" s="165">
        <f t="shared" si="16"/>
        <v>0</v>
      </c>
      <c r="M374" s="163">
        <v>0</v>
      </c>
      <c r="N374" s="163">
        <v>0</v>
      </c>
      <c r="O374" s="165">
        <f t="shared" si="17"/>
        <v>0</v>
      </c>
      <c r="P374" s="36"/>
      <c r="Q374" s="4"/>
    </row>
    <row r="375" spans="1:17" ht="55.2" x14ac:dyDescent="0.3">
      <c r="A375" s="31">
        <v>25</v>
      </c>
      <c r="C375" s="75" t="s">
        <v>1984</v>
      </c>
      <c r="D375" s="31" t="str">
        <f t="shared" si="23"/>
        <v>Do Not Print</v>
      </c>
      <c r="E375" s="1004" t="str">
        <f>E103</f>
        <v>CIES Line 25</v>
      </c>
      <c r="F375" s="213" t="s">
        <v>1966</v>
      </c>
      <c r="G375" s="213" t="s">
        <v>1973</v>
      </c>
      <c r="H375" s="213" t="s">
        <v>1982</v>
      </c>
      <c r="J375" s="163">
        <v>0</v>
      </c>
      <c r="K375" s="163">
        <v>0</v>
      </c>
      <c r="L375" s="165">
        <f t="shared" si="16"/>
        <v>0</v>
      </c>
      <c r="M375" s="163">
        <v>0</v>
      </c>
      <c r="N375" s="163">
        <v>0</v>
      </c>
      <c r="O375" s="165">
        <f t="shared" si="17"/>
        <v>0</v>
      </c>
      <c r="P375" s="36"/>
      <c r="Q375" s="4"/>
    </row>
    <row r="376" spans="1:17" ht="41.4" x14ac:dyDescent="0.3">
      <c r="A376" s="31">
        <v>26</v>
      </c>
      <c r="C376" s="75" t="s">
        <v>1984</v>
      </c>
      <c r="D376" s="31" t="str">
        <f t="shared" si="18"/>
        <v>Do Not Print</v>
      </c>
      <c r="E376" s="1004" t="str">
        <f>E107</f>
        <v>CIES Line 26</v>
      </c>
      <c r="F376" s="213" t="s">
        <v>1966</v>
      </c>
      <c r="G376" s="213" t="s">
        <v>1973</v>
      </c>
      <c r="H376" s="213" t="s">
        <v>1974</v>
      </c>
      <c r="J376" s="163">
        <v>0</v>
      </c>
      <c r="K376" s="163">
        <v>0</v>
      </c>
      <c r="L376" s="165">
        <f t="shared" si="16"/>
        <v>0</v>
      </c>
      <c r="M376" s="163">
        <v>0</v>
      </c>
      <c r="N376" s="163">
        <v>0</v>
      </c>
      <c r="O376" s="165">
        <f t="shared" si="17"/>
        <v>0</v>
      </c>
      <c r="P376" s="36"/>
      <c r="Q376" s="4"/>
    </row>
    <row r="377" spans="1:17" ht="69" x14ac:dyDescent="0.3">
      <c r="A377" s="31">
        <v>26</v>
      </c>
      <c r="C377" s="75" t="s">
        <v>1984</v>
      </c>
      <c r="D377" s="31" t="str">
        <f t="shared" si="18"/>
        <v>Do Not Print</v>
      </c>
      <c r="E377" s="1004" t="str">
        <f>E107</f>
        <v>CIES Line 26</v>
      </c>
      <c r="F377" s="213" t="s">
        <v>1966</v>
      </c>
      <c r="G377" s="213" t="s">
        <v>1973</v>
      </c>
      <c r="H377" s="213" t="s">
        <v>1975</v>
      </c>
      <c r="J377" s="163">
        <v>0</v>
      </c>
      <c r="K377" s="163">
        <v>0</v>
      </c>
      <c r="L377" s="165">
        <f t="shared" si="16"/>
        <v>0</v>
      </c>
      <c r="M377" s="163">
        <v>0</v>
      </c>
      <c r="N377" s="163">
        <v>0</v>
      </c>
      <c r="O377" s="165">
        <f t="shared" si="17"/>
        <v>0</v>
      </c>
      <c r="P377" s="36"/>
      <c r="Q377" s="4"/>
    </row>
    <row r="378" spans="1:17" ht="41.4" x14ac:dyDescent="0.3">
      <c r="A378" s="31">
        <v>26</v>
      </c>
      <c r="C378" s="75" t="s">
        <v>1984</v>
      </c>
      <c r="D378" s="31" t="str">
        <f t="shared" si="18"/>
        <v>Do Not Print</v>
      </c>
      <c r="E378" s="1004" t="str">
        <f>E107</f>
        <v>CIES Line 26</v>
      </c>
      <c r="F378" s="213" t="s">
        <v>1966</v>
      </c>
      <c r="G378" s="213" t="s">
        <v>1973</v>
      </c>
      <c r="H378" s="213" t="s">
        <v>1976</v>
      </c>
      <c r="J378" s="163">
        <v>0</v>
      </c>
      <c r="K378" s="163">
        <v>0</v>
      </c>
      <c r="L378" s="165">
        <f t="shared" si="16"/>
        <v>0</v>
      </c>
      <c r="M378" s="163">
        <v>0</v>
      </c>
      <c r="N378" s="163">
        <v>0</v>
      </c>
      <c r="O378" s="165">
        <f t="shared" si="17"/>
        <v>0</v>
      </c>
      <c r="P378" s="36"/>
      <c r="Q378" s="4"/>
    </row>
    <row r="379" spans="1:17" ht="41.4" x14ac:dyDescent="0.3">
      <c r="A379" s="31">
        <v>26</v>
      </c>
      <c r="C379" s="75" t="s">
        <v>1984</v>
      </c>
      <c r="D379" s="31" t="str">
        <f t="shared" si="18"/>
        <v>Do Not Print</v>
      </c>
      <c r="E379" s="1004" t="str">
        <f>E107</f>
        <v>CIES Line 26</v>
      </c>
      <c r="F379" s="213" t="s">
        <v>1966</v>
      </c>
      <c r="G379" s="213" t="s">
        <v>1973</v>
      </c>
      <c r="H379" s="213" t="s">
        <v>1977</v>
      </c>
      <c r="J379" s="163">
        <v>0</v>
      </c>
      <c r="K379" s="163">
        <v>0</v>
      </c>
      <c r="L379" s="165">
        <f t="shared" si="16"/>
        <v>0</v>
      </c>
      <c r="M379" s="163">
        <v>0</v>
      </c>
      <c r="N379" s="163">
        <v>0</v>
      </c>
      <c r="O379" s="165">
        <f t="shared" si="17"/>
        <v>0</v>
      </c>
      <c r="P379" s="36"/>
      <c r="Q379" s="4"/>
    </row>
    <row r="380" spans="1:17" ht="41.4" x14ac:dyDescent="0.3">
      <c r="A380" s="31">
        <v>26</v>
      </c>
      <c r="C380" s="75" t="s">
        <v>1984</v>
      </c>
      <c r="D380" s="31" t="str">
        <f t="shared" ref="D380:D384" si="24">IF(AND(L380=0,O380=0),"Do Not Print","Print")</f>
        <v>Do Not Print</v>
      </c>
      <c r="E380" s="1004" t="str">
        <f>E107</f>
        <v>CIES Line 26</v>
      </c>
      <c r="F380" s="213" t="s">
        <v>1966</v>
      </c>
      <c r="G380" s="213" t="s">
        <v>1973</v>
      </c>
      <c r="H380" s="213" t="s">
        <v>1978</v>
      </c>
      <c r="J380" s="163">
        <v>0</v>
      </c>
      <c r="K380" s="163">
        <v>0</v>
      </c>
      <c r="L380" s="165">
        <f t="shared" si="16"/>
        <v>0</v>
      </c>
      <c r="M380" s="163">
        <v>0</v>
      </c>
      <c r="N380" s="163">
        <v>0</v>
      </c>
      <c r="O380" s="165">
        <f t="shared" si="17"/>
        <v>0</v>
      </c>
      <c r="P380" s="36"/>
      <c r="Q380" s="4"/>
    </row>
    <row r="381" spans="1:17" ht="41.4" x14ac:dyDescent="0.3">
      <c r="A381" s="31">
        <v>26</v>
      </c>
      <c r="C381" s="75" t="s">
        <v>1984</v>
      </c>
      <c r="D381" s="31" t="str">
        <f t="shared" si="24"/>
        <v>Do Not Print</v>
      </c>
      <c r="E381" s="1004" t="str">
        <f>E107</f>
        <v>CIES Line 26</v>
      </c>
      <c r="F381" s="213" t="s">
        <v>1966</v>
      </c>
      <c r="G381" s="213" t="s">
        <v>1973</v>
      </c>
      <c r="H381" s="213" t="s">
        <v>1979</v>
      </c>
      <c r="J381" s="163">
        <v>0</v>
      </c>
      <c r="K381" s="163">
        <v>0</v>
      </c>
      <c r="L381" s="165">
        <f t="shared" si="16"/>
        <v>0</v>
      </c>
      <c r="M381" s="163">
        <v>0</v>
      </c>
      <c r="N381" s="163">
        <v>0</v>
      </c>
      <c r="O381" s="165">
        <f t="shared" si="17"/>
        <v>0</v>
      </c>
      <c r="P381" s="36"/>
      <c r="Q381" s="4"/>
    </row>
    <row r="382" spans="1:17" ht="69" x14ac:dyDescent="0.3">
      <c r="A382" s="31">
        <v>26</v>
      </c>
      <c r="C382" s="75" t="s">
        <v>1984</v>
      </c>
      <c r="D382" s="31" t="str">
        <f t="shared" si="24"/>
        <v>Do Not Print</v>
      </c>
      <c r="E382" s="1004" t="str">
        <f>E107</f>
        <v>CIES Line 26</v>
      </c>
      <c r="F382" s="213" t="s">
        <v>1966</v>
      </c>
      <c r="G382" s="213" t="s">
        <v>1973</v>
      </c>
      <c r="H382" s="213" t="s">
        <v>1980</v>
      </c>
      <c r="J382" s="163">
        <v>0</v>
      </c>
      <c r="K382" s="163">
        <v>0</v>
      </c>
      <c r="L382" s="165">
        <f t="shared" si="16"/>
        <v>0</v>
      </c>
      <c r="M382" s="163">
        <v>0</v>
      </c>
      <c r="N382" s="163">
        <v>0</v>
      </c>
      <c r="O382" s="165">
        <f t="shared" si="17"/>
        <v>0</v>
      </c>
      <c r="P382" s="36"/>
      <c r="Q382" s="4"/>
    </row>
    <row r="383" spans="1:17" ht="41.4" x14ac:dyDescent="0.3">
      <c r="A383" s="31">
        <v>26</v>
      </c>
      <c r="C383" s="75" t="s">
        <v>1984</v>
      </c>
      <c r="D383" s="31" t="str">
        <f t="shared" si="24"/>
        <v>Do Not Print</v>
      </c>
      <c r="E383" s="1004" t="str">
        <f>E107</f>
        <v>CIES Line 26</v>
      </c>
      <c r="F383" s="213" t="s">
        <v>1966</v>
      </c>
      <c r="G383" s="213" t="s">
        <v>1973</v>
      </c>
      <c r="H383" s="213" t="s">
        <v>1981</v>
      </c>
      <c r="J383" s="163">
        <v>0</v>
      </c>
      <c r="K383" s="163">
        <v>0</v>
      </c>
      <c r="L383" s="165">
        <f t="shared" si="16"/>
        <v>0</v>
      </c>
      <c r="M383" s="163">
        <v>0</v>
      </c>
      <c r="N383" s="163">
        <v>0</v>
      </c>
      <c r="O383" s="165">
        <f t="shared" si="17"/>
        <v>0</v>
      </c>
      <c r="P383" s="36"/>
      <c r="Q383" s="4"/>
    </row>
    <row r="384" spans="1:17" ht="55.2" x14ac:dyDescent="0.3">
      <c r="A384" s="31">
        <v>26</v>
      </c>
      <c r="C384" s="75" t="s">
        <v>1984</v>
      </c>
      <c r="D384" s="31" t="str">
        <f t="shared" si="24"/>
        <v>Do Not Print</v>
      </c>
      <c r="E384" s="1004" t="str">
        <f>E107</f>
        <v>CIES Line 26</v>
      </c>
      <c r="F384" s="213" t="s">
        <v>1966</v>
      </c>
      <c r="G384" s="213" t="s">
        <v>1973</v>
      </c>
      <c r="H384" s="213" t="s">
        <v>1982</v>
      </c>
      <c r="J384" s="163">
        <v>0</v>
      </c>
      <c r="K384" s="163">
        <v>0</v>
      </c>
      <c r="L384" s="165">
        <f t="shared" si="16"/>
        <v>0</v>
      </c>
      <c r="M384" s="163">
        <v>0</v>
      </c>
      <c r="N384" s="163">
        <v>0</v>
      </c>
      <c r="O384" s="165">
        <f t="shared" si="17"/>
        <v>0</v>
      </c>
      <c r="P384" s="36"/>
      <c r="Q384" s="4"/>
    </row>
    <row r="385" spans="1:17" ht="41.4" x14ac:dyDescent="0.3">
      <c r="A385" s="31">
        <v>27</v>
      </c>
      <c r="C385" s="75" t="s">
        <v>1984</v>
      </c>
      <c r="D385" s="31" t="str">
        <f t="shared" si="18"/>
        <v>Do Not Print</v>
      </c>
      <c r="E385" s="1004" t="str">
        <f>E111</f>
        <v>CIES Line 27</v>
      </c>
      <c r="F385" s="213" t="s">
        <v>1966</v>
      </c>
      <c r="G385" s="213" t="s">
        <v>1973</v>
      </c>
      <c r="H385" s="213" t="s">
        <v>1974</v>
      </c>
      <c r="J385" s="163">
        <v>0</v>
      </c>
      <c r="K385" s="163">
        <v>0</v>
      </c>
      <c r="L385" s="165">
        <f t="shared" si="16"/>
        <v>0</v>
      </c>
      <c r="M385" s="163">
        <v>0</v>
      </c>
      <c r="N385" s="163">
        <v>0</v>
      </c>
      <c r="O385" s="165">
        <f t="shared" si="17"/>
        <v>0</v>
      </c>
      <c r="P385" s="36"/>
      <c r="Q385" s="4"/>
    </row>
    <row r="386" spans="1:17" ht="69" x14ac:dyDescent="0.3">
      <c r="A386" s="31">
        <v>27</v>
      </c>
      <c r="C386" s="75" t="s">
        <v>1984</v>
      </c>
      <c r="D386" s="31" t="str">
        <f t="shared" si="18"/>
        <v>Do Not Print</v>
      </c>
      <c r="E386" s="1004" t="str">
        <f>E111</f>
        <v>CIES Line 27</v>
      </c>
      <c r="F386" s="213" t="s">
        <v>1966</v>
      </c>
      <c r="G386" s="213" t="s">
        <v>1973</v>
      </c>
      <c r="H386" s="213" t="s">
        <v>1975</v>
      </c>
      <c r="J386" s="163">
        <v>0</v>
      </c>
      <c r="K386" s="163">
        <v>0</v>
      </c>
      <c r="L386" s="165">
        <f t="shared" si="16"/>
        <v>0</v>
      </c>
      <c r="M386" s="163">
        <v>0</v>
      </c>
      <c r="N386" s="163">
        <v>0</v>
      </c>
      <c r="O386" s="165">
        <f t="shared" si="17"/>
        <v>0</v>
      </c>
      <c r="P386" s="36"/>
      <c r="Q386" s="4"/>
    </row>
    <row r="387" spans="1:17" ht="41.4" x14ac:dyDescent="0.3">
      <c r="A387" s="31">
        <v>27</v>
      </c>
      <c r="C387" s="75" t="s">
        <v>1984</v>
      </c>
      <c r="D387" s="31" t="str">
        <f t="shared" si="18"/>
        <v>Do Not Print</v>
      </c>
      <c r="E387" s="1004" t="str">
        <f>E111</f>
        <v>CIES Line 27</v>
      </c>
      <c r="F387" s="213" t="s">
        <v>1966</v>
      </c>
      <c r="G387" s="213" t="s">
        <v>1973</v>
      </c>
      <c r="H387" s="213" t="s">
        <v>1976</v>
      </c>
      <c r="J387" s="163">
        <v>0</v>
      </c>
      <c r="K387" s="163">
        <v>0</v>
      </c>
      <c r="L387" s="165">
        <f t="shared" si="16"/>
        <v>0</v>
      </c>
      <c r="M387" s="163">
        <v>0</v>
      </c>
      <c r="N387" s="163">
        <v>0</v>
      </c>
      <c r="O387" s="165">
        <f t="shared" si="17"/>
        <v>0</v>
      </c>
      <c r="P387" s="36"/>
      <c r="Q387" s="4"/>
    </row>
    <row r="388" spans="1:17" ht="41.4" x14ac:dyDescent="0.3">
      <c r="A388" s="31">
        <v>27</v>
      </c>
      <c r="C388" s="75" t="s">
        <v>1984</v>
      </c>
      <c r="D388" s="31" t="str">
        <f t="shared" si="18"/>
        <v>Do Not Print</v>
      </c>
      <c r="E388" s="1004" t="str">
        <f>E111</f>
        <v>CIES Line 27</v>
      </c>
      <c r="F388" s="213" t="s">
        <v>1966</v>
      </c>
      <c r="G388" s="213" t="s">
        <v>1973</v>
      </c>
      <c r="H388" s="213" t="s">
        <v>1977</v>
      </c>
      <c r="J388" s="163">
        <v>0</v>
      </c>
      <c r="K388" s="163">
        <v>0</v>
      </c>
      <c r="L388" s="165">
        <f t="shared" ref="L388:L451" si="25">SUM(J388:K388)</f>
        <v>0</v>
      </c>
      <c r="M388" s="163">
        <v>0</v>
      </c>
      <c r="N388" s="163">
        <v>0</v>
      </c>
      <c r="O388" s="165">
        <f t="shared" ref="O388:O451" si="26">SUM(M388:N388)</f>
        <v>0</v>
      </c>
      <c r="P388" s="36"/>
      <c r="Q388" s="4"/>
    </row>
    <row r="389" spans="1:17" ht="41.4" x14ac:dyDescent="0.3">
      <c r="A389" s="31">
        <v>27</v>
      </c>
      <c r="C389" s="75" t="s">
        <v>1984</v>
      </c>
      <c r="D389" s="31" t="str">
        <f t="shared" ref="D389:D393" si="27">IF(AND(L389=0,O389=0),"Do Not Print","Print")</f>
        <v>Do Not Print</v>
      </c>
      <c r="E389" s="1004" t="str">
        <f>E111</f>
        <v>CIES Line 27</v>
      </c>
      <c r="F389" s="213" t="s">
        <v>1966</v>
      </c>
      <c r="G389" s="213" t="s">
        <v>1973</v>
      </c>
      <c r="H389" s="213" t="s">
        <v>1978</v>
      </c>
      <c r="J389" s="163">
        <v>0</v>
      </c>
      <c r="K389" s="163">
        <v>0</v>
      </c>
      <c r="L389" s="165">
        <f t="shared" si="25"/>
        <v>0</v>
      </c>
      <c r="M389" s="163">
        <v>0</v>
      </c>
      <c r="N389" s="163">
        <v>0</v>
      </c>
      <c r="O389" s="165">
        <f t="shared" si="26"/>
        <v>0</v>
      </c>
      <c r="P389" s="36"/>
      <c r="Q389" s="4"/>
    </row>
    <row r="390" spans="1:17" ht="41.4" x14ac:dyDescent="0.3">
      <c r="A390" s="31">
        <v>27</v>
      </c>
      <c r="C390" s="75" t="s">
        <v>1984</v>
      </c>
      <c r="D390" s="31" t="str">
        <f t="shared" si="27"/>
        <v>Do Not Print</v>
      </c>
      <c r="E390" s="1004" t="str">
        <f>E111</f>
        <v>CIES Line 27</v>
      </c>
      <c r="F390" s="213" t="s">
        <v>1966</v>
      </c>
      <c r="G390" s="213" t="s">
        <v>1973</v>
      </c>
      <c r="H390" s="213" t="s">
        <v>1979</v>
      </c>
      <c r="J390" s="163">
        <v>0</v>
      </c>
      <c r="K390" s="163">
        <v>0</v>
      </c>
      <c r="L390" s="165">
        <f t="shared" si="25"/>
        <v>0</v>
      </c>
      <c r="M390" s="163">
        <v>0</v>
      </c>
      <c r="N390" s="163">
        <v>0</v>
      </c>
      <c r="O390" s="165">
        <f t="shared" si="26"/>
        <v>0</v>
      </c>
      <c r="P390" s="36"/>
      <c r="Q390" s="4"/>
    </row>
    <row r="391" spans="1:17" ht="69" x14ac:dyDescent="0.3">
      <c r="A391" s="31">
        <v>27</v>
      </c>
      <c r="C391" s="75" t="s">
        <v>1984</v>
      </c>
      <c r="D391" s="31" t="str">
        <f t="shared" si="27"/>
        <v>Do Not Print</v>
      </c>
      <c r="E391" s="1004" t="str">
        <f>E111</f>
        <v>CIES Line 27</v>
      </c>
      <c r="F391" s="213" t="s">
        <v>1966</v>
      </c>
      <c r="G391" s="213" t="s">
        <v>1973</v>
      </c>
      <c r="H391" s="213" t="s">
        <v>1980</v>
      </c>
      <c r="J391" s="163">
        <v>0</v>
      </c>
      <c r="K391" s="163">
        <v>0</v>
      </c>
      <c r="L391" s="165">
        <f t="shared" si="25"/>
        <v>0</v>
      </c>
      <c r="M391" s="163">
        <v>0</v>
      </c>
      <c r="N391" s="163">
        <v>0</v>
      </c>
      <c r="O391" s="165">
        <f t="shared" si="26"/>
        <v>0</v>
      </c>
      <c r="P391" s="36"/>
      <c r="Q391" s="4"/>
    </row>
    <row r="392" spans="1:17" ht="41.4" x14ac:dyDescent="0.3">
      <c r="A392" s="31">
        <v>27</v>
      </c>
      <c r="C392" s="75" t="s">
        <v>1984</v>
      </c>
      <c r="D392" s="31" t="str">
        <f t="shared" si="27"/>
        <v>Do Not Print</v>
      </c>
      <c r="E392" s="1004" t="str">
        <f>E111</f>
        <v>CIES Line 27</v>
      </c>
      <c r="F392" s="213" t="s">
        <v>1966</v>
      </c>
      <c r="G392" s="213" t="s">
        <v>1973</v>
      </c>
      <c r="H392" s="213" t="s">
        <v>1981</v>
      </c>
      <c r="J392" s="163">
        <v>0</v>
      </c>
      <c r="K392" s="163">
        <v>0</v>
      </c>
      <c r="L392" s="165">
        <f t="shared" si="25"/>
        <v>0</v>
      </c>
      <c r="M392" s="163">
        <v>0</v>
      </c>
      <c r="N392" s="163">
        <v>0</v>
      </c>
      <c r="O392" s="165">
        <f t="shared" si="26"/>
        <v>0</v>
      </c>
      <c r="P392" s="36"/>
      <c r="Q392" s="4"/>
    </row>
    <row r="393" spans="1:17" ht="55.2" x14ac:dyDescent="0.3">
      <c r="A393" s="31">
        <v>27</v>
      </c>
      <c r="C393" s="75" t="s">
        <v>1984</v>
      </c>
      <c r="D393" s="31" t="str">
        <f t="shared" si="27"/>
        <v>Do Not Print</v>
      </c>
      <c r="E393" s="1004" t="str">
        <f>E111</f>
        <v>CIES Line 27</v>
      </c>
      <c r="F393" s="213" t="s">
        <v>1966</v>
      </c>
      <c r="G393" s="213" t="s">
        <v>1973</v>
      </c>
      <c r="H393" s="213" t="s">
        <v>1982</v>
      </c>
      <c r="J393" s="163">
        <v>0</v>
      </c>
      <c r="K393" s="163">
        <v>0</v>
      </c>
      <c r="L393" s="165">
        <f t="shared" si="25"/>
        <v>0</v>
      </c>
      <c r="M393" s="163">
        <v>0</v>
      </c>
      <c r="N393" s="163">
        <v>0</v>
      </c>
      <c r="O393" s="165">
        <f t="shared" si="26"/>
        <v>0</v>
      </c>
      <c r="P393" s="36"/>
      <c r="Q393" s="4"/>
    </row>
    <row r="394" spans="1:17" ht="41.4" x14ac:dyDescent="0.3">
      <c r="A394" s="31">
        <v>28</v>
      </c>
      <c r="C394" s="75" t="s">
        <v>1984</v>
      </c>
      <c r="D394" s="31" t="str">
        <f t="shared" si="18"/>
        <v>Do Not Print</v>
      </c>
      <c r="E394" s="1004" t="str">
        <f>E115</f>
        <v>CIES Line 28</v>
      </c>
      <c r="F394" s="213" t="s">
        <v>1966</v>
      </c>
      <c r="G394" s="213" t="s">
        <v>1973</v>
      </c>
      <c r="H394" s="213" t="s">
        <v>1974</v>
      </c>
      <c r="J394" s="163">
        <v>0</v>
      </c>
      <c r="K394" s="163">
        <v>0</v>
      </c>
      <c r="L394" s="165">
        <f t="shared" si="25"/>
        <v>0</v>
      </c>
      <c r="M394" s="163">
        <v>0</v>
      </c>
      <c r="N394" s="163">
        <v>0</v>
      </c>
      <c r="O394" s="165">
        <f t="shared" si="26"/>
        <v>0</v>
      </c>
      <c r="P394" s="36"/>
      <c r="Q394" s="4"/>
    </row>
    <row r="395" spans="1:17" ht="69" x14ac:dyDescent="0.3">
      <c r="A395" s="31">
        <v>28</v>
      </c>
      <c r="C395" s="75" t="s">
        <v>1984</v>
      </c>
      <c r="D395" s="31" t="str">
        <f t="shared" si="18"/>
        <v>Do Not Print</v>
      </c>
      <c r="E395" s="1004" t="str">
        <f>E115</f>
        <v>CIES Line 28</v>
      </c>
      <c r="F395" s="213" t="s">
        <v>1966</v>
      </c>
      <c r="G395" s="213" t="s">
        <v>1973</v>
      </c>
      <c r="H395" s="213" t="s">
        <v>1975</v>
      </c>
      <c r="J395" s="163">
        <v>0</v>
      </c>
      <c r="K395" s="163">
        <v>0</v>
      </c>
      <c r="L395" s="165">
        <f t="shared" si="25"/>
        <v>0</v>
      </c>
      <c r="M395" s="163">
        <v>0</v>
      </c>
      <c r="N395" s="163">
        <v>0</v>
      </c>
      <c r="O395" s="165">
        <f t="shared" si="26"/>
        <v>0</v>
      </c>
      <c r="P395" s="36"/>
      <c r="Q395" s="4"/>
    </row>
    <row r="396" spans="1:17" ht="41.4" x14ac:dyDescent="0.3">
      <c r="A396" s="31">
        <v>28</v>
      </c>
      <c r="C396" s="75" t="s">
        <v>1984</v>
      </c>
      <c r="D396" s="31" t="str">
        <f t="shared" si="18"/>
        <v>Do Not Print</v>
      </c>
      <c r="E396" s="1004" t="str">
        <f>E115</f>
        <v>CIES Line 28</v>
      </c>
      <c r="F396" s="213" t="s">
        <v>1966</v>
      </c>
      <c r="G396" s="213" t="s">
        <v>1973</v>
      </c>
      <c r="H396" s="213" t="s">
        <v>1976</v>
      </c>
      <c r="J396" s="163">
        <v>0</v>
      </c>
      <c r="K396" s="163">
        <v>0</v>
      </c>
      <c r="L396" s="165">
        <f t="shared" si="25"/>
        <v>0</v>
      </c>
      <c r="M396" s="163">
        <v>0</v>
      </c>
      <c r="N396" s="163">
        <v>0</v>
      </c>
      <c r="O396" s="165">
        <f t="shared" si="26"/>
        <v>0</v>
      </c>
      <c r="P396" s="36"/>
      <c r="Q396" s="4"/>
    </row>
    <row r="397" spans="1:17" ht="41.4" x14ac:dyDescent="0.3">
      <c r="A397" s="31">
        <v>28</v>
      </c>
      <c r="C397" s="75" t="s">
        <v>1984</v>
      </c>
      <c r="D397" s="31" t="str">
        <f t="shared" si="18"/>
        <v>Do Not Print</v>
      </c>
      <c r="E397" s="1004" t="str">
        <f>E115</f>
        <v>CIES Line 28</v>
      </c>
      <c r="F397" s="213" t="s">
        <v>1966</v>
      </c>
      <c r="G397" s="213" t="s">
        <v>1973</v>
      </c>
      <c r="H397" s="213" t="s">
        <v>1977</v>
      </c>
      <c r="J397" s="163">
        <v>0</v>
      </c>
      <c r="K397" s="163">
        <v>0</v>
      </c>
      <c r="L397" s="165">
        <f t="shared" si="25"/>
        <v>0</v>
      </c>
      <c r="M397" s="163">
        <v>0</v>
      </c>
      <c r="N397" s="163">
        <v>0</v>
      </c>
      <c r="O397" s="165">
        <f t="shared" si="26"/>
        <v>0</v>
      </c>
      <c r="P397" s="36"/>
      <c r="Q397" s="4"/>
    </row>
    <row r="398" spans="1:17" ht="41.4" x14ac:dyDescent="0.3">
      <c r="A398" s="31">
        <v>28</v>
      </c>
      <c r="C398" s="75" t="s">
        <v>1984</v>
      </c>
      <c r="D398" s="31" t="str">
        <f t="shared" ref="D398:D402" si="28">IF(AND(L398=0,O398=0),"Do Not Print","Print")</f>
        <v>Do Not Print</v>
      </c>
      <c r="E398" s="1004" t="str">
        <f>E115</f>
        <v>CIES Line 28</v>
      </c>
      <c r="F398" s="213" t="s">
        <v>1966</v>
      </c>
      <c r="G398" s="213" t="s">
        <v>1973</v>
      </c>
      <c r="H398" s="213" t="s">
        <v>1978</v>
      </c>
      <c r="J398" s="163">
        <v>0</v>
      </c>
      <c r="K398" s="163">
        <v>0</v>
      </c>
      <c r="L398" s="165">
        <f t="shared" si="25"/>
        <v>0</v>
      </c>
      <c r="M398" s="163">
        <v>0</v>
      </c>
      <c r="N398" s="163">
        <v>0</v>
      </c>
      <c r="O398" s="165">
        <f t="shared" si="26"/>
        <v>0</v>
      </c>
      <c r="P398" s="36"/>
      <c r="Q398" s="4"/>
    </row>
    <row r="399" spans="1:17" ht="41.4" x14ac:dyDescent="0.3">
      <c r="A399" s="31">
        <v>28</v>
      </c>
      <c r="C399" s="75" t="s">
        <v>1984</v>
      </c>
      <c r="D399" s="31" t="str">
        <f t="shared" si="28"/>
        <v>Do Not Print</v>
      </c>
      <c r="E399" s="1004" t="str">
        <f>E115</f>
        <v>CIES Line 28</v>
      </c>
      <c r="F399" s="213" t="s">
        <v>1966</v>
      </c>
      <c r="G399" s="213" t="s">
        <v>1973</v>
      </c>
      <c r="H399" s="213" t="s">
        <v>1979</v>
      </c>
      <c r="J399" s="163">
        <v>0</v>
      </c>
      <c r="K399" s="163">
        <v>0</v>
      </c>
      <c r="L399" s="165">
        <f t="shared" si="25"/>
        <v>0</v>
      </c>
      <c r="M399" s="163">
        <v>0</v>
      </c>
      <c r="N399" s="163">
        <v>0</v>
      </c>
      <c r="O399" s="165">
        <f t="shared" si="26"/>
        <v>0</v>
      </c>
      <c r="P399" s="36"/>
      <c r="Q399" s="4"/>
    </row>
    <row r="400" spans="1:17" ht="69" x14ac:dyDescent="0.3">
      <c r="A400" s="31">
        <v>28</v>
      </c>
      <c r="C400" s="75" t="s">
        <v>1984</v>
      </c>
      <c r="D400" s="31" t="str">
        <f t="shared" si="28"/>
        <v>Do Not Print</v>
      </c>
      <c r="E400" s="1004" t="str">
        <f>E115</f>
        <v>CIES Line 28</v>
      </c>
      <c r="F400" s="213" t="s">
        <v>1966</v>
      </c>
      <c r="G400" s="213" t="s">
        <v>1973</v>
      </c>
      <c r="H400" s="213" t="s">
        <v>1980</v>
      </c>
      <c r="J400" s="163">
        <v>0</v>
      </c>
      <c r="K400" s="163">
        <v>0</v>
      </c>
      <c r="L400" s="165">
        <f t="shared" si="25"/>
        <v>0</v>
      </c>
      <c r="M400" s="163">
        <v>0</v>
      </c>
      <c r="N400" s="163">
        <v>0</v>
      </c>
      <c r="O400" s="165">
        <f t="shared" si="26"/>
        <v>0</v>
      </c>
      <c r="P400" s="36"/>
      <c r="Q400" s="4"/>
    </row>
    <row r="401" spans="1:17" ht="41.4" x14ac:dyDescent="0.3">
      <c r="A401" s="31">
        <v>28</v>
      </c>
      <c r="C401" s="75" t="s">
        <v>1984</v>
      </c>
      <c r="D401" s="31" t="str">
        <f t="shared" si="28"/>
        <v>Do Not Print</v>
      </c>
      <c r="E401" s="1004" t="str">
        <f>E115</f>
        <v>CIES Line 28</v>
      </c>
      <c r="F401" s="213" t="s">
        <v>1966</v>
      </c>
      <c r="G401" s="213" t="s">
        <v>1973</v>
      </c>
      <c r="H401" s="213" t="s">
        <v>1981</v>
      </c>
      <c r="J401" s="163">
        <v>0</v>
      </c>
      <c r="K401" s="163">
        <v>0</v>
      </c>
      <c r="L401" s="165">
        <f t="shared" si="25"/>
        <v>0</v>
      </c>
      <c r="M401" s="163">
        <v>0</v>
      </c>
      <c r="N401" s="163">
        <v>0</v>
      </c>
      <c r="O401" s="165">
        <f t="shared" si="26"/>
        <v>0</v>
      </c>
      <c r="P401" s="36"/>
      <c r="Q401" s="4"/>
    </row>
    <row r="402" spans="1:17" ht="55.2" x14ac:dyDescent="0.3">
      <c r="A402" s="31">
        <v>28</v>
      </c>
      <c r="C402" s="75" t="s">
        <v>1984</v>
      </c>
      <c r="D402" s="31" t="str">
        <f t="shared" si="28"/>
        <v>Do Not Print</v>
      </c>
      <c r="E402" s="1004" t="str">
        <f>E115</f>
        <v>CIES Line 28</v>
      </c>
      <c r="F402" s="213" t="s">
        <v>1966</v>
      </c>
      <c r="G402" s="213" t="s">
        <v>1973</v>
      </c>
      <c r="H402" s="213" t="s">
        <v>1982</v>
      </c>
      <c r="J402" s="163">
        <v>0</v>
      </c>
      <c r="K402" s="163">
        <v>0</v>
      </c>
      <c r="L402" s="165">
        <f t="shared" si="25"/>
        <v>0</v>
      </c>
      <c r="M402" s="163">
        <v>0</v>
      </c>
      <c r="N402" s="163">
        <v>0</v>
      </c>
      <c r="O402" s="165">
        <f t="shared" si="26"/>
        <v>0</v>
      </c>
      <c r="P402" s="36"/>
      <c r="Q402" s="4"/>
    </row>
    <row r="403" spans="1:17" ht="41.4" x14ac:dyDescent="0.3">
      <c r="A403" s="31">
        <v>29</v>
      </c>
      <c r="C403" s="75" t="s">
        <v>1984</v>
      </c>
      <c r="D403" s="31" t="str">
        <f t="shared" si="18"/>
        <v>Do Not Print</v>
      </c>
      <c r="E403" s="1004" t="str">
        <f>E119</f>
        <v>CIES Line 29</v>
      </c>
      <c r="F403" s="213" t="s">
        <v>1966</v>
      </c>
      <c r="G403" s="213" t="s">
        <v>1973</v>
      </c>
      <c r="H403" s="213" t="s">
        <v>1974</v>
      </c>
      <c r="J403" s="163">
        <v>0</v>
      </c>
      <c r="K403" s="163">
        <v>0</v>
      </c>
      <c r="L403" s="165">
        <f t="shared" si="25"/>
        <v>0</v>
      </c>
      <c r="M403" s="163">
        <v>0</v>
      </c>
      <c r="N403" s="163">
        <v>0</v>
      </c>
      <c r="O403" s="165">
        <f t="shared" si="26"/>
        <v>0</v>
      </c>
      <c r="P403" s="36"/>
      <c r="Q403" s="4"/>
    </row>
    <row r="404" spans="1:17" ht="69" x14ac:dyDescent="0.3">
      <c r="A404" s="31">
        <v>29</v>
      </c>
      <c r="C404" s="75" t="s">
        <v>1984</v>
      </c>
      <c r="D404" s="31" t="str">
        <f t="shared" si="18"/>
        <v>Do Not Print</v>
      </c>
      <c r="E404" s="1004" t="str">
        <f>E119</f>
        <v>CIES Line 29</v>
      </c>
      <c r="F404" s="213" t="s">
        <v>1966</v>
      </c>
      <c r="G404" s="213" t="s">
        <v>1973</v>
      </c>
      <c r="H404" s="213" t="s">
        <v>1975</v>
      </c>
      <c r="J404" s="163">
        <v>0</v>
      </c>
      <c r="K404" s="163">
        <v>0</v>
      </c>
      <c r="L404" s="165">
        <f t="shared" si="25"/>
        <v>0</v>
      </c>
      <c r="M404" s="163">
        <v>0</v>
      </c>
      <c r="N404" s="163">
        <v>0</v>
      </c>
      <c r="O404" s="165">
        <f t="shared" si="26"/>
        <v>0</v>
      </c>
      <c r="P404" s="36"/>
      <c r="Q404" s="4"/>
    </row>
    <row r="405" spans="1:17" ht="41.4" x14ac:dyDescent="0.3">
      <c r="A405" s="31">
        <v>29</v>
      </c>
      <c r="C405" s="75" t="s">
        <v>1984</v>
      </c>
      <c r="D405" s="31" t="str">
        <f t="shared" si="18"/>
        <v>Do Not Print</v>
      </c>
      <c r="E405" s="1004" t="str">
        <f>E119</f>
        <v>CIES Line 29</v>
      </c>
      <c r="F405" s="213" t="s">
        <v>1966</v>
      </c>
      <c r="G405" s="213" t="s">
        <v>1973</v>
      </c>
      <c r="H405" s="213" t="s">
        <v>1976</v>
      </c>
      <c r="J405" s="163">
        <v>0</v>
      </c>
      <c r="K405" s="163">
        <v>0</v>
      </c>
      <c r="L405" s="165">
        <f t="shared" si="25"/>
        <v>0</v>
      </c>
      <c r="M405" s="163">
        <v>0</v>
      </c>
      <c r="N405" s="163">
        <v>0</v>
      </c>
      <c r="O405" s="165">
        <f t="shared" si="26"/>
        <v>0</v>
      </c>
      <c r="P405" s="36"/>
      <c r="Q405" s="4"/>
    </row>
    <row r="406" spans="1:17" ht="41.4" x14ac:dyDescent="0.3">
      <c r="A406" s="31">
        <v>29</v>
      </c>
      <c r="C406" s="75" t="s">
        <v>1984</v>
      </c>
      <c r="D406" s="31" t="str">
        <f t="shared" si="18"/>
        <v>Do Not Print</v>
      </c>
      <c r="E406" s="1004" t="str">
        <f>E119</f>
        <v>CIES Line 29</v>
      </c>
      <c r="F406" s="213" t="s">
        <v>1966</v>
      </c>
      <c r="G406" s="213" t="s">
        <v>1973</v>
      </c>
      <c r="H406" s="213" t="s">
        <v>1977</v>
      </c>
      <c r="J406" s="163">
        <v>0</v>
      </c>
      <c r="K406" s="163">
        <v>0</v>
      </c>
      <c r="L406" s="165">
        <f t="shared" si="25"/>
        <v>0</v>
      </c>
      <c r="M406" s="163">
        <v>0</v>
      </c>
      <c r="N406" s="163">
        <v>0</v>
      </c>
      <c r="O406" s="165">
        <f t="shared" si="26"/>
        <v>0</v>
      </c>
      <c r="P406" s="36"/>
      <c r="Q406" s="4"/>
    </row>
    <row r="407" spans="1:17" ht="41.4" x14ac:dyDescent="0.3">
      <c r="A407" s="31">
        <v>29</v>
      </c>
      <c r="C407" s="75" t="s">
        <v>1984</v>
      </c>
      <c r="D407" s="31" t="str">
        <f t="shared" ref="D407:D411" si="29">IF(AND(L407=0,O407=0),"Do Not Print","Print")</f>
        <v>Do Not Print</v>
      </c>
      <c r="E407" s="1004" t="str">
        <f>E119</f>
        <v>CIES Line 29</v>
      </c>
      <c r="F407" s="213" t="s">
        <v>1966</v>
      </c>
      <c r="G407" s="213" t="s">
        <v>1973</v>
      </c>
      <c r="H407" s="213" t="s">
        <v>1978</v>
      </c>
      <c r="J407" s="163">
        <v>0</v>
      </c>
      <c r="K407" s="163">
        <v>0</v>
      </c>
      <c r="L407" s="165">
        <f t="shared" si="25"/>
        <v>0</v>
      </c>
      <c r="M407" s="163">
        <v>0</v>
      </c>
      <c r="N407" s="163">
        <v>0</v>
      </c>
      <c r="O407" s="165">
        <f t="shared" si="26"/>
        <v>0</v>
      </c>
      <c r="P407" s="36"/>
      <c r="Q407" s="4"/>
    </row>
    <row r="408" spans="1:17" ht="41.4" x14ac:dyDescent="0.3">
      <c r="A408" s="31">
        <v>29</v>
      </c>
      <c r="C408" s="75" t="s">
        <v>1984</v>
      </c>
      <c r="D408" s="31" t="str">
        <f t="shared" si="29"/>
        <v>Do Not Print</v>
      </c>
      <c r="E408" s="1004" t="str">
        <f>E119</f>
        <v>CIES Line 29</v>
      </c>
      <c r="F408" s="213" t="s">
        <v>1966</v>
      </c>
      <c r="G408" s="213" t="s">
        <v>1973</v>
      </c>
      <c r="H408" s="213" t="s">
        <v>1979</v>
      </c>
      <c r="J408" s="163">
        <v>0</v>
      </c>
      <c r="K408" s="163">
        <v>0</v>
      </c>
      <c r="L408" s="165">
        <f t="shared" si="25"/>
        <v>0</v>
      </c>
      <c r="M408" s="163">
        <v>0</v>
      </c>
      <c r="N408" s="163">
        <v>0</v>
      </c>
      <c r="O408" s="165">
        <f t="shared" si="26"/>
        <v>0</v>
      </c>
      <c r="P408" s="36"/>
      <c r="Q408" s="4"/>
    </row>
    <row r="409" spans="1:17" ht="69" x14ac:dyDescent="0.3">
      <c r="A409" s="31">
        <v>29</v>
      </c>
      <c r="C409" s="75" t="s">
        <v>1984</v>
      </c>
      <c r="D409" s="31" t="str">
        <f t="shared" si="29"/>
        <v>Do Not Print</v>
      </c>
      <c r="E409" s="1004" t="str">
        <f>E119</f>
        <v>CIES Line 29</v>
      </c>
      <c r="F409" s="213" t="s">
        <v>1966</v>
      </c>
      <c r="G409" s="213" t="s">
        <v>1973</v>
      </c>
      <c r="H409" s="213" t="s">
        <v>1980</v>
      </c>
      <c r="J409" s="163">
        <v>0</v>
      </c>
      <c r="K409" s="163">
        <v>0</v>
      </c>
      <c r="L409" s="165">
        <f t="shared" si="25"/>
        <v>0</v>
      </c>
      <c r="M409" s="163">
        <v>0</v>
      </c>
      <c r="N409" s="163">
        <v>0</v>
      </c>
      <c r="O409" s="165">
        <f t="shared" si="26"/>
        <v>0</v>
      </c>
      <c r="P409" s="36"/>
      <c r="Q409" s="4"/>
    </row>
    <row r="410" spans="1:17" ht="41.4" x14ac:dyDescent="0.3">
      <c r="A410" s="31">
        <v>29</v>
      </c>
      <c r="C410" s="75" t="s">
        <v>1984</v>
      </c>
      <c r="D410" s="31" t="str">
        <f t="shared" si="29"/>
        <v>Do Not Print</v>
      </c>
      <c r="E410" s="1004" t="str">
        <f>E119</f>
        <v>CIES Line 29</v>
      </c>
      <c r="F410" s="213" t="s">
        <v>1966</v>
      </c>
      <c r="G410" s="213" t="s">
        <v>1973</v>
      </c>
      <c r="H410" s="213" t="s">
        <v>1981</v>
      </c>
      <c r="J410" s="163">
        <v>0</v>
      </c>
      <c r="K410" s="163">
        <v>0</v>
      </c>
      <c r="L410" s="165">
        <f t="shared" si="25"/>
        <v>0</v>
      </c>
      <c r="M410" s="163">
        <v>0</v>
      </c>
      <c r="N410" s="163">
        <v>0</v>
      </c>
      <c r="O410" s="165">
        <f t="shared" si="26"/>
        <v>0</v>
      </c>
      <c r="P410" s="36"/>
      <c r="Q410" s="4"/>
    </row>
    <row r="411" spans="1:17" ht="55.2" x14ac:dyDescent="0.3">
      <c r="A411" s="31">
        <v>29</v>
      </c>
      <c r="C411" s="75" t="s">
        <v>1984</v>
      </c>
      <c r="D411" s="31" t="str">
        <f t="shared" si="29"/>
        <v>Do Not Print</v>
      </c>
      <c r="E411" s="1004" t="str">
        <f>E119</f>
        <v>CIES Line 29</v>
      </c>
      <c r="F411" s="213" t="s">
        <v>1966</v>
      </c>
      <c r="G411" s="213" t="s">
        <v>1973</v>
      </c>
      <c r="H411" s="213" t="s">
        <v>1982</v>
      </c>
      <c r="J411" s="163">
        <v>0</v>
      </c>
      <c r="K411" s="163">
        <v>0</v>
      </c>
      <c r="L411" s="165">
        <f t="shared" si="25"/>
        <v>0</v>
      </c>
      <c r="M411" s="163">
        <v>0</v>
      </c>
      <c r="N411" s="163">
        <v>0</v>
      </c>
      <c r="O411" s="165">
        <f t="shared" si="26"/>
        <v>0</v>
      </c>
      <c r="P411" s="36"/>
      <c r="Q411" s="4"/>
    </row>
    <row r="412" spans="1:17" ht="41.4" x14ac:dyDescent="0.3">
      <c r="A412" s="31">
        <v>30</v>
      </c>
      <c r="C412" s="75" t="s">
        <v>1984</v>
      </c>
      <c r="D412" s="31" t="str">
        <f t="shared" si="18"/>
        <v>Do Not Print</v>
      </c>
      <c r="E412" s="1004" t="str">
        <f>E123</f>
        <v>CIES Line 30</v>
      </c>
      <c r="F412" s="213" t="s">
        <v>1966</v>
      </c>
      <c r="G412" s="213" t="s">
        <v>1973</v>
      </c>
      <c r="H412" s="213" t="s">
        <v>1974</v>
      </c>
      <c r="J412" s="163">
        <v>0</v>
      </c>
      <c r="K412" s="163">
        <v>0</v>
      </c>
      <c r="L412" s="165">
        <f t="shared" si="25"/>
        <v>0</v>
      </c>
      <c r="M412" s="163">
        <v>0</v>
      </c>
      <c r="N412" s="163">
        <v>0</v>
      </c>
      <c r="O412" s="165">
        <f t="shared" si="26"/>
        <v>0</v>
      </c>
      <c r="P412" s="36"/>
      <c r="Q412" s="4"/>
    </row>
    <row r="413" spans="1:17" ht="69" x14ac:dyDescent="0.3">
      <c r="A413" s="31">
        <v>30</v>
      </c>
      <c r="C413" s="75" t="s">
        <v>1984</v>
      </c>
      <c r="D413" s="31" t="str">
        <f t="shared" si="18"/>
        <v>Do Not Print</v>
      </c>
      <c r="E413" s="1004" t="str">
        <f>E123</f>
        <v>CIES Line 30</v>
      </c>
      <c r="F413" s="213" t="s">
        <v>1966</v>
      </c>
      <c r="G413" s="213" t="s">
        <v>1973</v>
      </c>
      <c r="H413" s="213" t="s">
        <v>1975</v>
      </c>
      <c r="J413" s="163">
        <v>0</v>
      </c>
      <c r="K413" s="163">
        <v>0</v>
      </c>
      <c r="L413" s="165">
        <f t="shared" si="25"/>
        <v>0</v>
      </c>
      <c r="M413" s="163">
        <v>0</v>
      </c>
      <c r="N413" s="163">
        <v>0</v>
      </c>
      <c r="O413" s="165">
        <f t="shared" si="26"/>
        <v>0</v>
      </c>
      <c r="P413" s="36"/>
      <c r="Q413" s="4"/>
    </row>
    <row r="414" spans="1:17" ht="41.4" x14ac:dyDescent="0.3">
      <c r="A414" s="31">
        <v>30</v>
      </c>
      <c r="C414" s="75" t="s">
        <v>1984</v>
      </c>
      <c r="D414" s="31" t="str">
        <f t="shared" si="18"/>
        <v>Do Not Print</v>
      </c>
      <c r="E414" s="1004" t="str">
        <f>E123</f>
        <v>CIES Line 30</v>
      </c>
      <c r="F414" s="213" t="s">
        <v>1966</v>
      </c>
      <c r="G414" s="213" t="s">
        <v>1973</v>
      </c>
      <c r="H414" s="213" t="s">
        <v>1976</v>
      </c>
      <c r="J414" s="163">
        <v>0</v>
      </c>
      <c r="K414" s="163">
        <v>0</v>
      </c>
      <c r="L414" s="165">
        <f t="shared" si="25"/>
        <v>0</v>
      </c>
      <c r="M414" s="163">
        <v>0</v>
      </c>
      <c r="N414" s="163">
        <v>0</v>
      </c>
      <c r="O414" s="165">
        <f t="shared" si="26"/>
        <v>0</v>
      </c>
      <c r="P414" s="36"/>
      <c r="Q414" s="4"/>
    </row>
    <row r="415" spans="1:17" ht="41.4" x14ac:dyDescent="0.3">
      <c r="A415" s="31">
        <v>30</v>
      </c>
      <c r="C415" s="75" t="s">
        <v>1984</v>
      </c>
      <c r="D415" s="31" t="str">
        <f t="shared" si="18"/>
        <v>Do Not Print</v>
      </c>
      <c r="E415" s="1004" t="str">
        <f>E123</f>
        <v>CIES Line 30</v>
      </c>
      <c r="F415" s="213" t="s">
        <v>1966</v>
      </c>
      <c r="G415" s="213" t="s">
        <v>1973</v>
      </c>
      <c r="H415" s="213" t="s">
        <v>1977</v>
      </c>
      <c r="J415" s="163">
        <v>0</v>
      </c>
      <c r="K415" s="163">
        <v>0</v>
      </c>
      <c r="L415" s="165">
        <f t="shared" si="25"/>
        <v>0</v>
      </c>
      <c r="M415" s="163">
        <v>0</v>
      </c>
      <c r="N415" s="163">
        <v>0</v>
      </c>
      <c r="O415" s="165">
        <f t="shared" si="26"/>
        <v>0</v>
      </c>
      <c r="P415" s="36"/>
      <c r="Q415" s="4"/>
    </row>
    <row r="416" spans="1:17" ht="41.4" x14ac:dyDescent="0.3">
      <c r="A416" s="31">
        <v>30</v>
      </c>
      <c r="C416" s="75" t="s">
        <v>1984</v>
      </c>
      <c r="D416" s="31" t="str">
        <f t="shared" ref="D416:D420" si="30">IF(AND(L416=0,O416=0),"Do Not Print","Print")</f>
        <v>Do Not Print</v>
      </c>
      <c r="E416" s="1004" t="str">
        <f>E123</f>
        <v>CIES Line 30</v>
      </c>
      <c r="F416" s="213" t="s">
        <v>1966</v>
      </c>
      <c r="G416" s="213" t="s">
        <v>1973</v>
      </c>
      <c r="H416" s="213" t="s">
        <v>1978</v>
      </c>
      <c r="J416" s="163">
        <v>0</v>
      </c>
      <c r="K416" s="163">
        <v>0</v>
      </c>
      <c r="L416" s="165">
        <f t="shared" si="25"/>
        <v>0</v>
      </c>
      <c r="M416" s="163">
        <v>0</v>
      </c>
      <c r="N416" s="163">
        <v>0</v>
      </c>
      <c r="O416" s="165">
        <f t="shared" si="26"/>
        <v>0</v>
      </c>
      <c r="P416" s="36"/>
      <c r="Q416" s="4"/>
    </row>
    <row r="417" spans="1:17" ht="41.4" x14ac:dyDescent="0.3">
      <c r="A417" s="31">
        <v>30</v>
      </c>
      <c r="C417" s="75" t="s">
        <v>1984</v>
      </c>
      <c r="D417" s="31" t="str">
        <f t="shared" si="30"/>
        <v>Do Not Print</v>
      </c>
      <c r="E417" s="1004" t="str">
        <f>E123</f>
        <v>CIES Line 30</v>
      </c>
      <c r="F417" s="213" t="s">
        <v>1966</v>
      </c>
      <c r="G417" s="213" t="s">
        <v>1973</v>
      </c>
      <c r="H417" s="213" t="s">
        <v>1979</v>
      </c>
      <c r="J417" s="163">
        <v>0</v>
      </c>
      <c r="K417" s="163">
        <v>0</v>
      </c>
      <c r="L417" s="165">
        <f t="shared" si="25"/>
        <v>0</v>
      </c>
      <c r="M417" s="163">
        <v>0</v>
      </c>
      <c r="N417" s="163">
        <v>0</v>
      </c>
      <c r="O417" s="165">
        <f t="shared" si="26"/>
        <v>0</v>
      </c>
      <c r="P417" s="36"/>
      <c r="Q417" s="4"/>
    </row>
    <row r="418" spans="1:17" ht="69" x14ac:dyDescent="0.3">
      <c r="A418" s="31">
        <v>30</v>
      </c>
      <c r="C418" s="75" t="s">
        <v>1984</v>
      </c>
      <c r="D418" s="31" t="str">
        <f t="shared" si="30"/>
        <v>Do Not Print</v>
      </c>
      <c r="E418" s="1004" t="str">
        <f>E123</f>
        <v>CIES Line 30</v>
      </c>
      <c r="F418" s="213" t="s">
        <v>1966</v>
      </c>
      <c r="G418" s="213" t="s">
        <v>1973</v>
      </c>
      <c r="H418" s="213" t="s">
        <v>1980</v>
      </c>
      <c r="J418" s="163">
        <v>0</v>
      </c>
      <c r="K418" s="163">
        <v>0</v>
      </c>
      <c r="L418" s="165">
        <f t="shared" si="25"/>
        <v>0</v>
      </c>
      <c r="M418" s="163">
        <v>0</v>
      </c>
      <c r="N418" s="163">
        <v>0</v>
      </c>
      <c r="O418" s="165">
        <f t="shared" si="26"/>
        <v>0</v>
      </c>
      <c r="P418" s="36"/>
      <c r="Q418" s="4"/>
    </row>
    <row r="419" spans="1:17" ht="41.4" x14ac:dyDescent="0.3">
      <c r="A419" s="31">
        <v>30</v>
      </c>
      <c r="C419" s="75" t="s">
        <v>1984</v>
      </c>
      <c r="D419" s="31" t="str">
        <f t="shared" si="30"/>
        <v>Do Not Print</v>
      </c>
      <c r="E419" s="1004" t="str">
        <f>E123</f>
        <v>CIES Line 30</v>
      </c>
      <c r="F419" s="213" t="s">
        <v>1966</v>
      </c>
      <c r="G419" s="213" t="s">
        <v>1973</v>
      </c>
      <c r="H419" s="213" t="s">
        <v>1981</v>
      </c>
      <c r="J419" s="163">
        <v>0</v>
      </c>
      <c r="K419" s="163">
        <v>0</v>
      </c>
      <c r="L419" s="165">
        <f t="shared" si="25"/>
        <v>0</v>
      </c>
      <c r="M419" s="163">
        <v>0</v>
      </c>
      <c r="N419" s="163">
        <v>0</v>
      </c>
      <c r="O419" s="165">
        <f t="shared" si="26"/>
        <v>0</v>
      </c>
      <c r="P419" s="36"/>
      <c r="Q419" s="4"/>
    </row>
    <row r="420" spans="1:17" ht="55.2" x14ac:dyDescent="0.3">
      <c r="A420" s="31">
        <v>30</v>
      </c>
      <c r="C420" s="75" t="s">
        <v>1984</v>
      </c>
      <c r="D420" s="31" t="str">
        <f t="shared" si="30"/>
        <v>Do Not Print</v>
      </c>
      <c r="E420" s="1004" t="str">
        <f>E123</f>
        <v>CIES Line 30</v>
      </c>
      <c r="F420" s="213" t="s">
        <v>1966</v>
      </c>
      <c r="G420" s="213" t="s">
        <v>1973</v>
      </c>
      <c r="H420" s="213" t="s">
        <v>1982</v>
      </c>
      <c r="J420" s="163">
        <v>0</v>
      </c>
      <c r="K420" s="163">
        <v>0</v>
      </c>
      <c r="L420" s="165">
        <f t="shared" si="25"/>
        <v>0</v>
      </c>
      <c r="M420" s="163">
        <v>0</v>
      </c>
      <c r="N420" s="163">
        <v>0</v>
      </c>
      <c r="O420" s="165">
        <f t="shared" si="26"/>
        <v>0</v>
      </c>
      <c r="P420" s="36"/>
      <c r="Q420" s="4"/>
    </row>
    <row r="421" spans="1:17" ht="41.4" x14ac:dyDescent="0.3">
      <c r="A421" s="31">
        <v>31</v>
      </c>
      <c r="C421" s="75" t="s">
        <v>1984</v>
      </c>
      <c r="D421" s="31" t="str">
        <f t="shared" si="18"/>
        <v>Do Not Print</v>
      </c>
      <c r="E421" s="1004" t="str">
        <f>E127</f>
        <v>CIES Line 31</v>
      </c>
      <c r="F421" s="213" t="s">
        <v>1966</v>
      </c>
      <c r="G421" s="213" t="s">
        <v>1973</v>
      </c>
      <c r="H421" s="213" t="s">
        <v>1974</v>
      </c>
      <c r="J421" s="163">
        <v>0</v>
      </c>
      <c r="K421" s="163">
        <v>0</v>
      </c>
      <c r="L421" s="165">
        <f t="shared" si="25"/>
        <v>0</v>
      </c>
      <c r="M421" s="163">
        <v>0</v>
      </c>
      <c r="N421" s="163">
        <v>0</v>
      </c>
      <c r="O421" s="165">
        <f t="shared" si="26"/>
        <v>0</v>
      </c>
      <c r="P421" s="36"/>
      <c r="Q421" s="4"/>
    </row>
    <row r="422" spans="1:17" ht="69" x14ac:dyDescent="0.3">
      <c r="A422" s="31">
        <v>31</v>
      </c>
      <c r="C422" s="75" t="s">
        <v>1984</v>
      </c>
      <c r="D422" s="31" t="str">
        <f t="shared" si="18"/>
        <v>Do Not Print</v>
      </c>
      <c r="E422" s="1004" t="str">
        <f>E127</f>
        <v>CIES Line 31</v>
      </c>
      <c r="F422" s="213" t="s">
        <v>1966</v>
      </c>
      <c r="G422" s="213" t="s">
        <v>1973</v>
      </c>
      <c r="H422" s="213" t="s">
        <v>1975</v>
      </c>
      <c r="J422" s="163">
        <v>0</v>
      </c>
      <c r="K422" s="163">
        <v>0</v>
      </c>
      <c r="L422" s="165">
        <f t="shared" si="25"/>
        <v>0</v>
      </c>
      <c r="M422" s="163">
        <v>0</v>
      </c>
      <c r="N422" s="163">
        <v>0</v>
      </c>
      <c r="O422" s="165">
        <f t="shared" si="26"/>
        <v>0</v>
      </c>
      <c r="P422" s="36"/>
      <c r="Q422" s="4"/>
    </row>
    <row r="423" spans="1:17" ht="41.4" x14ac:dyDescent="0.3">
      <c r="A423" s="31">
        <v>31</v>
      </c>
      <c r="C423" s="75" t="s">
        <v>1984</v>
      </c>
      <c r="D423" s="31" t="str">
        <f t="shared" si="18"/>
        <v>Do Not Print</v>
      </c>
      <c r="E423" s="1004" t="str">
        <f>E127</f>
        <v>CIES Line 31</v>
      </c>
      <c r="F423" s="213" t="s">
        <v>1966</v>
      </c>
      <c r="G423" s="213" t="s">
        <v>1973</v>
      </c>
      <c r="H423" s="213" t="s">
        <v>1976</v>
      </c>
      <c r="J423" s="163">
        <v>0</v>
      </c>
      <c r="K423" s="163">
        <v>0</v>
      </c>
      <c r="L423" s="165">
        <f t="shared" si="25"/>
        <v>0</v>
      </c>
      <c r="M423" s="163">
        <v>0</v>
      </c>
      <c r="N423" s="163">
        <v>0</v>
      </c>
      <c r="O423" s="165">
        <f t="shared" si="26"/>
        <v>0</v>
      </c>
      <c r="P423" s="36"/>
      <c r="Q423" s="4"/>
    </row>
    <row r="424" spans="1:17" ht="41.4" x14ac:dyDescent="0.3">
      <c r="A424" s="31">
        <v>31</v>
      </c>
      <c r="C424" s="75" t="s">
        <v>1984</v>
      </c>
      <c r="D424" s="31" t="str">
        <f t="shared" si="18"/>
        <v>Do Not Print</v>
      </c>
      <c r="E424" s="1004" t="str">
        <f>E127</f>
        <v>CIES Line 31</v>
      </c>
      <c r="F424" s="213" t="s">
        <v>1966</v>
      </c>
      <c r="G424" s="213" t="s">
        <v>1973</v>
      </c>
      <c r="H424" s="213" t="s">
        <v>1977</v>
      </c>
      <c r="J424" s="163">
        <v>0</v>
      </c>
      <c r="K424" s="163">
        <v>0</v>
      </c>
      <c r="L424" s="165">
        <f t="shared" si="25"/>
        <v>0</v>
      </c>
      <c r="M424" s="163">
        <v>0</v>
      </c>
      <c r="N424" s="163">
        <v>0</v>
      </c>
      <c r="O424" s="165">
        <f t="shared" si="26"/>
        <v>0</v>
      </c>
      <c r="P424" s="36"/>
      <c r="Q424" s="4"/>
    </row>
    <row r="425" spans="1:17" ht="41.4" x14ac:dyDescent="0.3">
      <c r="A425" s="31">
        <v>31</v>
      </c>
      <c r="C425" s="75" t="s">
        <v>1984</v>
      </c>
      <c r="D425" s="31" t="str">
        <f t="shared" ref="D425:D429" si="31">IF(AND(L425=0,O425=0),"Do Not Print","Print")</f>
        <v>Do Not Print</v>
      </c>
      <c r="E425" s="1004" t="str">
        <f>E127</f>
        <v>CIES Line 31</v>
      </c>
      <c r="F425" s="213" t="s">
        <v>1966</v>
      </c>
      <c r="G425" s="213" t="s">
        <v>1973</v>
      </c>
      <c r="H425" s="213" t="s">
        <v>1978</v>
      </c>
      <c r="J425" s="163">
        <v>0</v>
      </c>
      <c r="K425" s="163">
        <v>0</v>
      </c>
      <c r="L425" s="165">
        <f t="shared" si="25"/>
        <v>0</v>
      </c>
      <c r="M425" s="163">
        <v>0</v>
      </c>
      <c r="N425" s="163">
        <v>0</v>
      </c>
      <c r="O425" s="165">
        <f t="shared" si="26"/>
        <v>0</v>
      </c>
      <c r="P425" s="36"/>
      <c r="Q425" s="4"/>
    </row>
    <row r="426" spans="1:17" ht="41.4" x14ac:dyDescent="0.3">
      <c r="A426" s="31">
        <v>31</v>
      </c>
      <c r="C426" s="75" t="s">
        <v>1984</v>
      </c>
      <c r="D426" s="31" t="str">
        <f t="shared" si="31"/>
        <v>Do Not Print</v>
      </c>
      <c r="E426" s="1004" t="str">
        <f>E127</f>
        <v>CIES Line 31</v>
      </c>
      <c r="F426" s="213" t="s">
        <v>1966</v>
      </c>
      <c r="G426" s="213" t="s">
        <v>1973</v>
      </c>
      <c r="H426" s="213" t="s">
        <v>1979</v>
      </c>
      <c r="J426" s="163">
        <v>0</v>
      </c>
      <c r="K426" s="163">
        <v>0</v>
      </c>
      <c r="L426" s="165">
        <f t="shared" si="25"/>
        <v>0</v>
      </c>
      <c r="M426" s="163">
        <v>0</v>
      </c>
      <c r="N426" s="163">
        <v>0</v>
      </c>
      <c r="O426" s="165">
        <f t="shared" si="26"/>
        <v>0</v>
      </c>
      <c r="P426" s="36"/>
      <c r="Q426" s="4"/>
    </row>
    <row r="427" spans="1:17" ht="69" x14ac:dyDescent="0.3">
      <c r="A427" s="31">
        <v>31</v>
      </c>
      <c r="C427" s="75" t="s">
        <v>1984</v>
      </c>
      <c r="D427" s="31" t="str">
        <f t="shared" si="31"/>
        <v>Do Not Print</v>
      </c>
      <c r="E427" s="1004" t="str">
        <f>E127</f>
        <v>CIES Line 31</v>
      </c>
      <c r="F427" s="213" t="s">
        <v>1966</v>
      </c>
      <c r="G427" s="213" t="s">
        <v>1973</v>
      </c>
      <c r="H427" s="213" t="s">
        <v>1980</v>
      </c>
      <c r="J427" s="163">
        <v>0</v>
      </c>
      <c r="K427" s="163">
        <v>0</v>
      </c>
      <c r="L427" s="165">
        <f t="shared" si="25"/>
        <v>0</v>
      </c>
      <c r="M427" s="163">
        <v>0</v>
      </c>
      <c r="N427" s="163">
        <v>0</v>
      </c>
      <c r="O427" s="165">
        <f t="shared" si="26"/>
        <v>0</v>
      </c>
      <c r="P427" s="36"/>
      <c r="Q427" s="4"/>
    </row>
    <row r="428" spans="1:17" ht="41.4" x14ac:dyDescent="0.3">
      <c r="A428" s="31">
        <v>31</v>
      </c>
      <c r="C428" s="75" t="s">
        <v>1984</v>
      </c>
      <c r="D428" s="31" t="str">
        <f t="shared" si="31"/>
        <v>Do Not Print</v>
      </c>
      <c r="E428" s="1004" t="str">
        <f>E127</f>
        <v>CIES Line 31</v>
      </c>
      <c r="F428" s="213" t="s">
        <v>1966</v>
      </c>
      <c r="G428" s="213" t="s">
        <v>1973</v>
      </c>
      <c r="H428" s="213" t="s">
        <v>1981</v>
      </c>
      <c r="J428" s="163">
        <v>0</v>
      </c>
      <c r="K428" s="163">
        <v>0</v>
      </c>
      <c r="L428" s="165">
        <f t="shared" si="25"/>
        <v>0</v>
      </c>
      <c r="M428" s="163">
        <v>0</v>
      </c>
      <c r="N428" s="163">
        <v>0</v>
      </c>
      <c r="O428" s="165">
        <f t="shared" si="26"/>
        <v>0</v>
      </c>
      <c r="P428" s="36"/>
      <c r="Q428" s="4"/>
    </row>
    <row r="429" spans="1:17" ht="55.2" x14ac:dyDescent="0.3">
      <c r="A429" s="31">
        <v>31</v>
      </c>
      <c r="C429" s="75" t="s">
        <v>1984</v>
      </c>
      <c r="D429" s="31" t="str">
        <f t="shared" si="31"/>
        <v>Do Not Print</v>
      </c>
      <c r="E429" s="1004" t="str">
        <f>E127</f>
        <v>CIES Line 31</v>
      </c>
      <c r="F429" s="213" t="s">
        <v>1966</v>
      </c>
      <c r="G429" s="213" t="s">
        <v>1973</v>
      </c>
      <c r="H429" s="213" t="s">
        <v>1982</v>
      </c>
      <c r="J429" s="163">
        <v>0</v>
      </c>
      <c r="K429" s="163">
        <v>0</v>
      </c>
      <c r="L429" s="165">
        <f t="shared" si="25"/>
        <v>0</v>
      </c>
      <c r="M429" s="163">
        <v>0</v>
      </c>
      <c r="N429" s="163">
        <v>0</v>
      </c>
      <c r="O429" s="165">
        <f t="shared" si="26"/>
        <v>0</v>
      </c>
      <c r="P429" s="36"/>
      <c r="Q429" s="4"/>
    </row>
    <row r="430" spans="1:17" ht="41.4" x14ac:dyDescent="0.3">
      <c r="A430" s="31">
        <v>32</v>
      </c>
      <c r="C430" s="75" t="s">
        <v>1984</v>
      </c>
      <c r="D430" s="31" t="str">
        <f t="shared" si="18"/>
        <v>Do Not Print</v>
      </c>
      <c r="E430" s="1004" t="str">
        <f>E131</f>
        <v>CIES Line 32</v>
      </c>
      <c r="F430" s="213" t="s">
        <v>1966</v>
      </c>
      <c r="G430" s="213" t="s">
        <v>1973</v>
      </c>
      <c r="H430" s="213" t="s">
        <v>1974</v>
      </c>
      <c r="J430" s="163">
        <v>0</v>
      </c>
      <c r="K430" s="163">
        <v>0</v>
      </c>
      <c r="L430" s="165">
        <f t="shared" si="25"/>
        <v>0</v>
      </c>
      <c r="M430" s="163">
        <v>0</v>
      </c>
      <c r="N430" s="163">
        <v>0</v>
      </c>
      <c r="O430" s="165">
        <f t="shared" si="26"/>
        <v>0</v>
      </c>
      <c r="P430" s="36"/>
      <c r="Q430" s="4"/>
    </row>
    <row r="431" spans="1:17" ht="69" x14ac:dyDescent="0.3">
      <c r="A431" s="31">
        <v>32</v>
      </c>
      <c r="C431" s="75" t="s">
        <v>1984</v>
      </c>
      <c r="D431" s="31" t="str">
        <f t="shared" si="18"/>
        <v>Do Not Print</v>
      </c>
      <c r="E431" s="1004" t="str">
        <f>E131</f>
        <v>CIES Line 32</v>
      </c>
      <c r="F431" s="213" t="s">
        <v>1966</v>
      </c>
      <c r="G431" s="213" t="s">
        <v>1973</v>
      </c>
      <c r="H431" s="213" t="s">
        <v>1975</v>
      </c>
      <c r="J431" s="163">
        <v>0</v>
      </c>
      <c r="K431" s="163">
        <v>0</v>
      </c>
      <c r="L431" s="165">
        <f t="shared" si="25"/>
        <v>0</v>
      </c>
      <c r="M431" s="163">
        <v>0</v>
      </c>
      <c r="N431" s="163">
        <v>0</v>
      </c>
      <c r="O431" s="165">
        <f t="shared" si="26"/>
        <v>0</v>
      </c>
      <c r="P431" s="36"/>
      <c r="Q431" s="4"/>
    </row>
    <row r="432" spans="1:17" ht="41.4" x14ac:dyDescent="0.3">
      <c r="A432" s="31">
        <v>32</v>
      </c>
      <c r="C432" s="75" t="s">
        <v>1984</v>
      </c>
      <c r="D432" s="31" t="str">
        <f t="shared" si="18"/>
        <v>Do Not Print</v>
      </c>
      <c r="E432" s="1004" t="str">
        <f>E131</f>
        <v>CIES Line 32</v>
      </c>
      <c r="F432" s="213" t="s">
        <v>1966</v>
      </c>
      <c r="G432" s="213" t="s">
        <v>1973</v>
      </c>
      <c r="H432" s="213" t="s">
        <v>1976</v>
      </c>
      <c r="J432" s="163">
        <v>0</v>
      </c>
      <c r="K432" s="163">
        <v>0</v>
      </c>
      <c r="L432" s="165">
        <f t="shared" si="25"/>
        <v>0</v>
      </c>
      <c r="M432" s="163">
        <v>0</v>
      </c>
      <c r="N432" s="163">
        <v>0</v>
      </c>
      <c r="O432" s="165">
        <f t="shared" si="26"/>
        <v>0</v>
      </c>
      <c r="P432" s="36"/>
      <c r="Q432" s="4"/>
    </row>
    <row r="433" spans="1:17" ht="41.4" x14ac:dyDescent="0.3">
      <c r="A433" s="31">
        <v>32</v>
      </c>
      <c r="C433" s="75" t="s">
        <v>1984</v>
      </c>
      <c r="D433" s="31" t="str">
        <f t="shared" si="18"/>
        <v>Do Not Print</v>
      </c>
      <c r="E433" s="1004" t="str">
        <f>E131</f>
        <v>CIES Line 32</v>
      </c>
      <c r="F433" s="213" t="s">
        <v>1966</v>
      </c>
      <c r="G433" s="213" t="s">
        <v>1973</v>
      </c>
      <c r="H433" s="213" t="s">
        <v>1977</v>
      </c>
      <c r="J433" s="163">
        <v>0</v>
      </c>
      <c r="K433" s="163">
        <v>0</v>
      </c>
      <c r="L433" s="165">
        <f t="shared" si="25"/>
        <v>0</v>
      </c>
      <c r="M433" s="163">
        <v>0</v>
      </c>
      <c r="N433" s="163">
        <v>0</v>
      </c>
      <c r="O433" s="165">
        <f t="shared" si="26"/>
        <v>0</v>
      </c>
      <c r="P433" s="36"/>
      <c r="Q433" s="4"/>
    </row>
    <row r="434" spans="1:17" ht="41.4" x14ac:dyDescent="0.3">
      <c r="A434" s="31">
        <v>32</v>
      </c>
      <c r="C434" s="75" t="s">
        <v>1984</v>
      </c>
      <c r="D434" s="31" t="str">
        <f t="shared" ref="D434:D438" si="32">IF(AND(L434=0,O434=0),"Do Not Print","Print")</f>
        <v>Do Not Print</v>
      </c>
      <c r="E434" s="1004" t="str">
        <f>E131</f>
        <v>CIES Line 32</v>
      </c>
      <c r="F434" s="213" t="s">
        <v>1966</v>
      </c>
      <c r="G434" s="213" t="s">
        <v>1973</v>
      </c>
      <c r="H434" s="213" t="s">
        <v>1978</v>
      </c>
      <c r="J434" s="163">
        <v>0</v>
      </c>
      <c r="K434" s="163">
        <v>0</v>
      </c>
      <c r="L434" s="165">
        <f t="shared" si="25"/>
        <v>0</v>
      </c>
      <c r="M434" s="163">
        <v>0</v>
      </c>
      <c r="N434" s="163">
        <v>0</v>
      </c>
      <c r="O434" s="165">
        <f t="shared" si="26"/>
        <v>0</v>
      </c>
      <c r="P434" s="36"/>
      <c r="Q434" s="4"/>
    </row>
    <row r="435" spans="1:17" ht="41.4" x14ac:dyDescent="0.3">
      <c r="A435" s="31">
        <v>32</v>
      </c>
      <c r="C435" s="75" t="s">
        <v>1984</v>
      </c>
      <c r="D435" s="31" t="str">
        <f t="shared" si="32"/>
        <v>Do Not Print</v>
      </c>
      <c r="E435" s="1004" t="str">
        <f>E131</f>
        <v>CIES Line 32</v>
      </c>
      <c r="F435" s="213" t="s">
        <v>1966</v>
      </c>
      <c r="G435" s="213" t="s">
        <v>1973</v>
      </c>
      <c r="H435" s="213" t="s">
        <v>1979</v>
      </c>
      <c r="J435" s="163">
        <v>0</v>
      </c>
      <c r="K435" s="163">
        <v>0</v>
      </c>
      <c r="L435" s="165">
        <f t="shared" si="25"/>
        <v>0</v>
      </c>
      <c r="M435" s="163">
        <v>0</v>
      </c>
      <c r="N435" s="163">
        <v>0</v>
      </c>
      <c r="O435" s="165">
        <f t="shared" si="26"/>
        <v>0</v>
      </c>
      <c r="P435" s="36"/>
      <c r="Q435" s="4"/>
    </row>
    <row r="436" spans="1:17" ht="69" x14ac:dyDescent="0.3">
      <c r="A436" s="31">
        <v>32</v>
      </c>
      <c r="C436" s="75" t="s">
        <v>1984</v>
      </c>
      <c r="D436" s="31" t="str">
        <f t="shared" si="32"/>
        <v>Do Not Print</v>
      </c>
      <c r="E436" s="1004" t="str">
        <f>E131</f>
        <v>CIES Line 32</v>
      </c>
      <c r="F436" s="213" t="s">
        <v>1966</v>
      </c>
      <c r="G436" s="213" t="s">
        <v>1973</v>
      </c>
      <c r="H436" s="213" t="s">
        <v>1980</v>
      </c>
      <c r="J436" s="163">
        <v>0</v>
      </c>
      <c r="K436" s="163">
        <v>0</v>
      </c>
      <c r="L436" s="165">
        <f t="shared" si="25"/>
        <v>0</v>
      </c>
      <c r="M436" s="163">
        <v>0</v>
      </c>
      <c r="N436" s="163">
        <v>0</v>
      </c>
      <c r="O436" s="165">
        <f t="shared" si="26"/>
        <v>0</v>
      </c>
      <c r="P436" s="36"/>
      <c r="Q436" s="4"/>
    </row>
    <row r="437" spans="1:17" ht="41.4" x14ac:dyDescent="0.3">
      <c r="A437" s="31">
        <v>32</v>
      </c>
      <c r="C437" s="75" t="s">
        <v>1984</v>
      </c>
      <c r="D437" s="31" t="str">
        <f t="shared" si="32"/>
        <v>Do Not Print</v>
      </c>
      <c r="E437" s="1004" t="str">
        <f>E131</f>
        <v>CIES Line 32</v>
      </c>
      <c r="F437" s="213" t="s">
        <v>1966</v>
      </c>
      <c r="G437" s="213" t="s">
        <v>1973</v>
      </c>
      <c r="H437" s="213" t="s">
        <v>1981</v>
      </c>
      <c r="J437" s="163">
        <v>0</v>
      </c>
      <c r="K437" s="163">
        <v>0</v>
      </c>
      <c r="L437" s="165">
        <f t="shared" si="25"/>
        <v>0</v>
      </c>
      <c r="M437" s="163">
        <v>0</v>
      </c>
      <c r="N437" s="163">
        <v>0</v>
      </c>
      <c r="O437" s="165">
        <f t="shared" si="26"/>
        <v>0</v>
      </c>
      <c r="P437" s="36"/>
      <c r="Q437" s="4"/>
    </row>
    <row r="438" spans="1:17" ht="55.2" x14ac:dyDescent="0.3">
      <c r="A438" s="31">
        <v>32</v>
      </c>
      <c r="C438" s="75" t="s">
        <v>1984</v>
      </c>
      <c r="D438" s="31" t="str">
        <f t="shared" si="32"/>
        <v>Do Not Print</v>
      </c>
      <c r="E438" s="1004" t="str">
        <f>E131</f>
        <v>CIES Line 32</v>
      </c>
      <c r="F438" s="213" t="s">
        <v>1966</v>
      </c>
      <c r="G438" s="213" t="s">
        <v>1973</v>
      </c>
      <c r="H438" s="213" t="s">
        <v>1982</v>
      </c>
      <c r="J438" s="163">
        <v>0</v>
      </c>
      <c r="K438" s="163">
        <v>0</v>
      </c>
      <c r="L438" s="165">
        <f t="shared" si="25"/>
        <v>0</v>
      </c>
      <c r="M438" s="163">
        <v>0</v>
      </c>
      <c r="N438" s="163">
        <v>0</v>
      </c>
      <c r="O438" s="165">
        <f t="shared" si="26"/>
        <v>0</v>
      </c>
      <c r="P438" s="36"/>
      <c r="Q438" s="4"/>
    </row>
    <row r="439" spans="1:17" ht="41.4" x14ac:dyDescent="0.3">
      <c r="A439" s="31">
        <v>33</v>
      </c>
      <c r="C439" s="75" t="s">
        <v>1984</v>
      </c>
      <c r="D439" s="31" t="str">
        <f t="shared" si="18"/>
        <v>Do Not Print</v>
      </c>
      <c r="E439" s="1004" t="str">
        <f>E135</f>
        <v>CIES Line 33</v>
      </c>
      <c r="F439" s="213" t="s">
        <v>1966</v>
      </c>
      <c r="G439" s="213" t="s">
        <v>1973</v>
      </c>
      <c r="H439" s="213" t="s">
        <v>1974</v>
      </c>
      <c r="J439" s="163">
        <v>0</v>
      </c>
      <c r="K439" s="163">
        <v>0</v>
      </c>
      <c r="L439" s="165">
        <f t="shared" si="25"/>
        <v>0</v>
      </c>
      <c r="M439" s="163">
        <v>0</v>
      </c>
      <c r="N439" s="163">
        <v>0</v>
      </c>
      <c r="O439" s="165">
        <f t="shared" si="26"/>
        <v>0</v>
      </c>
      <c r="P439" s="36"/>
      <c r="Q439" s="4"/>
    </row>
    <row r="440" spans="1:17" ht="69" x14ac:dyDescent="0.3">
      <c r="A440" s="31">
        <v>33</v>
      </c>
      <c r="C440" s="75" t="s">
        <v>1984</v>
      </c>
      <c r="D440" s="31" t="str">
        <f t="shared" si="18"/>
        <v>Do Not Print</v>
      </c>
      <c r="E440" s="1004" t="str">
        <f>E135</f>
        <v>CIES Line 33</v>
      </c>
      <c r="F440" s="213" t="s">
        <v>1966</v>
      </c>
      <c r="G440" s="213" t="s">
        <v>1973</v>
      </c>
      <c r="H440" s="213" t="s">
        <v>1975</v>
      </c>
      <c r="J440" s="163">
        <v>0</v>
      </c>
      <c r="K440" s="163">
        <v>0</v>
      </c>
      <c r="L440" s="165">
        <f t="shared" si="25"/>
        <v>0</v>
      </c>
      <c r="M440" s="163">
        <v>0</v>
      </c>
      <c r="N440" s="163">
        <v>0</v>
      </c>
      <c r="O440" s="165">
        <f t="shared" si="26"/>
        <v>0</v>
      </c>
      <c r="P440" s="36"/>
      <c r="Q440" s="4"/>
    </row>
    <row r="441" spans="1:17" ht="41.4" x14ac:dyDescent="0.3">
      <c r="A441" s="31">
        <v>33</v>
      </c>
      <c r="C441" s="75" t="s">
        <v>1984</v>
      </c>
      <c r="D441" s="31" t="str">
        <f t="shared" si="18"/>
        <v>Do Not Print</v>
      </c>
      <c r="E441" s="1004" t="str">
        <f>E135</f>
        <v>CIES Line 33</v>
      </c>
      <c r="F441" s="213" t="s">
        <v>1966</v>
      </c>
      <c r="G441" s="213" t="s">
        <v>1973</v>
      </c>
      <c r="H441" s="213" t="s">
        <v>1976</v>
      </c>
      <c r="J441" s="163">
        <v>0</v>
      </c>
      <c r="K441" s="163">
        <v>0</v>
      </c>
      <c r="L441" s="165">
        <f t="shared" si="25"/>
        <v>0</v>
      </c>
      <c r="M441" s="163">
        <v>0</v>
      </c>
      <c r="N441" s="163">
        <v>0</v>
      </c>
      <c r="O441" s="165">
        <f t="shared" si="26"/>
        <v>0</v>
      </c>
      <c r="P441" s="36"/>
      <c r="Q441" s="4"/>
    </row>
    <row r="442" spans="1:17" ht="41.4" x14ac:dyDescent="0.3">
      <c r="A442" s="31">
        <v>33</v>
      </c>
      <c r="C442" s="75" t="s">
        <v>1984</v>
      </c>
      <c r="D442" s="31" t="str">
        <f t="shared" si="18"/>
        <v>Do Not Print</v>
      </c>
      <c r="E442" s="1004" t="str">
        <f>E135</f>
        <v>CIES Line 33</v>
      </c>
      <c r="F442" s="213" t="s">
        <v>1966</v>
      </c>
      <c r="G442" s="213" t="s">
        <v>1973</v>
      </c>
      <c r="H442" s="213" t="s">
        <v>1977</v>
      </c>
      <c r="J442" s="163">
        <v>0</v>
      </c>
      <c r="K442" s="163">
        <v>0</v>
      </c>
      <c r="L442" s="165">
        <f t="shared" si="25"/>
        <v>0</v>
      </c>
      <c r="M442" s="163">
        <v>0</v>
      </c>
      <c r="N442" s="163">
        <v>0</v>
      </c>
      <c r="O442" s="165">
        <f t="shared" si="26"/>
        <v>0</v>
      </c>
      <c r="P442" s="36"/>
      <c r="Q442" s="4"/>
    </row>
    <row r="443" spans="1:17" ht="41.4" x14ac:dyDescent="0.3">
      <c r="A443" s="31">
        <v>33</v>
      </c>
      <c r="C443" s="75" t="s">
        <v>1984</v>
      </c>
      <c r="D443" s="31" t="str">
        <f t="shared" ref="D443:D465" si="33">IF(AND(L443=0,O443=0),"Do Not Print","Print")</f>
        <v>Do Not Print</v>
      </c>
      <c r="E443" s="1004" t="str">
        <f>E135</f>
        <v>CIES Line 33</v>
      </c>
      <c r="F443" s="213" t="s">
        <v>1966</v>
      </c>
      <c r="G443" s="213" t="s">
        <v>1973</v>
      </c>
      <c r="H443" s="213" t="s">
        <v>1978</v>
      </c>
      <c r="J443" s="163">
        <v>0</v>
      </c>
      <c r="K443" s="163">
        <v>0</v>
      </c>
      <c r="L443" s="165">
        <f t="shared" si="25"/>
        <v>0</v>
      </c>
      <c r="M443" s="163">
        <v>0</v>
      </c>
      <c r="N443" s="163">
        <v>0</v>
      </c>
      <c r="O443" s="165">
        <f t="shared" si="26"/>
        <v>0</v>
      </c>
      <c r="P443" s="36"/>
      <c r="Q443" s="4"/>
    </row>
    <row r="444" spans="1:17" ht="41.4" x14ac:dyDescent="0.3">
      <c r="A444" s="31">
        <v>33</v>
      </c>
      <c r="C444" s="75" t="s">
        <v>1984</v>
      </c>
      <c r="D444" s="31" t="str">
        <f t="shared" si="33"/>
        <v>Do Not Print</v>
      </c>
      <c r="E444" s="1004" t="str">
        <f>E135</f>
        <v>CIES Line 33</v>
      </c>
      <c r="F444" s="213" t="s">
        <v>1966</v>
      </c>
      <c r="G444" s="213" t="s">
        <v>1973</v>
      </c>
      <c r="H444" s="213" t="s">
        <v>1979</v>
      </c>
      <c r="J444" s="163">
        <v>0</v>
      </c>
      <c r="K444" s="163">
        <v>0</v>
      </c>
      <c r="L444" s="165">
        <f t="shared" si="25"/>
        <v>0</v>
      </c>
      <c r="M444" s="163">
        <v>0</v>
      </c>
      <c r="N444" s="163">
        <v>0</v>
      </c>
      <c r="O444" s="165">
        <f t="shared" si="26"/>
        <v>0</v>
      </c>
      <c r="P444" s="36"/>
      <c r="Q444" s="4"/>
    </row>
    <row r="445" spans="1:17" ht="69" x14ac:dyDescent="0.3">
      <c r="A445" s="31">
        <v>33</v>
      </c>
      <c r="C445" s="75" t="s">
        <v>1984</v>
      </c>
      <c r="D445" s="31" t="str">
        <f t="shared" si="33"/>
        <v>Do Not Print</v>
      </c>
      <c r="E445" s="1004" t="str">
        <f>E135</f>
        <v>CIES Line 33</v>
      </c>
      <c r="F445" s="213" t="s">
        <v>1966</v>
      </c>
      <c r="G445" s="213" t="s">
        <v>1973</v>
      </c>
      <c r="H445" s="213" t="s">
        <v>1980</v>
      </c>
      <c r="J445" s="163">
        <v>0</v>
      </c>
      <c r="K445" s="163">
        <v>0</v>
      </c>
      <c r="L445" s="165">
        <f t="shared" si="25"/>
        <v>0</v>
      </c>
      <c r="M445" s="163">
        <v>0</v>
      </c>
      <c r="N445" s="163">
        <v>0</v>
      </c>
      <c r="O445" s="165">
        <f t="shared" si="26"/>
        <v>0</v>
      </c>
      <c r="P445" s="36"/>
      <c r="Q445" s="4"/>
    </row>
    <row r="446" spans="1:17" ht="41.4" x14ac:dyDescent="0.3">
      <c r="A446" s="31">
        <v>33</v>
      </c>
      <c r="C446" s="75" t="s">
        <v>1984</v>
      </c>
      <c r="D446" s="31" t="str">
        <f t="shared" si="33"/>
        <v>Do Not Print</v>
      </c>
      <c r="E446" s="1004" t="str">
        <f>E135</f>
        <v>CIES Line 33</v>
      </c>
      <c r="F446" s="213" t="s">
        <v>1966</v>
      </c>
      <c r="G446" s="213" t="s">
        <v>1973</v>
      </c>
      <c r="H446" s="213" t="s">
        <v>1981</v>
      </c>
      <c r="J446" s="163">
        <v>0</v>
      </c>
      <c r="K446" s="163">
        <v>0</v>
      </c>
      <c r="L446" s="165">
        <f t="shared" si="25"/>
        <v>0</v>
      </c>
      <c r="M446" s="163">
        <v>0</v>
      </c>
      <c r="N446" s="163">
        <v>0</v>
      </c>
      <c r="O446" s="165">
        <f t="shared" si="26"/>
        <v>0</v>
      </c>
      <c r="P446" s="36"/>
      <c r="Q446" s="4"/>
    </row>
    <row r="447" spans="1:17" ht="55.2" x14ac:dyDescent="0.3">
      <c r="A447" s="31">
        <v>33</v>
      </c>
      <c r="C447" s="75" t="s">
        <v>1984</v>
      </c>
      <c r="D447" s="31" t="str">
        <f t="shared" si="33"/>
        <v>Do Not Print</v>
      </c>
      <c r="E447" s="1004" t="str">
        <f>E135</f>
        <v>CIES Line 33</v>
      </c>
      <c r="F447" s="213" t="s">
        <v>1966</v>
      </c>
      <c r="G447" s="213" t="s">
        <v>1973</v>
      </c>
      <c r="H447" s="213" t="s">
        <v>1982</v>
      </c>
      <c r="J447" s="163">
        <v>0</v>
      </c>
      <c r="K447" s="163">
        <v>0</v>
      </c>
      <c r="L447" s="165">
        <f t="shared" si="25"/>
        <v>0</v>
      </c>
      <c r="M447" s="163">
        <v>0</v>
      </c>
      <c r="N447" s="163">
        <v>0</v>
      </c>
      <c r="O447" s="165">
        <f t="shared" si="26"/>
        <v>0</v>
      </c>
      <c r="P447" s="36"/>
      <c r="Q447" s="4"/>
    </row>
    <row r="448" spans="1:17" ht="41.4" x14ac:dyDescent="0.3">
      <c r="A448" s="31">
        <v>34</v>
      </c>
      <c r="C448" s="75" t="s">
        <v>1984</v>
      </c>
      <c r="D448" s="31" t="str">
        <f t="shared" si="33"/>
        <v>Do Not Print</v>
      </c>
      <c r="E448" s="1004" t="str">
        <f>E139</f>
        <v>CIES Line 34</v>
      </c>
      <c r="F448" s="213" t="s">
        <v>1966</v>
      </c>
      <c r="G448" s="213" t="s">
        <v>1973</v>
      </c>
      <c r="H448" s="213" t="s">
        <v>1974</v>
      </c>
      <c r="J448" s="163">
        <v>0</v>
      </c>
      <c r="K448" s="163">
        <v>0</v>
      </c>
      <c r="L448" s="165">
        <f t="shared" si="25"/>
        <v>0</v>
      </c>
      <c r="M448" s="163">
        <v>0</v>
      </c>
      <c r="N448" s="163">
        <v>0</v>
      </c>
      <c r="O448" s="165">
        <f t="shared" si="26"/>
        <v>0</v>
      </c>
      <c r="P448" s="36"/>
      <c r="Q448" s="4"/>
    </row>
    <row r="449" spans="1:17" ht="69" x14ac:dyDescent="0.3">
      <c r="A449" s="31">
        <v>34</v>
      </c>
      <c r="C449" s="75" t="s">
        <v>1984</v>
      </c>
      <c r="D449" s="31" t="str">
        <f t="shared" si="33"/>
        <v>Do Not Print</v>
      </c>
      <c r="E449" s="1004" t="str">
        <f>E139</f>
        <v>CIES Line 34</v>
      </c>
      <c r="F449" s="213" t="s">
        <v>1966</v>
      </c>
      <c r="G449" s="213" t="s">
        <v>1973</v>
      </c>
      <c r="H449" s="213" t="s">
        <v>1975</v>
      </c>
      <c r="J449" s="163">
        <v>0</v>
      </c>
      <c r="K449" s="163">
        <v>0</v>
      </c>
      <c r="L449" s="165">
        <f t="shared" si="25"/>
        <v>0</v>
      </c>
      <c r="M449" s="163">
        <v>0</v>
      </c>
      <c r="N449" s="163">
        <v>0</v>
      </c>
      <c r="O449" s="165">
        <f t="shared" si="26"/>
        <v>0</v>
      </c>
      <c r="P449" s="36"/>
      <c r="Q449" s="4"/>
    </row>
    <row r="450" spans="1:17" ht="41.4" x14ac:dyDescent="0.3">
      <c r="A450" s="31">
        <v>34</v>
      </c>
      <c r="C450" s="75" t="s">
        <v>1984</v>
      </c>
      <c r="D450" s="31" t="str">
        <f t="shared" si="33"/>
        <v>Do Not Print</v>
      </c>
      <c r="E450" s="1004" t="str">
        <f>E139</f>
        <v>CIES Line 34</v>
      </c>
      <c r="F450" s="213" t="s">
        <v>1966</v>
      </c>
      <c r="G450" s="213" t="s">
        <v>1973</v>
      </c>
      <c r="H450" s="213" t="s">
        <v>1976</v>
      </c>
      <c r="J450" s="163">
        <v>0</v>
      </c>
      <c r="K450" s="163">
        <v>0</v>
      </c>
      <c r="L450" s="165">
        <f t="shared" si="25"/>
        <v>0</v>
      </c>
      <c r="M450" s="163">
        <v>0</v>
      </c>
      <c r="N450" s="163">
        <v>0</v>
      </c>
      <c r="O450" s="165">
        <f t="shared" si="26"/>
        <v>0</v>
      </c>
      <c r="P450" s="36"/>
      <c r="Q450" s="4"/>
    </row>
    <row r="451" spans="1:17" ht="41.4" x14ac:dyDescent="0.3">
      <c r="A451" s="31">
        <v>34</v>
      </c>
      <c r="C451" s="75" t="s">
        <v>1984</v>
      </c>
      <c r="D451" s="31" t="str">
        <f t="shared" si="33"/>
        <v>Do Not Print</v>
      </c>
      <c r="E451" s="1004" t="str">
        <f>E139</f>
        <v>CIES Line 34</v>
      </c>
      <c r="F451" s="213" t="s">
        <v>1966</v>
      </c>
      <c r="G451" s="213" t="s">
        <v>1973</v>
      </c>
      <c r="H451" s="213" t="s">
        <v>1977</v>
      </c>
      <c r="J451" s="163">
        <v>0</v>
      </c>
      <c r="K451" s="163">
        <v>0</v>
      </c>
      <c r="L451" s="165">
        <f t="shared" si="25"/>
        <v>0</v>
      </c>
      <c r="M451" s="163">
        <v>0</v>
      </c>
      <c r="N451" s="163">
        <v>0</v>
      </c>
      <c r="O451" s="165">
        <f t="shared" si="26"/>
        <v>0</v>
      </c>
      <c r="P451" s="36"/>
      <c r="Q451" s="4"/>
    </row>
    <row r="452" spans="1:17" ht="41.4" x14ac:dyDescent="0.3">
      <c r="A452" s="31">
        <v>34</v>
      </c>
      <c r="C452" s="75" t="s">
        <v>1984</v>
      </c>
      <c r="D452" s="31" t="str">
        <f t="shared" si="33"/>
        <v>Do Not Print</v>
      </c>
      <c r="E452" s="1004" t="str">
        <f>E139</f>
        <v>CIES Line 34</v>
      </c>
      <c r="F452" s="213" t="s">
        <v>1966</v>
      </c>
      <c r="G452" s="213" t="s">
        <v>1973</v>
      </c>
      <c r="H452" s="213" t="s">
        <v>1978</v>
      </c>
      <c r="J452" s="163">
        <v>0</v>
      </c>
      <c r="K452" s="163">
        <v>0</v>
      </c>
      <c r="L452" s="165">
        <f t="shared" ref="L452:L465" si="34">SUM(J452:K452)</f>
        <v>0</v>
      </c>
      <c r="M452" s="163">
        <v>0</v>
      </c>
      <c r="N452" s="163">
        <v>0</v>
      </c>
      <c r="O452" s="165">
        <f t="shared" ref="O452:O465" si="35">SUM(M452:N452)</f>
        <v>0</v>
      </c>
      <c r="P452" s="36"/>
      <c r="Q452" s="4"/>
    </row>
    <row r="453" spans="1:17" ht="41.4" x14ac:dyDescent="0.3">
      <c r="A453" s="31">
        <v>34</v>
      </c>
      <c r="C453" s="75" t="s">
        <v>1984</v>
      </c>
      <c r="D453" s="31" t="str">
        <f t="shared" si="33"/>
        <v>Do Not Print</v>
      </c>
      <c r="E453" s="1004" t="str">
        <f>E139</f>
        <v>CIES Line 34</v>
      </c>
      <c r="F453" s="213" t="s">
        <v>1966</v>
      </c>
      <c r="G453" s="213" t="s">
        <v>1973</v>
      </c>
      <c r="H453" s="213" t="s">
        <v>1979</v>
      </c>
      <c r="J453" s="163">
        <v>0</v>
      </c>
      <c r="K453" s="163">
        <v>0</v>
      </c>
      <c r="L453" s="165">
        <f t="shared" si="34"/>
        <v>0</v>
      </c>
      <c r="M453" s="163">
        <v>0</v>
      </c>
      <c r="N453" s="163">
        <v>0</v>
      </c>
      <c r="O453" s="165">
        <f t="shared" si="35"/>
        <v>0</v>
      </c>
      <c r="P453" s="36"/>
      <c r="Q453" s="4"/>
    </row>
    <row r="454" spans="1:17" ht="69" x14ac:dyDescent="0.3">
      <c r="A454" s="31">
        <v>34</v>
      </c>
      <c r="C454" s="75" t="s">
        <v>1984</v>
      </c>
      <c r="D454" s="31" t="str">
        <f t="shared" si="33"/>
        <v>Do Not Print</v>
      </c>
      <c r="E454" s="1004" t="str">
        <f>E139</f>
        <v>CIES Line 34</v>
      </c>
      <c r="F454" s="213" t="s">
        <v>1966</v>
      </c>
      <c r="G454" s="213" t="s">
        <v>1973</v>
      </c>
      <c r="H454" s="213" t="s">
        <v>1980</v>
      </c>
      <c r="J454" s="163">
        <v>0</v>
      </c>
      <c r="K454" s="163">
        <v>0</v>
      </c>
      <c r="L454" s="165">
        <f t="shared" si="34"/>
        <v>0</v>
      </c>
      <c r="M454" s="163">
        <v>0</v>
      </c>
      <c r="N454" s="163">
        <v>0</v>
      </c>
      <c r="O454" s="165">
        <f t="shared" si="35"/>
        <v>0</v>
      </c>
      <c r="P454" s="36"/>
      <c r="Q454" s="4"/>
    </row>
    <row r="455" spans="1:17" ht="41.4" x14ac:dyDescent="0.3">
      <c r="A455" s="31">
        <v>34</v>
      </c>
      <c r="C455" s="75" t="s">
        <v>1984</v>
      </c>
      <c r="D455" s="31" t="str">
        <f t="shared" si="33"/>
        <v>Do Not Print</v>
      </c>
      <c r="E455" s="1004" t="str">
        <f>E139</f>
        <v>CIES Line 34</v>
      </c>
      <c r="F455" s="213" t="s">
        <v>1966</v>
      </c>
      <c r="G455" s="213" t="s">
        <v>1973</v>
      </c>
      <c r="H455" s="213" t="s">
        <v>1981</v>
      </c>
      <c r="J455" s="163">
        <v>0</v>
      </c>
      <c r="K455" s="163">
        <v>0</v>
      </c>
      <c r="L455" s="165">
        <f t="shared" si="34"/>
        <v>0</v>
      </c>
      <c r="M455" s="163">
        <v>0</v>
      </c>
      <c r="N455" s="163">
        <v>0</v>
      </c>
      <c r="O455" s="165">
        <f t="shared" si="35"/>
        <v>0</v>
      </c>
      <c r="P455" s="36"/>
      <c r="Q455" s="4"/>
    </row>
    <row r="456" spans="1:17" ht="55.2" x14ac:dyDescent="0.3">
      <c r="A456" s="31">
        <v>34</v>
      </c>
      <c r="C456" s="75" t="s">
        <v>1984</v>
      </c>
      <c r="D456" s="31" t="str">
        <f t="shared" si="33"/>
        <v>Do Not Print</v>
      </c>
      <c r="E456" s="1004" t="str">
        <f>E139</f>
        <v>CIES Line 34</v>
      </c>
      <c r="F456" s="213" t="s">
        <v>1966</v>
      </c>
      <c r="G456" s="213" t="s">
        <v>1973</v>
      </c>
      <c r="H456" s="213" t="s">
        <v>1982</v>
      </c>
      <c r="J456" s="163">
        <v>0</v>
      </c>
      <c r="K456" s="163">
        <v>0</v>
      </c>
      <c r="L456" s="165">
        <f t="shared" si="34"/>
        <v>0</v>
      </c>
      <c r="M456" s="163">
        <v>0</v>
      </c>
      <c r="N456" s="163">
        <v>0</v>
      </c>
      <c r="O456" s="165">
        <f t="shared" si="35"/>
        <v>0</v>
      </c>
      <c r="P456" s="36"/>
      <c r="Q456" s="4"/>
    </row>
    <row r="457" spans="1:17" ht="41.4" x14ac:dyDescent="0.3">
      <c r="A457" s="31">
        <v>35</v>
      </c>
      <c r="C457" s="75" t="s">
        <v>1984</v>
      </c>
      <c r="D457" s="31" t="str">
        <f t="shared" si="33"/>
        <v>Do Not Print</v>
      </c>
      <c r="E457" s="1004" t="str">
        <f>E143</f>
        <v>CIES Line 35</v>
      </c>
      <c r="F457" s="213" t="s">
        <v>1966</v>
      </c>
      <c r="G457" s="213" t="s">
        <v>1973</v>
      </c>
      <c r="H457" s="213" t="s">
        <v>1974</v>
      </c>
      <c r="J457" s="163">
        <v>0</v>
      </c>
      <c r="K457" s="163">
        <v>0</v>
      </c>
      <c r="L457" s="165">
        <f t="shared" si="34"/>
        <v>0</v>
      </c>
      <c r="M457" s="163">
        <v>0</v>
      </c>
      <c r="N457" s="163">
        <v>0</v>
      </c>
      <c r="O457" s="165">
        <f t="shared" si="35"/>
        <v>0</v>
      </c>
      <c r="P457" s="36"/>
      <c r="Q457" s="4"/>
    </row>
    <row r="458" spans="1:17" ht="69" x14ac:dyDescent="0.3">
      <c r="A458" s="31">
        <v>35</v>
      </c>
      <c r="C458" s="75" t="s">
        <v>1984</v>
      </c>
      <c r="D458" s="31" t="str">
        <f t="shared" si="33"/>
        <v>Do Not Print</v>
      </c>
      <c r="E458" s="1004" t="str">
        <f>E143</f>
        <v>CIES Line 35</v>
      </c>
      <c r="F458" s="213" t="s">
        <v>1966</v>
      </c>
      <c r="G458" s="213" t="s">
        <v>1973</v>
      </c>
      <c r="H458" s="213" t="s">
        <v>1975</v>
      </c>
      <c r="J458" s="163">
        <v>0</v>
      </c>
      <c r="K458" s="163">
        <v>0</v>
      </c>
      <c r="L458" s="165">
        <f t="shared" si="34"/>
        <v>0</v>
      </c>
      <c r="M458" s="163">
        <v>0</v>
      </c>
      <c r="N458" s="163">
        <v>0</v>
      </c>
      <c r="O458" s="165">
        <f t="shared" si="35"/>
        <v>0</v>
      </c>
      <c r="P458" s="36"/>
      <c r="Q458" s="4"/>
    </row>
    <row r="459" spans="1:17" ht="41.4" x14ac:dyDescent="0.3">
      <c r="A459" s="31">
        <v>35</v>
      </c>
      <c r="C459" s="75" t="s">
        <v>1984</v>
      </c>
      <c r="D459" s="31" t="str">
        <f t="shared" si="33"/>
        <v>Do Not Print</v>
      </c>
      <c r="E459" s="1004" t="str">
        <f>E143</f>
        <v>CIES Line 35</v>
      </c>
      <c r="F459" s="213" t="s">
        <v>1966</v>
      </c>
      <c r="G459" s="213" t="s">
        <v>1973</v>
      </c>
      <c r="H459" s="213" t="s">
        <v>1976</v>
      </c>
      <c r="J459" s="163">
        <v>0</v>
      </c>
      <c r="K459" s="163">
        <v>0</v>
      </c>
      <c r="L459" s="165">
        <f t="shared" si="34"/>
        <v>0</v>
      </c>
      <c r="M459" s="163">
        <v>0</v>
      </c>
      <c r="N459" s="163">
        <v>0</v>
      </c>
      <c r="O459" s="165">
        <f t="shared" si="35"/>
        <v>0</v>
      </c>
      <c r="P459" s="36"/>
      <c r="Q459" s="4"/>
    </row>
    <row r="460" spans="1:17" ht="41.4" x14ac:dyDescent="0.3">
      <c r="A460" s="31">
        <v>35</v>
      </c>
      <c r="C460" s="75" t="s">
        <v>1984</v>
      </c>
      <c r="D460" s="31" t="str">
        <f t="shared" si="33"/>
        <v>Do Not Print</v>
      </c>
      <c r="E460" s="1004" t="str">
        <f>E143</f>
        <v>CIES Line 35</v>
      </c>
      <c r="F460" s="213" t="s">
        <v>1966</v>
      </c>
      <c r="G460" s="213" t="s">
        <v>1973</v>
      </c>
      <c r="H460" s="213" t="s">
        <v>1977</v>
      </c>
      <c r="J460" s="163">
        <v>0</v>
      </c>
      <c r="K460" s="163">
        <v>0</v>
      </c>
      <c r="L460" s="165">
        <f t="shared" si="34"/>
        <v>0</v>
      </c>
      <c r="M460" s="163">
        <v>0</v>
      </c>
      <c r="N460" s="163">
        <v>0</v>
      </c>
      <c r="O460" s="165">
        <f t="shared" si="35"/>
        <v>0</v>
      </c>
      <c r="P460" s="36"/>
      <c r="Q460" s="4"/>
    </row>
    <row r="461" spans="1:17" ht="41.4" x14ac:dyDescent="0.3">
      <c r="A461" s="31">
        <v>35</v>
      </c>
      <c r="C461" s="75" t="s">
        <v>1984</v>
      </c>
      <c r="D461" s="31" t="str">
        <f t="shared" si="33"/>
        <v>Do Not Print</v>
      </c>
      <c r="E461" s="1004" t="str">
        <f>E143</f>
        <v>CIES Line 35</v>
      </c>
      <c r="F461" s="213" t="s">
        <v>1966</v>
      </c>
      <c r="G461" s="213" t="s">
        <v>1973</v>
      </c>
      <c r="H461" s="213" t="s">
        <v>1978</v>
      </c>
      <c r="J461" s="163">
        <v>0</v>
      </c>
      <c r="K461" s="163">
        <v>0</v>
      </c>
      <c r="L461" s="165">
        <f t="shared" si="34"/>
        <v>0</v>
      </c>
      <c r="M461" s="163">
        <v>0</v>
      </c>
      <c r="N461" s="163">
        <v>0</v>
      </c>
      <c r="O461" s="165">
        <f t="shared" si="35"/>
        <v>0</v>
      </c>
      <c r="P461" s="36"/>
      <c r="Q461" s="4"/>
    </row>
    <row r="462" spans="1:17" ht="41.4" x14ac:dyDescent="0.3">
      <c r="A462" s="31">
        <v>35</v>
      </c>
      <c r="C462" s="75" t="s">
        <v>1984</v>
      </c>
      <c r="D462" s="31" t="str">
        <f t="shared" si="33"/>
        <v>Do Not Print</v>
      </c>
      <c r="E462" s="1004" t="str">
        <f>E143</f>
        <v>CIES Line 35</v>
      </c>
      <c r="F462" s="213" t="s">
        <v>1966</v>
      </c>
      <c r="G462" s="213" t="s">
        <v>1973</v>
      </c>
      <c r="H462" s="213" t="s">
        <v>1979</v>
      </c>
      <c r="J462" s="163">
        <v>0</v>
      </c>
      <c r="K462" s="163">
        <v>0</v>
      </c>
      <c r="L462" s="165">
        <f t="shared" si="34"/>
        <v>0</v>
      </c>
      <c r="M462" s="163">
        <v>0</v>
      </c>
      <c r="N462" s="163">
        <v>0</v>
      </c>
      <c r="O462" s="165">
        <f t="shared" si="35"/>
        <v>0</v>
      </c>
      <c r="P462" s="36"/>
      <c r="Q462" s="4"/>
    </row>
    <row r="463" spans="1:17" ht="69" x14ac:dyDescent="0.3">
      <c r="A463" s="31">
        <v>35</v>
      </c>
      <c r="C463" s="75" t="s">
        <v>1984</v>
      </c>
      <c r="D463" s="31" t="str">
        <f t="shared" si="33"/>
        <v>Do Not Print</v>
      </c>
      <c r="E463" s="1004" t="str">
        <f>E143</f>
        <v>CIES Line 35</v>
      </c>
      <c r="F463" s="213" t="s">
        <v>1966</v>
      </c>
      <c r="G463" s="213" t="s">
        <v>1973</v>
      </c>
      <c r="H463" s="213" t="s">
        <v>1980</v>
      </c>
      <c r="J463" s="163">
        <v>0</v>
      </c>
      <c r="K463" s="163">
        <v>0</v>
      </c>
      <c r="L463" s="165">
        <f t="shared" si="34"/>
        <v>0</v>
      </c>
      <c r="M463" s="163">
        <v>0</v>
      </c>
      <c r="N463" s="163">
        <v>0</v>
      </c>
      <c r="O463" s="165">
        <f t="shared" si="35"/>
        <v>0</v>
      </c>
      <c r="P463" s="36"/>
      <c r="Q463" s="4"/>
    </row>
    <row r="464" spans="1:17" ht="41.4" x14ac:dyDescent="0.3">
      <c r="A464" s="31">
        <v>35</v>
      </c>
      <c r="C464" s="75" t="s">
        <v>1984</v>
      </c>
      <c r="D464" s="31" t="str">
        <f t="shared" si="33"/>
        <v>Do Not Print</v>
      </c>
      <c r="E464" s="1004" t="str">
        <f>E143</f>
        <v>CIES Line 35</v>
      </c>
      <c r="F464" s="213" t="s">
        <v>1966</v>
      </c>
      <c r="G464" s="213" t="s">
        <v>1973</v>
      </c>
      <c r="H464" s="213" t="s">
        <v>1981</v>
      </c>
      <c r="J464" s="163">
        <v>0</v>
      </c>
      <c r="K464" s="163">
        <v>0</v>
      </c>
      <c r="L464" s="165">
        <f t="shared" si="34"/>
        <v>0</v>
      </c>
      <c r="M464" s="163">
        <v>0</v>
      </c>
      <c r="N464" s="163">
        <v>0</v>
      </c>
      <c r="O464" s="165">
        <f t="shared" si="35"/>
        <v>0</v>
      </c>
      <c r="P464" s="36"/>
      <c r="Q464" s="4"/>
    </row>
    <row r="465" spans="1:17" ht="55.2" x14ac:dyDescent="0.3">
      <c r="A465" s="31">
        <v>35</v>
      </c>
      <c r="C465" s="75" t="s">
        <v>1984</v>
      </c>
      <c r="D465" s="31" t="str">
        <f t="shared" si="33"/>
        <v>Do Not Print</v>
      </c>
      <c r="E465" s="1004" t="str">
        <f>E143</f>
        <v>CIES Line 35</v>
      </c>
      <c r="F465" s="213" t="s">
        <v>1966</v>
      </c>
      <c r="G465" s="213" t="s">
        <v>1973</v>
      </c>
      <c r="H465" s="213" t="s">
        <v>1982</v>
      </c>
      <c r="J465" s="163">
        <v>0</v>
      </c>
      <c r="K465" s="163">
        <v>0</v>
      </c>
      <c r="L465" s="165">
        <f t="shared" si="34"/>
        <v>0</v>
      </c>
      <c r="M465" s="163">
        <v>0</v>
      </c>
      <c r="N465" s="163">
        <v>0</v>
      </c>
      <c r="O465" s="165">
        <f t="shared" si="35"/>
        <v>0</v>
      </c>
      <c r="P465" s="36"/>
      <c r="Q465" s="4"/>
    </row>
    <row r="466" spans="1:17" ht="14.4" thickBot="1" x14ac:dyDescent="0.35"/>
    <row r="467" spans="1:17" ht="14.4" thickTop="1" x14ac:dyDescent="0.3">
      <c r="A467" s="1005"/>
      <c r="B467" s="1067"/>
      <c r="C467" s="1006"/>
      <c r="D467" s="1006"/>
      <c r="E467" s="1007"/>
      <c r="F467" s="1008"/>
      <c r="G467" s="1008"/>
      <c r="H467" s="1008"/>
      <c r="I467" s="1006"/>
      <c r="J467" s="1006"/>
      <c r="K467" s="1006"/>
      <c r="L467" s="1006"/>
      <c r="M467" s="1009"/>
    </row>
    <row r="468" spans="1:17" ht="28.8" x14ac:dyDescent="0.3">
      <c r="A468" s="1010"/>
      <c r="B468" s="1068" t="s">
        <v>1987</v>
      </c>
      <c r="M468" s="1011"/>
    </row>
    <row r="469" spans="1:17" x14ac:dyDescent="0.3">
      <c r="A469" s="1010"/>
      <c r="B469" s="18"/>
      <c r="M469" s="1011"/>
    </row>
    <row r="470" spans="1:17" x14ac:dyDescent="0.3">
      <c r="A470" s="1010"/>
      <c r="B470" s="1069"/>
      <c r="C470" s="1293" t="s">
        <v>3054</v>
      </c>
      <c r="D470" s="1293"/>
      <c r="E470" s="1293"/>
      <c r="F470" s="1293"/>
      <c r="G470" s="1293"/>
      <c r="H470" s="1294" t="s">
        <v>3021</v>
      </c>
      <c r="I470" s="1294"/>
      <c r="J470" s="1294"/>
      <c r="K470" s="1294"/>
      <c r="L470" s="1294"/>
      <c r="M470" s="1011"/>
    </row>
    <row r="471" spans="1:17" ht="69" x14ac:dyDescent="0.3">
      <c r="A471" s="1010"/>
      <c r="B471" s="1070"/>
      <c r="C471" s="1018" t="s">
        <v>1967</v>
      </c>
      <c r="D471" s="1018" t="s">
        <v>1968</v>
      </c>
      <c r="E471" s="1019" t="s">
        <v>1969</v>
      </c>
      <c r="F471" s="1020" t="s">
        <v>1970</v>
      </c>
      <c r="G471" s="1020" t="s">
        <v>1988</v>
      </c>
      <c r="H471" s="1018" t="s">
        <v>1967</v>
      </c>
      <c r="I471" s="1018" t="s">
        <v>1968</v>
      </c>
      <c r="J471" s="1019" t="s">
        <v>1969</v>
      </c>
      <c r="K471" s="1020" t="s">
        <v>1970</v>
      </c>
      <c r="L471" s="1020" t="s">
        <v>1988</v>
      </c>
      <c r="M471" s="1011"/>
    </row>
    <row r="472" spans="1:17" x14ac:dyDescent="0.3">
      <c r="A472" s="1010"/>
      <c r="B472" s="1070"/>
      <c r="C472" s="1021" t="s">
        <v>450</v>
      </c>
      <c r="D472" s="1021" t="s">
        <v>450</v>
      </c>
      <c r="E472" s="1021" t="s">
        <v>450</v>
      </c>
      <c r="F472" s="1021" t="s">
        <v>450</v>
      </c>
      <c r="G472" s="1021" t="s">
        <v>450</v>
      </c>
      <c r="H472" s="1021" t="s">
        <v>450</v>
      </c>
      <c r="I472" s="1021" t="s">
        <v>450</v>
      </c>
      <c r="J472" s="1021" t="s">
        <v>450</v>
      </c>
      <c r="K472" s="1021" t="s">
        <v>450</v>
      </c>
      <c r="L472" s="1021" t="s">
        <v>450</v>
      </c>
      <c r="M472" s="1011"/>
    </row>
    <row r="473" spans="1:17" x14ac:dyDescent="0.3">
      <c r="A473" s="1010"/>
      <c r="B473" s="1071" t="str">
        <f>E7</f>
        <v>CIES Line 1</v>
      </c>
      <c r="C473" s="1022">
        <f>L7</f>
        <v>0</v>
      </c>
      <c r="D473" s="1022">
        <f>L8</f>
        <v>0</v>
      </c>
      <c r="E473" s="1023">
        <f>L9</f>
        <v>0</v>
      </c>
      <c r="F473" s="1024">
        <f>L10</f>
        <v>0</v>
      </c>
      <c r="G473" s="1025">
        <f>SUM(C473:F473)</f>
        <v>0</v>
      </c>
      <c r="H473" s="1022">
        <f>O7</f>
        <v>0</v>
      </c>
      <c r="I473" s="1022">
        <f>O8</f>
        <v>0</v>
      </c>
      <c r="J473" s="1022">
        <f>O9</f>
        <v>0</v>
      </c>
      <c r="K473" s="1022">
        <f>O10</f>
        <v>0</v>
      </c>
      <c r="L473" s="1022">
        <f>SUM(H473:K473)</f>
        <v>0</v>
      </c>
      <c r="M473" s="1011"/>
    </row>
    <row r="474" spans="1:17" x14ac:dyDescent="0.3">
      <c r="A474" s="1010"/>
      <c r="B474" s="1071" t="str">
        <f>E11</f>
        <v>CIES Line 2</v>
      </c>
      <c r="C474" s="1022">
        <f>L11</f>
        <v>0</v>
      </c>
      <c r="D474" s="1022">
        <f>L12</f>
        <v>0</v>
      </c>
      <c r="E474" s="1023">
        <f>L13</f>
        <v>0</v>
      </c>
      <c r="F474" s="1024">
        <f>L14</f>
        <v>0</v>
      </c>
      <c r="G474" s="1025">
        <f t="shared" ref="G474:G507" si="36">SUM(C474:F474)</f>
        <v>0</v>
      </c>
      <c r="H474" s="1022">
        <f>O11</f>
        <v>0</v>
      </c>
      <c r="I474" s="1022">
        <f>O12</f>
        <v>0</v>
      </c>
      <c r="J474" s="1022">
        <f>O13</f>
        <v>0</v>
      </c>
      <c r="K474" s="1022">
        <f>O14</f>
        <v>0</v>
      </c>
      <c r="L474" s="1022">
        <f t="shared" ref="L474:L507" si="37">SUM(H474:K474)</f>
        <v>0</v>
      </c>
      <c r="M474" s="1011"/>
    </row>
    <row r="475" spans="1:17" x14ac:dyDescent="0.3">
      <c r="A475" s="1010"/>
      <c r="B475" s="1071" t="str">
        <f>E15</f>
        <v>CIES Line 3</v>
      </c>
      <c r="C475" s="1022">
        <f>L15</f>
        <v>0</v>
      </c>
      <c r="D475" s="1022">
        <f>L16</f>
        <v>0</v>
      </c>
      <c r="E475" s="1023">
        <f>L17</f>
        <v>0</v>
      </c>
      <c r="F475" s="1024">
        <f>L18</f>
        <v>0</v>
      </c>
      <c r="G475" s="1025">
        <f t="shared" si="36"/>
        <v>0</v>
      </c>
      <c r="H475" s="1022">
        <f>O15</f>
        <v>0</v>
      </c>
      <c r="I475" s="1022">
        <f>O16</f>
        <v>0</v>
      </c>
      <c r="J475" s="1022">
        <f>O17</f>
        <v>0</v>
      </c>
      <c r="K475" s="1022">
        <f>O18</f>
        <v>0</v>
      </c>
      <c r="L475" s="1022">
        <f t="shared" si="37"/>
        <v>0</v>
      </c>
      <c r="M475" s="1011"/>
    </row>
    <row r="476" spans="1:17" x14ac:dyDescent="0.3">
      <c r="A476" s="1010"/>
      <c r="B476" s="1071" t="str">
        <f>E19</f>
        <v>CIES Line 4</v>
      </c>
      <c r="C476" s="1022">
        <f>L19</f>
        <v>0</v>
      </c>
      <c r="D476" s="1022">
        <f>L20</f>
        <v>0</v>
      </c>
      <c r="E476" s="1023">
        <f>L21</f>
        <v>0</v>
      </c>
      <c r="F476" s="1024">
        <f>L22</f>
        <v>0</v>
      </c>
      <c r="G476" s="1025">
        <f t="shared" si="36"/>
        <v>0</v>
      </c>
      <c r="H476" s="1022">
        <f>O19</f>
        <v>0</v>
      </c>
      <c r="I476" s="1022">
        <f>O20</f>
        <v>0</v>
      </c>
      <c r="J476" s="1022">
        <f>O21</f>
        <v>0</v>
      </c>
      <c r="K476" s="1022">
        <f>O22</f>
        <v>0</v>
      </c>
      <c r="L476" s="1022">
        <f t="shared" si="37"/>
        <v>0</v>
      </c>
      <c r="M476" s="1011"/>
    </row>
    <row r="477" spans="1:17" x14ac:dyDescent="0.3">
      <c r="A477" s="1010"/>
      <c r="B477" s="1071" t="str">
        <f>E23</f>
        <v>CIES Line 5</v>
      </c>
      <c r="C477" s="1022">
        <f>L23</f>
        <v>0</v>
      </c>
      <c r="D477" s="1022">
        <f>L24</f>
        <v>0</v>
      </c>
      <c r="E477" s="1023">
        <f>L25</f>
        <v>0</v>
      </c>
      <c r="F477" s="1024">
        <f>L26</f>
        <v>0</v>
      </c>
      <c r="G477" s="1025">
        <f t="shared" si="36"/>
        <v>0</v>
      </c>
      <c r="H477" s="1022">
        <f>O23</f>
        <v>0</v>
      </c>
      <c r="I477" s="1022">
        <f>O24</f>
        <v>0</v>
      </c>
      <c r="J477" s="1022">
        <f>O25</f>
        <v>0</v>
      </c>
      <c r="K477" s="1022">
        <f>O26</f>
        <v>0</v>
      </c>
      <c r="L477" s="1022">
        <f t="shared" si="37"/>
        <v>0</v>
      </c>
      <c r="M477" s="1011"/>
    </row>
    <row r="478" spans="1:17" x14ac:dyDescent="0.3">
      <c r="A478" s="1010"/>
      <c r="B478" s="1071" t="str">
        <f>E27</f>
        <v>CIES Line 6</v>
      </c>
      <c r="C478" s="1022">
        <f>L27</f>
        <v>0</v>
      </c>
      <c r="D478" s="1022">
        <f>L28</f>
        <v>0</v>
      </c>
      <c r="E478" s="1023">
        <f>L29</f>
        <v>0</v>
      </c>
      <c r="F478" s="1024">
        <f>L30</f>
        <v>0</v>
      </c>
      <c r="G478" s="1025">
        <f t="shared" si="36"/>
        <v>0</v>
      </c>
      <c r="H478" s="1022">
        <f>O27</f>
        <v>0</v>
      </c>
      <c r="I478" s="1022">
        <f>O28</f>
        <v>0</v>
      </c>
      <c r="J478" s="1022">
        <f>O29</f>
        <v>0</v>
      </c>
      <c r="K478" s="1022">
        <f>O30</f>
        <v>0</v>
      </c>
      <c r="L478" s="1022">
        <f t="shared" si="37"/>
        <v>0</v>
      </c>
      <c r="M478" s="1011"/>
    </row>
    <row r="479" spans="1:17" x14ac:dyDescent="0.3">
      <c r="A479" s="1010"/>
      <c r="B479" s="1071" t="str">
        <f>E31</f>
        <v>CIES Line 7</v>
      </c>
      <c r="C479" s="1022">
        <f>L31</f>
        <v>0</v>
      </c>
      <c r="D479" s="1022">
        <f>L32</f>
        <v>0</v>
      </c>
      <c r="E479" s="1023">
        <f>L33</f>
        <v>0</v>
      </c>
      <c r="F479" s="1024">
        <f>L34</f>
        <v>0</v>
      </c>
      <c r="G479" s="1025">
        <f t="shared" si="36"/>
        <v>0</v>
      </c>
      <c r="H479" s="1022">
        <f>O31</f>
        <v>0</v>
      </c>
      <c r="I479" s="1022">
        <f>O32</f>
        <v>0</v>
      </c>
      <c r="J479" s="1022">
        <f>O33</f>
        <v>0</v>
      </c>
      <c r="K479" s="1022">
        <f>O34</f>
        <v>0</v>
      </c>
      <c r="L479" s="1022">
        <f t="shared" si="37"/>
        <v>0</v>
      </c>
      <c r="M479" s="1011"/>
    </row>
    <row r="480" spans="1:17" x14ac:dyDescent="0.3">
      <c r="A480" s="1010"/>
      <c r="B480" s="1071" t="str">
        <f>E35</f>
        <v>CIES Line 8</v>
      </c>
      <c r="C480" s="1022">
        <f>L35</f>
        <v>0</v>
      </c>
      <c r="D480" s="1022">
        <f>L36</f>
        <v>0</v>
      </c>
      <c r="E480" s="1023">
        <f>L37</f>
        <v>0</v>
      </c>
      <c r="F480" s="1024">
        <f>L38</f>
        <v>0</v>
      </c>
      <c r="G480" s="1025">
        <f t="shared" si="36"/>
        <v>0</v>
      </c>
      <c r="H480" s="1024">
        <f>O35</f>
        <v>0</v>
      </c>
      <c r="I480" s="1022">
        <f>O36</f>
        <v>0</v>
      </c>
      <c r="J480" s="1022">
        <f>O37</f>
        <v>0</v>
      </c>
      <c r="K480" s="1022">
        <f>O38</f>
        <v>0</v>
      </c>
      <c r="L480" s="1022">
        <f t="shared" si="37"/>
        <v>0</v>
      </c>
      <c r="M480" s="1011"/>
    </row>
    <row r="481" spans="1:13" x14ac:dyDescent="0.3">
      <c r="A481" s="1010"/>
      <c r="B481" s="1071" t="str">
        <f>E39</f>
        <v>CIES Line 9</v>
      </c>
      <c r="C481" s="1022">
        <f>L39</f>
        <v>0</v>
      </c>
      <c r="D481" s="1022">
        <f>L40</f>
        <v>0</v>
      </c>
      <c r="E481" s="1023">
        <f>L41</f>
        <v>0</v>
      </c>
      <c r="F481" s="1024">
        <f>L42</f>
        <v>0</v>
      </c>
      <c r="G481" s="1025">
        <f t="shared" si="36"/>
        <v>0</v>
      </c>
      <c r="H481" s="1024">
        <f>O39</f>
        <v>0</v>
      </c>
      <c r="I481" s="1022">
        <f>O40</f>
        <v>0</v>
      </c>
      <c r="J481" s="1022">
        <f>O41</f>
        <v>0</v>
      </c>
      <c r="K481" s="1022">
        <f>O42</f>
        <v>0</v>
      </c>
      <c r="L481" s="1022">
        <f t="shared" si="37"/>
        <v>0</v>
      </c>
      <c r="M481" s="1011"/>
    </row>
    <row r="482" spans="1:13" x14ac:dyDescent="0.3">
      <c r="A482" s="1010"/>
      <c r="B482" s="1071" t="str">
        <f>E43</f>
        <v>CIES Line 10</v>
      </c>
      <c r="C482" s="1022">
        <f>L43</f>
        <v>0</v>
      </c>
      <c r="D482" s="1022">
        <f>L44</f>
        <v>0</v>
      </c>
      <c r="E482" s="1023">
        <f>L45</f>
        <v>0</v>
      </c>
      <c r="F482" s="1024">
        <f>L46</f>
        <v>0</v>
      </c>
      <c r="G482" s="1025">
        <f t="shared" si="36"/>
        <v>0</v>
      </c>
      <c r="H482" s="1024">
        <f>O43</f>
        <v>0</v>
      </c>
      <c r="I482" s="1022">
        <f>O44</f>
        <v>0</v>
      </c>
      <c r="J482" s="1022">
        <f>O45</f>
        <v>0</v>
      </c>
      <c r="K482" s="1022">
        <f>O46</f>
        <v>0</v>
      </c>
      <c r="L482" s="1022">
        <f t="shared" si="37"/>
        <v>0</v>
      </c>
      <c r="M482" s="1011"/>
    </row>
    <row r="483" spans="1:13" x14ac:dyDescent="0.3">
      <c r="A483" s="1010"/>
      <c r="B483" s="1071" t="str">
        <f>E47</f>
        <v>CIES Line 11</v>
      </c>
      <c r="C483" s="1022">
        <f>L47</f>
        <v>0</v>
      </c>
      <c r="D483" s="1022">
        <f>L48</f>
        <v>0</v>
      </c>
      <c r="E483" s="1023">
        <f>L49</f>
        <v>0</v>
      </c>
      <c r="F483" s="1024">
        <f>L50</f>
        <v>0</v>
      </c>
      <c r="G483" s="1025">
        <f t="shared" si="36"/>
        <v>0</v>
      </c>
      <c r="H483" s="1024">
        <f>O47</f>
        <v>0</v>
      </c>
      <c r="I483" s="1022">
        <f>O48</f>
        <v>0</v>
      </c>
      <c r="J483" s="1022">
        <f>O49</f>
        <v>0</v>
      </c>
      <c r="K483" s="1022">
        <f>O50</f>
        <v>0</v>
      </c>
      <c r="L483" s="1022">
        <f t="shared" si="37"/>
        <v>0</v>
      </c>
      <c r="M483" s="1011"/>
    </row>
    <row r="484" spans="1:13" x14ac:dyDescent="0.3">
      <c r="A484" s="1010"/>
      <c r="B484" s="1071" t="str">
        <f>E51</f>
        <v>CIES Line 12</v>
      </c>
      <c r="C484" s="1022">
        <f>L51</f>
        <v>0</v>
      </c>
      <c r="D484" s="1022">
        <f>L52</f>
        <v>0</v>
      </c>
      <c r="E484" s="1023">
        <f>L53</f>
        <v>0</v>
      </c>
      <c r="F484" s="1024">
        <f>L54</f>
        <v>0</v>
      </c>
      <c r="G484" s="1025">
        <f t="shared" si="36"/>
        <v>0</v>
      </c>
      <c r="H484" s="1024">
        <f>O51</f>
        <v>0</v>
      </c>
      <c r="I484" s="1022">
        <f>O52</f>
        <v>0</v>
      </c>
      <c r="J484" s="1022">
        <f>O53</f>
        <v>0</v>
      </c>
      <c r="K484" s="1022">
        <f>O54</f>
        <v>0</v>
      </c>
      <c r="L484" s="1022">
        <f t="shared" si="37"/>
        <v>0</v>
      </c>
      <c r="M484" s="1011"/>
    </row>
    <row r="485" spans="1:13" x14ac:dyDescent="0.3">
      <c r="A485" s="1010"/>
      <c r="B485" s="1071" t="str">
        <f>E55</f>
        <v>CIES Line 13</v>
      </c>
      <c r="C485" s="1022">
        <f>L55</f>
        <v>0</v>
      </c>
      <c r="D485" s="1022">
        <f>L56</f>
        <v>0</v>
      </c>
      <c r="E485" s="1023">
        <f>L57</f>
        <v>0</v>
      </c>
      <c r="F485" s="1024">
        <f>L58</f>
        <v>0</v>
      </c>
      <c r="G485" s="1025">
        <f t="shared" si="36"/>
        <v>0</v>
      </c>
      <c r="H485" s="1024">
        <f>O55</f>
        <v>0</v>
      </c>
      <c r="I485" s="1022">
        <f>O56</f>
        <v>0</v>
      </c>
      <c r="J485" s="1022">
        <f>O57</f>
        <v>0</v>
      </c>
      <c r="K485" s="1022">
        <f>O58</f>
        <v>0</v>
      </c>
      <c r="L485" s="1022">
        <f t="shared" si="37"/>
        <v>0</v>
      </c>
      <c r="M485" s="1011"/>
    </row>
    <row r="486" spans="1:13" x14ac:dyDescent="0.3">
      <c r="A486" s="1010"/>
      <c r="B486" s="1071" t="str">
        <f>E59</f>
        <v>CIES Line 14</v>
      </c>
      <c r="C486" s="1022">
        <f>L59</f>
        <v>0</v>
      </c>
      <c r="D486" s="1022">
        <f>L60</f>
        <v>0</v>
      </c>
      <c r="E486" s="1023">
        <f>L61</f>
        <v>0</v>
      </c>
      <c r="F486" s="1024">
        <f>L62</f>
        <v>0</v>
      </c>
      <c r="G486" s="1025">
        <f t="shared" si="36"/>
        <v>0</v>
      </c>
      <c r="H486" s="1024">
        <f>O59</f>
        <v>0</v>
      </c>
      <c r="I486" s="1022">
        <f>O60</f>
        <v>0</v>
      </c>
      <c r="J486" s="1022">
        <f>O61</f>
        <v>0</v>
      </c>
      <c r="K486" s="1022">
        <f>O62</f>
        <v>0</v>
      </c>
      <c r="L486" s="1022">
        <f t="shared" si="37"/>
        <v>0</v>
      </c>
      <c r="M486" s="1011"/>
    </row>
    <row r="487" spans="1:13" x14ac:dyDescent="0.3">
      <c r="A487" s="1010"/>
      <c r="B487" s="1071" t="str">
        <f>E63</f>
        <v>CIES Line 15</v>
      </c>
      <c r="C487" s="1022">
        <f>L63</f>
        <v>0</v>
      </c>
      <c r="D487" s="1022">
        <f>L64</f>
        <v>0</v>
      </c>
      <c r="E487" s="1023">
        <f>L65</f>
        <v>0</v>
      </c>
      <c r="F487" s="1024">
        <f>L66</f>
        <v>0</v>
      </c>
      <c r="G487" s="1025">
        <f t="shared" si="36"/>
        <v>0</v>
      </c>
      <c r="H487" s="1024">
        <f>O63</f>
        <v>0</v>
      </c>
      <c r="I487" s="1022">
        <f>O64</f>
        <v>0</v>
      </c>
      <c r="J487" s="1022">
        <f>O65</f>
        <v>0</v>
      </c>
      <c r="K487" s="1022">
        <f>O66</f>
        <v>0</v>
      </c>
      <c r="L487" s="1022">
        <f t="shared" si="37"/>
        <v>0</v>
      </c>
      <c r="M487" s="1011"/>
    </row>
    <row r="488" spans="1:13" x14ac:dyDescent="0.3">
      <c r="A488" s="1010"/>
      <c r="B488" s="1071" t="str">
        <f>E67</f>
        <v>CIES Line 16</v>
      </c>
      <c r="C488" s="1022">
        <f>L67</f>
        <v>0</v>
      </c>
      <c r="D488" s="1022">
        <f>L68</f>
        <v>0</v>
      </c>
      <c r="E488" s="1023">
        <f>L69</f>
        <v>0</v>
      </c>
      <c r="F488" s="1024">
        <f>L70</f>
        <v>0</v>
      </c>
      <c r="G488" s="1025">
        <f t="shared" si="36"/>
        <v>0</v>
      </c>
      <c r="H488" s="1024">
        <f>O67</f>
        <v>0</v>
      </c>
      <c r="I488" s="1022">
        <f>O68</f>
        <v>0</v>
      </c>
      <c r="J488" s="1022">
        <f>O69</f>
        <v>0</v>
      </c>
      <c r="K488" s="1022">
        <f>O70</f>
        <v>0</v>
      </c>
      <c r="L488" s="1022">
        <f t="shared" si="37"/>
        <v>0</v>
      </c>
      <c r="M488" s="1011"/>
    </row>
    <row r="489" spans="1:13" x14ac:dyDescent="0.3">
      <c r="A489" s="1010"/>
      <c r="B489" s="1071" t="str">
        <f>E71</f>
        <v>CIES Line 17</v>
      </c>
      <c r="C489" s="1022">
        <f>L71</f>
        <v>0</v>
      </c>
      <c r="D489" s="1022">
        <f>L72</f>
        <v>0</v>
      </c>
      <c r="E489" s="1023">
        <f>L73</f>
        <v>0</v>
      </c>
      <c r="F489" s="1024">
        <f>L74</f>
        <v>0</v>
      </c>
      <c r="G489" s="1025">
        <f t="shared" si="36"/>
        <v>0</v>
      </c>
      <c r="H489" s="1024">
        <f>O71</f>
        <v>0</v>
      </c>
      <c r="I489" s="1022">
        <f>O72</f>
        <v>0</v>
      </c>
      <c r="J489" s="1022">
        <f>O73</f>
        <v>0</v>
      </c>
      <c r="K489" s="1022">
        <f>O74</f>
        <v>0</v>
      </c>
      <c r="L489" s="1022">
        <f t="shared" si="37"/>
        <v>0</v>
      </c>
      <c r="M489" s="1011"/>
    </row>
    <row r="490" spans="1:13" x14ac:dyDescent="0.3">
      <c r="A490" s="1010"/>
      <c r="B490" s="1071" t="str">
        <f>E75</f>
        <v>CIES Line 18</v>
      </c>
      <c r="C490" s="1022">
        <f>L75</f>
        <v>0</v>
      </c>
      <c r="D490" s="1022">
        <f>L76</f>
        <v>0</v>
      </c>
      <c r="E490" s="1023">
        <f>L77</f>
        <v>0</v>
      </c>
      <c r="F490" s="1024">
        <f>L78</f>
        <v>0</v>
      </c>
      <c r="G490" s="1025">
        <f t="shared" si="36"/>
        <v>0</v>
      </c>
      <c r="H490" s="1024">
        <f>O75</f>
        <v>0</v>
      </c>
      <c r="I490" s="1022">
        <f>O76</f>
        <v>0</v>
      </c>
      <c r="J490" s="1022">
        <f>O77</f>
        <v>0</v>
      </c>
      <c r="K490" s="1022">
        <f>O78</f>
        <v>0</v>
      </c>
      <c r="L490" s="1022">
        <f t="shared" si="37"/>
        <v>0</v>
      </c>
      <c r="M490" s="1011"/>
    </row>
    <row r="491" spans="1:13" x14ac:dyDescent="0.3">
      <c r="A491" s="1010"/>
      <c r="B491" s="1071" t="str">
        <f>E79</f>
        <v>CIES Line 19</v>
      </c>
      <c r="C491" s="1022">
        <f>L79</f>
        <v>0</v>
      </c>
      <c r="D491" s="1022">
        <f>L80</f>
        <v>0</v>
      </c>
      <c r="E491" s="1023">
        <f>L81</f>
        <v>0</v>
      </c>
      <c r="F491" s="1024">
        <f>L82</f>
        <v>0</v>
      </c>
      <c r="G491" s="1025">
        <f t="shared" si="36"/>
        <v>0</v>
      </c>
      <c r="H491" s="1024">
        <f>O79</f>
        <v>0</v>
      </c>
      <c r="I491" s="1022">
        <f>O80</f>
        <v>0</v>
      </c>
      <c r="J491" s="1022">
        <f>O81</f>
        <v>0</v>
      </c>
      <c r="K491" s="1022">
        <f>O82</f>
        <v>0</v>
      </c>
      <c r="L491" s="1022">
        <f t="shared" si="37"/>
        <v>0</v>
      </c>
      <c r="M491" s="1011"/>
    </row>
    <row r="492" spans="1:13" x14ac:dyDescent="0.3">
      <c r="A492" s="1010"/>
      <c r="B492" s="1071" t="str">
        <f>E83</f>
        <v>CIES Line 20</v>
      </c>
      <c r="C492" s="1022">
        <f>L83</f>
        <v>0</v>
      </c>
      <c r="D492" s="1022">
        <f>L84</f>
        <v>0</v>
      </c>
      <c r="E492" s="1023">
        <f>L85</f>
        <v>0</v>
      </c>
      <c r="F492" s="1024">
        <f>L86</f>
        <v>0</v>
      </c>
      <c r="G492" s="1025">
        <f t="shared" si="36"/>
        <v>0</v>
      </c>
      <c r="H492" s="1024">
        <f>O83</f>
        <v>0</v>
      </c>
      <c r="I492" s="1022">
        <f>O84</f>
        <v>0</v>
      </c>
      <c r="J492" s="1022">
        <f>O85</f>
        <v>0</v>
      </c>
      <c r="K492" s="1022">
        <f>O86</f>
        <v>0</v>
      </c>
      <c r="L492" s="1022">
        <f t="shared" si="37"/>
        <v>0</v>
      </c>
      <c r="M492" s="1011"/>
    </row>
    <row r="493" spans="1:13" x14ac:dyDescent="0.3">
      <c r="A493" s="1010"/>
      <c r="B493" s="1071" t="str">
        <f>E87</f>
        <v>CIES Line 21</v>
      </c>
      <c r="C493" s="1022">
        <f>L87</f>
        <v>0</v>
      </c>
      <c r="D493" s="1022">
        <f>L88</f>
        <v>0</v>
      </c>
      <c r="E493" s="1023">
        <f>L89</f>
        <v>0</v>
      </c>
      <c r="F493" s="1024">
        <f>L90</f>
        <v>0</v>
      </c>
      <c r="G493" s="1025">
        <f t="shared" si="36"/>
        <v>0</v>
      </c>
      <c r="H493" s="1024">
        <f>O87</f>
        <v>0</v>
      </c>
      <c r="I493" s="1022">
        <f>O88</f>
        <v>0</v>
      </c>
      <c r="J493" s="1022">
        <f>O89</f>
        <v>0</v>
      </c>
      <c r="K493" s="1022">
        <f>O90</f>
        <v>0</v>
      </c>
      <c r="L493" s="1022">
        <f t="shared" si="37"/>
        <v>0</v>
      </c>
      <c r="M493" s="1011"/>
    </row>
    <row r="494" spans="1:13" x14ac:dyDescent="0.3">
      <c r="A494" s="1010"/>
      <c r="B494" s="1071" t="str">
        <f>E91</f>
        <v>CIES Line 22</v>
      </c>
      <c r="C494" s="1022">
        <f>L91</f>
        <v>0</v>
      </c>
      <c r="D494" s="1022">
        <f>L92</f>
        <v>0</v>
      </c>
      <c r="E494" s="1023">
        <f>L93</f>
        <v>0</v>
      </c>
      <c r="F494" s="1024">
        <f>L94</f>
        <v>0</v>
      </c>
      <c r="G494" s="1025">
        <f t="shared" si="36"/>
        <v>0</v>
      </c>
      <c r="H494" s="1024">
        <f>O91</f>
        <v>0</v>
      </c>
      <c r="I494" s="1022">
        <f>O92</f>
        <v>0</v>
      </c>
      <c r="J494" s="1022">
        <f>O93</f>
        <v>0</v>
      </c>
      <c r="K494" s="1022">
        <f>O94</f>
        <v>0</v>
      </c>
      <c r="L494" s="1022">
        <f t="shared" si="37"/>
        <v>0</v>
      </c>
      <c r="M494" s="1011"/>
    </row>
    <row r="495" spans="1:13" x14ac:dyDescent="0.3">
      <c r="A495" s="1010"/>
      <c r="B495" s="1071" t="str">
        <f>E95</f>
        <v>CIES Line 23</v>
      </c>
      <c r="C495" s="1022">
        <f>L95</f>
        <v>0</v>
      </c>
      <c r="D495" s="1022">
        <f>L96</f>
        <v>0</v>
      </c>
      <c r="E495" s="1023">
        <f>L97</f>
        <v>0</v>
      </c>
      <c r="F495" s="1024">
        <f>L98</f>
        <v>0</v>
      </c>
      <c r="G495" s="1025">
        <f t="shared" si="36"/>
        <v>0</v>
      </c>
      <c r="H495" s="1024">
        <f>O95</f>
        <v>0</v>
      </c>
      <c r="I495" s="1022">
        <f>O96</f>
        <v>0</v>
      </c>
      <c r="J495" s="1022">
        <f>O97</f>
        <v>0</v>
      </c>
      <c r="K495" s="1022">
        <f>O98</f>
        <v>0</v>
      </c>
      <c r="L495" s="1022">
        <f t="shared" si="37"/>
        <v>0</v>
      </c>
      <c r="M495" s="1011"/>
    </row>
    <row r="496" spans="1:13" x14ac:dyDescent="0.3">
      <c r="A496" s="1010"/>
      <c r="B496" s="1071" t="str">
        <f>E99</f>
        <v>CIES Line 24</v>
      </c>
      <c r="C496" s="1022">
        <f>L99</f>
        <v>0</v>
      </c>
      <c r="D496" s="1022">
        <f>L100</f>
        <v>0</v>
      </c>
      <c r="E496" s="1023">
        <f>L101</f>
        <v>0</v>
      </c>
      <c r="F496" s="1024">
        <f>L102</f>
        <v>0</v>
      </c>
      <c r="G496" s="1025">
        <f t="shared" si="36"/>
        <v>0</v>
      </c>
      <c r="H496" s="1024">
        <f>O99</f>
        <v>0</v>
      </c>
      <c r="I496" s="1022">
        <f>O100</f>
        <v>0</v>
      </c>
      <c r="J496" s="1022">
        <f>O101</f>
        <v>0</v>
      </c>
      <c r="K496" s="1022">
        <f>O102</f>
        <v>0</v>
      </c>
      <c r="L496" s="1022">
        <f t="shared" si="37"/>
        <v>0</v>
      </c>
      <c r="M496" s="1011"/>
    </row>
    <row r="497" spans="1:13" x14ac:dyDescent="0.3">
      <c r="A497" s="1010"/>
      <c r="B497" s="1071" t="str">
        <f>E103</f>
        <v>CIES Line 25</v>
      </c>
      <c r="C497" s="1022">
        <f>L103</f>
        <v>0</v>
      </c>
      <c r="D497" s="1022">
        <f>L104</f>
        <v>0</v>
      </c>
      <c r="E497" s="1023">
        <f>L105</f>
        <v>0</v>
      </c>
      <c r="F497" s="1024">
        <f>L106</f>
        <v>0</v>
      </c>
      <c r="G497" s="1025">
        <f t="shared" si="36"/>
        <v>0</v>
      </c>
      <c r="H497" s="1024">
        <f>O103</f>
        <v>0</v>
      </c>
      <c r="I497" s="1022">
        <f>O104</f>
        <v>0</v>
      </c>
      <c r="J497" s="1022">
        <f>O105</f>
        <v>0</v>
      </c>
      <c r="K497" s="1022">
        <f>O106</f>
        <v>0</v>
      </c>
      <c r="L497" s="1022">
        <f t="shared" si="37"/>
        <v>0</v>
      </c>
      <c r="M497" s="1011"/>
    </row>
    <row r="498" spans="1:13" x14ac:dyDescent="0.3">
      <c r="A498" s="1010"/>
      <c r="B498" s="1071" t="str">
        <f>E107</f>
        <v>CIES Line 26</v>
      </c>
      <c r="C498" s="1022">
        <f>L107</f>
        <v>0</v>
      </c>
      <c r="D498" s="1022">
        <f>L108</f>
        <v>0</v>
      </c>
      <c r="E498" s="1023">
        <f>L109</f>
        <v>0</v>
      </c>
      <c r="F498" s="1024">
        <f>L110</f>
        <v>0</v>
      </c>
      <c r="G498" s="1025">
        <f t="shared" si="36"/>
        <v>0</v>
      </c>
      <c r="H498" s="1024">
        <f>O107</f>
        <v>0</v>
      </c>
      <c r="I498" s="1022">
        <f>O108</f>
        <v>0</v>
      </c>
      <c r="J498" s="1022">
        <f>O109</f>
        <v>0</v>
      </c>
      <c r="K498" s="1022">
        <f>O110</f>
        <v>0</v>
      </c>
      <c r="L498" s="1022">
        <f t="shared" si="37"/>
        <v>0</v>
      </c>
      <c r="M498" s="1011"/>
    </row>
    <row r="499" spans="1:13" x14ac:dyDescent="0.3">
      <c r="A499" s="1010"/>
      <c r="B499" s="1071" t="str">
        <f>E111</f>
        <v>CIES Line 27</v>
      </c>
      <c r="C499" s="1022">
        <f>L111</f>
        <v>0</v>
      </c>
      <c r="D499" s="1022">
        <f>L112</f>
        <v>0</v>
      </c>
      <c r="E499" s="1023">
        <f>L113</f>
        <v>0</v>
      </c>
      <c r="F499" s="1024">
        <f>L114</f>
        <v>0</v>
      </c>
      <c r="G499" s="1025">
        <f t="shared" si="36"/>
        <v>0</v>
      </c>
      <c r="H499" s="1024">
        <f>O111</f>
        <v>0</v>
      </c>
      <c r="I499" s="1022">
        <f>O112</f>
        <v>0</v>
      </c>
      <c r="J499" s="1022">
        <f>O113</f>
        <v>0</v>
      </c>
      <c r="K499" s="1022">
        <f>O114</f>
        <v>0</v>
      </c>
      <c r="L499" s="1022">
        <f t="shared" si="37"/>
        <v>0</v>
      </c>
      <c r="M499" s="1011"/>
    </row>
    <row r="500" spans="1:13" x14ac:dyDescent="0.3">
      <c r="A500" s="1010"/>
      <c r="B500" s="1071" t="str">
        <f>E115</f>
        <v>CIES Line 28</v>
      </c>
      <c r="C500" s="1022">
        <f>L115</f>
        <v>0</v>
      </c>
      <c r="D500" s="1022">
        <f>L116</f>
        <v>0</v>
      </c>
      <c r="E500" s="1023">
        <f>L117</f>
        <v>0</v>
      </c>
      <c r="F500" s="1024">
        <f>L118</f>
        <v>0</v>
      </c>
      <c r="G500" s="1025">
        <f t="shared" si="36"/>
        <v>0</v>
      </c>
      <c r="H500" s="1024">
        <f>O115</f>
        <v>0</v>
      </c>
      <c r="I500" s="1022">
        <f>O116</f>
        <v>0</v>
      </c>
      <c r="J500" s="1022">
        <f>O117</f>
        <v>0</v>
      </c>
      <c r="K500" s="1022">
        <f>O118</f>
        <v>0</v>
      </c>
      <c r="L500" s="1022">
        <f t="shared" si="37"/>
        <v>0</v>
      </c>
      <c r="M500" s="1011"/>
    </row>
    <row r="501" spans="1:13" x14ac:dyDescent="0.3">
      <c r="A501" s="1010"/>
      <c r="B501" s="1071" t="str">
        <f>E119</f>
        <v>CIES Line 29</v>
      </c>
      <c r="C501" s="1022">
        <f>L119</f>
        <v>0</v>
      </c>
      <c r="D501" s="1022">
        <f>L120</f>
        <v>0</v>
      </c>
      <c r="E501" s="1023">
        <f>L121</f>
        <v>0</v>
      </c>
      <c r="F501" s="1024">
        <f>L122</f>
        <v>0</v>
      </c>
      <c r="G501" s="1025">
        <f t="shared" si="36"/>
        <v>0</v>
      </c>
      <c r="H501" s="1024">
        <f>O119</f>
        <v>0</v>
      </c>
      <c r="I501" s="1022">
        <f>O120</f>
        <v>0</v>
      </c>
      <c r="J501" s="1022">
        <f>O121</f>
        <v>0</v>
      </c>
      <c r="K501" s="1022">
        <f>O122</f>
        <v>0</v>
      </c>
      <c r="L501" s="1022">
        <f t="shared" si="37"/>
        <v>0</v>
      </c>
      <c r="M501" s="1011"/>
    </row>
    <row r="502" spans="1:13" x14ac:dyDescent="0.3">
      <c r="A502" s="1010"/>
      <c r="B502" s="1071" t="str">
        <f>E123</f>
        <v>CIES Line 30</v>
      </c>
      <c r="C502" s="1022">
        <f>L123</f>
        <v>0</v>
      </c>
      <c r="D502" s="1022">
        <f>L124</f>
        <v>0</v>
      </c>
      <c r="E502" s="1023">
        <f>L125</f>
        <v>0</v>
      </c>
      <c r="F502" s="1024">
        <f>L126</f>
        <v>0</v>
      </c>
      <c r="G502" s="1025">
        <f t="shared" si="36"/>
        <v>0</v>
      </c>
      <c r="H502" s="1024">
        <f>O123</f>
        <v>0</v>
      </c>
      <c r="I502" s="1022">
        <f>O124</f>
        <v>0</v>
      </c>
      <c r="J502" s="1022">
        <f>O125</f>
        <v>0</v>
      </c>
      <c r="K502" s="1022">
        <f>O126</f>
        <v>0</v>
      </c>
      <c r="L502" s="1022">
        <f t="shared" si="37"/>
        <v>0</v>
      </c>
      <c r="M502" s="1011"/>
    </row>
    <row r="503" spans="1:13" x14ac:dyDescent="0.3">
      <c r="A503" s="1010"/>
      <c r="B503" s="1071" t="str">
        <f>E127</f>
        <v>CIES Line 31</v>
      </c>
      <c r="C503" s="1022">
        <f>L127</f>
        <v>0</v>
      </c>
      <c r="D503" s="1022">
        <f>L128</f>
        <v>0</v>
      </c>
      <c r="E503" s="1023">
        <f>L129</f>
        <v>0</v>
      </c>
      <c r="F503" s="1024">
        <f>L130</f>
        <v>0</v>
      </c>
      <c r="G503" s="1025">
        <f t="shared" si="36"/>
        <v>0</v>
      </c>
      <c r="H503" s="1024">
        <f>O127</f>
        <v>0</v>
      </c>
      <c r="I503" s="1022">
        <f>O128</f>
        <v>0</v>
      </c>
      <c r="J503" s="1022">
        <f>O129</f>
        <v>0</v>
      </c>
      <c r="K503" s="1022">
        <f>O130</f>
        <v>0</v>
      </c>
      <c r="L503" s="1022">
        <f t="shared" si="37"/>
        <v>0</v>
      </c>
      <c r="M503" s="1011"/>
    </row>
    <row r="504" spans="1:13" x14ac:dyDescent="0.3">
      <c r="A504" s="1010"/>
      <c r="B504" s="1071" t="str">
        <f>E131</f>
        <v>CIES Line 32</v>
      </c>
      <c r="C504" s="1022">
        <f>L131</f>
        <v>0</v>
      </c>
      <c r="D504" s="1022">
        <f>L132</f>
        <v>0</v>
      </c>
      <c r="E504" s="1023">
        <f>L133</f>
        <v>0</v>
      </c>
      <c r="F504" s="1024">
        <f>L134</f>
        <v>0</v>
      </c>
      <c r="G504" s="1025">
        <f t="shared" si="36"/>
        <v>0</v>
      </c>
      <c r="H504" s="1024">
        <f>O131</f>
        <v>0</v>
      </c>
      <c r="I504" s="1022">
        <f>O132</f>
        <v>0</v>
      </c>
      <c r="J504" s="1022">
        <f>O133</f>
        <v>0</v>
      </c>
      <c r="K504" s="1022">
        <f>O134</f>
        <v>0</v>
      </c>
      <c r="L504" s="1022">
        <f t="shared" si="37"/>
        <v>0</v>
      </c>
      <c r="M504" s="1011"/>
    </row>
    <row r="505" spans="1:13" x14ac:dyDescent="0.3">
      <c r="A505" s="1010"/>
      <c r="B505" s="1071" t="str">
        <f>E135</f>
        <v>CIES Line 33</v>
      </c>
      <c r="C505" s="1022">
        <f>L135</f>
        <v>0</v>
      </c>
      <c r="D505" s="1022">
        <f>L136</f>
        <v>0</v>
      </c>
      <c r="E505" s="1023">
        <f>L137</f>
        <v>0</v>
      </c>
      <c r="F505" s="1024">
        <f>L138</f>
        <v>0</v>
      </c>
      <c r="G505" s="1025">
        <f t="shared" si="36"/>
        <v>0</v>
      </c>
      <c r="H505" s="1024">
        <f>O135</f>
        <v>0</v>
      </c>
      <c r="I505" s="1022">
        <f>O136</f>
        <v>0</v>
      </c>
      <c r="J505" s="1022">
        <f>O137</f>
        <v>0</v>
      </c>
      <c r="K505" s="1022">
        <f>O138</f>
        <v>0</v>
      </c>
      <c r="L505" s="1022">
        <f t="shared" si="37"/>
        <v>0</v>
      </c>
      <c r="M505" s="1011"/>
    </row>
    <row r="506" spans="1:13" x14ac:dyDescent="0.3">
      <c r="A506" s="1010"/>
      <c r="B506" s="1071" t="str">
        <f>E139</f>
        <v>CIES Line 34</v>
      </c>
      <c r="C506" s="1022">
        <f>L139</f>
        <v>0</v>
      </c>
      <c r="D506" s="1022">
        <f>L140</f>
        <v>0</v>
      </c>
      <c r="E506" s="1023">
        <f>L141</f>
        <v>0</v>
      </c>
      <c r="F506" s="1024">
        <f>L142</f>
        <v>0</v>
      </c>
      <c r="G506" s="1025">
        <f t="shared" si="36"/>
        <v>0</v>
      </c>
      <c r="H506" s="1024">
        <f>O139</f>
        <v>0</v>
      </c>
      <c r="I506" s="1022">
        <f>O140</f>
        <v>0</v>
      </c>
      <c r="J506" s="1022">
        <f>O141</f>
        <v>0</v>
      </c>
      <c r="K506" s="1022">
        <f>O142</f>
        <v>0</v>
      </c>
      <c r="L506" s="1022">
        <f t="shared" si="37"/>
        <v>0</v>
      </c>
      <c r="M506" s="1011"/>
    </row>
    <row r="507" spans="1:13" x14ac:dyDescent="0.3">
      <c r="A507" s="1010"/>
      <c r="B507" s="1071" t="str">
        <f>E143</f>
        <v>CIES Line 35</v>
      </c>
      <c r="C507" s="1022">
        <f>L143</f>
        <v>0</v>
      </c>
      <c r="D507" s="1022">
        <f>L144</f>
        <v>0</v>
      </c>
      <c r="E507" s="1023">
        <f>L145</f>
        <v>0</v>
      </c>
      <c r="F507" s="1024">
        <f>L146</f>
        <v>0</v>
      </c>
      <c r="G507" s="1025">
        <f t="shared" si="36"/>
        <v>0</v>
      </c>
      <c r="H507" s="1024">
        <f>O143</f>
        <v>0</v>
      </c>
      <c r="I507" s="1022">
        <f>O144</f>
        <v>0</v>
      </c>
      <c r="J507" s="1022">
        <f>O145</f>
        <v>0</v>
      </c>
      <c r="K507" s="1022">
        <f>O146</f>
        <v>0</v>
      </c>
      <c r="L507" s="1022">
        <f t="shared" si="37"/>
        <v>0</v>
      </c>
      <c r="M507" s="1011"/>
    </row>
    <row r="508" spans="1:13" ht="14.4" thickBot="1" x14ac:dyDescent="0.35">
      <c r="A508" s="1012"/>
      <c r="B508" s="1072"/>
      <c r="C508" s="1013"/>
      <c r="D508" s="1013"/>
      <c r="E508" s="1014"/>
      <c r="F508" s="1015"/>
      <c r="G508" s="1015"/>
      <c r="H508" s="1015"/>
      <c r="I508" s="1013"/>
      <c r="J508" s="1013"/>
      <c r="K508" s="1013"/>
      <c r="L508" s="1013"/>
      <c r="M508" s="1016"/>
    </row>
    <row r="509" spans="1:13" ht="14.4" thickTop="1" x14ac:dyDescent="0.3"/>
  </sheetData>
  <mergeCells count="4">
    <mergeCell ref="C470:G470"/>
    <mergeCell ref="H470:L470"/>
    <mergeCell ref="J5:K5"/>
    <mergeCell ref="M5:N5"/>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L161"/>
  <sheetViews>
    <sheetView zoomScale="70" zoomScaleNormal="70" workbookViewId="0">
      <pane xSplit="1" ySplit="1" topLeftCell="E6" activePane="bottomRight" state="frozen"/>
      <selection activeCell="B2" sqref="B2:G2"/>
      <selection pane="topRight" activeCell="B2" sqref="B2:G2"/>
      <selection pane="bottomLeft" activeCell="B2" sqref="B2:G2"/>
      <selection pane="bottomRight" activeCell="H9" sqref="H9:J9"/>
    </sheetView>
  </sheetViews>
  <sheetFormatPr defaultColWidth="9.109375" defaultRowHeight="13.8" x14ac:dyDescent="0.3"/>
  <cols>
    <col min="1" max="1" width="9.109375" style="31"/>
    <col min="2" max="2" width="21" style="47" customWidth="1"/>
    <col min="3" max="3" width="34.33203125" style="47" customWidth="1"/>
    <col min="4" max="4" width="29.88671875" style="47" bestFit="1" customWidth="1"/>
    <col min="5" max="5" width="23.44140625" style="47" customWidth="1"/>
    <col min="6" max="6" width="14.5546875" style="47" customWidth="1"/>
    <col min="7" max="7" width="13.5546875" style="31" customWidth="1"/>
    <col min="8" max="8" width="47.5546875" style="47" customWidth="1"/>
    <col min="9" max="9" width="42.5546875" style="31" customWidth="1"/>
    <col min="10" max="10" width="41" style="31" customWidth="1"/>
    <col min="11" max="16384" width="9.109375" style="31"/>
  </cols>
  <sheetData>
    <row r="1" spans="1:11" s="126" customFormat="1" ht="64.2" thickTop="1" thickBot="1" x14ac:dyDescent="0.35">
      <c r="A1" s="390" t="s">
        <v>474</v>
      </c>
      <c r="B1" s="1253" t="s">
        <v>440</v>
      </c>
      <c r="C1" s="390" t="s">
        <v>441</v>
      </c>
      <c r="D1" s="390" t="s">
        <v>442</v>
      </c>
      <c r="E1" s="390" t="s">
        <v>443</v>
      </c>
      <c r="F1" s="390" t="s">
        <v>1254</v>
      </c>
      <c r="G1" s="1092" t="s">
        <v>1589</v>
      </c>
      <c r="H1" s="1254" t="str">
        <f>'Standing Data'!D34</f>
        <v>2025/26</v>
      </c>
      <c r="I1" s="1255" t="str">
        <f>'Standing Data'!D52</f>
        <v>2024/25</v>
      </c>
      <c r="J1" s="1256" t="str">
        <f>'Standing Data'!D56</f>
        <v>2023/24</v>
      </c>
    </row>
    <row r="2" spans="1:11" s="126" customFormat="1" ht="104.25" customHeight="1" thickTop="1" x14ac:dyDescent="0.3">
      <c r="A2" s="1093"/>
      <c r="B2" s="1295" t="s">
        <v>237</v>
      </c>
      <c r="C2" s="1093"/>
      <c r="D2" s="1093"/>
      <c r="E2" s="1093"/>
      <c r="F2" s="1093">
        <v>1</v>
      </c>
      <c r="G2" s="1094"/>
      <c r="H2" s="1300" t="s">
        <v>2337</v>
      </c>
      <c r="I2" s="1301"/>
      <c r="J2" s="1302"/>
    </row>
    <row r="3" spans="1:11" s="126" customFormat="1" ht="140.25" customHeight="1" x14ac:dyDescent="0.3">
      <c r="A3" s="1095"/>
      <c r="B3" s="1296" t="s">
        <v>235</v>
      </c>
      <c r="C3" s="1095"/>
      <c r="D3" s="1095"/>
      <c r="E3" s="1095"/>
      <c r="F3" s="1095">
        <v>1</v>
      </c>
      <c r="G3" s="1096"/>
      <c r="H3" s="1297" t="s">
        <v>2901</v>
      </c>
      <c r="I3" s="1298"/>
      <c r="J3" s="1299"/>
    </row>
    <row r="4" spans="1:11" s="126" customFormat="1" ht="189" customHeight="1" x14ac:dyDescent="0.3">
      <c r="A4" s="1095"/>
      <c r="B4" s="1296" t="s">
        <v>239</v>
      </c>
      <c r="C4" s="1095"/>
      <c r="D4" s="1095"/>
      <c r="E4" s="1095"/>
      <c r="F4" s="1095">
        <v>1</v>
      </c>
      <c r="G4" s="1096"/>
      <c r="H4" s="1297" t="s">
        <v>2902</v>
      </c>
      <c r="I4" s="1298"/>
      <c r="J4" s="1299"/>
    </row>
    <row r="5" spans="1:11" s="126" customFormat="1" ht="159.75" customHeight="1" x14ac:dyDescent="0.3">
      <c r="A5" s="1097"/>
      <c r="B5" s="1296" t="s">
        <v>241</v>
      </c>
      <c r="C5" s="1090"/>
      <c r="D5" s="1090"/>
      <c r="E5" s="1090"/>
      <c r="F5" s="1090">
        <v>1</v>
      </c>
      <c r="G5" s="1091"/>
      <c r="H5" s="1297" t="s">
        <v>2903</v>
      </c>
      <c r="I5" s="1298"/>
      <c r="J5" s="1299"/>
    </row>
    <row r="6" spans="1:11" ht="102" customHeight="1" x14ac:dyDescent="0.3">
      <c r="A6" s="147">
        <v>1</v>
      </c>
      <c r="B6" s="1296" t="s">
        <v>243</v>
      </c>
      <c r="C6" s="1296" t="s">
        <v>1133</v>
      </c>
      <c r="D6" s="1296" t="s">
        <v>1133</v>
      </c>
      <c r="E6" s="1045" t="s">
        <v>1133</v>
      </c>
      <c r="F6" s="1045">
        <v>1</v>
      </c>
      <c r="G6" s="1054"/>
      <c r="H6" s="1297" t="s">
        <v>3104</v>
      </c>
      <c r="I6" s="1298"/>
      <c r="J6" s="1299"/>
    </row>
    <row r="7" spans="1:11" ht="79.05" customHeight="1" x14ac:dyDescent="0.3">
      <c r="A7" s="391">
        <v>1</v>
      </c>
      <c r="B7" s="1296"/>
      <c r="C7" s="1296"/>
      <c r="D7" s="1296"/>
      <c r="E7" s="1045" t="s">
        <v>1133</v>
      </c>
      <c r="F7" s="1045">
        <v>1</v>
      </c>
      <c r="G7" s="1054"/>
      <c r="H7" s="1297" t="s">
        <v>3183</v>
      </c>
      <c r="I7" s="1298"/>
      <c r="J7" s="1299"/>
    </row>
    <row r="8" spans="1:11" ht="42" customHeight="1" x14ac:dyDescent="0.3">
      <c r="A8" s="391">
        <v>1</v>
      </c>
      <c r="B8" s="1310" t="s">
        <v>243</v>
      </c>
      <c r="C8" s="1310" t="s">
        <v>3003</v>
      </c>
      <c r="D8" s="1310" t="s">
        <v>183</v>
      </c>
      <c r="E8" s="127" t="s">
        <v>1134</v>
      </c>
      <c r="F8" s="127">
        <v>1</v>
      </c>
      <c r="G8" s="128"/>
      <c r="H8" s="1297" t="s">
        <v>2252</v>
      </c>
      <c r="I8" s="1298"/>
      <c r="J8" s="1299"/>
    </row>
    <row r="9" spans="1:11" ht="65.25" customHeight="1" x14ac:dyDescent="0.3">
      <c r="A9" s="1054"/>
      <c r="B9" s="1296"/>
      <c r="C9" s="1296"/>
      <c r="D9" s="1296"/>
      <c r="E9" s="127" t="s">
        <v>1135</v>
      </c>
      <c r="F9" s="1045">
        <v>1</v>
      </c>
      <c r="G9" s="1054"/>
      <c r="H9" s="1303" t="s">
        <v>2253</v>
      </c>
      <c r="I9" s="1304"/>
      <c r="J9" s="1305"/>
    </row>
    <row r="10" spans="1:11" ht="43.05" customHeight="1" x14ac:dyDescent="0.3">
      <c r="A10" s="391">
        <v>1</v>
      </c>
      <c r="B10" s="1310"/>
      <c r="C10" s="1310"/>
      <c r="D10" s="1310"/>
      <c r="E10" s="127" t="s">
        <v>1136</v>
      </c>
      <c r="F10" s="127">
        <v>1</v>
      </c>
      <c r="G10" s="128"/>
      <c r="H10" s="1297" t="s">
        <v>1138</v>
      </c>
      <c r="I10" s="1298"/>
      <c r="J10" s="1299"/>
    </row>
    <row r="11" spans="1:11" ht="45" customHeight="1" x14ac:dyDescent="0.3">
      <c r="A11" s="391">
        <v>1</v>
      </c>
      <c r="B11" s="1310"/>
      <c r="C11" s="1310"/>
      <c r="D11" s="1310"/>
      <c r="E11" s="127" t="s">
        <v>1137</v>
      </c>
      <c r="F11" s="127">
        <v>1</v>
      </c>
      <c r="G11" s="128"/>
      <c r="H11" s="1297" t="s">
        <v>1139</v>
      </c>
      <c r="I11" s="1298"/>
      <c r="J11" s="1299"/>
    </row>
    <row r="12" spans="1:11" ht="60" customHeight="1" x14ac:dyDescent="0.3">
      <c r="A12" s="391">
        <v>1</v>
      </c>
      <c r="B12" s="1310"/>
      <c r="C12" s="1310"/>
      <c r="D12" s="1310"/>
      <c r="E12" s="127" t="s">
        <v>1140</v>
      </c>
      <c r="F12" s="127">
        <v>1</v>
      </c>
      <c r="G12" s="128"/>
      <c r="H12" s="1297" t="s">
        <v>2254</v>
      </c>
      <c r="I12" s="1298"/>
      <c r="J12" s="1299"/>
    </row>
    <row r="13" spans="1:11" ht="81" customHeight="1" x14ac:dyDescent="0.3">
      <c r="A13" s="391">
        <v>1</v>
      </c>
      <c r="B13" s="1310"/>
      <c r="C13" s="1310"/>
      <c r="D13" s="1310"/>
      <c r="E13" s="127" t="s">
        <v>1141</v>
      </c>
      <c r="F13" s="127">
        <v>1</v>
      </c>
      <c r="G13" s="128"/>
      <c r="H13" s="1297" t="s">
        <v>1142</v>
      </c>
      <c r="I13" s="1298"/>
      <c r="J13" s="1299"/>
    </row>
    <row r="14" spans="1:11" ht="43.05" customHeight="1" x14ac:dyDescent="0.3">
      <c r="A14" s="391">
        <v>1</v>
      </c>
      <c r="B14" s="1306" t="s">
        <v>243</v>
      </c>
      <c r="C14" s="1306" t="s">
        <v>3003</v>
      </c>
      <c r="D14" s="1306" t="s">
        <v>2256</v>
      </c>
      <c r="E14" s="127" t="s">
        <v>2255</v>
      </c>
      <c r="F14" s="128">
        <v>1</v>
      </c>
      <c r="G14" s="128"/>
      <c r="H14" s="1297" t="s">
        <v>2257</v>
      </c>
      <c r="I14" s="1298"/>
      <c r="J14" s="1299"/>
      <c r="K14" s="75"/>
    </row>
    <row r="15" spans="1:11" ht="45.6" customHeight="1" x14ac:dyDescent="0.3">
      <c r="A15" s="1054"/>
      <c r="B15" s="1307"/>
      <c r="C15" s="1307"/>
      <c r="D15" s="1307"/>
      <c r="E15" s="1045" t="s">
        <v>1144</v>
      </c>
      <c r="F15" s="1054">
        <v>1</v>
      </c>
      <c r="G15" s="1054"/>
      <c r="H15" s="1297" t="s">
        <v>2258</v>
      </c>
      <c r="I15" s="1298"/>
      <c r="J15" s="1299"/>
      <c r="K15" s="75"/>
    </row>
    <row r="16" spans="1:11" ht="195" customHeight="1" x14ac:dyDescent="0.3">
      <c r="A16" s="391">
        <v>1</v>
      </c>
      <c r="B16" s="127" t="s">
        <v>243</v>
      </c>
      <c r="C16" s="127" t="s">
        <v>3003</v>
      </c>
      <c r="D16" s="127" t="s">
        <v>1143</v>
      </c>
      <c r="E16" s="127" t="s">
        <v>1143</v>
      </c>
      <c r="F16" s="127">
        <v>1</v>
      </c>
      <c r="G16" s="128"/>
      <c r="H16" s="1297" t="s">
        <v>2782</v>
      </c>
      <c r="I16" s="1298"/>
      <c r="J16" s="1299"/>
      <c r="K16" s="75"/>
    </row>
    <row r="17" spans="1:12" ht="137.55000000000001" customHeight="1" x14ac:dyDescent="0.3">
      <c r="A17" s="391">
        <v>1</v>
      </c>
      <c r="B17" s="1310" t="s">
        <v>243</v>
      </c>
      <c r="C17" s="1310" t="s">
        <v>3003</v>
      </c>
      <c r="D17" s="1310" t="s">
        <v>382</v>
      </c>
      <c r="E17" s="127" t="s">
        <v>382</v>
      </c>
      <c r="F17" s="127">
        <v>1</v>
      </c>
      <c r="G17" s="128"/>
      <c r="H17" s="1297" t="s">
        <v>2259</v>
      </c>
      <c r="I17" s="1298"/>
      <c r="J17" s="1299"/>
      <c r="L17" s="75" t="s">
        <v>2288</v>
      </c>
    </row>
    <row r="18" spans="1:12" ht="46.5" customHeight="1" x14ac:dyDescent="0.3">
      <c r="A18" s="391">
        <v>1</v>
      </c>
      <c r="B18" s="1310"/>
      <c r="C18" s="1310"/>
      <c r="D18" s="1310"/>
      <c r="E18" s="127" t="s">
        <v>382</v>
      </c>
      <c r="F18" s="127">
        <v>1</v>
      </c>
      <c r="G18" s="128"/>
      <c r="H18" s="1297" t="s">
        <v>1466</v>
      </c>
      <c r="I18" s="1298"/>
      <c r="J18" s="1299"/>
    </row>
    <row r="19" spans="1:12" ht="65.099999999999994" customHeight="1" x14ac:dyDescent="0.3">
      <c r="A19" s="391">
        <v>1</v>
      </c>
      <c r="B19" s="1310" t="s">
        <v>243</v>
      </c>
      <c r="C19" s="1310" t="s">
        <v>3003</v>
      </c>
      <c r="D19" s="1310" t="s">
        <v>184</v>
      </c>
      <c r="E19" s="127" t="s">
        <v>184</v>
      </c>
      <c r="F19" s="127">
        <v>1</v>
      </c>
      <c r="G19" s="128"/>
      <c r="H19" s="1297" t="s">
        <v>2328</v>
      </c>
      <c r="I19" s="1298"/>
      <c r="J19" s="1299"/>
      <c r="L19" s="75" t="s">
        <v>2288</v>
      </c>
    </row>
    <row r="20" spans="1:12" ht="40.5" customHeight="1" x14ac:dyDescent="0.3">
      <c r="A20" s="391">
        <v>1</v>
      </c>
      <c r="B20" s="1310"/>
      <c r="C20" s="1310"/>
      <c r="D20" s="1310"/>
      <c r="E20" s="127" t="s">
        <v>184</v>
      </c>
      <c r="F20" s="127">
        <v>1</v>
      </c>
      <c r="G20" s="128"/>
      <c r="H20" s="1308" t="s">
        <v>2329</v>
      </c>
      <c r="I20" s="1308"/>
      <c r="J20" s="1309"/>
    </row>
    <row r="21" spans="1:12" ht="102.6" customHeight="1" x14ac:dyDescent="0.3">
      <c r="A21" s="391">
        <v>1</v>
      </c>
      <c r="B21" s="1310" t="s">
        <v>243</v>
      </c>
      <c r="C21" s="1310" t="s">
        <v>3003</v>
      </c>
      <c r="D21" s="1310" t="s">
        <v>185</v>
      </c>
      <c r="E21" s="127" t="s">
        <v>185</v>
      </c>
      <c r="F21" s="127">
        <v>1</v>
      </c>
      <c r="G21" s="128"/>
      <c r="H21" s="1308" t="s">
        <v>2326</v>
      </c>
      <c r="I21" s="1308"/>
      <c r="J21" s="1309"/>
      <c r="L21" s="75" t="s">
        <v>2288</v>
      </c>
    </row>
    <row r="22" spans="1:12" ht="49.5" customHeight="1" x14ac:dyDescent="0.3">
      <c r="A22" s="391">
        <v>1</v>
      </c>
      <c r="B22" s="1310"/>
      <c r="C22" s="1310"/>
      <c r="D22" s="1310"/>
      <c r="E22" s="127" t="s">
        <v>185</v>
      </c>
      <c r="F22" s="127">
        <v>1</v>
      </c>
      <c r="G22" s="128"/>
      <c r="H22" s="1308" t="s">
        <v>2327</v>
      </c>
      <c r="I22" s="1308"/>
      <c r="J22" s="1309"/>
    </row>
    <row r="23" spans="1:12" ht="187.05" customHeight="1" x14ac:dyDescent="0.3">
      <c r="A23" s="391">
        <v>1</v>
      </c>
      <c r="B23" s="1310" t="s">
        <v>243</v>
      </c>
      <c r="C23" s="1310" t="s">
        <v>3003</v>
      </c>
      <c r="D23" s="1310" t="s">
        <v>1145</v>
      </c>
      <c r="E23" s="127" t="s">
        <v>2265</v>
      </c>
      <c r="F23" s="127">
        <v>1</v>
      </c>
      <c r="G23" s="128"/>
      <c r="H23" s="1308" t="s">
        <v>2904</v>
      </c>
      <c r="I23" s="1308"/>
      <c r="J23" s="1309"/>
      <c r="L23" s="75" t="s">
        <v>2262</v>
      </c>
    </row>
    <row r="24" spans="1:12" ht="212.1" customHeight="1" x14ac:dyDescent="0.3">
      <c r="A24" s="391">
        <v>1</v>
      </c>
      <c r="B24" s="1310"/>
      <c r="C24" s="1310"/>
      <c r="D24" s="1310"/>
      <c r="E24" s="127" t="s">
        <v>186</v>
      </c>
      <c r="F24" s="127">
        <v>1</v>
      </c>
      <c r="G24" s="128"/>
      <c r="H24" s="1308" t="s">
        <v>2266</v>
      </c>
      <c r="I24" s="1308"/>
      <c r="J24" s="1309"/>
    </row>
    <row r="25" spans="1:12" ht="123" customHeight="1" x14ac:dyDescent="0.3">
      <c r="A25" s="391">
        <v>1</v>
      </c>
      <c r="B25" s="1310"/>
      <c r="C25" s="1310"/>
      <c r="D25" s="1310"/>
      <c r="E25" s="127" t="s">
        <v>186</v>
      </c>
      <c r="F25" s="127">
        <v>1</v>
      </c>
      <c r="G25" s="128"/>
      <c r="H25" s="1308" t="s">
        <v>187</v>
      </c>
      <c r="I25" s="1308"/>
      <c r="J25" s="1309"/>
    </row>
    <row r="26" spans="1:12" ht="60.75" customHeight="1" x14ac:dyDescent="0.3">
      <c r="A26" s="391">
        <v>1</v>
      </c>
      <c r="B26" s="1310"/>
      <c r="C26" s="1310"/>
      <c r="D26" s="1310"/>
      <c r="E26" s="127" t="s">
        <v>188</v>
      </c>
      <c r="F26" s="127">
        <v>1</v>
      </c>
      <c r="G26" s="128"/>
      <c r="H26" s="1308" t="s">
        <v>189</v>
      </c>
      <c r="I26" s="1308"/>
      <c r="J26" s="1309"/>
    </row>
    <row r="27" spans="1:12" ht="151.94999999999999" customHeight="1" x14ac:dyDescent="0.3">
      <c r="A27" s="391">
        <v>1</v>
      </c>
      <c r="B27" s="1310"/>
      <c r="C27" s="1310"/>
      <c r="D27" s="1310"/>
      <c r="E27" s="127" t="s">
        <v>190</v>
      </c>
      <c r="F27" s="127">
        <v>1</v>
      </c>
      <c r="G27" s="128"/>
      <c r="H27" s="1308" t="s">
        <v>2905</v>
      </c>
      <c r="I27" s="1308"/>
      <c r="J27" s="1309"/>
    </row>
    <row r="28" spans="1:12" ht="44.55" customHeight="1" x14ac:dyDescent="0.3">
      <c r="A28" s="391">
        <v>1</v>
      </c>
      <c r="B28" s="1310"/>
      <c r="C28" s="1310"/>
      <c r="D28" s="1310"/>
      <c r="E28" s="127" t="s">
        <v>190</v>
      </c>
      <c r="F28" s="127">
        <v>1</v>
      </c>
      <c r="G28" s="128"/>
      <c r="H28" s="1308" t="s">
        <v>2216</v>
      </c>
      <c r="I28" s="1308"/>
      <c r="J28" s="1309"/>
    </row>
    <row r="29" spans="1:12" ht="152.25" customHeight="1" x14ac:dyDescent="0.3">
      <c r="A29" s="391">
        <v>1</v>
      </c>
      <c r="B29" s="1310"/>
      <c r="C29" s="1310"/>
      <c r="D29" s="1310"/>
      <c r="E29" s="127" t="s">
        <v>190</v>
      </c>
      <c r="F29" s="127">
        <v>1</v>
      </c>
      <c r="G29" s="128"/>
      <c r="H29" s="1308" t="s">
        <v>1255</v>
      </c>
      <c r="I29" s="1308"/>
      <c r="J29" s="1309"/>
    </row>
    <row r="30" spans="1:12" ht="217.05" customHeight="1" x14ac:dyDescent="0.3">
      <c r="A30" s="391">
        <v>1</v>
      </c>
      <c r="B30" s="1310"/>
      <c r="C30" s="1310"/>
      <c r="D30" s="1310"/>
      <c r="E30" s="127" t="s">
        <v>190</v>
      </c>
      <c r="F30" s="127">
        <v>1</v>
      </c>
      <c r="G30" s="128"/>
      <c r="H30" s="1308" t="s">
        <v>2906</v>
      </c>
      <c r="I30" s="1308"/>
      <c r="J30" s="1309"/>
    </row>
    <row r="31" spans="1:12" ht="178.05" customHeight="1" x14ac:dyDescent="0.3">
      <c r="A31" s="391">
        <v>1</v>
      </c>
      <c r="B31" s="1310"/>
      <c r="C31" s="1310"/>
      <c r="D31" s="1310"/>
      <c r="E31" s="127" t="s">
        <v>190</v>
      </c>
      <c r="F31" s="127">
        <v>1</v>
      </c>
      <c r="G31" s="128"/>
      <c r="H31" s="1308" t="s">
        <v>2897</v>
      </c>
      <c r="I31" s="1308"/>
      <c r="J31" s="1309"/>
    </row>
    <row r="32" spans="1:12" ht="232.5" customHeight="1" x14ac:dyDescent="0.3">
      <c r="A32" s="391">
        <v>1</v>
      </c>
      <c r="B32" s="1310"/>
      <c r="C32" s="1310"/>
      <c r="D32" s="1310"/>
      <c r="E32" s="127" t="s">
        <v>190</v>
      </c>
      <c r="F32" s="127">
        <v>1</v>
      </c>
      <c r="G32" s="128"/>
      <c r="H32" s="1308" t="s">
        <v>2267</v>
      </c>
      <c r="I32" s="1308"/>
      <c r="J32" s="1309"/>
    </row>
    <row r="33" spans="1:12" ht="153" customHeight="1" x14ac:dyDescent="0.3">
      <c r="A33" s="391">
        <v>1</v>
      </c>
      <c r="B33" s="1310"/>
      <c r="C33" s="1310"/>
      <c r="D33" s="1310"/>
      <c r="E33" s="127" t="s">
        <v>190</v>
      </c>
      <c r="F33" s="127">
        <v>1</v>
      </c>
      <c r="G33" s="128"/>
      <c r="H33" s="1308" t="s">
        <v>2907</v>
      </c>
      <c r="I33" s="1308"/>
      <c r="J33" s="1309"/>
    </row>
    <row r="34" spans="1:12" ht="160.5" customHeight="1" x14ac:dyDescent="0.3">
      <c r="A34" s="391">
        <v>1</v>
      </c>
      <c r="B34" s="1310"/>
      <c r="C34" s="1310"/>
      <c r="D34" s="1310"/>
      <c r="E34" s="127" t="s">
        <v>190</v>
      </c>
      <c r="F34" s="127">
        <v>1</v>
      </c>
      <c r="G34" s="128"/>
      <c r="H34" s="1308" t="s">
        <v>2268</v>
      </c>
      <c r="I34" s="1308"/>
      <c r="J34" s="1309"/>
    </row>
    <row r="35" spans="1:12" ht="120.75" customHeight="1" x14ac:dyDescent="0.3">
      <c r="A35" s="391">
        <v>1</v>
      </c>
      <c r="B35" s="1310"/>
      <c r="C35" s="1310"/>
      <c r="D35" s="1310"/>
      <c r="E35" s="127" t="s">
        <v>191</v>
      </c>
      <c r="F35" s="127">
        <v>1</v>
      </c>
      <c r="G35" s="128"/>
      <c r="H35" s="1308" t="s">
        <v>1256</v>
      </c>
      <c r="I35" s="1308"/>
      <c r="J35" s="1309"/>
    </row>
    <row r="36" spans="1:12" ht="30" customHeight="1" x14ac:dyDescent="0.3">
      <c r="A36" s="391">
        <v>1</v>
      </c>
      <c r="B36" s="1310"/>
      <c r="C36" s="1310"/>
      <c r="D36" s="1310"/>
      <c r="E36" s="127" t="s">
        <v>1145</v>
      </c>
      <c r="F36" s="127">
        <v>1</v>
      </c>
      <c r="G36" s="128"/>
      <c r="H36" s="1313" t="s">
        <v>2269</v>
      </c>
      <c r="I36" s="1313"/>
      <c r="J36" s="1314"/>
    </row>
    <row r="37" spans="1:12" ht="125.55" customHeight="1" x14ac:dyDescent="0.3">
      <c r="A37" s="391">
        <v>1</v>
      </c>
      <c r="B37" s="127" t="s">
        <v>243</v>
      </c>
      <c r="C37" s="127" t="s">
        <v>3003</v>
      </c>
      <c r="D37" s="127" t="s">
        <v>1459</v>
      </c>
      <c r="E37" s="127" t="s">
        <v>1459</v>
      </c>
      <c r="F37" s="127">
        <v>1</v>
      </c>
      <c r="G37" s="128"/>
      <c r="H37" s="1308" t="s">
        <v>1949</v>
      </c>
      <c r="I37" s="1308"/>
      <c r="J37" s="1309"/>
    </row>
    <row r="38" spans="1:12" ht="199.5" customHeight="1" x14ac:dyDescent="0.3">
      <c r="A38" s="391">
        <v>1</v>
      </c>
      <c r="B38" s="1310" t="s">
        <v>243</v>
      </c>
      <c r="C38" s="1310" t="s">
        <v>3003</v>
      </c>
      <c r="D38" s="1310" t="s">
        <v>192</v>
      </c>
      <c r="E38" s="127" t="s">
        <v>192</v>
      </c>
      <c r="F38" s="127">
        <v>1</v>
      </c>
      <c r="G38" s="128"/>
      <c r="H38" s="1308" t="s">
        <v>2908</v>
      </c>
      <c r="I38" s="1308"/>
      <c r="J38" s="1309"/>
      <c r="L38" s="75" t="s">
        <v>2262</v>
      </c>
    </row>
    <row r="39" spans="1:12" ht="123" customHeight="1" x14ac:dyDescent="0.3">
      <c r="A39" s="391">
        <v>1</v>
      </c>
      <c r="B39" s="1310"/>
      <c r="C39" s="1310"/>
      <c r="D39" s="1310"/>
      <c r="E39" s="127" t="s">
        <v>192</v>
      </c>
      <c r="F39" s="127">
        <v>1</v>
      </c>
      <c r="G39" s="128"/>
      <c r="H39" s="1308" t="s">
        <v>2270</v>
      </c>
      <c r="I39" s="1308"/>
      <c r="J39" s="1309"/>
    </row>
    <row r="40" spans="1:12" ht="73.5" customHeight="1" x14ac:dyDescent="0.3">
      <c r="A40" s="391">
        <v>1</v>
      </c>
      <c r="B40" s="127" t="s">
        <v>243</v>
      </c>
      <c r="C40" s="127" t="s">
        <v>3003</v>
      </c>
      <c r="D40" s="127" t="s">
        <v>824</v>
      </c>
      <c r="E40" s="127" t="s">
        <v>824</v>
      </c>
      <c r="F40" s="127">
        <v>1</v>
      </c>
      <c r="G40" s="128"/>
      <c r="H40" s="1308" t="s">
        <v>825</v>
      </c>
      <c r="I40" s="1308"/>
      <c r="J40" s="1309"/>
    </row>
    <row r="41" spans="1:12" ht="61.05" customHeight="1" x14ac:dyDescent="0.3">
      <c r="A41" s="391">
        <v>1</v>
      </c>
      <c r="B41" s="1310" t="s">
        <v>243</v>
      </c>
      <c r="C41" s="1310" t="s">
        <v>3003</v>
      </c>
      <c r="D41" s="1310" t="s">
        <v>826</v>
      </c>
      <c r="E41" s="127" t="s">
        <v>826</v>
      </c>
      <c r="F41" s="127">
        <v>1</v>
      </c>
      <c r="G41" s="128"/>
      <c r="H41" s="1308" t="s">
        <v>2260</v>
      </c>
      <c r="I41" s="1308"/>
      <c r="J41" s="1309"/>
      <c r="L41" s="75" t="s">
        <v>2262</v>
      </c>
    </row>
    <row r="42" spans="1:12" ht="121.5" customHeight="1" x14ac:dyDescent="0.3">
      <c r="A42" s="391">
        <v>1</v>
      </c>
      <c r="B42" s="1310"/>
      <c r="C42" s="1310"/>
      <c r="D42" s="1310"/>
      <c r="E42" s="127" t="s">
        <v>826</v>
      </c>
      <c r="F42" s="127">
        <v>1</v>
      </c>
      <c r="G42" s="128"/>
      <c r="H42" s="1308" t="s">
        <v>2261</v>
      </c>
      <c r="I42" s="1308"/>
      <c r="J42" s="1309"/>
    </row>
    <row r="43" spans="1:12" ht="139.05000000000001" customHeight="1" x14ac:dyDescent="0.3">
      <c r="A43" s="391">
        <v>1</v>
      </c>
      <c r="B43" s="1310"/>
      <c r="C43" s="1310"/>
      <c r="D43" s="1310"/>
      <c r="E43" s="127" t="s">
        <v>826</v>
      </c>
      <c r="F43" s="127">
        <v>1</v>
      </c>
      <c r="G43" s="128"/>
      <c r="H43" s="1308" t="s">
        <v>827</v>
      </c>
      <c r="I43" s="1308"/>
      <c r="J43" s="1309"/>
    </row>
    <row r="44" spans="1:12" ht="142.94999999999999" customHeight="1" x14ac:dyDescent="0.3">
      <c r="A44" s="391">
        <v>1</v>
      </c>
      <c r="B44" s="1310" t="s">
        <v>243</v>
      </c>
      <c r="C44" s="1310" t="s">
        <v>3003</v>
      </c>
      <c r="D44" s="1310" t="s">
        <v>828</v>
      </c>
      <c r="E44" s="127" t="s">
        <v>829</v>
      </c>
      <c r="F44" s="127">
        <v>1</v>
      </c>
      <c r="G44" s="128"/>
      <c r="H44" s="1308" t="s">
        <v>2271</v>
      </c>
      <c r="I44" s="1308"/>
      <c r="J44" s="1309"/>
      <c r="L44" s="75" t="s">
        <v>2288</v>
      </c>
    </row>
    <row r="45" spans="1:12" ht="85.05" customHeight="1" x14ac:dyDescent="0.3">
      <c r="A45" s="391">
        <v>1</v>
      </c>
      <c r="B45" s="1310"/>
      <c r="C45" s="1310"/>
      <c r="D45" s="1310"/>
      <c r="E45" s="127" t="s">
        <v>829</v>
      </c>
      <c r="F45" s="127">
        <v>1</v>
      </c>
      <c r="G45" s="128"/>
      <c r="H45" s="1308" t="s">
        <v>203</v>
      </c>
      <c r="I45" s="1308"/>
      <c r="J45" s="1309"/>
    </row>
    <row r="46" spans="1:12" ht="85.5" customHeight="1" x14ac:dyDescent="0.3">
      <c r="A46" s="391">
        <v>1</v>
      </c>
      <c r="B46" s="1310"/>
      <c r="C46" s="1310"/>
      <c r="D46" s="1310"/>
      <c r="E46" s="127" t="s">
        <v>828</v>
      </c>
      <c r="F46" s="127">
        <v>1</v>
      </c>
      <c r="G46" s="128"/>
      <c r="H46" s="1308" t="s">
        <v>3105</v>
      </c>
      <c r="I46" s="1308"/>
      <c r="J46" s="1309"/>
    </row>
    <row r="47" spans="1:12" ht="135" customHeight="1" x14ac:dyDescent="0.3">
      <c r="A47" s="391">
        <v>1</v>
      </c>
      <c r="B47" s="1310"/>
      <c r="C47" s="1310"/>
      <c r="D47" s="1310"/>
      <c r="E47" s="127" t="s">
        <v>828</v>
      </c>
      <c r="F47" s="127">
        <v>1</v>
      </c>
      <c r="G47" s="128"/>
      <c r="H47" s="1308" t="s">
        <v>2272</v>
      </c>
      <c r="I47" s="1308"/>
      <c r="J47" s="1309"/>
    </row>
    <row r="48" spans="1:12" ht="41.55" customHeight="1" x14ac:dyDescent="0.3">
      <c r="A48" s="391">
        <v>1</v>
      </c>
      <c r="B48" s="1310"/>
      <c r="C48" s="1310"/>
      <c r="D48" s="1310"/>
      <c r="E48" s="127" t="s">
        <v>828</v>
      </c>
      <c r="F48" s="127">
        <v>1</v>
      </c>
      <c r="G48" s="128"/>
      <c r="H48" s="1308" t="s">
        <v>204</v>
      </c>
      <c r="I48" s="1308"/>
      <c r="J48" s="1309"/>
    </row>
    <row r="49" spans="1:10" ht="187.5" customHeight="1" x14ac:dyDescent="0.3">
      <c r="A49" s="391">
        <v>1</v>
      </c>
      <c r="B49" s="1310"/>
      <c r="C49" s="1310"/>
      <c r="D49" s="1310"/>
      <c r="E49" s="127" t="s">
        <v>830</v>
      </c>
      <c r="F49" s="127">
        <v>1</v>
      </c>
      <c r="G49" s="128"/>
      <c r="H49" s="1308" t="s">
        <v>2273</v>
      </c>
      <c r="I49" s="1308"/>
      <c r="J49" s="1309"/>
    </row>
    <row r="50" spans="1:10" ht="68.25" customHeight="1" x14ac:dyDescent="0.3">
      <c r="A50" s="1054"/>
      <c r="B50" s="1296"/>
      <c r="C50" s="1296"/>
      <c r="D50" s="1296"/>
      <c r="E50" s="127" t="s">
        <v>830</v>
      </c>
      <c r="F50" s="1045">
        <v>1</v>
      </c>
      <c r="G50" s="1054"/>
      <c r="H50" s="1297" t="s">
        <v>2909</v>
      </c>
      <c r="I50" s="1298"/>
      <c r="J50" s="1299"/>
    </row>
    <row r="51" spans="1:10" ht="155.1" customHeight="1" x14ac:dyDescent="0.3">
      <c r="A51" s="1054"/>
      <c r="B51" s="1296"/>
      <c r="C51" s="1296"/>
      <c r="D51" s="1296"/>
      <c r="E51" s="1045" t="s">
        <v>2274</v>
      </c>
      <c r="F51" s="1045">
        <v>1</v>
      </c>
      <c r="G51" s="1054"/>
      <c r="H51" s="1297" t="s">
        <v>2341</v>
      </c>
      <c r="I51" s="1298"/>
      <c r="J51" s="1299"/>
    </row>
    <row r="52" spans="1:10" ht="83.1" customHeight="1" x14ac:dyDescent="0.3">
      <c r="A52" s="1054"/>
      <c r="B52" s="1296"/>
      <c r="C52" s="1296"/>
      <c r="D52" s="1296"/>
      <c r="E52" s="1045" t="s">
        <v>2274</v>
      </c>
      <c r="F52" s="1045">
        <v>1</v>
      </c>
      <c r="G52" s="1054"/>
      <c r="H52" s="1297" t="s">
        <v>2338</v>
      </c>
      <c r="I52" s="1298"/>
      <c r="J52" s="1299"/>
    </row>
    <row r="53" spans="1:10" ht="154.05000000000001" customHeight="1" x14ac:dyDescent="0.3">
      <c r="A53" s="1054"/>
      <c r="B53" s="1296"/>
      <c r="C53" s="1296"/>
      <c r="D53" s="1296"/>
      <c r="E53" s="1045" t="s">
        <v>2274</v>
      </c>
      <c r="F53" s="1045">
        <v>1</v>
      </c>
      <c r="G53" s="1054"/>
      <c r="H53" s="1297" t="s">
        <v>2339</v>
      </c>
      <c r="I53" s="1298"/>
      <c r="J53" s="1299"/>
    </row>
    <row r="54" spans="1:10" ht="43.5" customHeight="1" x14ac:dyDescent="0.3">
      <c r="A54" s="1054"/>
      <c r="B54" s="1296"/>
      <c r="C54" s="1296"/>
      <c r="D54" s="1296"/>
      <c r="E54" s="1045" t="s">
        <v>2274</v>
      </c>
      <c r="F54" s="1045">
        <v>1</v>
      </c>
      <c r="G54" s="1054"/>
      <c r="H54" s="1297" t="s">
        <v>2340</v>
      </c>
      <c r="I54" s="1298"/>
      <c r="J54" s="1299"/>
    </row>
    <row r="55" spans="1:10" ht="142.05000000000001" customHeight="1" x14ac:dyDescent="0.3">
      <c r="A55" s="391">
        <v>1</v>
      </c>
      <c r="B55" s="1310"/>
      <c r="C55" s="1310"/>
      <c r="D55" s="1310"/>
      <c r="E55" s="127" t="s">
        <v>2275</v>
      </c>
      <c r="F55" s="127">
        <v>1</v>
      </c>
      <c r="G55" s="128"/>
      <c r="H55" s="1308" t="s">
        <v>2276</v>
      </c>
      <c r="I55" s="1308"/>
      <c r="J55" s="1309"/>
    </row>
    <row r="56" spans="1:10" ht="97.05" customHeight="1" x14ac:dyDescent="0.3">
      <c r="A56" s="1054"/>
      <c r="B56" s="1296"/>
      <c r="C56" s="1296"/>
      <c r="D56" s="1296"/>
      <c r="E56" s="127" t="s">
        <v>2275</v>
      </c>
      <c r="F56" s="1045">
        <v>1</v>
      </c>
      <c r="G56" s="1054"/>
      <c r="H56" s="1297" t="s">
        <v>3004</v>
      </c>
      <c r="I56" s="1298"/>
      <c r="J56" s="1299"/>
    </row>
    <row r="57" spans="1:10" ht="78" customHeight="1" x14ac:dyDescent="0.3">
      <c r="A57" s="1054"/>
      <c r="B57" s="1296"/>
      <c r="C57" s="1296"/>
      <c r="D57" s="1296"/>
      <c r="E57" s="127" t="s">
        <v>2275</v>
      </c>
      <c r="F57" s="1045">
        <v>1</v>
      </c>
      <c r="G57" s="1054"/>
      <c r="H57" s="1297" t="s">
        <v>2277</v>
      </c>
      <c r="I57" s="1298"/>
      <c r="J57" s="1299"/>
    </row>
    <row r="58" spans="1:10" ht="319.5" customHeight="1" x14ac:dyDescent="0.3">
      <c r="A58" s="1054"/>
      <c r="B58" s="1296"/>
      <c r="C58" s="1296"/>
      <c r="D58" s="1296"/>
      <c r="E58" s="127" t="s">
        <v>2275</v>
      </c>
      <c r="F58" s="1045">
        <v>1</v>
      </c>
      <c r="G58" s="1054"/>
      <c r="H58" s="1297" t="s">
        <v>2278</v>
      </c>
      <c r="I58" s="1298"/>
      <c r="J58" s="1299"/>
    </row>
    <row r="59" spans="1:10" ht="156" customHeight="1" x14ac:dyDescent="0.3">
      <c r="A59" s="1054"/>
      <c r="B59" s="1296"/>
      <c r="C59" s="1296"/>
      <c r="D59" s="1296"/>
      <c r="E59" s="127" t="s">
        <v>2275</v>
      </c>
      <c r="F59" s="1045">
        <v>1</v>
      </c>
      <c r="G59" s="1054"/>
      <c r="H59" s="1297" t="s">
        <v>2279</v>
      </c>
      <c r="I59" s="1298"/>
      <c r="J59" s="1299"/>
    </row>
    <row r="60" spans="1:10" ht="88.5" customHeight="1" x14ac:dyDescent="0.3">
      <c r="A60" s="1054"/>
      <c r="B60" s="1296"/>
      <c r="C60" s="1296"/>
      <c r="D60" s="1296"/>
      <c r="E60" s="1045" t="s">
        <v>2280</v>
      </c>
      <c r="F60" s="1045">
        <v>1</v>
      </c>
      <c r="G60" s="1054"/>
      <c r="H60" s="1297" t="s">
        <v>2281</v>
      </c>
      <c r="I60" s="1298"/>
      <c r="J60" s="1299"/>
    </row>
    <row r="61" spans="1:10" ht="65.099999999999994" customHeight="1" x14ac:dyDescent="0.3">
      <c r="A61" s="1054"/>
      <c r="B61" s="1296"/>
      <c r="C61" s="1296"/>
      <c r="D61" s="1296"/>
      <c r="E61" s="1045" t="s">
        <v>2280</v>
      </c>
      <c r="F61" s="1045">
        <v>1</v>
      </c>
      <c r="G61" s="1054"/>
      <c r="H61" s="1297" t="s">
        <v>2282</v>
      </c>
      <c r="I61" s="1298"/>
      <c r="J61" s="1299"/>
    </row>
    <row r="62" spans="1:10" ht="141" customHeight="1" x14ac:dyDescent="0.3">
      <c r="A62" s="1054"/>
      <c r="B62" s="1296"/>
      <c r="C62" s="1296"/>
      <c r="D62" s="1296"/>
      <c r="E62" s="1045" t="s">
        <v>2280</v>
      </c>
      <c r="F62" s="1045">
        <v>1</v>
      </c>
      <c r="G62" s="1054"/>
      <c r="H62" s="1297" t="s">
        <v>1347</v>
      </c>
      <c r="I62" s="1298"/>
      <c r="J62" s="1299"/>
    </row>
    <row r="63" spans="1:10" ht="46.5" customHeight="1" x14ac:dyDescent="0.3">
      <c r="A63" s="1054"/>
      <c r="B63" s="1296"/>
      <c r="C63" s="1296"/>
      <c r="D63" s="1296"/>
      <c r="E63" s="1045" t="s">
        <v>2280</v>
      </c>
      <c r="F63" s="1045">
        <v>1</v>
      </c>
      <c r="G63" s="1054"/>
      <c r="H63" s="1297" t="s">
        <v>2283</v>
      </c>
      <c r="I63" s="1298"/>
      <c r="J63" s="1299"/>
    </row>
    <row r="64" spans="1:10" ht="47.55" customHeight="1" x14ac:dyDescent="0.3">
      <c r="A64" s="1054"/>
      <c r="B64" s="1296"/>
      <c r="C64" s="1296"/>
      <c r="D64" s="1296"/>
      <c r="E64" s="1045" t="s">
        <v>2280</v>
      </c>
      <c r="F64" s="1045">
        <v>1</v>
      </c>
      <c r="G64" s="1054"/>
      <c r="H64" s="1297" t="s">
        <v>2284</v>
      </c>
      <c r="I64" s="1298"/>
      <c r="J64" s="1299"/>
    </row>
    <row r="65" spans="1:12" ht="40.049999999999997" customHeight="1" x14ac:dyDescent="0.3">
      <c r="A65" s="1054"/>
      <c r="B65" s="1296"/>
      <c r="C65" s="1296"/>
      <c r="D65" s="1296"/>
      <c r="E65" s="1045" t="s">
        <v>2280</v>
      </c>
      <c r="F65" s="1045">
        <v>1</v>
      </c>
      <c r="G65" s="1054"/>
      <c r="H65" s="1297" t="s">
        <v>2285</v>
      </c>
      <c r="I65" s="1298"/>
      <c r="J65" s="1299"/>
    </row>
    <row r="66" spans="1:12" ht="84.75" customHeight="1" x14ac:dyDescent="0.3">
      <c r="A66" s="1054"/>
      <c r="B66" s="1296"/>
      <c r="C66" s="1296"/>
      <c r="D66" s="1296"/>
      <c r="E66" s="1045" t="s">
        <v>2286</v>
      </c>
      <c r="F66" s="1045">
        <v>1</v>
      </c>
      <c r="G66" s="1054"/>
      <c r="H66" s="1297" t="s">
        <v>2287</v>
      </c>
      <c r="I66" s="1298"/>
      <c r="J66" s="1299"/>
    </row>
    <row r="67" spans="1:12" ht="100.05" customHeight="1" x14ac:dyDescent="0.3">
      <c r="A67" s="391">
        <v>1</v>
      </c>
      <c r="B67" s="127" t="s">
        <v>243</v>
      </c>
      <c r="C67" s="127" t="s">
        <v>3003</v>
      </c>
      <c r="D67" s="127" t="s">
        <v>1146</v>
      </c>
      <c r="E67" s="127" t="s">
        <v>1146</v>
      </c>
      <c r="F67" s="127">
        <v>1</v>
      </c>
      <c r="G67" s="128"/>
      <c r="H67" s="1308" t="s">
        <v>33</v>
      </c>
      <c r="I67" s="1308"/>
      <c r="J67" s="1309"/>
      <c r="L67" s="75" t="s">
        <v>2288</v>
      </c>
    </row>
    <row r="68" spans="1:12" ht="100.05" customHeight="1" x14ac:dyDescent="0.3">
      <c r="A68" s="391">
        <v>1</v>
      </c>
      <c r="B68" s="1310" t="s">
        <v>243</v>
      </c>
      <c r="C68" s="1310" t="s">
        <v>3003</v>
      </c>
      <c r="D68" s="1310" t="s">
        <v>34</v>
      </c>
      <c r="E68" s="127" t="s">
        <v>34</v>
      </c>
      <c r="F68" s="127">
        <v>1</v>
      </c>
      <c r="G68" s="128"/>
      <c r="H68" s="1308" t="s">
        <v>2289</v>
      </c>
      <c r="I68" s="1308"/>
      <c r="J68" s="1309"/>
      <c r="L68" s="75" t="s">
        <v>2288</v>
      </c>
    </row>
    <row r="69" spans="1:12" ht="106.05" customHeight="1" x14ac:dyDescent="0.3">
      <c r="A69" s="391">
        <v>1</v>
      </c>
      <c r="B69" s="1310"/>
      <c r="C69" s="1310"/>
      <c r="D69" s="1310"/>
      <c r="E69" s="127" t="s">
        <v>34</v>
      </c>
      <c r="F69" s="127">
        <v>1</v>
      </c>
      <c r="G69" s="128"/>
      <c r="H69" s="1308" t="s">
        <v>2290</v>
      </c>
      <c r="I69" s="1308"/>
      <c r="J69" s="1309"/>
    </row>
    <row r="70" spans="1:12" ht="100.5" customHeight="1" x14ac:dyDescent="0.3">
      <c r="A70" s="391">
        <v>1</v>
      </c>
      <c r="B70" s="1310"/>
      <c r="C70" s="1310"/>
      <c r="D70" s="1310"/>
      <c r="E70" s="127" t="s">
        <v>34</v>
      </c>
      <c r="F70" s="127">
        <v>1</v>
      </c>
      <c r="G70" s="128"/>
      <c r="H70" s="1308" t="s">
        <v>35</v>
      </c>
      <c r="I70" s="1308"/>
      <c r="J70" s="1309"/>
    </row>
    <row r="71" spans="1:12" ht="112.5" customHeight="1" x14ac:dyDescent="0.3">
      <c r="A71" s="391">
        <v>1</v>
      </c>
      <c r="B71" s="1310"/>
      <c r="C71" s="1310"/>
      <c r="D71" s="1310"/>
      <c r="E71" s="127" t="s">
        <v>34</v>
      </c>
      <c r="F71" s="127">
        <v>1</v>
      </c>
      <c r="G71" s="128"/>
      <c r="H71" s="1308" t="s">
        <v>36</v>
      </c>
      <c r="I71" s="1308"/>
      <c r="J71" s="1309"/>
    </row>
    <row r="72" spans="1:12" ht="63" customHeight="1" x14ac:dyDescent="0.3">
      <c r="A72" s="391">
        <v>1</v>
      </c>
      <c r="B72" s="1310" t="s">
        <v>243</v>
      </c>
      <c r="C72" s="1310" t="s">
        <v>3003</v>
      </c>
      <c r="D72" s="1310" t="s">
        <v>354</v>
      </c>
      <c r="E72" s="835" t="s">
        <v>354</v>
      </c>
      <c r="F72" s="127">
        <v>1</v>
      </c>
      <c r="G72" s="128"/>
      <c r="H72" s="1308" t="s">
        <v>1258</v>
      </c>
      <c r="I72" s="1308"/>
      <c r="J72" s="1309"/>
      <c r="L72" s="75" t="s">
        <v>2288</v>
      </c>
    </row>
    <row r="73" spans="1:12" ht="98.1" customHeight="1" x14ac:dyDescent="0.3">
      <c r="A73" s="391">
        <v>1</v>
      </c>
      <c r="B73" s="1310"/>
      <c r="C73" s="1310"/>
      <c r="D73" s="1310"/>
      <c r="E73" s="127" t="s">
        <v>354</v>
      </c>
      <c r="F73" s="127">
        <v>1</v>
      </c>
      <c r="G73" s="128"/>
      <c r="H73" s="1308" t="s">
        <v>37</v>
      </c>
      <c r="I73" s="1308"/>
      <c r="J73" s="1309"/>
    </row>
    <row r="74" spans="1:12" ht="46.05" customHeight="1" x14ac:dyDescent="0.3">
      <c r="A74" s="391">
        <v>1</v>
      </c>
      <c r="B74" s="1310"/>
      <c r="C74" s="1310"/>
      <c r="D74" s="1310"/>
      <c r="E74" s="127" t="s">
        <v>354</v>
      </c>
      <c r="F74" s="127">
        <v>1</v>
      </c>
      <c r="G74" s="128"/>
      <c r="H74" s="1308" t="s">
        <v>38</v>
      </c>
      <c r="I74" s="1308"/>
      <c r="J74" s="1309"/>
    </row>
    <row r="75" spans="1:12" ht="172.5" customHeight="1" x14ac:dyDescent="0.3">
      <c r="A75" s="391">
        <v>1</v>
      </c>
      <c r="B75" s="1310"/>
      <c r="C75" s="1310"/>
      <c r="D75" s="1310"/>
      <c r="E75" s="127" t="s">
        <v>354</v>
      </c>
      <c r="F75" s="127">
        <v>1</v>
      </c>
      <c r="G75" s="128"/>
      <c r="H75" s="1308" t="s">
        <v>2294</v>
      </c>
      <c r="I75" s="1308"/>
      <c r="J75" s="1309"/>
    </row>
    <row r="76" spans="1:12" ht="99.6" customHeight="1" x14ac:dyDescent="0.3">
      <c r="A76" s="391">
        <v>1</v>
      </c>
      <c r="B76" s="1310"/>
      <c r="C76" s="1310"/>
      <c r="D76" s="1310"/>
      <c r="E76" s="127" t="s">
        <v>354</v>
      </c>
      <c r="F76" s="127">
        <v>1</v>
      </c>
      <c r="G76" s="128"/>
      <c r="H76" s="1308" t="s">
        <v>2295</v>
      </c>
      <c r="I76" s="1308"/>
      <c r="J76" s="1309"/>
    </row>
    <row r="77" spans="1:12" ht="45" customHeight="1" x14ac:dyDescent="0.3">
      <c r="A77" s="391">
        <v>1</v>
      </c>
      <c r="B77" s="1306" t="s">
        <v>243</v>
      </c>
      <c r="C77" s="1306" t="s">
        <v>3003</v>
      </c>
      <c r="D77" s="1306" t="s">
        <v>39</v>
      </c>
      <c r="E77" s="127" t="s">
        <v>39</v>
      </c>
      <c r="F77" s="127">
        <v>1</v>
      </c>
      <c r="G77" s="128"/>
      <c r="H77" s="1308" t="s">
        <v>2975</v>
      </c>
      <c r="I77" s="1308"/>
      <c r="J77" s="1309"/>
      <c r="L77" s="75" t="s">
        <v>2288</v>
      </c>
    </row>
    <row r="78" spans="1:12" ht="63.6" customHeight="1" x14ac:dyDescent="0.3">
      <c r="A78" s="391">
        <v>1</v>
      </c>
      <c r="B78" s="1311"/>
      <c r="C78" s="1311"/>
      <c r="D78" s="1311"/>
      <c r="E78" s="127" t="s">
        <v>39</v>
      </c>
      <c r="F78" s="127">
        <v>1</v>
      </c>
      <c r="G78" s="128"/>
      <c r="H78" s="1310" t="s">
        <v>2299</v>
      </c>
      <c r="I78" s="1310"/>
      <c r="J78" s="1315"/>
    </row>
    <row r="79" spans="1:12" ht="45" customHeight="1" x14ac:dyDescent="0.3">
      <c r="A79" s="391">
        <v>1</v>
      </c>
      <c r="B79" s="1311"/>
      <c r="C79" s="1311"/>
      <c r="D79" s="1311"/>
      <c r="E79" s="127" t="s">
        <v>39</v>
      </c>
      <c r="F79" s="127">
        <v>1</v>
      </c>
      <c r="G79" s="128"/>
      <c r="H79" s="1308" t="s">
        <v>2300</v>
      </c>
      <c r="I79" s="1308"/>
      <c r="J79" s="1309"/>
    </row>
    <row r="80" spans="1:12" ht="61.05" customHeight="1" x14ac:dyDescent="0.3">
      <c r="A80" s="1054"/>
      <c r="B80" s="1307"/>
      <c r="C80" s="1307"/>
      <c r="D80" s="1307"/>
      <c r="E80" s="127" t="s">
        <v>39</v>
      </c>
      <c r="F80" s="1045">
        <v>1</v>
      </c>
      <c r="G80" s="1054"/>
      <c r="H80" s="1297" t="s">
        <v>2301</v>
      </c>
      <c r="I80" s="1298"/>
      <c r="J80" s="1299"/>
      <c r="L80" s="75" t="s">
        <v>2302</v>
      </c>
    </row>
    <row r="81" spans="1:12" ht="64.05" customHeight="1" x14ac:dyDescent="0.3">
      <c r="A81" s="391">
        <v>1</v>
      </c>
      <c r="B81" s="1310" t="s">
        <v>243</v>
      </c>
      <c r="C81" s="1310" t="s">
        <v>3003</v>
      </c>
      <c r="D81" s="1310" t="s">
        <v>1147</v>
      </c>
      <c r="E81" s="127" t="s">
        <v>1147</v>
      </c>
      <c r="F81" s="127">
        <v>1</v>
      </c>
      <c r="G81" s="128"/>
      <c r="H81" s="1308" t="s">
        <v>1259</v>
      </c>
      <c r="I81" s="1308"/>
      <c r="J81" s="1309"/>
      <c r="L81" s="75" t="s">
        <v>2288</v>
      </c>
    </row>
    <row r="82" spans="1:12" ht="137.55000000000001" customHeight="1" x14ac:dyDescent="0.3">
      <c r="A82" s="391">
        <v>1</v>
      </c>
      <c r="B82" s="1310"/>
      <c r="C82" s="1310"/>
      <c r="D82" s="1310"/>
      <c r="E82" s="127" t="s">
        <v>1147</v>
      </c>
      <c r="F82" s="127">
        <v>1</v>
      </c>
      <c r="G82" s="128"/>
      <c r="H82" s="1308" t="s">
        <v>2303</v>
      </c>
      <c r="I82" s="1308"/>
      <c r="J82" s="1309"/>
    </row>
    <row r="83" spans="1:12" ht="118.95" customHeight="1" x14ac:dyDescent="0.3">
      <c r="A83" s="391">
        <v>1</v>
      </c>
      <c r="B83" s="1310"/>
      <c r="C83" s="1310"/>
      <c r="D83" s="1310"/>
      <c r="E83" s="127" t="s">
        <v>1147</v>
      </c>
      <c r="F83" s="127">
        <v>1</v>
      </c>
      <c r="G83" s="128"/>
      <c r="H83" s="1308" t="s">
        <v>2304</v>
      </c>
      <c r="I83" s="1308"/>
      <c r="J83" s="1309"/>
    </row>
    <row r="84" spans="1:12" ht="102.6" customHeight="1" x14ac:dyDescent="0.3">
      <c r="A84" s="391">
        <v>1</v>
      </c>
      <c r="B84" s="127" t="s">
        <v>243</v>
      </c>
      <c r="C84" s="127" t="s">
        <v>3003</v>
      </c>
      <c r="D84" s="127" t="s">
        <v>1148</v>
      </c>
      <c r="E84" s="127" t="s">
        <v>1148</v>
      </c>
      <c r="F84" s="127">
        <v>1</v>
      </c>
      <c r="G84" s="128"/>
      <c r="H84" s="1308" t="s">
        <v>40</v>
      </c>
      <c r="I84" s="1308"/>
      <c r="J84" s="1309"/>
      <c r="L84" s="75" t="s">
        <v>2288</v>
      </c>
    </row>
    <row r="85" spans="1:12" ht="66" customHeight="1" x14ac:dyDescent="0.3">
      <c r="A85" s="391">
        <v>1</v>
      </c>
      <c r="B85" s="1310" t="s">
        <v>243</v>
      </c>
      <c r="C85" s="1310" t="s">
        <v>3003</v>
      </c>
      <c r="D85" s="1310" t="s">
        <v>41</v>
      </c>
      <c r="E85" s="127" t="s">
        <v>41</v>
      </c>
      <c r="F85" s="127">
        <v>1</v>
      </c>
      <c r="G85" s="128"/>
      <c r="H85" s="1308" t="s">
        <v>2813</v>
      </c>
      <c r="I85" s="1308"/>
      <c r="J85" s="1309"/>
      <c r="L85" s="75" t="s">
        <v>2288</v>
      </c>
    </row>
    <row r="86" spans="1:12" ht="38.25" customHeight="1" x14ac:dyDescent="0.3">
      <c r="A86" s="391">
        <v>1</v>
      </c>
      <c r="B86" s="1310"/>
      <c r="C86" s="1310"/>
      <c r="D86" s="1310"/>
      <c r="E86" s="127" t="s">
        <v>41</v>
      </c>
      <c r="F86" s="127">
        <v>1</v>
      </c>
      <c r="G86" s="128"/>
      <c r="H86" s="1308" t="s">
        <v>42</v>
      </c>
      <c r="I86" s="1308"/>
      <c r="J86" s="1309"/>
    </row>
    <row r="87" spans="1:12" ht="63" customHeight="1" x14ac:dyDescent="0.3">
      <c r="A87" s="391">
        <v>1</v>
      </c>
      <c r="B87" s="1310"/>
      <c r="C87" s="1310"/>
      <c r="D87" s="1310"/>
      <c r="E87" s="127" t="s">
        <v>41</v>
      </c>
      <c r="F87" s="127">
        <v>1</v>
      </c>
      <c r="G87" s="128"/>
      <c r="H87" s="1308" t="s">
        <v>1260</v>
      </c>
      <c r="I87" s="1308"/>
      <c r="J87" s="1309"/>
    </row>
    <row r="88" spans="1:12" ht="117.45" customHeight="1" x14ac:dyDescent="0.3">
      <c r="A88" s="391">
        <v>1</v>
      </c>
      <c r="B88" s="1310"/>
      <c r="C88" s="1310"/>
      <c r="D88" s="1310"/>
      <c r="E88" s="127" t="s">
        <v>2814</v>
      </c>
      <c r="F88" s="127">
        <v>1</v>
      </c>
      <c r="G88" s="128"/>
      <c r="H88" s="1308" t="s">
        <v>2815</v>
      </c>
      <c r="I88" s="1308"/>
      <c r="J88" s="1309"/>
    </row>
    <row r="89" spans="1:12" ht="101.1" customHeight="1" x14ac:dyDescent="0.3">
      <c r="A89" s="391">
        <v>1</v>
      </c>
      <c r="B89" s="1310"/>
      <c r="C89" s="1310"/>
      <c r="D89" s="1310"/>
      <c r="E89" s="127" t="s">
        <v>2814</v>
      </c>
      <c r="F89" s="127">
        <v>1</v>
      </c>
      <c r="G89" s="128"/>
      <c r="H89" s="1308" t="s">
        <v>2307</v>
      </c>
      <c r="I89" s="1308"/>
      <c r="J89" s="1309"/>
    </row>
    <row r="90" spans="1:12" ht="62.25" customHeight="1" x14ac:dyDescent="0.3">
      <c r="A90" s="391">
        <v>1</v>
      </c>
      <c r="B90" s="1310"/>
      <c r="C90" s="1310"/>
      <c r="D90" s="1310"/>
      <c r="E90" s="127" t="s">
        <v>2814</v>
      </c>
      <c r="F90" s="127">
        <v>1</v>
      </c>
      <c r="G90" s="128"/>
      <c r="H90" s="1308" t="s">
        <v>2816</v>
      </c>
      <c r="I90" s="1308"/>
      <c r="J90" s="1309"/>
    </row>
    <row r="91" spans="1:12" ht="117" customHeight="1" x14ac:dyDescent="0.3">
      <c r="A91" s="391">
        <v>1</v>
      </c>
      <c r="B91" s="1310"/>
      <c r="C91" s="1310"/>
      <c r="D91" s="1310"/>
      <c r="E91" s="127" t="s">
        <v>2814</v>
      </c>
      <c r="F91" s="127">
        <v>1</v>
      </c>
      <c r="G91" s="128"/>
      <c r="H91" s="1308" t="s">
        <v>2308</v>
      </c>
      <c r="I91" s="1308"/>
      <c r="J91" s="1309"/>
    </row>
    <row r="92" spans="1:12" ht="82.05" customHeight="1" x14ac:dyDescent="0.3">
      <c r="A92" s="391">
        <v>1</v>
      </c>
      <c r="B92" s="1310"/>
      <c r="C92" s="1310"/>
      <c r="D92" s="1310"/>
      <c r="E92" s="127" t="s">
        <v>1149</v>
      </c>
      <c r="F92" s="127">
        <v>1</v>
      </c>
      <c r="G92" s="128"/>
      <c r="H92" s="1308" t="s">
        <v>1942</v>
      </c>
      <c r="I92" s="1308"/>
      <c r="J92" s="1309"/>
    </row>
    <row r="93" spans="1:12" ht="159" customHeight="1" x14ac:dyDescent="0.3">
      <c r="A93" s="391">
        <v>1</v>
      </c>
      <c r="B93" s="1310"/>
      <c r="C93" s="1310"/>
      <c r="D93" s="1310"/>
      <c r="E93" s="127" t="s">
        <v>2817</v>
      </c>
      <c r="F93" s="127">
        <v>1</v>
      </c>
      <c r="G93" s="128"/>
      <c r="H93" s="1308" t="s">
        <v>2818</v>
      </c>
      <c r="I93" s="1308"/>
      <c r="J93" s="1309"/>
    </row>
    <row r="94" spans="1:12" ht="101.1" customHeight="1" x14ac:dyDescent="0.3">
      <c r="A94" s="391">
        <v>1</v>
      </c>
      <c r="B94" s="1310"/>
      <c r="C94" s="1310"/>
      <c r="D94" s="1310"/>
      <c r="E94" s="127" t="s">
        <v>2817</v>
      </c>
      <c r="F94" s="127">
        <v>1</v>
      </c>
      <c r="G94" s="128"/>
      <c r="H94" s="1308" t="s">
        <v>2309</v>
      </c>
      <c r="I94" s="1308"/>
      <c r="J94" s="1309"/>
    </row>
    <row r="95" spans="1:12" ht="156.6" customHeight="1" x14ac:dyDescent="0.3">
      <c r="A95" s="391">
        <v>1</v>
      </c>
      <c r="B95" s="1310"/>
      <c r="C95" s="1310"/>
      <c r="D95" s="1310"/>
      <c r="E95" s="127" t="s">
        <v>2817</v>
      </c>
      <c r="F95" s="127">
        <v>1</v>
      </c>
      <c r="G95" s="128"/>
      <c r="H95" s="1308" t="s">
        <v>2310</v>
      </c>
      <c r="I95" s="1308"/>
      <c r="J95" s="1309"/>
    </row>
    <row r="96" spans="1:12" ht="60.6" customHeight="1" x14ac:dyDescent="0.3">
      <c r="A96" s="391">
        <v>1</v>
      </c>
      <c r="B96" s="1310"/>
      <c r="C96" s="1310"/>
      <c r="D96" s="1310"/>
      <c r="E96" s="127" t="s">
        <v>2817</v>
      </c>
      <c r="F96" s="127">
        <v>1</v>
      </c>
      <c r="G96" s="128"/>
      <c r="H96" s="1308" t="s">
        <v>2311</v>
      </c>
      <c r="I96" s="1308"/>
      <c r="J96" s="1309"/>
    </row>
    <row r="97" spans="1:12" ht="139.94999999999999" customHeight="1" x14ac:dyDescent="0.3">
      <c r="A97" s="391">
        <v>1</v>
      </c>
      <c r="B97" s="1310"/>
      <c r="C97" s="1310"/>
      <c r="D97" s="1310"/>
      <c r="E97" s="127" t="s">
        <v>1150</v>
      </c>
      <c r="F97" s="127">
        <v>1</v>
      </c>
      <c r="G97" s="128"/>
      <c r="H97" s="1308" t="s">
        <v>2312</v>
      </c>
      <c r="I97" s="1308"/>
      <c r="J97" s="1309"/>
    </row>
    <row r="98" spans="1:12" ht="26.55" customHeight="1" x14ac:dyDescent="0.3">
      <c r="A98" s="391">
        <v>1</v>
      </c>
      <c r="B98" s="1310"/>
      <c r="C98" s="1310"/>
      <c r="D98" s="1310"/>
      <c r="E98" s="127" t="s">
        <v>1150</v>
      </c>
      <c r="F98" s="127">
        <v>1</v>
      </c>
      <c r="G98" s="128"/>
      <c r="H98" s="1308" t="s">
        <v>1261</v>
      </c>
      <c r="I98" s="1308"/>
      <c r="J98" s="1309"/>
    </row>
    <row r="99" spans="1:12" ht="142.05000000000001" customHeight="1" x14ac:dyDescent="0.3">
      <c r="A99" s="391">
        <v>1</v>
      </c>
      <c r="B99" s="1310" t="s">
        <v>243</v>
      </c>
      <c r="C99" s="1310" t="s">
        <v>3003</v>
      </c>
      <c r="D99" s="1310" t="s">
        <v>50</v>
      </c>
      <c r="E99" s="127" t="s">
        <v>50</v>
      </c>
      <c r="F99" s="127">
        <v>1</v>
      </c>
      <c r="G99" s="128"/>
      <c r="H99" s="1308" t="s">
        <v>2321</v>
      </c>
      <c r="I99" s="1308"/>
      <c r="J99" s="1309"/>
      <c r="L99" s="75" t="s">
        <v>2288</v>
      </c>
    </row>
    <row r="100" spans="1:12" ht="80.099999999999994" customHeight="1" x14ac:dyDescent="0.3">
      <c r="A100" s="391">
        <v>1</v>
      </c>
      <c r="B100" s="1310"/>
      <c r="C100" s="1310"/>
      <c r="D100" s="1310"/>
      <c r="E100" s="127" t="s">
        <v>50</v>
      </c>
      <c r="F100" s="127">
        <v>1</v>
      </c>
      <c r="G100" s="128"/>
      <c r="H100" s="1308" t="s">
        <v>2322</v>
      </c>
      <c r="I100" s="1308"/>
      <c r="J100" s="1309"/>
    </row>
    <row r="101" spans="1:12" ht="25.05" customHeight="1" x14ac:dyDescent="0.3">
      <c r="A101" s="391">
        <v>1</v>
      </c>
      <c r="B101" s="1310"/>
      <c r="C101" s="1310"/>
      <c r="D101" s="1310"/>
      <c r="E101" s="127" t="s">
        <v>50</v>
      </c>
      <c r="F101" s="127">
        <v>1</v>
      </c>
      <c r="G101" s="128"/>
      <c r="H101" s="1308" t="s">
        <v>3</v>
      </c>
      <c r="I101" s="1308"/>
      <c r="J101" s="1309"/>
    </row>
    <row r="102" spans="1:12" ht="27" customHeight="1" x14ac:dyDescent="0.3">
      <c r="A102" s="391">
        <v>1</v>
      </c>
      <c r="B102" s="1310"/>
      <c r="C102" s="1310"/>
      <c r="D102" s="1310"/>
      <c r="E102" s="127" t="s">
        <v>50</v>
      </c>
      <c r="F102" s="127">
        <v>1</v>
      </c>
      <c r="G102" s="128"/>
      <c r="H102" s="1308" t="s">
        <v>2323</v>
      </c>
      <c r="I102" s="1308"/>
      <c r="J102" s="1309"/>
    </row>
    <row r="103" spans="1:12" ht="134.1" customHeight="1" x14ac:dyDescent="0.3">
      <c r="A103" s="391">
        <v>1</v>
      </c>
      <c r="B103" s="1310"/>
      <c r="C103" s="1310"/>
      <c r="D103" s="1310"/>
      <c r="E103" s="127" t="s">
        <v>50</v>
      </c>
      <c r="F103" s="127">
        <v>1</v>
      </c>
      <c r="G103" s="128"/>
      <c r="H103" s="1308" t="s">
        <v>2324</v>
      </c>
      <c r="I103" s="1308"/>
      <c r="J103" s="1309"/>
    </row>
    <row r="104" spans="1:12" ht="64.5" customHeight="1" x14ac:dyDescent="0.3">
      <c r="A104" s="391">
        <v>1</v>
      </c>
      <c r="B104" s="1310"/>
      <c r="C104" s="1310"/>
      <c r="D104" s="1310"/>
      <c r="E104" s="127" t="s">
        <v>50</v>
      </c>
      <c r="F104" s="127">
        <v>1</v>
      </c>
      <c r="G104" s="128"/>
      <c r="H104" s="1308" t="s">
        <v>1909</v>
      </c>
      <c r="I104" s="1308"/>
      <c r="J104" s="1309"/>
    </row>
    <row r="105" spans="1:12" ht="61.5" customHeight="1" x14ac:dyDescent="0.3">
      <c r="A105" s="391">
        <v>1</v>
      </c>
      <c r="B105" s="1310"/>
      <c r="C105" s="1310"/>
      <c r="D105" s="1310"/>
      <c r="E105" s="127" t="s">
        <v>50</v>
      </c>
      <c r="F105" s="127">
        <v>1</v>
      </c>
      <c r="G105" s="128"/>
      <c r="H105" s="1308" t="s">
        <v>2325</v>
      </c>
      <c r="I105" s="1308"/>
      <c r="J105" s="1309"/>
    </row>
    <row r="106" spans="1:12" ht="40.5" customHeight="1" x14ac:dyDescent="0.3">
      <c r="A106" s="391">
        <v>1</v>
      </c>
      <c r="B106" s="127" t="s">
        <v>243</v>
      </c>
      <c r="C106" s="127" t="s">
        <v>3003</v>
      </c>
      <c r="D106" s="127" t="s">
        <v>1151</v>
      </c>
      <c r="E106" s="127" t="s">
        <v>1151</v>
      </c>
      <c r="F106" s="127">
        <v>1</v>
      </c>
      <c r="G106" s="128"/>
      <c r="H106" s="1308" t="s">
        <v>2313</v>
      </c>
      <c r="I106" s="1308"/>
      <c r="J106" s="1309"/>
      <c r="L106" s="75" t="s">
        <v>2288</v>
      </c>
    </row>
    <row r="107" spans="1:12" ht="62.55" customHeight="1" x14ac:dyDescent="0.3">
      <c r="A107" s="391">
        <v>1</v>
      </c>
      <c r="B107" s="1310" t="s">
        <v>243</v>
      </c>
      <c r="C107" s="1310" t="s">
        <v>3003</v>
      </c>
      <c r="D107" s="1310" t="s">
        <v>603</v>
      </c>
      <c r="E107" s="127" t="s">
        <v>603</v>
      </c>
      <c r="F107" s="127">
        <v>1</v>
      </c>
      <c r="G107" s="128"/>
      <c r="H107" s="1308" t="s">
        <v>2314</v>
      </c>
      <c r="I107" s="1308"/>
      <c r="J107" s="1309"/>
      <c r="L107" s="75" t="s">
        <v>2288</v>
      </c>
    </row>
    <row r="108" spans="1:12" ht="97.05" customHeight="1" x14ac:dyDescent="0.3">
      <c r="A108" s="391">
        <v>1</v>
      </c>
      <c r="B108" s="1310"/>
      <c r="C108" s="1310"/>
      <c r="D108" s="1310"/>
      <c r="E108" s="127" t="s">
        <v>55</v>
      </c>
      <c r="F108" s="127">
        <v>1</v>
      </c>
      <c r="G108" s="128"/>
      <c r="H108" s="1308" t="s">
        <v>2315</v>
      </c>
      <c r="I108" s="1308"/>
      <c r="J108" s="1309"/>
    </row>
    <row r="109" spans="1:12" ht="101.25" customHeight="1" x14ac:dyDescent="0.3">
      <c r="A109" s="391">
        <v>1</v>
      </c>
      <c r="B109" s="1310"/>
      <c r="C109" s="1310"/>
      <c r="D109" s="1310"/>
      <c r="E109" s="127" t="s">
        <v>56</v>
      </c>
      <c r="F109" s="127">
        <v>1</v>
      </c>
      <c r="G109" s="128"/>
      <c r="H109" s="1308" t="s">
        <v>1262</v>
      </c>
      <c r="I109" s="1308"/>
      <c r="J109" s="1309"/>
    </row>
    <row r="110" spans="1:12" ht="25.5" customHeight="1" x14ac:dyDescent="0.3">
      <c r="A110" s="391">
        <v>1</v>
      </c>
      <c r="B110" s="1310"/>
      <c r="C110" s="1310"/>
      <c r="D110" s="1310"/>
      <c r="E110" s="127" t="s">
        <v>603</v>
      </c>
      <c r="F110" s="127">
        <v>1</v>
      </c>
      <c r="G110" s="128"/>
      <c r="H110" s="1308" t="s">
        <v>57</v>
      </c>
      <c r="I110" s="1308"/>
      <c r="J110" s="1309"/>
    </row>
    <row r="111" spans="1:12" ht="80.099999999999994" customHeight="1" x14ac:dyDescent="0.3">
      <c r="A111" s="391">
        <v>1</v>
      </c>
      <c r="B111" s="1310"/>
      <c r="C111" s="1310"/>
      <c r="D111" s="1310"/>
      <c r="E111" s="127" t="s">
        <v>56</v>
      </c>
      <c r="F111" s="127">
        <v>1</v>
      </c>
      <c r="G111" s="128"/>
      <c r="H111" s="1308" t="s">
        <v>2910</v>
      </c>
      <c r="I111" s="1308"/>
      <c r="J111" s="1309"/>
    </row>
    <row r="112" spans="1:12" ht="99" customHeight="1" x14ac:dyDescent="0.3">
      <c r="A112" s="391">
        <v>1</v>
      </c>
      <c r="B112" s="1310"/>
      <c r="C112" s="1310"/>
      <c r="D112" s="1310"/>
      <c r="E112" s="127" t="s">
        <v>56</v>
      </c>
      <c r="F112" s="127">
        <v>1</v>
      </c>
      <c r="G112" s="128"/>
      <c r="H112" s="1308" t="s">
        <v>58</v>
      </c>
      <c r="I112" s="1308"/>
      <c r="J112" s="1309"/>
    </row>
    <row r="113" spans="1:12" ht="135.6" customHeight="1" x14ac:dyDescent="0.3">
      <c r="A113" s="391">
        <v>1</v>
      </c>
      <c r="B113" s="1310"/>
      <c r="C113" s="1310"/>
      <c r="D113" s="1310"/>
      <c r="E113" s="127" t="s">
        <v>56</v>
      </c>
      <c r="F113" s="127">
        <v>1</v>
      </c>
      <c r="G113" s="128"/>
      <c r="H113" s="1308" t="s">
        <v>2316</v>
      </c>
      <c r="I113" s="1308"/>
      <c r="J113" s="1309"/>
    </row>
    <row r="114" spans="1:12" ht="47.55" customHeight="1" x14ac:dyDescent="0.3">
      <c r="A114" s="391">
        <v>1</v>
      </c>
      <c r="B114" s="1310"/>
      <c r="C114" s="1310"/>
      <c r="D114" s="1310"/>
      <c r="E114" s="127" t="s">
        <v>56</v>
      </c>
      <c r="F114" s="127">
        <v>1</v>
      </c>
      <c r="G114" s="128"/>
      <c r="H114" s="1308" t="s">
        <v>59</v>
      </c>
      <c r="I114" s="1308"/>
      <c r="J114" s="1309"/>
    </row>
    <row r="115" spans="1:12" ht="97.5" customHeight="1" x14ac:dyDescent="0.3">
      <c r="A115" s="391">
        <v>1</v>
      </c>
      <c r="B115" s="1310"/>
      <c r="C115" s="1310"/>
      <c r="D115" s="1310"/>
      <c r="E115" s="127" t="s">
        <v>56</v>
      </c>
      <c r="F115" s="127">
        <v>1</v>
      </c>
      <c r="G115" s="128"/>
      <c r="H115" s="1308" t="s">
        <v>2317</v>
      </c>
      <c r="I115" s="1308"/>
      <c r="J115" s="1309"/>
    </row>
    <row r="116" spans="1:12" ht="42.75" customHeight="1" x14ac:dyDescent="0.3">
      <c r="A116" s="391">
        <v>1</v>
      </c>
      <c r="B116" s="1310"/>
      <c r="C116" s="1310"/>
      <c r="D116" s="1310"/>
      <c r="E116" s="127" t="s">
        <v>56</v>
      </c>
      <c r="F116" s="127">
        <v>1</v>
      </c>
      <c r="G116" s="128"/>
      <c r="H116" s="1308" t="s">
        <v>60</v>
      </c>
      <c r="I116" s="1308"/>
      <c r="J116" s="1309"/>
    </row>
    <row r="117" spans="1:12" ht="79.5" customHeight="1" x14ac:dyDescent="0.3">
      <c r="A117" s="391">
        <v>1</v>
      </c>
      <c r="B117" s="1310"/>
      <c r="C117" s="1310"/>
      <c r="D117" s="1310"/>
      <c r="E117" s="127" t="s">
        <v>61</v>
      </c>
      <c r="F117" s="127">
        <v>1</v>
      </c>
      <c r="G117" s="128"/>
      <c r="H117" s="1308" t="s">
        <v>1264</v>
      </c>
      <c r="I117" s="1308"/>
      <c r="J117" s="1309"/>
    </row>
    <row r="118" spans="1:12" ht="18" x14ac:dyDescent="0.3">
      <c r="A118" s="391">
        <v>1</v>
      </c>
      <c r="B118" s="1310"/>
      <c r="C118" s="1310"/>
      <c r="D118" s="1310"/>
      <c r="E118" s="127" t="s">
        <v>61</v>
      </c>
      <c r="F118" s="127">
        <v>1</v>
      </c>
      <c r="G118" s="128"/>
      <c r="H118" s="1308" t="s">
        <v>2318</v>
      </c>
      <c r="I118" s="1308"/>
      <c r="J118" s="1309"/>
    </row>
    <row r="119" spans="1:12" ht="62.1" customHeight="1" x14ac:dyDescent="0.3">
      <c r="A119" s="391">
        <v>1</v>
      </c>
      <c r="B119" s="1310"/>
      <c r="C119" s="1310"/>
      <c r="D119" s="1310"/>
      <c r="E119" s="127" t="s">
        <v>61</v>
      </c>
      <c r="F119" s="127">
        <v>1</v>
      </c>
      <c r="G119" s="128"/>
      <c r="H119" s="1308" t="s">
        <v>1263</v>
      </c>
      <c r="I119" s="1308"/>
      <c r="J119" s="1309"/>
    </row>
    <row r="120" spans="1:12" s="46" customFormat="1" ht="81" customHeight="1" x14ac:dyDescent="0.3">
      <c r="A120" s="391">
        <v>1</v>
      </c>
      <c r="B120" s="1310"/>
      <c r="C120" s="1310"/>
      <c r="D120" s="1310"/>
      <c r="E120" s="129" t="s">
        <v>904</v>
      </c>
      <c r="F120" s="849">
        <v>1</v>
      </c>
      <c r="G120" s="130"/>
      <c r="H120" s="1308" t="s">
        <v>2319</v>
      </c>
      <c r="I120" s="1308"/>
      <c r="J120" s="1309"/>
    </row>
    <row r="121" spans="1:12" ht="20.100000000000001" customHeight="1" x14ac:dyDescent="0.3">
      <c r="A121" s="391">
        <v>1</v>
      </c>
      <c r="B121" s="1310"/>
      <c r="C121" s="1310"/>
      <c r="D121" s="1310"/>
      <c r="E121" s="129" t="s">
        <v>904</v>
      </c>
      <c r="F121" s="127">
        <v>1</v>
      </c>
      <c r="G121" s="128"/>
      <c r="H121" s="1308" t="s">
        <v>2788</v>
      </c>
      <c r="I121" s="1308"/>
      <c r="J121" s="1309"/>
    </row>
    <row r="122" spans="1:12" ht="101.1" customHeight="1" x14ac:dyDescent="0.3">
      <c r="A122" s="391">
        <v>1</v>
      </c>
      <c r="B122" s="1310"/>
      <c r="C122" s="1310"/>
      <c r="D122" s="1310"/>
      <c r="E122" s="129" t="s">
        <v>904</v>
      </c>
      <c r="F122" s="127">
        <v>1</v>
      </c>
      <c r="G122" s="128"/>
      <c r="H122" s="1316" t="s">
        <v>2320</v>
      </c>
      <c r="I122" s="1308"/>
      <c r="J122" s="1309"/>
    </row>
    <row r="123" spans="1:12" ht="41.55" customHeight="1" x14ac:dyDescent="0.3">
      <c r="A123" s="391">
        <v>1</v>
      </c>
      <c r="B123" s="1310"/>
      <c r="C123" s="1310"/>
      <c r="D123" s="1310"/>
      <c r="E123" s="127" t="s">
        <v>62</v>
      </c>
      <c r="F123" s="127">
        <v>1</v>
      </c>
      <c r="G123" s="128"/>
      <c r="H123" s="1308" t="s">
        <v>1265</v>
      </c>
      <c r="I123" s="1308"/>
      <c r="J123" s="1309"/>
    </row>
    <row r="124" spans="1:12" ht="71.55" customHeight="1" x14ac:dyDescent="0.3">
      <c r="A124" s="391">
        <v>1</v>
      </c>
      <c r="B124" s="1310"/>
      <c r="C124" s="1310"/>
      <c r="D124" s="1310"/>
      <c r="E124" s="127" t="s">
        <v>451</v>
      </c>
      <c r="F124" s="127">
        <v>1</v>
      </c>
      <c r="G124" s="128"/>
      <c r="H124" s="1308" t="s">
        <v>63</v>
      </c>
      <c r="I124" s="1308"/>
      <c r="J124" s="1309"/>
    </row>
    <row r="125" spans="1:12" ht="44.1" customHeight="1" x14ac:dyDescent="0.3">
      <c r="A125" s="391">
        <v>1</v>
      </c>
      <c r="B125" s="1310" t="s">
        <v>243</v>
      </c>
      <c r="C125" s="1310" t="s">
        <v>3003</v>
      </c>
      <c r="D125" s="1310" t="s">
        <v>741</v>
      </c>
      <c r="E125" s="127" t="s">
        <v>741</v>
      </c>
      <c r="F125" s="127">
        <v>1</v>
      </c>
      <c r="G125" s="128"/>
      <c r="H125" s="1310" t="s">
        <v>1910</v>
      </c>
      <c r="I125" s="1310"/>
      <c r="J125" s="1315"/>
      <c r="L125" s="75" t="s">
        <v>2293</v>
      </c>
    </row>
    <row r="126" spans="1:12" ht="59.55" customHeight="1" x14ac:dyDescent="0.3">
      <c r="A126" s="391">
        <v>1</v>
      </c>
      <c r="B126" s="1310"/>
      <c r="C126" s="1310"/>
      <c r="D126" s="1310"/>
      <c r="E126" s="127" t="s">
        <v>741</v>
      </c>
      <c r="F126" s="127">
        <v>1</v>
      </c>
      <c r="G126" s="128"/>
      <c r="H126" s="1308" t="s">
        <v>2291</v>
      </c>
      <c r="I126" s="1308"/>
      <c r="J126" s="1309"/>
    </row>
    <row r="127" spans="1:12" ht="61.5" customHeight="1" x14ac:dyDescent="0.3">
      <c r="A127" s="1054"/>
      <c r="B127" s="1296"/>
      <c r="C127" s="1296"/>
      <c r="D127" s="1296"/>
      <c r="E127" s="127" t="s">
        <v>741</v>
      </c>
      <c r="F127" s="1045">
        <v>1</v>
      </c>
      <c r="G127" s="1054"/>
      <c r="H127" s="1297" t="s">
        <v>2911</v>
      </c>
      <c r="I127" s="1298"/>
      <c r="J127" s="1299"/>
    </row>
    <row r="128" spans="1:12" ht="45.6" customHeight="1" x14ac:dyDescent="0.3">
      <c r="A128" s="391">
        <v>1</v>
      </c>
      <c r="B128" s="1310"/>
      <c r="C128" s="1310"/>
      <c r="D128" s="1310"/>
      <c r="E128" s="127" t="s">
        <v>741</v>
      </c>
      <c r="F128" s="127">
        <v>1</v>
      </c>
      <c r="G128" s="128"/>
      <c r="H128" s="1308" t="s">
        <v>2292</v>
      </c>
      <c r="I128" s="1308"/>
      <c r="J128" s="1309"/>
    </row>
    <row r="129" spans="1:12" s="46" customFormat="1" ht="79.5" customHeight="1" x14ac:dyDescent="0.3">
      <c r="A129" s="391">
        <v>1</v>
      </c>
      <c r="B129" s="1308" t="s">
        <v>243</v>
      </c>
      <c r="C129" s="1308" t="s">
        <v>3003</v>
      </c>
      <c r="D129" s="1308" t="s">
        <v>308</v>
      </c>
      <c r="E129" s="129" t="s">
        <v>308</v>
      </c>
      <c r="F129" s="849">
        <v>1</v>
      </c>
      <c r="G129" s="130"/>
      <c r="H129" s="1308" t="s">
        <v>1266</v>
      </c>
      <c r="I129" s="1308"/>
      <c r="J129" s="1309"/>
      <c r="L129" s="80" t="s">
        <v>2288</v>
      </c>
    </row>
    <row r="130" spans="1:12" ht="81" customHeight="1" x14ac:dyDescent="0.3">
      <c r="A130" s="391">
        <v>1</v>
      </c>
      <c r="B130" s="1308"/>
      <c r="C130" s="1308"/>
      <c r="D130" s="1308"/>
      <c r="E130" s="129" t="s">
        <v>308</v>
      </c>
      <c r="F130" s="127">
        <v>1</v>
      </c>
      <c r="G130" s="128"/>
      <c r="H130" s="1308" t="s">
        <v>64</v>
      </c>
      <c r="I130" s="1308"/>
      <c r="J130" s="1309"/>
    </row>
    <row r="131" spans="1:12" ht="82.05" customHeight="1" x14ac:dyDescent="0.3">
      <c r="A131" s="391">
        <v>1</v>
      </c>
      <c r="B131" s="1308"/>
      <c r="C131" s="1308"/>
      <c r="D131" s="1308"/>
      <c r="E131" s="129" t="s">
        <v>308</v>
      </c>
      <c r="F131" s="127">
        <v>1</v>
      </c>
      <c r="G131" s="128"/>
      <c r="H131" s="1308" t="s">
        <v>65</v>
      </c>
      <c r="I131" s="1308"/>
      <c r="J131" s="1309"/>
    </row>
    <row r="132" spans="1:12" ht="69" customHeight="1" x14ac:dyDescent="0.3">
      <c r="A132" s="391">
        <v>1</v>
      </c>
      <c r="B132" s="1308"/>
      <c r="C132" s="1308"/>
      <c r="D132" s="1308"/>
      <c r="E132" s="129" t="s">
        <v>308</v>
      </c>
      <c r="F132" s="127">
        <v>1</v>
      </c>
      <c r="G132" s="128"/>
      <c r="H132" s="1308" t="s">
        <v>66</v>
      </c>
      <c r="I132" s="1308"/>
      <c r="J132" s="1309"/>
    </row>
    <row r="133" spans="1:12" ht="39" customHeight="1" x14ac:dyDescent="0.3">
      <c r="A133" s="391">
        <v>1</v>
      </c>
      <c r="B133" s="1308"/>
      <c r="C133" s="1308"/>
      <c r="D133" s="1308"/>
      <c r="E133" s="129" t="s">
        <v>308</v>
      </c>
      <c r="F133" s="127">
        <v>1</v>
      </c>
      <c r="G133" s="128"/>
      <c r="H133" s="1308" t="s">
        <v>67</v>
      </c>
      <c r="I133" s="1308"/>
      <c r="J133" s="1309"/>
    </row>
    <row r="134" spans="1:12" ht="98.25" customHeight="1" x14ac:dyDescent="0.3">
      <c r="A134" s="391">
        <v>1</v>
      </c>
      <c r="B134" s="1310" t="s">
        <v>243</v>
      </c>
      <c r="C134" s="1310" t="s">
        <v>3003</v>
      </c>
      <c r="D134" s="1310" t="s">
        <v>68</v>
      </c>
      <c r="E134" s="127" t="s">
        <v>68</v>
      </c>
      <c r="F134" s="127">
        <v>1</v>
      </c>
      <c r="G134" s="128"/>
      <c r="H134" s="1308" t="s">
        <v>2330</v>
      </c>
      <c r="I134" s="1308"/>
      <c r="J134" s="1309"/>
      <c r="L134" s="75" t="s">
        <v>2288</v>
      </c>
    </row>
    <row r="135" spans="1:12" ht="64.5" customHeight="1" x14ac:dyDescent="0.3">
      <c r="A135" s="391">
        <v>1</v>
      </c>
      <c r="B135" s="1310"/>
      <c r="C135" s="1310"/>
      <c r="D135" s="1310"/>
      <c r="E135" s="127" t="s">
        <v>68</v>
      </c>
      <c r="F135" s="127">
        <v>1</v>
      </c>
      <c r="G135" s="128"/>
      <c r="H135" s="1308" t="s">
        <v>2331</v>
      </c>
      <c r="I135" s="1308"/>
      <c r="J135" s="1309"/>
    </row>
    <row r="136" spans="1:12" ht="138.6" customHeight="1" x14ac:dyDescent="0.3">
      <c r="A136" s="391">
        <v>1</v>
      </c>
      <c r="B136" s="1310" t="s">
        <v>243</v>
      </c>
      <c r="C136" s="1310" t="s">
        <v>3003</v>
      </c>
      <c r="D136" s="1310" t="s">
        <v>69</v>
      </c>
      <c r="E136" s="127" t="s">
        <v>69</v>
      </c>
      <c r="F136" s="127">
        <v>1</v>
      </c>
      <c r="G136" s="128"/>
      <c r="H136" s="1308" t="s">
        <v>2263</v>
      </c>
      <c r="I136" s="1308"/>
      <c r="J136" s="1309"/>
      <c r="L136" s="75" t="s">
        <v>2262</v>
      </c>
    </row>
    <row r="137" spans="1:12" ht="160.05000000000001" customHeight="1" x14ac:dyDescent="0.3">
      <c r="A137" s="391">
        <v>1</v>
      </c>
      <c r="B137" s="1310"/>
      <c r="C137" s="1310"/>
      <c r="D137" s="1310"/>
      <c r="E137" s="127" t="s">
        <v>69</v>
      </c>
      <c r="F137" s="127">
        <v>1</v>
      </c>
      <c r="G137" s="128"/>
      <c r="H137" s="1308" t="s">
        <v>2264</v>
      </c>
      <c r="I137" s="1308"/>
      <c r="J137" s="1309"/>
    </row>
    <row r="138" spans="1:12" ht="122.1" customHeight="1" x14ac:dyDescent="0.3">
      <c r="A138" s="391">
        <v>1</v>
      </c>
      <c r="B138" s="127" t="s">
        <v>243</v>
      </c>
      <c r="C138" s="127" t="s">
        <v>3003</v>
      </c>
      <c r="D138" s="127" t="s">
        <v>70</v>
      </c>
      <c r="E138" s="127" t="s">
        <v>70</v>
      </c>
      <c r="F138" s="127">
        <v>1</v>
      </c>
      <c r="G138" s="128"/>
      <c r="H138" s="1308" t="s">
        <v>202</v>
      </c>
      <c r="I138" s="1308"/>
      <c r="J138" s="1309"/>
      <c r="L138" s="75" t="s">
        <v>2288</v>
      </c>
    </row>
    <row r="139" spans="1:12" ht="39" customHeight="1" x14ac:dyDescent="0.3">
      <c r="A139" s="391">
        <v>1</v>
      </c>
      <c r="B139" s="127" t="s">
        <v>243</v>
      </c>
      <c r="C139" s="127" t="s">
        <v>3003</v>
      </c>
      <c r="D139" s="127" t="s">
        <v>377</v>
      </c>
      <c r="E139" s="127" t="s">
        <v>377</v>
      </c>
      <c r="F139" s="128">
        <v>1</v>
      </c>
      <c r="G139" s="128"/>
      <c r="H139" s="1308" t="s">
        <v>2332</v>
      </c>
      <c r="I139" s="1308"/>
      <c r="J139" s="1309"/>
      <c r="L139" s="75" t="s">
        <v>2288</v>
      </c>
    </row>
    <row r="140" spans="1:12" ht="97.5" customHeight="1" x14ac:dyDescent="0.3">
      <c r="A140" s="391">
        <v>1</v>
      </c>
      <c r="B140" s="1310" t="s">
        <v>243</v>
      </c>
      <c r="C140" s="1310" t="s">
        <v>3003</v>
      </c>
      <c r="D140" s="1310" t="s">
        <v>1348</v>
      </c>
      <c r="E140" s="127" t="s">
        <v>1348</v>
      </c>
      <c r="F140" s="127">
        <v>1</v>
      </c>
      <c r="G140" s="128"/>
      <c r="H140" s="1308" t="s">
        <v>1349</v>
      </c>
      <c r="I140" s="1308"/>
      <c r="J140" s="1309"/>
      <c r="L140" s="75" t="s">
        <v>2288</v>
      </c>
    </row>
    <row r="141" spans="1:12" ht="243" customHeight="1" x14ac:dyDescent="0.3">
      <c r="A141" s="391">
        <v>1</v>
      </c>
      <c r="B141" s="1310"/>
      <c r="C141" s="1310"/>
      <c r="D141" s="1310"/>
      <c r="E141" s="127" t="s">
        <v>1348</v>
      </c>
      <c r="F141" s="127">
        <v>1</v>
      </c>
      <c r="G141" s="128"/>
      <c r="H141" s="1308" t="s">
        <v>2333</v>
      </c>
      <c r="I141" s="1308"/>
      <c r="J141" s="1309"/>
    </row>
    <row r="142" spans="1:12" ht="140.25" customHeight="1" x14ac:dyDescent="0.3">
      <c r="A142" s="391">
        <v>1</v>
      </c>
      <c r="B142" s="1310"/>
      <c r="C142" s="1310"/>
      <c r="D142" s="1310"/>
      <c r="E142" s="127" t="s">
        <v>1348</v>
      </c>
      <c r="F142" s="127">
        <v>1</v>
      </c>
      <c r="G142" s="128"/>
      <c r="H142" s="1308" t="s">
        <v>2334</v>
      </c>
      <c r="I142" s="1308"/>
      <c r="J142" s="1309"/>
    </row>
    <row r="143" spans="1:12" ht="81.45" customHeight="1" x14ac:dyDescent="0.3">
      <c r="A143" s="1054">
        <v>1</v>
      </c>
      <c r="B143" s="1045" t="s">
        <v>243</v>
      </c>
      <c r="C143" s="1045" t="s">
        <v>3003</v>
      </c>
      <c r="D143" s="1045" t="s">
        <v>2296</v>
      </c>
      <c r="E143" s="1045" t="s">
        <v>2296</v>
      </c>
      <c r="F143" s="1045">
        <v>1</v>
      </c>
      <c r="G143" s="1054"/>
      <c r="H143" s="1297" t="s">
        <v>2297</v>
      </c>
      <c r="I143" s="1298"/>
      <c r="J143" s="1299"/>
      <c r="L143" s="75" t="s">
        <v>2298</v>
      </c>
    </row>
    <row r="144" spans="1:12" ht="173.55" customHeight="1" x14ac:dyDescent="0.3">
      <c r="A144" s="1054">
        <v>1</v>
      </c>
      <c r="B144" s="1045" t="s">
        <v>243</v>
      </c>
      <c r="C144" s="1045" t="s">
        <v>3003</v>
      </c>
      <c r="D144" s="1045" t="s">
        <v>2305</v>
      </c>
      <c r="E144" s="1045" t="s">
        <v>2305</v>
      </c>
      <c r="F144" s="1045">
        <v>1</v>
      </c>
      <c r="G144" s="1054"/>
      <c r="H144" s="1297" t="s">
        <v>2306</v>
      </c>
      <c r="I144" s="1298"/>
      <c r="J144" s="1299"/>
      <c r="L144" s="75" t="s">
        <v>2298</v>
      </c>
    </row>
    <row r="145" spans="1:12" ht="98.1" customHeight="1" x14ac:dyDescent="0.3">
      <c r="A145" s="391">
        <v>1</v>
      </c>
      <c r="B145" s="1310" t="s">
        <v>243</v>
      </c>
      <c r="C145" s="1310" t="s">
        <v>3003</v>
      </c>
      <c r="D145" s="1310" t="s">
        <v>1152</v>
      </c>
      <c r="E145" s="127" t="s">
        <v>1152</v>
      </c>
      <c r="F145" s="127">
        <v>1</v>
      </c>
      <c r="G145" s="128"/>
      <c r="H145" s="1320" t="s">
        <v>2217</v>
      </c>
      <c r="I145" s="1321"/>
      <c r="J145" s="1322"/>
    </row>
    <row r="146" spans="1:12" ht="103.5" customHeight="1" x14ac:dyDescent="0.3">
      <c r="A146" s="391">
        <v>1</v>
      </c>
      <c r="B146" s="1310"/>
      <c r="C146" s="1310"/>
      <c r="D146" s="1310"/>
      <c r="E146" s="127" t="s">
        <v>1152</v>
      </c>
      <c r="F146" s="127">
        <v>1</v>
      </c>
      <c r="G146" s="128"/>
      <c r="H146" s="1323" t="s">
        <v>3106</v>
      </c>
      <c r="I146" s="1323"/>
      <c r="J146" s="1324"/>
      <c r="L146" s="75" t="s">
        <v>2288</v>
      </c>
    </row>
    <row r="147" spans="1:12" ht="93.75" customHeight="1" x14ac:dyDescent="0.3">
      <c r="A147" s="391">
        <v>1</v>
      </c>
      <c r="B147" s="1310"/>
      <c r="C147" s="1310"/>
      <c r="D147" s="1310"/>
      <c r="E147" s="127" t="s">
        <v>1152</v>
      </c>
      <c r="F147" s="127">
        <v>1</v>
      </c>
      <c r="G147" s="128"/>
      <c r="H147" s="1308" t="s">
        <v>2335</v>
      </c>
      <c r="I147" s="1308"/>
      <c r="J147" s="1309"/>
    </row>
    <row r="148" spans="1:12" ht="123" customHeight="1" x14ac:dyDescent="0.3">
      <c r="A148" s="391">
        <v>1</v>
      </c>
      <c r="B148" s="1310"/>
      <c r="C148" s="1310"/>
      <c r="D148" s="1310"/>
      <c r="E148" s="127" t="s">
        <v>1152</v>
      </c>
      <c r="F148" s="127">
        <v>1</v>
      </c>
      <c r="G148" s="128"/>
      <c r="H148" s="1297" t="s">
        <v>2335</v>
      </c>
      <c r="I148" s="1298"/>
      <c r="J148" s="1299"/>
    </row>
    <row r="149" spans="1:12" ht="93.75" customHeight="1" x14ac:dyDescent="0.3">
      <c r="A149" s="391">
        <v>1</v>
      </c>
      <c r="B149" s="1310"/>
      <c r="C149" s="1310"/>
      <c r="D149" s="1310"/>
      <c r="E149" s="127" t="s">
        <v>1152</v>
      </c>
      <c r="F149" s="127">
        <v>1</v>
      </c>
      <c r="G149" s="128"/>
      <c r="H149" s="1297" t="s">
        <v>2335</v>
      </c>
      <c r="I149" s="1298"/>
      <c r="J149" s="1299"/>
    </row>
    <row r="150" spans="1:12" ht="98.1" customHeight="1" x14ac:dyDescent="0.3">
      <c r="A150" s="391">
        <v>1</v>
      </c>
      <c r="B150" s="1310" t="s">
        <v>243</v>
      </c>
      <c r="C150" s="1310" t="s">
        <v>3003</v>
      </c>
      <c r="D150" s="1310" t="s">
        <v>247</v>
      </c>
      <c r="E150" s="127" t="s">
        <v>247</v>
      </c>
      <c r="F150" s="127">
        <v>1</v>
      </c>
      <c r="G150" s="128"/>
      <c r="H150" s="1310" t="s">
        <v>2789</v>
      </c>
      <c r="I150" s="1310"/>
      <c r="J150" s="1315"/>
      <c r="L150" s="75" t="s">
        <v>2288</v>
      </c>
    </row>
    <row r="151" spans="1:12" s="47" customFormat="1" ht="98.1" customHeight="1" x14ac:dyDescent="0.3">
      <c r="A151" s="391">
        <v>1</v>
      </c>
      <c r="B151" s="1310"/>
      <c r="C151" s="1310"/>
      <c r="D151" s="1310"/>
      <c r="E151" s="127" t="s">
        <v>247</v>
      </c>
      <c r="F151" s="127">
        <v>1</v>
      </c>
      <c r="G151" s="127"/>
      <c r="H151" s="1325" t="s">
        <v>2912</v>
      </c>
      <c r="I151" s="1325"/>
      <c r="J151" s="1326"/>
    </row>
    <row r="152" spans="1:12" s="47" customFormat="1" ht="96.6" customHeight="1" x14ac:dyDescent="0.3">
      <c r="A152" s="391">
        <v>1</v>
      </c>
      <c r="B152" s="1310"/>
      <c r="C152" s="1310"/>
      <c r="D152" s="1310"/>
      <c r="E152" s="127" t="s">
        <v>247</v>
      </c>
      <c r="F152" s="127">
        <v>1</v>
      </c>
      <c r="G152" s="127"/>
      <c r="H152" s="1316" t="s">
        <v>1605</v>
      </c>
      <c r="I152" s="1316"/>
      <c r="J152" s="1317"/>
    </row>
    <row r="153" spans="1:12" s="47" customFormat="1" ht="81.75" customHeight="1" x14ac:dyDescent="0.3">
      <c r="A153" s="391">
        <v>1</v>
      </c>
      <c r="B153" s="1310"/>
      <c r="C153" s="1310"/>
      <c r="D153" s="1310"/>
      <c r="E153" s="127" t="s">
        <v>247</v>
      </c>
      <c r="F153" s="127">
        <v>1</v>
      </c>
      <c r="G153" s="127"/>
      <c r="H153" s="1316" t="s">
        <v>1606</v>
      </c>
      <c r="I153" s="1316"/>
      <c r="J153" s="1317"/>
    </row>
    <row r="154" spans="1:12" ht="139.05000000000001" customHeight="1" x14ac:dyDescent="0.3">
      <c r="A154" s="391">
        <v>1</v>
      </c>
      <c r="B154" s="1310" t="s">
        <v>243</v>
      </c>
      <c r="C154" s="1310" t="s">
        <v>3003</v>
      </c>
      <c r="D154" s="1310" t="s">
        <v>249</v>
      </c>
      <c r="E154" s="127" t="s">
        <v>249</v>
      </c>
      <c r="F154" s="127">
        <v>1</v>
      </c>
      <c r="G154" s="128"/>
      <c r="H154" s="1308" t="s">
        <v>3107</v>
      </c>
      <c r="I154" s="1308"/>
      <c r="J154" s="1309"/>
      <c r="L154" s="75" t="s">
        <v>2288</v>
      </c>
    </row>
    <row r="155" spans="1:12" ht="181.05" customHeight="1" x14ac:dyDescent="0.3">
      <c r="A155" s="391">
        <v>1</v>
      </c>
      <c r="B155" s="1310"/>
      <c r="C155" s="1310"/>
      <c r="D155" s="1310"/>
      <c r="E155" s="127" t="s">
        <v>603</v>
      </c>
      <c r="F155" s="127">
        <v>1</v>
      </c>
      <c r="G155" s="128"/>
      <c r="H155" s="1308" t="s">
        <v>2336</v>
      </c>
      <c r="I155" s="1308"/>
      <c r="J155" s="1309"/>
      <c r="L155" s="75" t="s">
        <v>2288</v>
      </c>
    </row>
    <row r="156" spans="1:12" ht="385.05" customHeight="1" x14ac:dyDescent="0.3">
      <c r="A156" s="1054"/>
      <c r="B156" s="1296"/>
      <c r="C156" s="1296"/>
      <c r="D156" s="1296"/>
      <c r="E156" s="1045" t="s">
        <v>1348</v>
      </c>
      <c r="F156" s="1045">
        <v>1</v>
      </c>
      <c r="G156" s="1054"/>
      <c r="H156" s="1297" t="s">
        <v>2913</v>
      </c>
      <c r="I156" s="1298"/>
      <c r="J156" s="1299"/>
      <c r="L156" s="75" t="s">
        <v>2302</v>
      </c>
    </row>
    <row r="157" spans="1:12" ht="140.25" customHeight="1" x14ac:dyDescent="0.3">
      <c r="A157" s="391">
        <v>1</v>
      </c>
      <c r="B157" s="1310"/>
      <c r="C157" s="1310"/>
      <c r="D157" s="1310"/>
      <c r="E157" s="127" t="s">
        <v>308</v>
      </c>
      <c r="F157" s="127">
        <v>1</v>
      </c>
      <c r="G157" s="128"/>
      <c r="H157" s="1308" t="s">
        <v>1267</v>
      </c>
      <c r="I157" s="1308"/>
      <c r="J157" s="1309"/>
      <c r="L157" s="75" t="s">
        <v>2288</v>
      </c>
    </row>
    <row r="158" spans="1:12" ht="218.25" customHeight="1" x14ac:dyDescent="0.3">
      <c r="A158" s="391">
        <v>1</v>
      </c>
      <c r="B158" s="1310"/>
      <c r="C158" s="1310"/>
      <c r="D158" s="1310"/>
      <c r="E158" s="127" t="s">
        <v>588</v>
      </c>
      <c r="F158" s="127">
        <v>1</v>
      </c>
      <c r="G158" s="128"/>
      <c r="H158" s="1308" t="s">
        <v>3108</v>
      </c>
      <c r="I158" s="1308"/>
      <c r="J158" s="1309"/>
      <c r="L158" s="75" t="s">
        <v>2288</v>
      </c>
    </row>
    <row r="159" spans="1:12" ht="116.1" customHeight="1" x14ac:dyDescent="0.3">
      <c r="A159" s="391">
        <v>1</v>
      </c>
      <c r="B159" s="1310"/>
      <c r="C159" s="1310"/>
      <c r="D159" s="1310"/>
      <c r="E159" s="127" t="s">
        <v>32</v>
      </c>
      <c r="F159" s="127">
        <v>1</v>
      </c>
      <c r="G159" s="128"/>
      <c r="H159" s="1308" t="s">
        <v>3010</v>
      </c>
      <c r="I159" s="1308"/>
      <c r="J159" s="1309"/>
      <c r="L159" s="75" t="s">
        <v>2288</v>
      </c>
    </row>
    <row r="160" spans="1:12" ht="38.25" customHeight="1" thickBot="1" x14ac:dyDescent="0.35">
      <c r="A160" s="391">
        <v>1</v>
      </c>
      <c r="B160" s="1312"/>
      <c r="C160" s="1312"/>
      <c r="D160" s="1312"/>
      <c r="E160" s="149" t="s">
        <v>1268</v>
      </c>
      <c r="F160" s="144">
        <v>1</v>
      </c>
      <c r="G160" s="145"/>
      <c r="H160" s="1318" t="s">
        <v>1257</v>
      </c>
      <c r="I160" s="1318"/>
      <c r="J160" s="1319"/>
    </row>
    <row r="161" ht="14.4" thickTop="1" x14ac:dyDescent="0.3"/>
  </sheetData>
  <autoFilter ref="A1:I827" xr:uid="{00000000-0009-0000-0000-000007000000}"/>
  <mergeCells count="236">
    <mergeCell ref="H152:J152"/>
    <mergeCell ref="H153:J153"/>
    <mergeCell ref="H154:J154"/>
    <mergeCell ref="H155:J155"/>
    <mergeCell ref="H157:J157"/>
    <mergeCell ref="H158:J158"/>
    <mergeCell ref="H159:J159"/>
    <mergeCell ref="H160:J160"/>
    <mergeCell ref="H52:J52"/>
    <mergeCell ref="H53:J53"/>
    <mergeCell ref="H54:J54"/>
    <mergeCell ref="H140:J140"/>
    <mergeCell ref="H141:J141"/>
    <mergeCell ref="H142:J142"/>
    <mergeCell ref="H145:J145"/>
    <mergeCell ref="H146:J146"/>
    <mergeCell ref="H147:J147"/>
    <mergeCell ref="H149:J149"/>
    <mergeCell ref="H150:J150"/>
    <mergeCell ref="H151:J151"/>
    <mergeCell ref="H148:J148"/>
    <mergeCell ref="H143:J143"/>
    <mergeCell ref="H132:J132"/>
    <mergeCell ref="H133:J133"/>
    <mergeCell ref="H134:J134"/>
    <mergeCell ref="H135:J135"/>
    <mergeCell ref="H136:J136"/>
    <mergeCell ref="H137:J137"/>
    <mergeCell ref="H138:J138"/>
    <mergeCell ref="H139:J139"/>
    <mergeCell ref="H123:J123"/>
    <mergeCell ref="H124:J124"/>
    <mergeCell ref="H125:J125"/>
    <mergeCell ref="H126:J126"/>
    <mergeCell ref="H128:J128"/>
    <mergeCell ref="H129:J129"/>
    <mergeCell ref="H130:J130"/>
    <mergeCell ref="H131:J131"/>
    <mergeCell ref="H127:J127"/>
    <mergeCell ref="H98:J98"/>
    <mergeCell ref="H99:J99"/>
    <mergeCell ref="H119:J119"/>
    <mergeCell ref="H120:J120"/>
    <mergeCell ref="H121:J121"/>
    <mergeCell ref="H122:J122"/>
    <mergeCell ref="H109:J109"/>
    <mergeCell ref="H110:J110"/>
    <mergeCell ref="H113:J113"/>
    <mergeCell ref="H114:J114"/>
    <mergeCell ref="H115:J115"/>
    <mergeCell ref="H116:J116"/>
    <mergeCell ref="H117:J117"/>
    <mergeCell ref="H118:J118"/>
    <mergeCell ref="H111:J111"/>
    <mergeCell ref="H112:J112"/>
    <mergeCell ref="H22:J22"/>
    <mergeCell ref="H23:J23"/>
    <mergeCell ref="H103:J103"/>
    <mergeCell ref="H104:J104"/>
    <mergeCell ref="H69:J69"/>
    <mergeCell ref="H70:J70"/>
    <mergeCell ref="H71:J71"/>
    <mergeCell ref="H72:J72"/>
    <mergeCell ref="H73:J73"/>
    <mergeCell ref="H74:J74"/>
    <mergeCell ref="H75:J75"/>
    <mergeCell ref="H76:J76"/>
    <mergeCell ref="H77:J77"/>
    <mergeCell ref="H78:J78"/>
    <mergeCell ref="H79:J79"/>
    <mergeCell ref="H81:J81"/>
    <mergeCell ref="H82:J82"/>
    <mergeCell ref="H100:J100"/>
    <mergeCell ref="H101:J101"/>
    <mergeCell ref="H91:J91"/>
    <mergeCell ref="H92:J92"/>
    <mergeCell ref="H95:J95"/>
    <mergeCell ref="H96:J96"/>
    <mergeCell ref="H97:J97"/>
    <mergeCell ref="C129:C133"/>
    <mergeCell ref="B129:B133"/>
    <mergeCell ref="H13:J13"/>
    <mergeCell ref="H14:J14"/>
    <mergeCell ref="H31:J31"/>
    <mergeCell ref="H32:J32"/>
    <mergeCell ref="H33:J33"/>
    <mergeCell ref="H34:J34"/>
    <mergeCell ref="H35:J35"/>
    <mergeCell ref="H36:J36"/>
    <mergeCell ref="H37:J37"/>
    <mergeCell ref="H24:J24"/>
    <mergeCell ref="H25:J25"/>
    <mergeCell ref="H26:J26"/>
    <mergeCell ref="H27:J27"/>
    <mergeCell ref="H28:J28"/>
    <mergeCell ref="H29:J29"/>
    <mergeCell ref="H30:J30"/>
    <mergeCell ref="H16:J16"/>
    <mergeCell ref="H17:J17"/>
    <mergeCell ref="H18:J18"/>
    <mergeCell ref="H19:J19"/>
    <mergeCell ref="H20:J20"/>
    <mergeCell ref="H21:J21"/>
    <mergeCell ref="C99:C105"/>
    <mergeCell ref="B99:B105"/>
    <mergeCell ref="D145:D149"/>
    <mergeCell ref="C145:C149"/>
    <mergeCell ref="B145:B149"/>
    <mergeCell ref="D150:D153"/>
    <mergeCell ref="C150:C153"/>
    <mergeCell ref="B150:B153"/>
    <mergeCell ref="D154:D160"/>
    <mergeCell ref="C154:C160"/>
    <mergeCell ref="B154:B160"/>
    <mergeCell ref="C134:C135"/>
    <mergeCell ref="B134:B135"/>
    <mergeCell ref="D136:D137"/>
    <mergeCell ref="C136:C137"/>
    <mergeCell ref="B136:B137"/>
    <mergeCell ref="D140:D142"/>
    <mergeCell ref="C140:C142"/>
    <mergeCell ref="B140:B142"/>
    <mergeCell ref="D107:D124"/>
    <mergeCell ref="C107:C124"/>
    <mergeCell ref="B107:B124"/>
    <mergeCell ref="D125:D128"/>
    <mergeCell ref="C125:C128"/>
    <mergeCell ref="C21:C22"/>
    <mergeCell ref="B21:B22"/>
    <mergeCell ref="D23:D36"/>
    <mergeCell ref="C23:C36"/>
    <mergeCell ref="B23:B36"/>
    <mergeCell ref="B125:B128"/>
    <mergeCell ref="C72:C76"/>
    <mergeCell ref="B72:B76"/>
    <mergeCell ref="B77:B80"/>
    <mergeCell ref="D68:D71"/>
    <mergeCell ref="C68:C71"/>
    <mergeCell ref="B68:B71"/>
    <mergeCell ref="C38:C39"/>
    <mergeCell ref="B38:B39"/>
    <mergeCell ref="D41:D43"/>
    <mergeCell ref="C77:C80"/>
    <mergeCell ref="D77:D80"/>
    <mergeCell ref="D81:D83"/>
    <mergeCell ref="C81:C83"/>
    <mergeCell ref="B81:B83"/>
    <mergeCell ref="D85:D98"/>
    <mergeCell ref="C85:C98"/>
    <mergeCell ref="B85:B98"/>
    <mergeCell ref="D99:D105"/>
    <mergeCell ref="C41:C43"/>
    <mergeCell ref="B41:B43"/>
    <mergeCell ref="D44:D66"/>
    <mergeCell ref="C44:C66"/>
    <mergeCell ref="B44:B66"/>
    <mergeCell ref="H6:J6"/>
    <mergeCell ref="H7:J7"/>
    <mergeCell ref="H8:J8"/>
    <mergeCell ref="H10:J10"/>
    <mergeCell ref="H11:J11"/>
    <mergeCell ref="H12:J12"/>
    <mergeCell ref="D19:D20"/>
    <mergeCell ref="C19:C20"/>
    <mergeCell ref="B19:B20"/>
    <mergeCell ref="B6:B7"/>
    <mergeCell ref="B8:B13"/>
    <mergeCell ref="C8:C13"/>
    <mergeCell ref="D17:D18"/>
    <mergeCell ref="C17:C18"/>
    <mergeCell ref="B17:B18"/>
    <mergeCell ref="D6:D7"/>
    <mergeCell ref="C6:C7"/>
    <mergeCell ref="D8:D13"/>
    <mergeCell ref="D21:D22"/>
    <mergeCell ref="H48:J48"/>
    <mergeCell ref="H49:J49"/>
    <mergeCell ref="H55:J55"/>
    <mergeCell ref="H50:J50"/>
    <mergeCell ref="H51:J51"/>
    <mergeCell ref="H59:J59"/>
    <mergeCell ref="H56:J56"/>
    <mergeCell ref="H40:J40"/>
    <mergeCell ref="H41:J41"/>
    <mergeCell ref="H42:J42"/>
    <mergeCell ref="H43:J43"/>
    <mergeCell ref="H44:J44"/>
    <mergeCell ref="H45:J45"/>
    <mergeCell ref="H93:J93"/>
    <mergeCell ref="H94:J94"/>
    <mergeCell ref="H80:J80"/>
    <mergeCell ref="H144:J144"/>
    <mergeCell ref="H102:J102"/>
    <mergeCell ref="D38:D39"/>
    <mergeCell ref="H46:J46"/>
    <mergeCell ref="H67:J67"/>
    <mergeCell ref="D72:D76"/>
    <mergeCell ref="D129:D133"/>
    <mergeCell ref="H105:J105"/>
    <mergeCell ref="D134:D135"/>
    <mergeCell ref="H57:J57"/>
    <mergeCell ref="H58:J58"/>
    <mergeCell ref="H60:J60"/>
    <mergeCell ref="H61:J61"/>
    <mergeCell ref="H62:J62"/>
    <mergeCell ref="H63:J63"/>
    <mergeCell ref="H64:J64"/>
    <mergeCell ref="H65:J65"/>
    <mergeCell ref="H66:J66"/>
    <mergeCell ref="H38:J38"/>
    <mergeCell ref="H39:J39"/>
    <mergeCell ref="H47:J47"/>
    <mergeCell ref="B2:B3"/>
    <mergeCell ref="B4:B5"/>
    <mergeCell ref="H156:J156"/>
    <mergeCell ref="H2:J2"/>
    <mergeCell ref="H3:J3"/>
    <mergeCell ref="H4:J4"/>
    <mergeCell ref="H5:J5"/>
    <mergeCell ref="H9:J9"/>
    <mergeCell ref="B14:B15"/>
    <mergeCell ref="C14:C15"/>
    <mergeCell ref="D14:D15"/>
    <mergeCell ref="H15:J15"/>
    <mergeCell ref="H68:J68"/>
    <mergeCell ref="H106:J106"/>
    <mergeCell ref="H107:J107"/>
    <mergeCell ref="H108:J108"/>
    <mergeCell ref="H83:J83"/>
    <mergeCell ref="H84:J84"/>
    <mergeCell ref="H85:J85"/>
    <mergeCell ref="H86:J86"/>
    <mergeCell ref="H87:J87"/>
    <mergeCell ref="H88:J88"/>
    <mergeCell ref="H89:J89"/>
    <mergeCell ref="H90:J90"/>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'Guidance Notes'!$V$1:$V$2</xm:f>
          </x14:formula1>
          <xm:sqref>F6:F160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J22"/>
  <sheetViews>
    <sheetView topLeftCell="A18" zoomScale="70" zoomScaleNormal="70" workbookViewId="0">
      <selection activeCell="A18" sqref="A1:XFD1048576"/>
    </sheetView>
  </sheetViews>
  <sheetFormatPr defaultRowHeight="13.8" x14ac:dyDescent="0.3"/>
  <cols>
    <col min="2" max="2" width="18" customWidth="1"/>
    <col min="3" max="3" width="16.44140625" customWidth="1"/>
    <col min="4" max="4" width="17" customWidth="1"/>
    <col min="5" max="5" width="21.44140625" customWidth="1"/>
    <col min="6" max="6" width="12.6640625" customWidth="1"/>
    <col min="8" max="8" width="29.109375" customWidth="1"/>
    <col min="9" max="9" width="23" customWidth="1"/>
    <col min="10" max="10" width="29" customWidth="1"/>
  </cols>
  <sheetData>
    <row r="1" spans="1:10" s="400" customFormat="1" ht="61.5" customHeight="1" thickTop="1" thickBot="1" x14ac:dyDescent="0.35">
      <c r="A1" s="395" t="s">
        <v>474</v>
      </c>
      <c r="B1" s="395" t="s">
        <v>440</v>
      </c>
      <c r="C1" s="395" t="s">
        <v>441</v>
      </c>
      <c r="D1" s="395" t="s">
        <v>442</v>
      </c>
      <c r="E1" s="395" t="s">
        <v>443</v>
      </c>
      <c r="F1" s="395" t="s">
        <v>1254</v>
      </c>
      <c r="G1" s="396" t="s">
        <v>1589</v>
      </c>
      <c r="H1" s="397" t="str">
        <f>'Standing Data'!D34</f>
        <v>2025/26</v>
      </c>
      <c r="I1" s="398" t="str">
        <f>'Standing Data'!D52</f>
        <v>2024/25</v>
      </c>
      <c r="J1" s="399" t="str">
        <f>'Standing Data'!D56</f>
        <v>2023/24</v>
      </c>
    </row>
    <row r="2" spans="1:10" s="31" customFormat="1" ht="204" customHeight="1" thickTop="1" x14ac:dyDescent="0.3">
      <c r="A2" s="1257">
        <v>2</v>
      </c>
      <c r="B2" s="834" t="s">
        <v>1983</v>
      </c>
      <c r="C2" s="834" t="s">
        <v>1983</v>
      </c>
      <c r="D2" s="834" t="s">
        <v>1983</v>
      </c>
      <c r="E2" s="834" t="s">
        <v>1983</v>
      </c>
      <c r="F2" s="834">
        <v>1</v>
      </c>
      <c r="G2" s="1258"/>
      <c r="H2" s="1329" t="s">
        <v>2976</v>
      </c>
      <c r="I2" s="1329"/>
      <c r="J2" s="1330"/>
    </row>
    <row r="3" spans="1:10" s="31" customFormat="1" ht="64.5" customHeight="1" x14ac:dyDescent="0.3">
      <c r="A3" s="965">
        <v>2</v>
      </c>
      <c r="B3" s="1045" t="s">
        <v>1983</v>
      </c>
      <c r="C3" s="1045" t="s">
        <v>1983</v>
      </c>
      <c r="D3" s="1045" t="s">
        <v>1983</v>
      </c>
      <c r="E3" s="1045" t="s">
        <v>1983</v>
      </c>
      <c r="F3" s="1045">
        <v>1</v>
      </c>
      <c r="G3" s="1054"/>
      <c r="H3" s="1297" t="s">
        <v>2003</v>
      </c>
      <c r="I3" s="1298"/>
      <c r="J3" s="1299"/>
    </row>
    <row r="4" spans="1:10" s="31" customFormat="1" ht="61.5" customHeight="1" x14ac:dyDescent="0.3">
      <c r="A4" s="965">
        <v>2</v>
      </c>
      <c r="B4" s="966" t="s">
        <v>1983</v>
      </c>
      <c r="C4" s="966" t="s">
        <v>1983</v>
      </c>
      <c r="D4" s="966" t="s">
        <v>1983</v>
      </c>
      <c r="E4" s="966" t="s">
        <v>1983</v>
      </c>
      <c r="F4" s="966">
        <v>1</v>
      </c>
      <c r="G4" s="967"/>
      <c r="H4" s="1331" t="s">
        <v>1994</v>
      </c>
      <c r="I4" s="1331"/>
      <c r="J4" s="1332"/>
    </row>
    <row r="5" spans="1:10" s="31" customFormat="1" ht="83.25" customHeight="1" x14ac:dyDescent="0.3">
      <c r="A5" s="965">
        <v>2</v>
      </c>
      <c r="B5" s="966" t="s">
        <v>1983</v>
      </c>
      <c r="C5" s="966" t="s">
        <v>1983</v>
      </c>
      <c r="D5" s="966" t="s">
        <v>2186</v>
      </c>
      <c r="E5" s="1045" t="s">
        <v>1996</v>
      </c>
      <c r="F5" s="1045">
        <v>1</v>
      </c>
      <c r="G5" s="1054"/>
      <c r="H5" s="1297" t="s">
        <v>2345</v>
      </c>
      <c r="I5" s="1298"/>
      <c r="J5" s="1299"/>
    </row>
    <row r="6" spans="1:10" s="31" customFormat="1" ht="103.5" customHeight="1" x14ac:dyDescent="0.3">
      <c r="A6" s="965">
        <v>2</v>
      </c>
      <c r="B6" s="966" t="s">
        <v>1983</v>
      </c>
      <c r="C6" s="966" t="s">
        <v>1983</v>
      </c>
      <c r="D6" s="966" t="s">
        <v>2186</v>
      </c>
      <c r="E6" s="1045" t="s">
        <v>1996</v>
      </c>
      <c r="F6" s="1045">
        <v>1</v>
      </c>
      <c r="G6" s="1054"/>
      <c r="H6" s="1297" t="s">
        <v>2343</v>
      </c>
      <c r="I6" s="1298"/>
      <c r="J6" s="1299"/>
    </row>
    <row r="7" spans="1:10" s="31" customFormat="1" ht="109.5" customHeight="1" x14ac:dyDescent="0.3">
      <c r="A7" s="965">
        <v>2</v>
      </c>
      <c r="B7" s="966" t="s">
        <v>1983</v>
      </c>
      <c r="C7" s="966" t="s">
        <v>1983</v>
      </c>
      <c r="D7" s="966" t="s">
        <v>2186</v>
      </c>
      <c r="E7" s="1045" t="s">
        <v>2355</v>
      </c>
      <c r="F7" s="1045">
        <v>1</v>
      </c>
      <c r="G7" s="1054"/>
      <c r="H7" s="1297" t="s">
        <v>2898</v>
      </c>
      <c r="I7" s="1298"/>
      <c r="J7" s="1299"/>
    </row>
    <row r="8" spans="1:10" s="31" customFormat="1" ht="174" customHeight="1" x14ac:dyDescent="0.3">
      <c r="A8" s="965">
        <v>2</v>
      </c>
      <c r="B8" s="966" t="s">
        <v>1983</v>
      </c>
      <c r="C8" s="966" t="s">
        <v>1983</v>
      </c>
      <c r="D8" s="966" t="s">
        <v>2186</v>
      </c>
      <c r="E8" s="1045" t="s">
        <v>2355</v>
      </c>
      <c r="F8" s="1045">
        <v>1</v>
      </c>
      <c r="G8" s="1054"/>
      <c r="H8" s="1297" t="s">
        <v>2344</v>
      </c>
      <c r="I8" s="1298"/>
      <c r="J8" s="1299"/>
    </row>
    <row r="9" spans="1:10" s="31" customFormat="1" ht="61.5" customHeight="1" x14ac:dyDescent="0.3">
      <c r="A9" s="965">
        <v>2</v>
      </c>
      <c r="B9" s="966" t="s">
        <v>1983</v>
      </c>
      <c r="C9" s="966" t="s">
        <v>1983</v>
      </c>
      <c r="D9" s="966" t="s">
        <v>2186</v>
      </c>
      <c r="E9" s="1045" t="s">
        <v>1968</v>
      </c>
      <c r="F9" s="1045">
        <v>1</v>
      </c>
      <c r="G9" s="1054"/>
      <c r="H9" s="1297" t="s">
        <v>2348</v>
      </c>
      <c r="I9" s="1298"/>
      <c r="J9" s="1299"/>
    </row>
    <row r="10" spans="1:10" s="31" customFormat="1" ht="61.5" customHeight="1" x14ac:dyDescent="0.3">
      <c r="A10" s="965">
        <v>2</v>
      </c>
      <c r="B10" s="966" t="s">
        <v>1983</v>
      </c>
      <c r="C10" s="966" t="s">
        <v>1983</v>
      </c>
      <c r="D10" s="966" t="s">
        <v>2186</v>
      </c>
      <c r="E10" s="1045" t="s">
        <v>2356</v>
      </c>
      <c r="F10" s="1045">
        <v>1</v>
      </c>
      <c r="G10" s="1054"/>
      <c r="H10" s="1297" t="s">
        <v>2346</v>
      </c>
      <c r="I10" s="1298"/>
      <c r="J10" s="1299"/>
    </row>
    <row r="11" spans="1:10" s="31" customFormat="1" ht="61.5" customHeight="1" x14ac:dyDescent="0.3">
      <c r="A11" s="965">
        <v>2</v>
      </c>
      <c r="B11" s="966" t="s">
        <v>1983</v>
      </c>
      <c r="C11" s="966" t="s">
        <v>1983</v>
      </c>
      <c r="D11" s="966" t="s">
        <v>2186</v>
      </c>
      <c r="E11" s="1045" t="s">
        <v>2356</v>
      </c>
      <c r="F11" s="1045">
        <v>1</v>
      </c>
      <c r="G11" s="1054"/>
      <c r="H11" s="1297" t="s">
        <v>2347</v>
      </c>
      <c r="I11" s="1298"/>
      <c r="J11" s="1299"/>
    </row>
    <row r="12" spans="1:10" s="31" customFormat="1" ht="61.5" customHeight="1" x14ac:dyDescent="0.3">
      <c r="A12" s="965">
        <v>2</v>
      </c>
      <c r="B12" s="966" t="s">
        <v>1983</v>
      </c>
      <c r="C12" s="966" t="s">
        <v>1983</v>
      </c>
      <c r="D12" s="966" t="s">
        <v>2186</v>
      </c>
      <c r="E12" s="1045" t="s">
        <v>2357</v>
      </c>
      <c r="F12" s="1045">
        <v>1</v>
      </c>
      <c r="G12" s="1054"/>
      <c r="H12" s="1297" t="s">
        <v>2349</v>
      </c>
      <c r="I12" s="1298"/>
      <c r="J12" s="1299"/>
    </row>
    <row r="13" spans="1:10" s="31" customFormat="1" ht="61.5" customHeight="1" x14ac:dyDescent="0.3">
      <c r="A13" s="965">
        <v>2</v>
      </c>
      <c r="B13" s="966" t="s">
        <v>1983</v>
      </c>
      <c r="C13" s="966" t="s">
        <v>1983</v>
      </c>
      <c r="D13" s="966" t="s">
        <v>2186</v>
      </c>
      <c r="E13" s="1045" t="s">
        <v>2357</v>
      </c>
      <c r="F13" s="1045">
        <v>1</v>
      </c>
      <c r="G13" s="1054"/>
      <c r="H13" s="1297" t="s">
        <v>2350</v>
      </c>
      <c r="I13" s="1298"/>
      <c r="J13" s="1299"/>
    </row>
    <row r="14" spans="1:10" s="31" customFormat="1" ht="117.6" customHeight="1" x14ac:dyDescent="0.3">
      <c r="A14" s="965">
        <v>2</v>
      </c>
      <c r="B14" s="966" t="s">
        <v>1983</v>
      </c>
      <c r="C14" s="966" t="s">
        <v>1983</v>
      </c>
      <c r="D14" s="966" t="s">
        <v>2186</v>
      </c>
      <c r="E14" s="1045" t="s">
        <v>2357</v>
      </c>
      <c r="F14" s="1045">
        <v>1</v>
      </c>
      <c r="G14" s="1054"/>
      <c r="H14" s="1297" t="s">
        <v>2351</v>
      </c>
      <c r="I14" s="1298"/>
      <c r="J14" s="1299"/>
    </row>
    <row r="15" spans="1:10" s="31" customFormat="1" ht="120.75" customHeight="1" x14ac:dyDescent="0.3">
      <c r="A15" s="965">
        <v>2</v>
      </c>
      <c r="B15" s="966" t="s">
        <v>1983</v>
      </c>
      <c r="C15" s="966" t="s">
        <v>1983</v>
      </c>
      <c r="D15" s="966" t="s">
        <v>2186</v>
      </c>
      <c r="E15" s="1045" t="s">
        <v>2352</v>
      </c>
      <c r="F15" s="1045">
        <v>1</v>
      </c>
      <c r="G15" s="1054"/>
      <c r="H15" s="1297" t="s">
        <v>2353</v>
      </c>
      <c r="I15" s="1298"/>
      <c r="J15" s="1299"/>
    </row>
    <row r="16" spans="1:10" s="31" customFormat="1" ht="107.55" customHeight="1" x14ac:dyDescent="0.3">
      <c r="A16" s="965">
        <v>2</v>
      </c>
      <c r="B16" s="966" t="s">
        <v>1983</v>
      </c>
      <c r="C16" s="966" t="s">
        <v>1983</v>
      </c>
      <c r="D16" s="966" t="s">
        <v>2186</v>
      </c>
      <c r="E16" s="1045" t="s">
        <v>2352</v>
      </c>
      <c r="F16" s="1045">
        <v>1</v>
      </c>
      <c r="G16" s="1054"/>
      <c r="H16" s="1297" t="s">
        <v>2895</v>
      </c>
      <c r="I16" s="1298"/>
      <c r="J16" s="1299"/>
    </row>
    <row r="17" spans="1:10" s="31" customFormat="1" ht="61.5" customHeight="1" x14ac:dyDescent="0.3">
      <c r="A17" s="965">
        <v>2</v>
      </c>
      <c r="B17" s="966" t="s">
        <v>1983</v>
      </c>
      <c r="C17" s="966" t="s">
        <v>1983</v>
      </c>
      <c r="D17" s="966" t="s">
        <v>2186</v>
      </c>
      <c r="E17" s="1045" t="s">
        <v>2352</v>
      </c>
      <c r="F17" s="1045">
        <v>1</v>
      </c>
      <c r="G17" s="1054"/>
      <c r="H17" s="1297" t="s">
        <v>2896</v>
      </c>
      <c r="I17" s="1298"/>
      <c r="J17" s="1299"/>
    </row>
    <row r="18" spans="1:10" s="31" customFormat="1" ht="61.5" customHeight="1" x14ac:dyDescent="0.3">
      <c r="A18" s="965">
        <v>2</v>
      </c>
      <c r="B18" s="966" t="s">
        <v>1983</v>
      </c>
      <c r="C18" s="966" t="s">
        <v>1983</v>
      </c>
      <c r="D18" s="966" t="s">
        <v>2186</v>
      </c>
      <c r="E18" s="1045" t="s">
        <v>2352</v>
      </c>
      <c r="F18" s="1045">
        <v>1</v>
      </c>
      <c r="G18" s="1054"/>
      <c r="H18" s="1297" t="s">
        <v>2861</v>
      </c>
      <c r="I18" s="1298"/>
      <c r="J18" s="1299"/>
    </row>
    <row r="19" spans="1:10" s="31" customFormat="1" ht="61.5" customHeight="1" x14ac:dyDescent="0.3">
      <c r="A19" s="965">
        <v>2</v>
      </c>
      <c r="B19" s="966" t="s">
        <v>1983</v>
      </c>
      <c r="C19" s="966" t="s">
        <v>1983</v>
      </c>
      <c r="D19" s="966" t="s">
        <v>2186</v>
      </c>
      <c r="E19" s="1045" t="s">
        <v>2003</v>
      </c>
      <c r="F19" s="1045">
        <v>1</v>
      </c>
      <c r="G19" s="1054"/>
      <c r="H19" s="1297" t="s">
        <v>2003</v>
      </c>
      <c r="I19" s="1298"/>
      <c r="J19" s="1299"/>
    </row>
    <row r="20" spans="1:10" s="31" customFormat="1" ht="61.5" customHeight="1" x14ac:dyDescent="0.3">
      <c r="A20" s="965">
        <v>2</v>
      </c>
      <c r="B20" s="966" t="s">
        <v>1983</v>
      </c>
      <c r="C20" s="966" t="s">
        <v>1983</v>
      </c>
      <c r="D20" s="966" t="s">
        <v>1983</v>
      </c>
      <c r="E20" s="966" t="s">
        <v>1983</v>
      </c>
      <c r="F20" s="966">
        <v>1</v>
      </c>
      <c r="G20" s="967"/>
      <c r="H20" s="1331" t="s">
        <v>2002</v>
      </c>
      <c r="I20" s="1331"/>
      <c r="J20" s="1332"/>
    </row>
    <row r="21" spans="1:10" s="31" customFormat="1" ht="61.5" customHeight="1" thickBot="1" x14ac:dyDescent="0.35">
      <c r="A21" s="968">
        <v>2</v>
      </c>
      <c r="B21" s="969" t="s">
        <v>1983</v>
      </c>
      <c r="C21" s="969" t="s">
        <v>1983</v>
      </c>
      <c r="D21" s="969" t="s">
        <v>1983</v>
      </c>
      <c r="E21" s="969" t="s">
        <v>1983</v>
      </c>
      <c r="F21" s="969">
        <v>1</v>
      </c>
      <c r="G21" s="970"/>
      <c r="H21" s="1327" t="s">
        <v>2003</v>
      </c>
      <c r="I21" s="1327"/>
      <c r="J21" s="1328"/>
    </row>
    <row r="22" spans="1:10" ht="14.4" thickTop="1" x14ac:dyDescent="0.3"/>
  </sheetData>
  <mergeCells count="20">
    <mergeCell ref="H21:J21"/>
    <mergeCell ref="H2:J2"/>
    <mergeCell ref="H4:J4"/>
    <mergeCell ref="H20:J20"/>
    <mergeCell ref="H6:J6"/>
    <mergeCell ref="H7:J7"/>
    <mergeCell ref="H5:J5"/>
    <mergeCell ref="H9:J9"/>
    <mergeCell ref="H12:J12"/>
    <mergeCell ref="H19:J19"/>
    <mergeCell ref="H3:J3"/>
    <mergeCell ref="H8:J8"/>
    <mergeCell ref="H10:J10"/>
    <mergeCell ref="H11:J11"/>
    <mergeCell ref="H18:J18"/>
    <mergeCell ref="H13:J13"/>
    <mergeCell ref="H14:J14"/>
    <mergeCell ref="H15:J15"/>
    <mergeCell ref="H16:J16"/>
    <mergeCell ref="H17:J17"/>
  </mergeCell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'Guidance Notes'!$V$1:$V$2</xm:f>
          </x14:formula1>
          <xm:sqref>F2:F21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97</vt:i4>
      </vt:variant>
    </vt:vector>
  </HeadingPairs>
  <TitlesOfParts>
    <vt:vector size="135" baseType="lpstr">
      <vt:lpstr>Amendments to version 1</vt:lpstr>
      <vt:lpstr>Version control to V1</vt:lpstr>
      <vt:lpstr>Standing Data</vt:lpstr>
      <vt:lpstr>Guidance Notes</vt:lpstr>
      <vt:lpstr>Input -CIES</vt:lpstr>
      <vt:lpstr>Input - BS</vt:lpstr>
      <vt:lpstr>Input - EFA</vt:lpstr>
      <vt:lpstr>Non TB - Note 1</vt:lpstr>
      <vt:lpstr>Non TB - Note 2</vt:lpstr>
      <vt:lpstr>Non TB - Note 3 - 9</vt:lpstr>
      <vt:lpstr>Non TB - Note 11</vt:lpstr>
      <vt:lpstr>Non TB - Note 12 to 24</vt:lpstr>
      <vt:lpstr>Non TB - Note 25 to end</vt:lpstr>
      <vt:lpstr>GROUP Non TB - Group Acc notes</vt:lpstr>
      <vt:lpstr>RSG Input</vt:lpstr>
      <vt:lpstr>Det CIES</vt:lpstr>
      <vt:lpstr>Det BS </vt:lpstr>
      <vt:lpstr>Cover Page</vt:lpstr>
      <vt:lpstr>Contents Page</vt:lpstr>
      <vt:lpstr>Checklist</vt:lpstr>
      <vt:lpstr>Text</vt:lpstr>
      <vt:lpstr>Prime</vt:lpstr>
      <vt:lpstr>Note1</vt:lpstr>
      <vt:lpstr>Note 2a</vt:lpstr>
      <vt:lpstr>Note 2b</vt:lpstr>
      <vt:lpstr>Note 2c</vt:lpstr>
      <vt:lpstr>Notes 3 to 10</vt:lpstr>
      <vt:lpstr>Note 11</vt:lpstr>
      <vt:lpstr>Notes 11c to 24</vt:lpstr>
      <vt:lpstr>Note 25 to end</vt:lpstr>
      <vt:lpstr>GROUP Det Group CIES</vt:lpstr>
      <vt:lpstr>GROUP Det Group BS</vt:lpstr>
      <vt:lpstr>GROUP Prime</vt:lpstr>
      <vt:lpstr>GROUP Account notes</vt:lpstr>
      <vt:lpstr>GROUP Account Fixed Assets</vt:lpstr>
      <vt:lpstr>GROUP Account Notes FA&amp;Reserves</vt:lpstr>
      <vt:lpstr>RSG CYR</vt:lpstr>
      <vt:lpstr>RSG PYR</vt:lpstr>
      <vt:lpstr>_TB1</vt:lpstr>
      <vt:lpstr>_TB2</vt:lpstr>
      <vt:lpstr>ACFR</vt:lpstr>
      <vt:lpstr>ACGU</vt:lpstr>
      <vt:lpstr>ACRR</vt:lpstr>
      <vt:lpstr>AGNF</vt:lpstr>
      <vt:lpstr>AOTR</vt:lpstr>
      <vt:lpstr>AOUR</vt:lpstr>
      <vt:lpstr>ARRR</vt:lpstr>
      <vt:lpstr>BAAA</vt:lpstr>
      <vt:lpstr>BAOD</vt:lpstr>
      <vt:lpstr>BASS</vt:lpstr>
      <vt:lpstr>BCAA</vt:lpstr>
      <vt:lpstr>BCRD</vt:lpstr>
      <vt:lpstr>BFIA</vt:lpstr>
      <vt:lpstr>BFIR</vt:lpstr>
      <vt:lpstr>BFIRR</vt:lpstr>
      <vt:lpstr>BLRR</vt:lpstr>
      <vt:lpstr>BPDR</vt:lpstr>
      <vt:lpstr>BPER</vt:lpstr>
      <vt:lpstr>BRVR</vt:lpstr>
      <vt:lpstr>CACE</vt:lpstr>
      <vt:lpstr>CASS</vt:lpstr>
      <vt:lpstr>CASSCA</vt:lpstr>
      <vt:lpstr>CASSCC</vt:lpstr>
      <vt:lpstr>CSASS</vt:lpstr>
      <vt:lpstr>EASS</vt:lpstr>
      <vt:lpstr>HASS</vt:lpstr>
      <vt:lpstr>IASS</vt:lpstr>
      <vt:lpstr>IJVA</vt:lpstr>
      <vt:lpstr>IP</vt:lpstr>
      <vt:lpstr>IPAS</vt:lpstr>
      <vt:lpstr>IR</vt:lpstr>
      <vt:lpstr>ITAS</vt:lpstr>
      <vt:lpstr>LASS</vt:lpstr>
      <vt:lpstr>LNFS</vt:lpstr>
      <vt:lpstr>LTCA</vt:lpstr>
      <vt:lpstr>LTCC</vt:lpstr>
      <vt:lpstr>LTCG</vt:lpstr>
      <vt:lpstr>LTCL</vt:lpstr>
      <vt:lpstr>LTCRS</vt:lpstr>
      <vt:lpstr>LTDAA</vt:lpstr>
      <vt:lpstr>LTDR</vt:lpstr>
      <vt:lpstr>LTIN</vt:lpstr>
      <vt:lpstr>LTLN</vt:lpstr>
      <vt:lpstr>LTPA</vt:lpstr>
      <vt:lpstr>LTPL</vt:lpstr>
      <vt:lpstr>LTPVL</vt:lpstr>
      <vt:lpstr>LTPVO1</vt:lpstr>
      <vt:lpstr>LTPVO2</vt:lpstr>
      <vt:lpstr>LTPVO3</vt:lpstr>
      <vt:lpstr>OCEIAJV</vt:lpstr>
      <vt:lpstr>OE</vt:lpstr>
      <vt:lpstr>ORAJV</vt:lpstr>
      <vt:lpstr>PI</vt:lpstr>
      <vt:lpstr>'Amendments to version 1'!Print_Area</vt:lpstr>
      <vt:lpstr>Checklist!Print_Area</vt:lpstr>
      <vt:lpstr>'Contents Page'!Print_Area</vt:lpstr>
      <vt:lpstr>'Cover Page'!Print_Area</vt:lpstr>
      <vt:lpstr>'Det BS '!Print_Area</vt:lpstr>
      <vt:lpstr>'Det CIES'!Print_Area</vt:lpstr>
      <vt:lpstr>'GROUP Prime'!Print_Area</vt:lpstr>
      <vt:lpstr>'Input - BS'!Print_Area</vt:lpstr>
      <vt:lpstr>'Input -CIES'!Print_Area</vt:lpstr>
      <vt:lpstr>'Note 11'!Print_Area</vt:lpstr>
      <vt:lpstr>'Note 2a'!Print_Area</vt:lpstr>
      <vt:lpstr>'Note 2b'!Print_Area</vt:lpstr>
      <vt:lpstr>'Note 2c'!Print_Area</vt:lpstr>
      <vt:lpstr>Note1!Print_Area</vt:lpstr>
      <vt:lpstr>'Notes 11c to 24'!Print_Area</vt:lpstr>
      <vt:lpstr>'Notes 3 to 10'!Print_Area</vt:lpstr>
      <vt:lpstr>Prime!Print_Area</vt:lpstr>
      <vt:lpstr>'RSG CYR'!Print_Area</vt:lpstr>
      <vt:lpstr>Text!Print_Area</vt:lpstr>
      <vt:lpstr>'Amendments to version 1'!Print_Titles</vt:lpstr>
      <vt:lpstr>'Det BS '!Print_Titles</vt:lpstr>
      <vt:lpstr>'Det CIES'!Print_Titles</vt:lpstr>
      <vt:lpstr>SASS</vt:lpstr>
      <vt:lpstr>SD</vt:lpstr>
      <vt:lpstr>SE</vt:lpstr>
      <vt:lpstr>SI</vt:lpstr>
      <vt:lpstr>STCK</vt:lpstr>
      <vt:lpstr>STCL</vt:lpstr>
      <vt:lpstr>STCR</vt:lpstr>
      <vt:lpstr>STDRS</vt:lpstr>
      <vt:lpstr>STIN</vt:lpstr>
      <vt:lpstr>STLN</vt:lpstr>
      <vt:lpstr>STPVL</vt:lpstr>
      <vt:lpstr>STPVO1</vt:lpstr>
      <vt:lpstr>STPVO2</vt:lpstr>
      <vt:lpstr>STPVO3</vt:lpstr>
      <vt:lpstr>TB</vt:lpstr>
      <vt:lpstr>Test</vt:lpstr>
      <vt:lpstr>TI</vt:lpstr>
      <vt:lpstr>TO</vt:lpstr>
      <vt:lpstr>VASS</vt:lpstr>
      <vt:lpstr>WASS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Doran, Jim (DfC)</cp:lastModifiedBy>
  <cp:lastPrinted>2019-11-13T14:57:53Z</cp:lastPrinted>
  <dcterms:created xsi:type="dcterms:W3CDTF">2014-08-24T14:34:32Z</dcterms:created>
  <dcterms:modified xsi:type="dcterms:W3CDTF">2026-05-05T13:03:11Z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